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stefi\OneDrive\Desktop\Master Thesis_Boehnlein_363308\"/>
    </mc:Choice>
  </mc:AlternateContent>
  <xr:revisionPtr revIDLastSave="0" documentId="13_ncr:1_{67693B2E-8149-41E9-84A2-C9633BB5A28B}" xr6:coauthVersionLast="47" xr6:coauthVersionMax="47" xr10:uidLastSave="{00000000-0000-0000-0000-000000000000}"/>
  <bookViews>
    <workbookView xWindow="57480" yWindow="-120" windowWidth="29040" windowHeight="15720" firstSheet="2" activeTab="2" xr2:uid="{00000000-000D-0000-FFFF-FFFF00000000}"/>
  </bookViews>
  <sheets>
    <sheet name="Table for Thesis" sheetId="48" state="hidden" r:id="rId1"/>
    <sheet name="Cost data collection_clean" sheetId="47" state="hidden" r:id="rId2"/>
    <sheet name="Cost data collection" sheetId="10" r:id="rId3"/>
    <sheet name="Specific OCC in $ per kW 2018 " sheetId="34" r:id="rId4"/>
    <sheet name="Other Costs in $ per kW 2018" sheetId="39" r:id="rId5"/>
    <sheet name="Charts --&gt;" sheetId="46" r:id="rId6"/>
    <sheet name="MAP" sheetId="36" r:id="rId7"/>
    <sheet name="OCC Costs w Contingency" sheetId="43" r:id="rId8"/>
    <sheet name="O&amp;M Costs fixed" sheetId="42" r:id="rId9"/>
    <sheet name="O&amp;M Costs variabel" sheetId="44" r:id="rId10"/>
    <sheet name="References" sheetId="11" r:id="rId11"/>
    <sheet name="Inflation" sheetId="35" r:id="rId12"/>
    <sheet name="OCC Chart_with_Contingency_tota" sheetId="41" state="hidden" r:id="rId13"/>
    <sheet name="ChartData_old" sheetId="37" state="hidden" r:id="rId14"/>
    <sheet name="Tabelle1" sheetId="24" state="hidden" r:id="rId15"/>
    <sheet name="Tabelle2" sheetId="25" state="hidden" r:id="rId16"/>
  </sheets>
  <externalReferences>
    <externalReference r:id="rId17"/>
    <externalReference r:id="rId18"/>
    <externalReference r:id="rId19"/>
    <externalReference r:id="rId20"/>
  </externalReferences>
  <definedNames>
    <definedName name="_xlnm._FilterDatabase" localSheetId="2" hidden="1">'Cost data collection'!$F$714:$G$714</definedName>
    <definedName name="_xlnm._FilterDatabase" localSheetId="1" hidden="1">'Cost data collection_clean'!$F$714:$G$714</definedName>
    <definedName name="_xlnm._FilterDatabase" localSheetId="10" hidden="1">References!$A$2:$C$2</definedName>
    <definedName name="_xlnm._FilterDatabase" localSheetId="3" hidden="1">'Specific OCC in $ per kW 2018 '!$T$1:$V$468</definedName>
    <definedName name="_xlnm._FilterDatabase" localSheetId="0" hidden="1">'Table for Thesis'!$A$2:$O$373</definedName>
    <definedName name="arrêt_prévu__sans_prol">[1]evo_reacteur!$D$1:$D$121</definedName>
    <definedName name="Base">#REF!</definedName>
    <definedName name="Base3">[2]REACTORSWNISR2019!$A$1:$BD$789</definedName>
    <definedName name="Col_Age">[2]REACTORSWNISR2019!$AP$2:$AP$1048576</definedName>
    <definedName name="col_consCanc">[2]DATA_CancSusp!$F:$F</definedName>
    <definedName name="col_consResume">[2]DATA_CancSusp!$I:$I</definedName>
    <definedName name="col_consSusp">[2]DATA_CancSusp!$H:$H</definedName>
    <definedName name="col_ConsYear_2018Plus">[2]REACTORSWNISR2019!$O:$O</definedName>
    <definedName name="Col_Country">[2]REACTORSWNISR2019!$D$2:$D$1048576</definedName>
    <definedName name="col_Country_2018Plus">[2]REACTORSWNISR2019!$D:$D</definedName>
    <definedName name="Col_OperatingAge">[2]REACTORSWNISR2019!$AN$2:$AN$1048576</definedName>
    <definedName name="Col_Region_2018Plus">[2]REACTORSWNISR2019!$C:$C</definedName>
    <definedName name="Col_ShutAge">[2]REACTORSWNISR2019!$AQ:$AQ</definedName>
    <definedName name="col_ShutDownYear">[2]REACTORSWNISR2019!$AA:$AA</definedName>
    <definedName name="Col_StartUpYear_2018Plus">[2]REACTORSWNISR2019!$X:$X</definedName>
    <definedName name="Col_Status_2018Plus">[2]REACTORSWNISR2019!$F:$F</definedName>
    <definedName name="ConstructionCanc_Susp">[2]DATA_CancSusp!$A$4:$I$110</definedName>
    <definedName name="Country">[3]codes!$D$3:$D$38</definedName>
    <definedName name="ExterneDaten_1" localSheetId="4" hidden="1">'Other Costs in $ per kW 2018'!$A$1:$O$706</definedName>
    <definedName name="ExterneDaten_1" localSheetId="3" hidden="1">'Specific OCC in $ per kW 2018 '!$A$1:$P$706</definedName>
    <definedName name="GEO">[3]codes!$A$2:$A$9</definedName>
    <definedName name="OCC_COL">'Specific OCC in $ per kW 2018 '!$S:$S</definedName>
    <definedName name="Reactors_Years_IAEA2021">[2]DATAReactors_Years!$AJ:$AJ</definedName>
    <definedName name="Reactors_Years_Reference_unit_power">[2]DATAReactors_Years!$AN:$AN</definedName>
    <definedName name="Reactors_Years_WNISR2021">[2]DATAReactors_Years!$V:$V</definedName>
    <definedName name="Reactors_Years_Year">[2]DATAReactors_Years!$F:$F</definedName>
    <definedName name="Reactors_Years2_Country">[2]DATAReactors_Years2021!$C:$C</definedName>
    <definedName name="Reactors_Years2_Reference_unit_power">[2]DATAReactors_Years2021!$AN:$AN</definedName>
    <definedName name="Reactors_Years2_WNISR2022">[2]DATAReactors_Years2021!$V:$V</definedName>
    <definedName name="Reactors_Years2_Year">[2]DATAReactors_Years2021!$F:$F</definedName>
    <definedName name="reactorssss">'[4]REACTORS.XLS'!$A$2:$BS$750</definedName>
    <definedName name="Tablea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98" i="47" l="1"/>
  <c r="I692" i="47"/>
  <c r="I18" i="47"/>
  <c r="I648" i="47"/>
  <c r="I647" i="47"/>
  <c r="I646" i="47"/>
  <c r="I645" i="47"/>
  <c r="I56" i="47"/>
  <c r="I55" i="47"/>
  <c r="I53" i="47"/>
  <c r="I52" i="47"/>
  <c r="S688" i="47"/>
  <c r="I688" i="47"/>
  <c r="I443" i="47"/>
  <c r="I442" i="47"/>
  <c r="I687" i="47"/>
  <c r="S686" i="47"/>
  <c r="S687" i="47" s="1"/>
  <c r="I686" i="47"/>
  <c r="I626" i="47"/>
  <c r="I625" i="47"/>
  <c r="I624" i="47"/>
  <c r="I623" i="47"/>
  <c r="I622" i="47"/>
  <c r="I606" i="47"/>
  <c r="I605" i="47"/>
  <c r="I604" i="47"/>
  <c r="I603" i="47"/>
  <c r="I433" i="47"/>
  <c r="I432" i="47"/>
  <c r="I431" i="47"/>
  <c r="I430" i="47"/>
  <c r="I600" i="47"/>
  <c r="I599" i="47"/>
  <c r="I598" i="47"/>
  <c r="I597" i="47"/>
  <c r="I594" i="47"/>
  <c r="I593" i="47"/>
  <c r="I176" i="47"/>
  <c r="I175" i="47"/>
  <c r="I590" i="47"/>
  <c r="I589" i="47"/>
  <c r="I429" i="47"/>
  <c r="I428" i="47"/>
  <c r="S685" i="47"/>
  <c r="I685" i="47"/>
  <c r="S682" i="47"/>
  <c r="I682" i="47"/>
  <c r="I427" i="47"/>
  <c r="I672" i="47"/>
  <c r="I421" i="47"/>
  <c r="I174" i="47"/>
  <c r="S669" i="47"/>
  <c r="I669" i="47"/>
  <c r="I559" i="47"/>
  <c r="I558" i="47"/>
  <c r="I557" i="47"/>
  <c r="I173" i="47"/>
  <c r="I172" i="47"/>
  <c r="I171" i="47"/>
  <c r="I420" i="47"/>
  <c r="I419" i="47"/>
  <c r="I418" i="47"/>
  <c r="I552" i="47"/>
  <c r="I551" i="47"/>
  <c r="I550" i="47"/>
  <c r="I549" i="47"/>
  <c r="I170" i="47"/>
  <c r="I417" i="47"/>
  <c r="I548" i="47"/>
  <c r="I668" i="47"/>
  <c r="S667" i="47"/>
  <c r="I667" i="47"/>
  <c r="S666" i="47"/>
  <c r="I666" i="47"/>
  <c r="S665" i="47"/>
  <c r="I665" i="47"/>
  <c r="I169" i="47"/>
  <c r="S664" i="47"/>
  <c r="I664" i="47"/>
  <c r="S657" i="47"/>
  <c r="I657" i="47"/>
  <c r="S656" i="47"/>
  <c r="I656" i="47"/>
  <c r="S655" i="47"/>
  <c r="I655" i="47"/>
  <c r="S654" i="47"/>
  <c r="I654" i="47"/>
  <c r="S653" i="47"/>
  <c r="I653" i="47"/>
  <c r="I514" i="47"/>
  <c r="I513" i="47"/>
  <c r="I512" i="47"/>
  <c r="I511" i="47"/>
  <c r="I510" i="47"/>
  <c r="I168" i="47"/>
  <c r="I167" i="47"/>
  <c r="I166" i="47"/>
  <c r="I165" i="47"/>
  <c r="I163" i="47"/>
  <c r="I164" i="47"/>
  <c r="I416" i="47"/>
  <c r="I415" i="47"/>
  <c r="I414" i="47"/>
  <c r="I413" i="47"/>
  <c r="I412" i="47"/>
  <c r="I411" i="47"/>
  <c r="I410" i="47"/>
  <c r="I409" i="47"/>
  <c r="I408" i="47"/>
  <c r="I398" i="47"/>
  <c r="I487" i="47"/>
  <c r="I652" i="47"/>
  <c r="I635" i="47"/>
  <c r="S634" i="47"/>
  <c r="I634" i="47"/>
  <c r="S633" i="47"/>
  <c r="I633" i="47"/>
  <c r="I457" i="47"/>
  <c r="I456" i="47"/>
  <c r="I501" i="47"/>
  <c r="S632" i="47"/>
  <c r="I632" i="47"/>
  <c r="I631" i="47"/>
  <c r="I478" i="47"/>
  <c r="I476" i="47"/>
  <c r="S621" i="47"/>
  <c r="I621" i="47"/>
  <c r="S619" i="47"/>
  <c r="I619" i="47"/>
  <c r="I519" i="47"/>
  <c r="I473" i="47"/>
  <c r="I199" i="47"/>
  <c r="I472" i="47"/>
  <c r="I471" i="47"/>
  <c r="I198" i="47"/>
  <c r="I500" i="47"/>
  <c r="I499" i="47"/>
  <c r="I197" i="47"/>
  <c r="I498" i="47"/>
  <c r="I196" i="47"/>
  <c r="I470" i="47"/>
  <c r="I195" i="47"/>
  <c r="I591" i="47"/>
  <c r="I384" i="47"/>
  <c r="I383" i="47"/>
  <c r="I194" i="47"/>
  <c r="I378" i="47"/>
  <c r="S584" i="47"/>
  <c r="I584" i="47"/>
  <c r="S583" i="47"/>
  <c r="I583" i="47"/>
  <c r="S582" i="47"/>
  <c r="I582" i="47"/>
  <c r="S581" i="47"/>
  <c r="I581" i="47"/>
  <c r="I576" i="47"/>
  <c r="I575" i="47"/>
  <c r="S300" i="47"/>
  <c r="I300" i="47"/>
  <c r="S299" i="47"/>
  <c r="I299" i="47"/>
  <c r="S298" i="47"/>
  <c r="I298" i="47"/>
  <c r="S297" i="47"/>
  <c r="I297" i="47"/>
  <c r="I371" i="47"/>
  <c r="I370" i="47"/>
  <c r="I369" i="47"/>
  <c r="I368" i="47"/>
  <c r="I296" i="47"/>
  <c r="I295" i="47"/>
  <c r="I294" i="47"/>
  <c r="I293" i="47"/>
  <c r="I292" i="47"/>
  <c r="I291" i="47"/>
  <c r="I290" i="47"/>
  <c r="I574" i="47"/>
  <c r="I279" i="47"/>
  <c r="I278" i="47"/>
  <c r="I277" i="47"/>
  <c r="I267" i="47"/>
  <c r="I130" i="47"/>
  <c r="I367" i="47"/>
  <c r="I264" i="47"/>
  <c r="I127" i="47"/>
  <c r="I366" i="47"/>
  <c r="I571" i="47"/>
  <c r="I570" i="47"/>
  <c r="I569" i="47"/>
  <c r="I568" i="47"/>
  <c r="I567" i="47"/>
  <c r="I469" i="47"/>
  <c r="I468" i="47"/>
  <c r="I460" i="47"/>
  <c r="I219" i="47"/>
  <c r="I218" i="47"/>
  <c r="I217" i="47"/>
  <c r="I216" i="47"/>
  <c r="I215" i="47"/>
  <c r="I214" i="47"/>
  <c r="I213" i="47"/>
  <c r="I212" i="47"/>
  <c r="I121" i="47"/>
  <c r="I120" i="47"/>
  <c r="I118" i="47"/>
  <c r="I117" i="47"/>
  <c r="I114" i="47"/>
  <c r="I113" i="47"/>
  <c r="I111" i="47"/>
  <c r="I110" i="47"/>
  <c r="I365" i="47"/>
  <c r="I364" i="47"/>
  <c r="I363" i="47"/>
  <c r="I362" i="47"/>
  <c r="I361" i="47"/>
  <c r="I360" i="47"/>
  <c r="I359" i="47"/>
  <c r="I341" i="47"/>
  <c r="I554" i="47"/>
  <c r="S553" i="47"/>
  <c r="I553" i="47"/>
  <c r="I104" i="47"/>
  <c r="S547" i="47"/>
  <c r="I547" i="47"/>
  <c r="I338" i="47"/>
  <c r="I182" i="47"/>
  <c r="I546" i="47"/>
  <c r="I545" i="47"/>
  <c r="I459" i="47"/>
  <c r="I458" i="47"/>
  <c r="I140" i="47"/>
  <c r="I139" i="47"/>
  <c r="I103" i="47"/>
  <c r="I102" i="47"/>
  <c r="I136" i="47"/>
  <c r="I135" i="47"/>
  <c r="I101" i="47"/>
  <c r="I132" i="47"/>
  <c r="I131" i="47"/>
  <c r="I334" i="47"/>
  <c r="I98" i="47"/>
  <c r="I129" i="47"/>
  <c r="I128" i="47"/>
  <c r="I333" i="47"/>
  <c r="I86" i="47"/>
  <c r="I332" i="47"/>
  <c r="I124" i="47"/>
  <c r="I123" i="47"/>
  <c r="I122" i="47"/>
  <c r="I331" i="47"/>
  <c r="I85" i="47"/>
  <c r="I119" i="47"/>
  <c r="I330" i="47"/>
  <c r="I84" i="47"/>
  <c r="I116" i="47"/>
  <c r="I115" i="47"/>
  <c r="I455" i="47"/>
  <c r="I112" i="47"/>
  <c r="I83" i="47"/>
  <c r="I537" i="47"/>
  <c r="I329" i="47"/>
  <c r="I108" i="47"/>
  <c r="S534" i="47"/>
  <c r="S533" i="47"/>
  <c r="I533" i="47"/>
  <c r="S532" i="47"/>
  <c r="I532" i="47"/>
  <c r="I81" i="47"/>
  <c r="I80" i="47"/>
  <c r="I76" i="47"/>
  <c r="I74" i="47"/>
  <c r="I69" i="47"/>
  <c r="I68" i="47"/>
  <c r="I65" i="47"/>
  <c r="I61" i="47"/>
  <c r="I60" i="47"/>
  <c r="I59" i="47"/>
  <c r="S531" i="47"/>
  <c r="I531" i="47"/>
  <c r="S530" i="47"/>
  <c r="I530" i="47"/>
  <c r="I54" i="47"/>
  <c r="S529" i="47"/>
  <c r="I529" i="47"/>
  <c r="I311" i="47"/>
  <c r="I51" i="47"/>
  <c r="S528" i="47"/>
  <c r="I528" i="47"/>
  <c r="S527" i="47"/>
  <c r="I527" i="47"/>
  <c r="S526" i="47"/>
  <c r="I526" i="47"/>
  <c r="S524" i="47"/>
  <c r="I524" i="47"/>
  <c r="I5" i="47"/>
  <c r="U36" i="43"/>
  <c r="U35" i="43"/>
  <c r="U34" i="43"/>
  <c r="U33" i="43"/>
  <c r="U32" i="43"/>
  <c r="U31" i="43"/>
  <c r="U30" i="43"/>
  <c r="U29" i="43"/>
  <c r="U28" i="43"/>
  <c r="U27" i="43"/>
  <c r="U26" i="43"/>
  <c r="U25" i="43"/>
  <c r="U24" i="43"/>
  <c r="U23" i="43"/>
  <c r="U22" i="43"/>
  <c r="U21" i="43"/>
  <c r="U20" i="43"/>
  <c r="U19" i="43"/>
  <c r="T36" i="43"/>
  <c r="T35" i="43"/>
  <c r="T34" i="43"/>
  <c r="T33" i="43"/>
  <c r="T32" i="43"/>
  <c r="T31" i="43"/>
  <c r="T30" i="43"/>
  <c r="T29" i="43"/>
  <c r="T28" i="43"/>
  <c r="T27" i="43"/>
  <c r="T26" i="43"/>
  <c r="T25" i="43"/>
  <c r="T24" i="43"/>
  <c r="T23" i="43"/>
  <c r="T22" i="43"/>
  <c r="T21" i="43"/>
  <c r="T20" i="43"/>
  <c r="T19" i="43"/>
  <c r="I601" i="10"/>
  <c r="I600" i="10"/>
  <c r="V4" i="39"/>
  <c r="V5" i="39"/>
  <c r="V6" i="39"/>
  <c r="V7" i="39"/>
  <c r="V8" i="39"/>
  <c r="V9" i="39"/>
  <c r="W3" i="39" a="1"/>
  <c r="W3" i="39" s="1"/>
  <c r="V3" i="39"/>
  <c r="V693" i="34" a="1"/>
  <c r="V693" i="34" s="1"/>
  <c r="V694" i="34" a="1"/>
  <c r="V694" i="34" s="1"/>
  <c r="V695" i="34" a="1"/>
  <c r="V695" i="34" s="1"/>
  <c r="V696" i="34" a="1"/>
  <c r="V696" i="34" s="1"/>
  <c r="V697" i="34" a="1"/>
  <c r="V697" i="34" s="1"/>
  <c r="V698" i="34" a="1"/>
  <c r="V698" i="34" s="1"/>
  <c r="V699" i="34" a="1"/>
  <c r="V699" i="34" s="1"/>
  <c r="V700" i="34" a="1"/>
  <c r="V700" i="34" s="1"/>
  <c r="V701" i="34" a="1"/>
  <c r="V701" i="34" s="1"/>
  <c r="V702" i="34" a="1"/>
  <c r="V702" i="34" s="1"/>
  <c r="V703" i="34" a="1"/>
  <c r="V703" i="34" s="1"/>
  <c r="V704" i="34" a="1"/>
  <c r="V704" i="34" s="1"/>
  <c r="V705" i="34" a="1"/>
  <c r="V705" i="34" s="1"/>
  <c r="V706" i="34" a="1"/>
  <c r="V706" i="34" s="1"/>
  <c r="U693" i="34"/>
  <c r="V659" i="34" a="1"/>
  <c r="V659" i="34" s="1"/>
  <c r="V660" i="34" a="1"/>
  <c r="V660" i="34" s="1"/>
  <c r="V661" i="34" a="1"/>
  <c r="V661" i="34" s="1"/>
  <c r="V662" i="34" a="1"/>
  <c r="V662" i="34" s="1"/>
  <c r="V663" i="34" a="1"/>
  <c r="V663" i="34" s="1"/>
  <c r="V664" i="34" a="1"/>
  <c r="V664" i="34" s="1"/>
  <c r="V665" i="34" a="1"/>
  <c r="V665" i="34" s="1"/>
  <c r="V666" i="34" a="1"/>
  <c r="V666" i="34" s="1"/>
  <c r="V667" i="34" a="1"/>
  <c r="V667" i="34" s="1"/>
  <c r="V668" i="34" a="1"/>
  <c r="V668" i="34" s="1"/>
  <c r="V669" i="34" a="1"/>
  <c r="V669" i="34" s="1"/>
  <c r="V670" i="34" a="1"/>
  <c r="V670" i="34" s="1"/>
  <c r="V671" i="34" a="1"/>
  <c r="V671" i="34" s="1"/>
  <c r="V672" i="34" a="1"/>
  <c r="V672" i="34" s="1"/>
  <c r="V673" i="34" a="1"/>
  <c r="V673" i="34" s="1"/>
  <c r="V674" i="34" a="1"/>
  <c r="V674" i="34" s="1"/>
  <c r="V675" i="34" a="1"/>
  <c r="V675" i="34" s="1"/>
  <c r="V676" i="34" a="1"/>
  <c r="V676" i="34" s="1"/>
  <c r="V677" i="34" a="1"/>
  <c r="V677" i="34" s="1"/>
  <c r="V678" i="34" a="1"/>
  <c r="V678" i="34" s="1"/>
  <c r="V679" i="34" a="1"/>
  <c r="V679" i="34" s="1"/>
  <c r="V680" i="34" a="1"/>
  <c r="V680" i="34" s="1"/>
  <c r="V681" i="34" a="1"/>
  <c r="V681" i="34" s="1"/>
  <c r="V682" i="34" a="1"/>
  <c r="V682" i="34" s="1"/>
  <c r="V683" i="34" a="1"/>
  <c r="V683" i="34" s="1"/>
  <c r="V684" i="34" a="1"/>
  <c r="V684" i="34" s="1"/>
  <c r="V685" i="34" a="1"/>
  <c r="V685" i="34" s="1"/>
  <c r="V686" i="34" a="1"/>
  <c r="V686" i="34" s="1"/>
  <c r="V687" i="34" a="1"/>
  <c r="V687" i="34" s="1"/>
  <c r="V688" i="34" a="1"/>
  <c r="V688" i="34" s="1"/>
  <c r="V689" i="34" a="1"/>
  <c r="V689" i="34" s="1"/>
  <c r="V690" i="34" a="1"/>
  <c r="V690" i="34" s="1"/>
  <c r="V691" i="34" a="1"/>
  <c r="V691" i="34" s="1"/>
  <c r="V692" i="34" a="1"/>
  <c r="V692" i="34" s="1"/>
  <c r="U660" i="34"/>
  <c r="U661" i="34"/>
  <c r="U662" i="34"/>
  <c r="U663" i="34"/>
  <c r="U664" i="34"/>
  <c r="U665" i="34"/>
  <c r="U666" i="34"/>
  <c r="U667" i="34"/>
  <c r="U668" i="34"/>
  <c r="U669" i="34"/>
  <c r="U670" i="34"/>
  <c r="U671" i="34"/>
  <c r="U672" i="34"/>
  <c r="U673" i="34"/>
  <c r="U674" i="34"/>
  <c r="U675" i="34"/>
  <c r="U676" i="34"/>
  <c r="U677" i="34"/>
  <c r="U678" i="34"/>
  <c r="U679" i="34"/>
  <c r="U680" i="34"/>
  <c r="U681" i="34"/>
  <c r="U682" i="34"/>
  <c r="U683" i="34"/>
  <c r="U684" i="34"/>
  <c r="U685" i="34"/>
  <c r="U686" i="34"/>
  <c r="U687" i="34"/>
  <c r="U688" i="34"/>
  <c r="U689" i="34"/>
  <c r="U690" i="34"/>
  <c r="U691" i="34"/>
  <c r="U692" i="34"/>
  <c r="Q662" i="34"/>
  <c r="Q663" i="34"/>
  <c r="Q664" i="34"/>
  <c r="Q665" i="34"/>
  <c r="Q666" i="34"/>
  <c r="Q667" i="34"/>
  <c r="Q668" i="34"/>
  <c r="Q669" i="34"/>
  <c r="Q670" i="34"/>
  <c r="Q671" i="34"/>
  <c r="Q697" i="34"/>
  <c r="Q698" i="34"/>
  <c r="Q699" i="34"/>
  <c r="R662" i="34"/>
  <c r="R663" i="34"/>
  <c r="R664" i="34"/>
  <c r="R665" i="34"/>
  <c r="R666" i="34"/>
  <c r="R667" i="34"/>
  <c r="R668" i="34"/>
  <c r="R669" i="34"/>
  <c r="R670" i="34"/>
  <c r="R671" i="34"/>
  <c r="R697" i="34"/>
  <c r="R698" i="34"/>
  <c r="R699" i="34"/>
  <c r="Q318" i="39"/>
  <c r="Q391" i="39"/>
  <c r="Q392" i="39"/>
  <c r="Q393" i="39"/>
  <c r="Q395" i="39"/>
  <c r="Q397" i="39"/>
  <c r="Q398" i="39"/>
  <c r="Q404" i="39"/>
  <c r="Q529" i="39"/>
  <c r="Q530" i="39"/>
  <c r="Q636" i="39"/>
  <c r="Q637" i="39"/>
  <c r="Q638" i="39"/>
  <c r="R318" i="39"/>
  <c r="R391" i="39"/>
  <c r="R392" i="39"/>
  <c r="R393" i="39"/>
  <c r="R395" i="39"/>
  <c r="R397" i="39"/>
  <c r="R398" i="39"/>
  <c r="R404" i="39"/>
  <c r="R529" i="39"/>
  <c r="R530" i="39"/>
  <c r="R636" i="39"/>
  <c r="R637" i="39"/>
  <c r="R638" i="39"/>
  <c r="AH11" i="43" a="1"/>
  <c r="AH11" i="43" s="1"/>
  <c r="V663" i="39"/>
  <c r="W663" i="39" a="1"/>
  <c r="W663" i="39" s="1"/>
  <c r="V664" i="39"/>
  <c r="W664" i="39" a="1"/>
  <c r="W664" i="39" s="1"/>
  <c r="V665" i="39"/>
  <c r="W665" i="39" a="1"/>
  <c r="W665" i="39" s="1"/>
  <c r="V666" i="39"/>
  <c r="W666" i="39" a="1"/>
  <c r="W666" i="39" s="1"/>
  <c r="V667" i="39"/>
  <c r="W667" i="39" a="1"/>
  <c r="W667" i="39" s="1"/>
  <c r="V668" i="39"/>
  <c r="W668" i="39" a="1"/>
  <c r="W668" i="39" s="1"/>
  <c r="V669" i="39"/>
  <c r="W669" i="39" a="1"/>
  <c r="W669" i="39" s="1"/>
  <c r="V670" i="39"/>
  <c r="W670" i="39" a="1"/>
  <c r="W670" i="39" s="1"/>
  <c r="V671" i="39"/>
  <c r="W671" i="39" a="1"/>
  <c r="W671" i="39" s="1"/>
  <c r="V672" i="39"/>
  <c r="W672" i="39" a="1"/>
  <c r="W672" i="39" s="1"/>
  <c r="V673" i="39"/>
  <c r="W673" i="39" a="1"/>
  <c r="W673" i="39" s="1"/>
  <c r="V674" i="39"/>
  <c r="W674" i="39" a="1"/>
  <c r="W674" i="39" s="1"/>
  <c r="V675" i="39"/>
  <c r="W675" i="39" a="1"/>
  <c r="W675" i="39" s="1"/>
  <c r="V676" i="39"/>
  <c r="W676" i="39" a="1"/>
  <c r="W676" i="39" s="1"/>
  <c r="V677" i="39"/>
  <c r="W677" i="39" a="1"/>
  <c r="W677" i="39" s="1"/>
  <c r="V678" i="39"/>
  <c r="W678" i="39" a="1"/>
  <c r="W678" i="39" s="1"/>
  <c r="V679" i="39"/>
  <c r="W679" i="39" a="1"/>
  <c r="W679" i="39" s="1"/>
  <c r="V680" i="39"/>
  <c r="W680" i="39" a="1"/>
  <c r="W680" i="39" s="1"/>
  <c r="V681" i="39"/>
  <c r="W681" i="39" a="1"/>
  <c r="W681" i="39" s="1"/>
  <c r="V682" i="39"/>
  <c r="W682" i="39" a="1"/>
  <c r="W682" i="39" s="1"/>
  <c r="V683" i="39"/>
  <c r="W683" i="39" a="1"/>
  <c r="W683" i="39" s="1"/>
  <c r="V684" i="39"/>
  <c r="W684" i="39" a="1"/>
  <c r="W684" i="39" s="1"/>
  <c r="V685" i="39"/>
  <c r="W685" i="39" a="1"/>
  <c r="W685" i="39" s="1"/>
  <c r="V686" i="39"/>
  <c r="W686" i="39" a="1"/>
  <c r="W686" i="39" s="1"/>
  <c r="V687" i="39"/>
  <c r="W687" i="39" a="1"/>
  <c r="W687" i="39" s="1"/>
  <c r="V688" i="39"/>
  <c r="W688" i="39" a="1"/>
  <c r="W688" i="39" s="1"/>
  <c r="V689" i="39"/>
  <c r="W689" i="39" a="1"/>
  <c r="W689" i="39" s="1"/>
  <c r="V690" i="39"/>
  <c r="W690" i="39" a="1"/>
  <c r="W690" i="39" s="1"/>
  <c r="V691" i="39"/>
  <c r="W691" i="39" a="1"/>
  <c r="W691" i="39" s="1"/>
  <c r="V692" i="39"/>
  <c r="W692" i="39" a="1"/>
  <c r="W692" i="39" s="1"/>
  <c r="V693" i="39"/>
  <c r="W693" i="39" a="1"/>
  <c r="W693" i="39" s="1"/>
  <c r="V694" i="39"/>
  <c r="W694" i="39" a="1"/>
  <c r="W694" i="39" s="1"/>
  <c r="V695" i="39"/>
  <c r="W695" i="39" a="1"/>
  <c r="W695" i="39" s="1"/>
  <c r="V696" i="39"/>
  <c r="W696" i="39" a="1"/>
  <c r="W696" i="39" s="1"/>
  <c r="V697" i="39"/>
  <c r="W697" i="39" a="1"/>
  <c r="W697" i="39" s="1"/>
  <c r="V698" i="39"/>
  <c r="W698" i="39" a="1"/>
  <c r="W698" i="39" s="1"/>
  <c r="V699" i="39"/>
  <c r="W699" i="39" a="1"/>
  <c r="W699" i="39" s="1"/>
  <c r="V700" i="39"/>
  <c r="W700" i="39" a="1"/>
  <c r="W700" i="39" s="1"/>
  <c r="V701" i="39"/>
  <c r="W701" i="39" a="1"/>
  <c r="W701" i="39" s="1"/>
  <c r="V2" i="39"/>
  <c r="W4" i="39" a="1"/>
  <c r="W4" i="39" s="1"/>
  <c r="W5" i="39" a="1"/>
  <c r="W5" i="39" s="1"/>
  <c r="W6" i="39" a="1"/>
  <c r="W6" i="39" s="1"/>
  <c r="W7" i="39" a="1"/>
  <c r="W7" i="39" s="1"/>
  <c r="W8" i="39" a="1"/>
  <c r="W8" i="39" s="1"/>
  <c r="W9" i="39" a="1"/>
  <c r="W9" i="39" s="1"/>
  <c r="W10" i="39" a="1"/>
  <c r="W10" i="39" s="1"/>
  <c r="W11" i="39" a="1"/>
  <c r="W11" i="39" s="1"/>
  <c r="W12" i="39" a="1"/>
  <c r="W12" i="39" s="1"/>
  <c r="W13" i="39" a="1"/>
  <c r="W13" i="39" s="1"/>
  <c r="W14" i="39" a="1"/>
  <c r="W14" i="39" s="1"/>
  <c r="W15" i="39" a="1"/>
  <c r="W15" i="39" s="1"/>
  <c r="W16" i="39" a="1"/>
  <c r="W16" i="39" s="1"/>
  <c r="W17" i="39" a="1"/>
  <c r="W17" i="39" s="1"/>
  <c r="W18" i="39" a="1"/>
  <c r="W18" i="39" s="1"/>
  <c r="W19" i="39" a="1"/>
  <c r="W19" i="39" s="1"/>
  <c r="I403" i="10" l="1"/>
  <c r="I112" i="10"/>
  <c r="I505" i="10"/>
  <c r="I506" i="10"/>
  <c r="I507" i="10"/>
  <c r="I524" i="10"/>
  <c r="I503" i="10"/>
  <c r="I508" i="10"/>
  <c r="I277" i="10"/>
  <c r="I269" i="10"/>
  <c r="I211" i="10"/>
  <c r="I210" i="10"/>
  <c r="I209" i="10"/>
  <c r="I208" i="10"/>
  <c r="I207" i="10"/>
  <c r="I206" i="10"/>
  <c r="I205" i="10"/>
  <c r="I204" i="10"/>
  <c r="I141" i="10"/>
  <c r="I139" i="10"/>
  <c r="I135" i="10"/>
  <c r="I131" i="10"/>
  <c r="I127" i="10"/>
  <c r="I121" i="10"/>
  <c r="I118" i="10"/>
  <c r="P2" i="42"/>
  <c r="P3" i="42"/>
  <c r="P4" i="42"/>
  <c r="P5" i="42"/>
  <c r="P6" i="42"/>
  <c r="P7" i="42"/>
  <c r="P8" i="42"/>
  <c r="P9" i="42"/>
  <c r="P10" i="42"/>
  <c r="P11" i="42"/>
  <c r="P12" i="42"/>
  <c r="BA6" i="44"/>
  <c r="BA5" i="44"/>
  <c r="BA4" i="44"/>
  <c r="BA3" i="44"/>
  <c r="BA2" i="44"/>
  <c r="I609" i="10"/>
  <c r="I608" i="10"/>
  <c r="I607" i="10"/>
  <c r="I606" i="10"/>
  <c r="I602" i="10"/>
  <c r="I287" i="10"/>
  <c r="I285" i="10"/>
  <c r="I284" i="10"/>
  <c r="I286" i="10"/>
  <c r="I617" i="10"/>
  <c r="I616" i="10"/>
  <c r="I615" i="10"/>
  <c r="I614" i="10"/>
  <c r="I612" i="10"/>
  <c r="I613" i="10"/>
  <c r="I611" i="10"/>
  <c r="I610" i="10"/>
  <c r="I584" i="10"/>
  <c r="I199" i="10"/>
  <c r="I203" i="10"/>
  <c r="I198" i="10"/>
  <c r="I202" i="10"/>
  <c r="I197" i="10"/>
  <c r="I200" i="10"/>
  <c r="I201" i="10"/>
  <c r="I196" i="10"/>
  <c r="U695" i="34"/>
  <c r="I557" i="10"/>
  <c r="I556" i="10"/>
  <c r="I555" i="10"/>
  <c r="I554" i="10"/>
  <c r="I553" i="10"/>
  <c r="I558" i="10"/>
  <c r="I559" i="10"/>
  <c r="I560" i="10"/>
  <c r="I561" i="10"/>
  <c r="I562" i="10"/>
  <c r="I563" i="10"/>
  <c r="I564" i="10"/>
  <c r="I565" i="10"/>
  <c r="I566" i="10"/>
  <c r="I567" i="10"/>
  <c r="I568" i="10"/>
  <c r="I569" i="10"/>
  <c r="I570" i="10"/>
  <c r="I488" i="10"/>
  <c r="I647" i="10"/>
  <c r="I646" i="10"/>
  <c r="I645" i="10"/>
  <c r="BC3" i="42"/>
  <c r="BC4" i="42"/>
  <c r="BC5" i="42"/>
  <c r="BC6" i="42"/>
  <c r="BC7" i="42"/>
  <c r="BC8" i="42"/>
  <c r="BC2" i="42"/>
  <c r="AG3" i="43"/>
  <c r="AG4" i="43"/>
  <c r="AG5" i="43"/>
  <c r="AG6" i="43"/>
  <c r="AG7" i="43"/>
  <c r="AG8" i="43"/>
  <c r="AG9" i="43"/>
  <c r="AG2" i="43"/>
  <c r="F61" i="35"/>
  <c r="E61" i="35"/>
  <c r="F60" i="35"/>
  <c r="E60" i="35"/>
  <c r="F59" i="35"/>
  <c r="E59" i="35"/>
  <c r="F58" i="35"/>
  <c r="E58" i="35"/>
  <c r="F57" i="35"/>
  <c r="E57" i="35"/>
  <c r="F56" i="35"/>
  <c r="E56" i="35"/>
  <c r="F55" i="35"/>
  <c r="E55" i="35"/>
  <c r="F54" i="35"/>
  <c r="E54" i="35"/>
  <c r="F53" i="35"/>
  <c r="E53" i="35"/>
  <c r="F52" i="35"/>
  <c r="E52" i="35"/>
  <c r="F51" i="35"/>
  <c r="E51" i="35"/>
  <c r="F50" i="35"/>
  <c r="E50" i="35"/>
  <c r="F49" i="35"/>
  <c r="E49" i="35"/>
  <c r="F48" i="35"/>
  <c r="E48" i="35"/>
  <c r="F47" i="35"/>
  <c r="E47" i="35"/>
  <c r="F46" i="35"/>
  <c r="E46" i="35"/>
  <c r="F45" i="35"/>
  <c r="E45" i="35"/>
  <c r="F44" i="35"/>
  <c r="E44" i="35"/>
  <c r="F43" i="35"/>
  <c r="E43" i="35"/>
  <c r="F42" i="35"/>
  <c r="E42" i="35"/>
  <c r="F41" i="35"/>
  <c r="E41" i="35"/>
  <c r="F40" i="35"/>
  <c r="E40" i="35"/>
  <c r="F39" i="35"/>
  <c r="E39" i="35"/>
  <c r="F38" i="35"/>
  <c r="E38" i="35"/>
  <c r="F37" i="35"/>
  <c r="E37" i="35"/>
  <c r="F36" i="35"/>
  <c r="E36" i="35"/>
  <c r="F35" i="35"/>
  <c r="E35" i="35"/>
  <c r="F34" i="35"/>
  <c r="E34" i="35"/>
  <c r="F33" i="35"/>
  <c r="E33" i="35"/>
  <c r="F32" i="35"/>
  <c r="E32" i="35"/>
  <c r="F31" i="35"/>
  <c r="E31" i="35"/>
  <c r="F30" i="35"/>
  <c r="E30" i="35"/>
  <c r="F29" i="35"/>
  <c r="E29" i="35"/>
  <c r="F28" i="35"/>
  <c r="E28" i="35"/>
  <c r="F27" i="35"/>
  <c r="E27" i="35"/>
  <c r="F26" i="35"/>
  <c r="E26" i="35"/>
  <c r="F25" i="35"/>
  <c r="E25" i="35"/>
  <c r="F24" i="35"/>
  <c r="E24" i="35"/>
  <c r="F23" i="35"/>
  <c r="E23" i="35"/>
  <c r="F22" i="35"/>
  <c r="E22" i="35"/>
  <c r="F21" i="35"/>
  <c r="E21" i="35"/>
  <c r="F20" i="35"/>
  <c r="E20" i="35"/>
  <c r="F19" i="35"/>
  <c r="E19" i="35"/>
  <c r="F18" i="35"/>
  <c r="E18" i="35"/>
  <c r="F17" i="35"/>
  <c r="E17" i="35"/>
  <c r="F16" i="35"/>
  <c r="E16" i="35"/>
  <c r="F15" i="35"/>
  <c r="E15" i="35"/>
  <c r="F14" i="35"/>
  <c r="E14" i="35"/>
  <c r="F13" i="35"/>
  <c r="E13" i="35"/>
  <c r="F12" i="35"/>
  <c r="E12" i="35"/>
  <c r="F11" i="35"/>
  <c r="E11" i="35"/>
  <c r="F10" i="35"/>
  <c r="E10" i="35"/>
  <c r="F9" i="35"/>
  <c r="E9" i="35"/>
  <c r="F8" i="35"/>
  <c r="E8" i="35"/>
  <c r="F7" i="35"/>
  <c r="E7" i="35"/>
  <c r="F6" i="35"/>
  <c r="E6" i="35"/>
  <c r="F5" i="35"/>
  <c r="E5" i="35"/>
  <c r="F4" i="35"/>
  <c r="E4" i="35"/>
  <c r="F3" i="35"/>
  <c r="E3" i="35"/>
  <c r="F2" i="35"/>
  <c r="E2" i="35"/>
  <c r="J4" i="11"/>
  <c r="I4" i="11"/>
  <c r="H4" i="11"/>
  <c r="G4" i="11"/>
  <c r="F4" i="11"/>
  <c r="E4" i="11"/>
  <c r="W662" i="39" a="1"/>
  <c r="W662" i="39" s="1"/>
  <c r="V662" i="39"/>
  <c r="W661" i="39" a="1"/>
  <c r="W661" i="39" s="1"/>
  <c r="V661" i="39"/>
  <c r="W660" i="39" a="1"/>
  <c r="W660" i="39" s="1"/>
  <c r="V660" i="39"/>
  <c r="W659" i="39" a="1"/>
  <c r="W659" i="39" s="1"/>
  <c r="V659" i="39"/>
  <c r="W658" i="39" a="1"/>
  <c r="W658" i="39" s="1"/>
  <c r="V658" i="39"/>
  <c r="W657" i="39" a="1"/>
  <c r="W657" i="39" s="1"/>
  <c r="V657" i="39"/>
  <c r="W656" i="39" a="1"/>
  <c r="W656" i="39" s="1"/>
  <c r="V656" i="39"/>
  <c r="W655" i="39" a="1"/>
  <c r="W655" i="39" s="1"/>
  <c r="V655" i="39"/>
  <c r="W654" i="39" a="1"/>
  <c r="W654" i="39" s="1"/>
  <c r="V654" i="39"/>
  <c r="W653" i="39" a="1"/>
  <c r="W653" i="39" s="1"/>
  <c r="V653" i="39"/>
  <c r="W652" i="39" a="1"/>
  <c r="W652" i="39" s="1"/>
  <c r="V652" i="39"/>
  <c r="W651" i="39" a="1"/>
  <c r="W651" i="39" s="1"/>
  <c r="V651" i="39"/>
  <c r="W650" i="39" a="1"/>
  <c r="W650" i="39" s="1"/>
  <c r="V650" i="39"/>
  <c r="W649" i="39" a="1"/>
  <c r="W649" i="39" s="1"/>
  <c r="V649" i="39"/>
  <c r="W648" i="39" a="1"/>
  <c r="W648" i="39" s="1"/>
  <c r="V648" i="39"/>
  <c r="W647" i="39" a="1"/>
  <c r="W647" i="39" s="1"/>
  <c r="V647" i="39"/>
  <c r="W646" i="39" a="1"/>
  <c r="W646" i="39" s="1"/>
  <c r="V646" i="39"/>
  <c r="W645" i="39" a="1"/>
  <c r="W645" i="39" s="1"/>
  <c r="V645" i="39"/>
  <c r="W644" i="39" a="1"/>
  <c r="W644" i="39" s="1"/>
  <c r="V644" i="39"/>
  <c r="W643" i="39" a="1"/>
  <c r="W643" i="39" s="1"/>
  <c r="V643" i="39"/>
  <c r="W642" i="39" a="1"/>
  <c r="W642" i="39" s="1"/>
  <c r="V642" i="39"/>
  <c r="W641" i="39" a="1"/>
  <c r="W641" i="39" s="1"/>
  <c r="V641" i="39"/>
  <c r="W640" i="39" a="1"/>
  <c r="W640" i="39" s="1"/>
  <c r="V640" i="39"/>
  <c r="W639" i="39" a="1"/>
  <c r="W639" i="39" s="1"/>
  <c r="V639" i="39"/>
  <c r="W638" i="39" a="1"/>
  <c r="W638" i="39" s="1"/>
  <c r="V638" i="39"/>
  <c r="W637" i="39" a="1"/>
  <c r="W637" i="39" s="1"/>
  <c r="V637" i="39"/>
  <c r="W636" i="39" a="1"/>
  <c r="W636" i="39" s="1"/>
  <c r="V636" i="39"/>
  <c r="W635" i="39" a="1"/>
  <c r="W635" i="39" s="1"/>
  <c r="V635" i="39"/>
  <c r="W634" i="39" a="1"/>
  <c r="W634" i="39" s="1"/>
  <c r="V634" i="39"/>
  <c r="W633" i="39" a="1"/>
  <c r="W633" i="39" s="1"/>
  <c r="V633" i="39"/>
  <c r="W632" i="39" a="1"/>
  <c r="W632" i="39" s="1"/>
  <c r="V632" i="39"/>
  <c r="W631" i="39" a="1"/>
  <c r="W631" i="39" s="1"/>
  <c r="V631" i="39"/>
  <c r="W630" i="39" a="1"/>
  <c r="W630" i="39" s="1"/>
  <c r="V630" i="39"/>
  <c r="W629" i="39" a="1"/>
  <c r="W629" i="39" s="1"/>
  <c r="V629" i="39"/>
  <c r="W628" i="39" a="1"/>
  <c r="W628" i="39" s="1"/>
  <c r="V628" i="39"/>
  <c r="W627" i="39" a="1"/>
  <c r="W627" i="39" s="1"/>
  <c r="V627" i="39"/>
  <c r="W626" i="39" a="1"/>
  <c r="W626" i="39" s="1"/>
  <c r="V626" i="39"/>
  <c r="W625" i="39" a="1"/>
  <c r="W625" i="39" s="1"/>
  <c r="V625" i="39"/>
  <c r="W624" i="39" a="1"/>
  <c r="W624" i="39" s="1"/>
  <c r="V624" i="39"/>
  <c r="W623" i="39" a="1"/>
  <c r="W623" i="39" s="1"/>
  <c r="V623" i="39"/>
  <c r="W622" i="39" a="1"/>
  <c r="W622" i="39" s="1"/>
  <c r="V622" i="39"/>
  <c r="W621" i="39" a="1"/>
  <c r="W621" i="39" s="1"/>
  <c r="V621" i="39"/>
  <c r="W620" i="39" a="1"/>
  <c r="W620" i="39" s="1"/>
  <c r="V620" i="39"/>
  <c r="W619" i="39" a="1"/>
  <c r="W619" i="39" s="1"/>
  <c r="V619" i="39"/>
  <c r="W618" i="39" a="1"/>
  <c r="W618" i="39" s="1"/>
  <c r="V618" i="39"/>
  <c r="W617" i="39" a="1"/>
  <c r="W617" i="39" s="1"/>
  <c r="V617" i="39"/>
  <c r="W616" i="39" a="1"/>
  <c r="W616" i="39" s="1"/>
  <c r="V616" i="39"/>
  <c r="W615" i="39" a="1"/>
  <c r="W615" i="39" s="1"/>
  <c r="V615" i="39"/>
  <c r="W614" i="39" a="1"/>
  <c r="W614" i="39" s="1"/>
  <c r="V614" i="39"/>
  <c r="W613" i="39" a="1"/>
  <c r="W613" i="39" s="1"/>
  <c r="V613" i="39"/>
  <c r="W612" i="39" a="1"/>
  <c r="W612" i="39" s="1"/>
  <c r="V612" i="39"/>
  <c r="W611" i="39" a="1"/>
  <c r="W611" i="39" s="1"/>
  <c r="V611" i="39"/>
  <c r="W610" i="39" a="1"/>
  <c r="W610" i="39" s="1"/>
  <c r="V610" i="39"/>
  <c r="W609" i="39" a="1"/>
  <c r="W609" i="39" s="1"/>
  <c r="V609" i="39"/>
  <c r="W608" i="39" a="1"/>
  <c r="W608" i="39" s="1"/>
  <c r="V608" i="39"/>
  <c r="W607" i="39" a="1"/>
  <c r="W607" i="39" s="1"/>
  <c r="V607" i="39"/>
  <c r="W606" i="39" a="1"/>
  <c r="W606" i="39" s="1"/>
  <c r="V606" i="39"/>
  <c r="W605" i="39" a="1"/>
  <c r="W605" i="39" s="1"/>
  <c r="V605" i="39"/>
  <c r="W604" i="39" a="1"/>
  <c r="W604" i="39" s="1"/>
  <c r="V604" i="39"/>
  <c r="W603" i="39" a="1"/>
  <c r="W603" i="39" s="1"/>
  <c r="V603" i="39"/>
  <c r="W602" i="39" a="1"/>
  <c r="W602" i="39" s="1"/>
  <c r="V602" i="39"/>
  <c r="W601" i="39" a="1"/>
  <c r="W601" i="39" s="1"/>
  <c r="V601" i="39"/>
  <c r="W600" i="39" a="1"/>
  <c r="W600" i="39" s="1"/>
  <c r="V600" i="39"/>
  <c r="W599" i="39" a="1"/>
  <c r="W599" i="39" s="1"/>
  <c r="V599" i="39"/>
  <c r="W598" i="39" a="1"/>
  <c r="W598" i="39" s="1"/>
  <c r="V598" i="39"/>
  <c r="W597" i="39" a="1"/>
  <c r="W597" i="39" s="1"/>
  <c r="V597" i="39"/>
  <c r="W596" i="39" a="1"/>
  <c r="W596" i="39" s="1"/>
  <c r="V596" i="39"/>
  <c r="W595" i="39" a="1"/>
  <c r="W595" i="39" s="1"/>
  <c r="V595" i="39"/>
  <c r="W594" i="39" a="1"/>
  <c r="W594" i="39" s="1"/>
  <c r="V594" i="39"/>
  <c r="W593" i="39" a="1"/>
  <c r="W593" i="39" s="1"/>
  <c r="V593" i="39"/>
  <c r="W592" i="39" a="1"/>
  <c r="W592" i="39" s="1"/>
  <c r="V592" i="39"/>
  <c r="W591" i="39" a="1"/>
  <c r="W591" i="39" s="1"/>
  <c r="V591" i="39"/>
  <c r="W590" i="39" a="1"/>
  <c r="W590" i="39" s="1"/>
  <c r="V590" i="39"/>
  <c r="W589" i="39" a="1"/>
  <c r="W589" i="39" s="1"/>
  <c r="V589" i="39"/>
  <c r="W588" i="39" a="1"/>
  <c r="W588" i="39" s="1"/>
  <c r="V588" i="39"/>
  <c r="W587" i="39" a="1"/>
  <c r="W587" i="39" s="1"/>
  <c r="V587" i="39"/>
  <c r="W586" i="39" a="1"/>
  <c r="W586" i="39" s="1"/>
  <c r="V586" i="39"/>
  <c r="W585" i="39" a="1"/>
  <c r="W585" i="39" s="1"/>
  <c r="V585" i="39"/>
  <c r="W584" i="39" a="1"/>
  <c r="W584" i="39" s="1"/>
  <c r="V584" i="39"/>
  <c r="W583" i="39" a="1"/>
  <c r="W583" i="39" s="1"/>
  <c r="V583" i="39"/>
  <c r="W582" i="39" a="1"/>
  <c r="W582" i="39" s="1"/>
  <c r="V582" i="39"/>
  <c r="W581" i="39" a="1"/>
  <c r="W581" i="39" s="1"/>
  <c r="V581" i="39"/>
  <c r="W580" i="39" a="1"/>
  <c r="W580" i="39" s="1"/>
  <c r="V580" i="39"/>
  <c r="W579" i="39" a="1"/>
  <c r="W579" i="39" s="1"/>
  <c r="V579" i="39"/>
  <c r="W578" i="39" a="1"/>
  <c r="W578" i="39" s="1"/>
  <c r="V578" i="39"/>
  <c r="W577" i="39" a="1"/>
  <c r="W577" i="39" s="1"/>
  <c r="V577" i="39"/>
  <c r="W576" i="39" a="1"/>
  <c r="W576" i="39" s="1"/>
  <c r="V576" i="39"/>
  <c r="W575" i="39" a="1"/>
  <c r="W575" i="39" s="1"/>
  <c r="V575" i="39"/>
  <c r="W574" i="39" a="1"/>
  <c r="W574" i="39" s="1"/>
  <c r="V574" i="39"/>
  <c r="W573" i="39" a="1"/>
  <c r="W573" i="39" s="1"/>
  <c r="V573" i="39"/>
  <c r="W572" i="39" a="1"/>
  <c r="W572" i="39" s="1"/>
  <c r="V572" i="39"/>
  <c r="W571" i="39" a="1"/>
  <c r="W571" i="39" s="1"/>
  <c r="V571" i="39"/>
  <c r="W570" i="39" a="1"/>
  <c r="W570" i="39" s="1"/>
  <c r="V570" i="39"/>
  <c r="W569" i="39" a="1"/>
  <c r="W569" i="39" s="1"/>
  <c r="V569" i="39"/>
  <c r="W568" i="39" a="1"/>
  <c r="W568" i="39" s="1"/>
  <c r="V568" i="39"/>
  <c r="W567" i="39" a="1"/>
  <c r="W567" i="39" s="1"/>
  <c r="V567" i="39"/>
  <c r="W566" i="39" a="1"/>
  <c r="W566" i="39" s="1"/>
  <c r="V566" i="39"/>
  <c r="W565" i="39" a="1"/>
  <c r="W565" i="39" s="1"/>
  <c r="V565" i="39"/>
  <c r="W564" i="39" a="1"/>
  <c r="W564" i="39" s="1"/>
  <c r="V564" i="39"/>
  <c r="W563" i="39" a="1"/>
  <c r="W563" i="39" s="1"/>
  <c r="V563" i="39"/>
  <c r="W562" i="39" a="1"/>
  <c r="W562" i="39" s="1"/>
  <c r="V562" i="39"/>
  <c r="W561" i="39" a="1"/>
  <c r="W561" i="39" s="1"/>
  <c r="V561" i="39"/>
  <c r="W560" i="39" a="1"/>
  <c r="W560" i="39" s="1"/>
  <c r="V560" i="39"/>
  <c r="W559" i="39" a="1"/>
  <c r="W559" i="39" s="1"/>
  <c r="V559" i="39"/>
  <c r="W558" i="39" a="1"/>
  <c r="W558" i="39" s="1"/>
  <c r="V558" i="39"/>
  <c r="W557" i="39" a="1"/>
  <c r="W557" i="39" s="1"/>
  <c r="V557" i="39"/>
  <c r="W556" i="39" a="1"/>
  <c r="W556" i="39" s="1"/>
  <c r="V556" i="39"/>
  <c r="W555" i="39" a="1"/>
  <c r="W555" i="39" s="1"/>
  <c r="V555" i="39"/>
  <c r="W554" i="39" a="1"/>
  <c r="W554" i="39" s="1"/>
  <c r="V554" i="39"/>
  <c r="W553" i="39" a="1"/>
  <c r="W553" i="39" s="1"/>
  <c r="V553" i="39"/>
  <c r="W552" i="39" a="1"/>
  <c r="W552" i="39" s="1"/>
  <c r="V552" i="39"/>
  <c r="W551" i="39" a="1"/>
  <c r="W551" i="39" s="1"/>
  <c r="V551" i="39"/>
  <c r="W550" i="39" a="1"/>
  <c r="W550" i="39" s="1"/>
  <c r="V550" i="39"/>
  <c r="W549" i="39" a="1"/>
  <c r="W549" i="39" s="1"/>
  <c r="V549" i="39"/>
  <c r="W548" i="39" a="1"/>
  <c r="W548" i="39" s="1"/>
  <c r="V548" i="39"/>
  <c r="W547" i="39" a="1"/>
  <c r="W547" i="39" s="1"/>
  <c r="V547" i="39"/>
  <c r="W546" i="39" a="1"/>
  <c r="W546" i="39" s="1"/>
  <c r="V546" i="39"/>
  <c r="W545" i="39" a="1"/>
  <c r="W545" i="39" s="1"/>
  <c r="V545" i="39"/>
  <c r="W544" i="39" a="1"/>
  <c r="W544" i="39" s="1"/>
  <c r="V544" i="39"/>
  <c r="W543" i="39" a="1"/>
  <c r="W543" i="39" s="1"/>
  <c r="V543" i="39"/>
  <c r="W542" i="39" a="1"/>
  <c r="W542" i="39" s="1"/>
  <c r="V542" i="39"/>
  <c r="W541" i="39" a="1"/>
  <c r="W541" i="39" s="1"/>
  <c r="V541" i="39"/>
  <c r="W540" i="39" a="1"/>
  <c r="W540" i="39" s="1"/>
  <c r="V540" i="39"/>
  <c r="W539" i="39" a="1"/>
  <c r="W539" i="39" s="1"/>
  <c r="V539" i="39"/>
  <c r="W538" i="39" a="1"/>
  <c r="W538" i="39" s="1"/>
  <c r="V538" i="39"/>
  <c r="W537" i="39" a="1"/>
  <c r="W537" i="39" s="1"/>
  <c r="V537" i="39"/>
  <c r="W536" i="39" a="1"/>
  <c r="W536" i="39" s="1"/>
  <c r="V536" i="39"/>
  <c r="W535" i="39" a="1"/>
  <c r="W535" i="39" s="1"/>
  <c r="V535" i="39"/>
  <c r="W534" i="39" a="1"/>
  <c r="W534" i="39" s="1"/>
  <c r="V534" i="39"/>
  <c r="W533" i="39" a="1"/>
  <c r="W533" i="39" s="1"/>
  <c r="V533" i="39"/>
  <c r="W532" i="39" a="1"/>
  <c r="W532" i="39" s="1"/>
  <c r="V532" i="39"/>
  <c r="W531" i="39" a="1"/>
  <c r="W531" i="39" s="1"/>
  <c r="V531" i="39"/>
  <c r="W530" i="39" a="1"/>
  <c r="W530" i="39" s="1"/>
  <c r="V530" i="39"/>
  <c r="W529" i="39" a="1"/>
  <c r="W529" i="39" s="1"/>
  <c r="V529" i="39"/>
  <c r="W528" i="39" a="1"/>
  <c r="W528" i="39" s="1"/>
  <c r="V528" i="39"/>
  <c r="W527" i="39" a="1"/>
  <c r="W527" i="39" s="1"/>
  <c r="V527" i="39"/>
  <c r="W526" i="39" a="1"/>
  <c r="W526" i="39" s="1"/>
  <c r="V526" i="39"/>
  <c r="W525" i="39" a="1"/>
  <c r="W525" i="39" s="1"/>
  <c r="V525" i="39"/>
  <c r="W524" i="39" a="1"/>
  <c r="W524" i="39" s="1"/>
  <c r="V524" i="39"/>
  <c r="W523" i="39" a="1"/>
  <c r="W523" i="39" s="1"/>
  <c r="V523" i="39"/>
  <c r="W522" i="39" a="1"/>
  <c r="W522" i="39" s="1"/>
  <c r="V522" i="39"/>
  <c r="W521" i="39" a="1"/>
  <c r="W521" i="39" s="1"/>
  <c r="V521" i="39"/>
  <c r="W520" i="39" a="1"/>
  <c r="W520" i="39" s="1"/>
  <c r="V520" i="39"/>
  <c r="W519" i="39" a="1"/>
  <c r="W519" i="39" s="1"/>
  <c r="V519" i="39"/>
  <c r="W518" i="39" a="1"/>
  <c r="W518" i="39" s="1"/>
  <c r="V518" i="39"/>
  <c r="W517" i="39" a="1"/>
  <c r="W517" i="39" s="1"/>
  <c r="V517" i="39"/>
  <c r="W516" i="39" a="1"/>
  <c r="W516" i="39" s="1"/>
  <c r="V516" i="39"/>
  <c r="W515" i="39" a="1"/>
  <c r="W515" i="39" s="1"/>
  <c r="V515" i="39"/>
  <c r="W514" i="39" a="1"/>
  <c r="W514" i="39" s="1"/>
  <c r="V514" i="39"/>
  <c r="W513" i="39" a="1"/>
  <c r="W513" i="39" s="1"/>
  <c r="V513" i="39"/>
  <c r="W512" i="39" a="1"/>
  <c r="W512" i="39" s="1"/>
  <c r="V512" i="39"/>
  <c r="W511" i="39" a="1"/>
  <c r="W511" i="39" s="1"/>
  <c r="V511" i="39"/>
  <c r="W510" i="39" a="1"/>
  <c r="W510" i="39" s="1"/>
  <c r="V510" i="39"/>
  <c r="W509" i="39" a="1"/>
  <c r="W509" i="39" s="1"/>
  <c r="V509" i="39"/>
  <c r="W508" i="39" a="1"/>
  <c r="W508" i="39" s="1"/>
  <c r="V508" i="39"/>
  <c r="W507" i="39" a="1"/>
  <c r="W507" i="39" s="1"/>
  <c r="V507" i="39"/>
  <c r="W506" i="39" a="1"/>
  <c r="W506" i="39" s="1"/>
  <c r="V506" i="39"/>
  <c r="W505" i="39" a="1"/>
  <c r="W505" i="39" s="1"/>
  <c r="V505" i="39"/>
  <c r="W504" i="39" a="1"/>
  <c r="W504" i="39" s="1"/>
  <c r="V504" i="39"/>
  <c r="W503" i="39" a="1"/>
  <c r="W503" i="39" s="1"/>
  <c r="V503" i="39"/>
  <c r="W502" i="39" a="1"/>
  <c r="W502" i="39" s="1"/>
  <c r="V502" i="39"/>
  <c r="W501" i="39" a="1"/>
  <c r="W501" i="39" s="1"/>
  <c r="V501" i="39"/>
  <c r="W500" i="39" a="1"/>
  <c r="W500" i="39" s="1"/>
  <c r="V500" i="39"/>
  <c r="W499" i="39" a="1"/>
  <c r="W499" i="39" s="1"/>
  <c r="V499" i="39"/>
  <c r="W498" i="39" a="1"/>
  <c r="W498" i="39" s="1"/>
  <c r="V498" i="39"/>
  <c r="W497" i="39" a="1"/>
  <c r="W497" i="39" s="1"/>
  <c r="V497" i="39"/>
  <c r="W496" i="39" a="1"/>
  <c r="W496" i="39" s="1"/>
  <c r="V496" i="39"/>
  <c r="W495" i="39" a="1"/>
  <c r="W495" i="39" s="1"/>
  <c r="V495" i="39"/>
  <c r="W494" i="39" a="1"/>
  <c r="W494" i="39" s="1"/>
  <c r="V494" i="39"/>
  <c r="W493" i="39" a="1"/>
  <c r="W493" i="39" s="1"/>
  <c r="V493" i="39"/>
  <c r="W492" i="39" a="1"/>
  <c r="W492" i="39" s="1"/>
  <c r="V492" i="39"/>
  <c r="W491" i="39" a="1"/>
  <c r="W491" i="39" s="1"/>
  <c r="V491" i="39"/>
  <c r="W490" i="39" a="1"/>
  <c r="W490" i="39" s="1"/>
  <c r="V490" i="39"/>
  <c r="W489" i="39" a="1"/>
  <c r="W489" i="39" s="1"/>
  <c r="V489" i="39"/>
  <c r="W488" i="39" a="1"/>
  <c r="W488" i="39" s="1"/>
  <c r="V488" i="39"/>
  <c r="W487" i="39" a="1"/>
  <c r="W487" i="39" s="1"/>
  <c r="V487" i="39"/>
  <c r="W486" i="39" a="1"/>
  <c r="W486" i="39" s="1"/>
  <c r="V486" i="39"/>
  <c r="W485" i="39" a="1"/>
  <c r="W485" i="39" s="1"/>
  <c r="V485" i="39"/>
  <c r="W484" i="39" a="1"/>
  <c r="W484" i="39" s="1"/>
  <c r="V484" i="39"/>
  <c r="W483" i="39" a="1"/>
  <c r="W483" i="39" s="1"/>
  <c r="V483" i="39"/>
  <c r="W482" i="39" a="1"/>
  <c r="W482" i="39" s="1"/>
  <c r="V482" i="39"/>
  <c r="W481" i="39" a="1"/>
  <c r="W481" i="39" s="1"/>
  <c r="V481" i="39"/>
  <c r="W480" i="39" a="1"/>
  <c r="W480" i="39" s="1"/>
  <c r="V480" i="39"/>
  <c r="W479" i="39" a="1"/>
  <c r="W479" i="39" s="1"/>
  <c r="V479" i="39"/>
  <c r="W478" i="39" a="1"/>
  <c r="W478" i="39" s="1"/>
  <c r="V478" i="39"/>
  <c r="W477" i="39" a="1"/>
  <c r="W477" i="39" s="1"/>
  <c r="V477" i="39"/>
  <c r="W476" i="39" a="1"/>
  <c r="W476" i="39" s="1"/>
  <c r="V476" i="39"/>
  <c r="W475" i="39" a="1"/>
  <c r="W475" i="39" s="1"/>
  <c r="V475" i="39"/>
  <c r="W474" i="39" a="1"/>
  <c r="W474" i="39" s="1"/>
  <c r="V474" i="39"/>
  <c r="W473" i="39" a="1"/>
  <c r="W473" i="39" s="1"/>
  <c r="V473" i="39"/>
  <c r="W472" i="39" a="1"/>
  <c r="W472" i="39" s="1"/>
  <c r="V472" i="39"/>
  <c r="W471" i="39" a="1"/>
  <c r="W471" i="39" s="1"/>
  <c r="V471" i="39"/>
  <c r="W470" i="39" a="1"/>
  <c r="W470" i="39" s="1"/>
  <c r="V470" i="39"/>
  <c r="W469" i="39" a="1"/>
  <c r="W469" i="39" s="1"/>
  <c r="V469" i="39"/>
  <c r="W468" i="39" a="1"/>
  <c r="W468" i="39" s="1"/>
  <c r="V468" i="39"/>
  <c r="W467" i="39" a="1"/>
  <c r="W467" i="39" s="1"/>
  <c r="V467" i="39"/>
  <c r="W466" i="39" a="1"/>
  <c r="W466" i="39" s="1"/>
  <c r="V466" i="39"/>
  <c r="W465" i="39" a="1"/>
  <c r="W465" i="39" s="1"/>
  <c r="V465" i="39"/>
  <c r="W464" i="39" a="1"/>
  <c r="W464" i="39" s="1"/>
  <c r="V464" i="39"/>
  <c r="W463" i="39" a="1"/>
  <c r="W463" i="39" s="1"/>
  <c r="V463" i="39"/>
  <c r="W462" i="39" a="1"/>
  <c r="W462" i="39" s="1"/>
  <c r="V462" i="39"/>
  <c r="W461" i="39" a="1"/>
  <c r="W461" i="39" s="1"/>
  <c r="V461" i="39"/>
  <c r="W460" i="39" a="1"/>
  <c r="W460" i="39" s="1"/>
  <c r="V460" i="39"/>
  <c r="W459" i="39" a="1"/>
  <c r="W459" i="39" s="1"/>
  <c r="V459" i="39"/>
  <c r="W458" i="39" a="1"/>
  <c r="W458" i="39" s="1"/>
  <c r="V458" i="39"/>
  <c r="W457" i="39" a="1"/>
  <c r="W457" i="39" s="1"/>
  <c r="V457" i="39"/>
  <c r="W456" i="39" a="1"/>
  <c r="W456" i="39" s="1"/>
  <c r="V456" i="39"/>
  <c r="W455" i="39" a="1"/>
  <c r="W455" i="39" s="1"/>
  <c r="V455" i="39"/>
  <c r="W454" i="39" a="1"/>
  <c r="W454" i="39" s="1"/>
  <c r="V454" i="39"/>
  <c r="W453" i="39" a="1"/>
  <c r="W453" i="39" s="1"/>
  <c r="V453" i="39"/>
  <c r="W452" i="39" a="1"/>
  <c r="W452" i="39" s="1"/>
  <c r="V452" i="39"/>
  <c r="W451" i="39" a="1"/>
  <c r="W451" i="39" s="1"/>
  <c r="V451" i="39"/>
  <c r="W450" i="39" a="1"/>
  <c r="W450" i="39" s="1"/>
  <c r="V450" i="39"/>
  <c r="W449" i="39" a="1"/>
  <c r="W449" i="39" s="1"/>
  <c r="V449" i="39"/>
  <c r="W448" i="39" a="1"/>
  <c r="W448" i="39" s="1"/>
  <c r="V448" i="39"/>
  <c r="W447" i="39" a="1"/>
  <c r="W447" i="39" s="1"/>
  <c r="V447" i="39"/>
  <c r="W446" i="39" a="1"/>
  <c r="W446" i="39" s="1"/>
  <c r="V446" i="39"/>
  <c r="W445" i="39" a="1"/>
  <c r="W445" i="39" s="1"/>
  <c r="V445" i="39"/>
  <c r="W444" i="39" a="1"/>
  <c r="W444" i="39" s="1"/>
  <c r="V444" i="39"/>
  <c r="W443" i="39" a="1"/>
  <c r="W443" i="39" s="1"/>
  <c r="V443" i="39"/>
  <c r="W442" i="39" a="1"/>
  <c r="W442" i="39" s="1"/>
  <c r="V442" i="39"/>
  <c r="W441" i="39" a="1"/>
  <c r="W441" i="39" s="1"/>
  <c r="V441" i="39"/>
  <c r="W440" i="39" a="1"/>
  <c r="W440" i="39" s="1"/>
  <c r="V440" i="39"/>
  <c r="W439" i="39" a="1"/>
  <c r="W439" i="39" s="1"/>
  <c r="V439" i="39"/>
  <c r="W438" i="39" a="1"/>
  <c r="W438" i="39" s="1"/>
  <c r="V438" i="39"/>
  <c r="W437" i="39" a="1"/>
  <c r="W437" i="39" s="1"/>
  <c r="V437" i="39"/>
  <c r="W436" i="39" a="1"/>
  <c r="W436" i="39" s="1"/>
  <c r="V436" i="39"/>
  <c r="W435" i="39" a="1"/>
  <c r="W435" i="39" s="1"/>
  <c r="V435" i="39"/>
  <c r="W434" i="39" a="1"/>
  <c r="W434" i="39" s="1"/>
  <c r="V434" i="39"/>
  <c r="W433" i="39" a="1"/>
  <c r="W433" i="39" s="1"/>
  <c r="V433" i="39"/>
  <c r="W432" i="39" a="1"/>
  <c r="W432" i="39" s="1"/>
  <c r="V432" i="39"/>
  <c r="W431" i="39" a="1"/>
  <c r="W431" i="39" s="1"/>
  <c r="V431" i="39"/>
  <c r="W430" i="39" a="1"/>
  <c r="W430" i="39" s="1"/>
  <c r="V430" i="39"/>
  <c r="W429" i="39" a="1"/>
  <c r="W429" i="39" s="1"/>
  <c r="V429" i="39"/>
  <c r="W428" i="39" a="1"/>
  <c r="W428" i="39" s="1"/>
  <c r="V428" i="39"/>
  <c r="W427" i="39" a="1"/>
  <c r="W427" i="39" s="1"/>
  <c r="V427" i="39"/>
  <c r="W426" i="39" a="1"/>
  <c r="W426" i="39" s="1"/>
  <c r="V426" i="39"/>
  <c r="W425" i="39" a="1"/>
  <c r="W425" i="39" s="1"/>
  <c r="V425" i="39"/>
  <c r="W424" i="39" a="1"/>
  <c r="W424" i="39" s="1"/>
  <c r="V424" i="39"/>
  <c r="W423" i="39" a="1"/>
  <c r="W423" i="39" s="1"/>
  <c r="V423" i="39"/>
  <c r="W422" i="39" a="1"/>
  <c r="W422" i="39" s="1"/>
  <c r="V422" i="39"/>
  <c r="W421" i="39" a="1"/>
  <c r="W421" i="39" s="1"/>
  <c r="V421" i="39"/>
  <c r="W420" i="39" a="1"/>
  <c r="W420" i="39" s="1"/>
  <c r="V420" i="39"/>
  <c r="W419" i="39" a="1"/>
  <c r="W419" i="39" s="1"/>
  <c r="V419" i="39"/>
  <c r="W418" i="39" a="1"/>
  <c r="W418" i="39" s="1"/>
  <c r="V418" i="39"/>
  <c r="W417" i="39" a="1"/>
  <c r="W417" i="39" s="1"/>
  <c r="V417" i="39"/>
  <c r="W416" i="39" a="1"/>
  <c r="W416" i="39" s="1"/>
  <c r="V416" i="39"/>
  <c r="W415" i="39" a="1"/>
  <c r="W415" i="39" s="1"/>
  <c r="V415" i="39"/>
  <c r="W414" i="39" a="1"/>
  <c r="W414" i="39" s="1"/>
  <c r="V414" i="39"/>
  <c r="W413" i="39" a="1"/>
  <c r="W413" i="39" s="1"/>
  <c r="V413" i="39"/>
  <c r="W412" i="39" a="1"/>
  <c r="W412" i="39" s="1"/>
  <c r="V412" i="39"/>
  <c r="W411" i="39" a="1"/>
  <c r="W411" i="39" s="1"/>
  <c r="V411" i="39"/>
  <c r="W410" i="39" a="1"/>
  <c r="W410" i="39" s="1"/>
  <c r="V410" i="39"/>
  <c r="W409" i="39" a="1"/>
  <c r="W409" i="39" s="1"/>
  <c r="V409" i="39"/>
  <c r="W408" i="39" a="1"/>
  <c r="W408" i="39" s="1"/>
  <c r="V408" i="39"/>
  <c r="W407" i="39" a="1"/>
  <c r="W407" i="39" s="1"/>
  <c r="V407" i="39"/>
  <c r="W406" i="39" a="1"/>
  <c r="W406" i="39" s="1"/>
  <c r="V406" i="39"/>
  <c r="W405" i="39" a="1"/>
  <c r="W405" i="39" s="1"/>
  <c r="V405" i="39"/>
  <c r="W404" i="39" a="1"/>
  <c r="W404" i="39" s="1"/>
  <c r="V404" i="39"/>
  <c r="W403" i="39" a="1"/>
  <c r="W403" i="39" s="1"/>
  <c r="V403" i="39"/>
  <c r="W402" i="39" a="1"/>
  <c r="W402" i="39" s="1"/>
  <c r="V402" i="39"/>
  <c r="W401" i="39" a="1"/>
  <c r="W401" i="39" s="1"/>
  <c r="V401" i="39"/>
  <c r="W400" i="39" a="1"/>
  <c r="W400" i="39" s="1"/>
  <c r="V400" i="39"/>
  <c r="W399" i="39" a="1"/>
  <c r="W399" i="39" s="1"/>
  <c r="V399" i="39"/>
  <c r="W398" i="39" a="1"/>
  <c r="W398" i="39" s="1"/>
  <c r="V398" i="39"/>
  <c r="W397" i="39" a="1"/>
  <c r="W397" i="39" s="1"/>
  <c r="V397" i="39"/>
  <c r="W396" i="39" a="1"/>
  <c r="W396" i="39" s="1"/>
  <c r="V396" i="39"/>
  <c r="W395" i="39" a="1"/>
  <c r="W395" i="39" s="1"/>
  <c r="V395" i="39"/>
  <c r="W394" i="39" a="1"/>
  <c r="W394" i="39" s="1"/>
  <c r="V394" i="39"/>
  <c r="W393" i="39" a="1"/>
  <c r="W393" i="39" s="1"/>
  <c r="V393" i="39"/>
  <c r="W392" i="39" a="1"/>
  <c r="W392" i="39" s="1"/>
  <c r="V392" i="39"/>
  <c r="W391" i="39" a="1"/>
  <c r="W391" i="39" s="1"/>
  <c r="V391" i="39"/>
  <c r="W390" i="39" a="1"/>
  <c r="W390" i="39" s="1"/>
  <c r="V390" i="39"/>
  <c r="W389" i="39" a="1"/>
  <c r="W389" i="39" s="1"/>
  <c r="V389" i="39"/>
  <c r="W388" i="39" a="1"/>
  <c r="W388" i="39" s="1"/>
  <c r="V388" i="39"/>
  <c r="W387" i="39" a="1"/>
  <c r="W387" i="39" s="1"/>
  <c r="V387" i="39"/>
  <c r="W386" i="39" a="1"/>
  <c r="W386" i="39" s="1"/>
  <c r="V386" i="39"/>
  <c r="W385" i="39" a="1"/>
  <c r="W385" i="39" s="1"/>
  <c r="V385" i="39"/>
  <c r="W384" i="39" a="1"/>
  <c r="W384" i="39" s="1"/>
  <c r="V384" i="39"/>
  <c r="W383" i="39" a="1"/>
  <c r="W383" i="39" s="1"/>
  <c r="V383" i="39"/>
  <c r="W382" i="39" a="1"/>
  <c r="W382" i="39" s="1"/>
  <c r="V382" i="39"/>
  <c r="W381" i="39" a="1"/>
  <c r="W381" i="39" s="1"/>
  <c r="V381" i="39"/>
  <c r="W380" i="39" a="1"/>
  <c r="W380" i="39" s="1"/>
  <c r="V380" i="39"/>
  <c r="W379" i="39" a="1"/>
  <c r="W379" i="39" s="1"/>
  <c r="V379" i="39"/>
  <c r="W378" i="39" a="1"/>
  <c r="W378" i="39" s="1"/>
  <c r="V378" i="39"/>
  <c r="W377" i="39" a="1"/>
  <c r="W377" i="39" s="1"/>
  <c r="V377" i="39"/>
  <c r="W376" i="39" a="1"/>
  <c r="W376" i="39" s="1"/>
  <c r="V376" i="39"/>
  <c r="W375" i="39" a="1"/>
  <c r="W375" i="39" s="1"/>
  <c r="V375" i="39"/>
  <c r="W374" i="39" a="1"/>
  <c r="W374" i="39" s="1"/>
  <c r="V374" i="39"/>
  <c r="W373" i="39" a="1"/>
  <c r="W373" i="39" s="1"/>
  <c r="V373" i="39"/>
  <c r="W372" i="39" a="1"/>
  <c r="W372" i="39" s="1"/>
  <c r="V372" i="39"/>
  <c r="W371" i="39" a="1"/>
  <c r="W371" i="39" s="1"/>
  <c r="V371" i="39"/>
  <c r="W370" i="39" a="1"/>
  <c r="W370" i="39" s="1"/>
  <c r="V370" i="39"/>
  <c r="W369" i="39" a="1"/>
  <c r="W369" i="39" s="1"/>
  <c r="V369" i="39"/>
  <c r="W368" i="39" a="1"/>
  <c r="W368" i="39" s="1"/>
  <c r="V368" i="39"/>
  <c r="W367" i="39" a="1"/>
  <c r="W367" i="39" s="1"/>
  <c r="V367" i="39"/>
  <c r="W366" i="39" a="1"/>
  <c r="W366" i="39" s="1"/>
  <c r="V366" i="39"/>
  <c r="W365" i="39" a="1"/>
  <c r="W365" i="39" s="1"/>
  <c r="V365" i="39"/>
  <c r="W364" i="39" a="1"/>
  <c r="W364" i="39" s="1"/>
  <c r="V364" i="39"/>
  <c r="W363" i="39" a="1"/>
  <c r="W363" i="39" s="1"/>
  <c r="V363" i="39"/>
  <c r="W362" i="39" a="1"/>
  <c r="W362" i="39" s="1"/>
  <c r="V362" i="39"/>
  <c r="W361" i="39" a="1"/>
  <c r="W361" i="39" s="1"/>
  <c r="V361" i="39"/>
  <c r="W360" i="39" a="1"/>
  <c r="W360" i="39" s="1"/>
  <c r="V360" i="39"/>
  <c r="W359" i="39" a="1"/>
  <c r="W359" i="39" s="1"/>
  <c r="V359" i="39"/>
  <c r="W358" i="39" a="1"/>
  <c r="W358" i="39" s="1"/>
  <c r="V358" i="39"/>
  <c r="W357" i="39" a="1"/>
  <c r="W357" i="39" s="1"/>
  <c r="V357" i="39"/>
  <c r="W356" i="39" a="1"/>
  <c r="W356" i="39" s="1"/>
  <c r="V356" i="39"/>
  <c r="W355" i="39" a="1"/>
  <c r="W355" i="39" s="1"/>
  <c r="V355" i="39"/>
  <c r="W354" i="39" a="1"/>
  <c r="W354" i="39" s="1"/>
  <c r="V354" i="39"/>
  <c r="W353" i="39" a="1"/>
  <c r="W353" i="39" s="1"/>
  <c r="V353" i="39"/>
  <c r="W352" i="39" a="1"/>
  <c r="W352" i="39" s="1"/>
  <c r="V352" i="39"/>
  <c r="W351" i="39" a="1"/>
  <c r="W351" i="39" s="1"/>
  <c r="V351" i="39"/>
  <c r="W350" i="39" a="1"/>
  <c r="W350" i="39" s="1"/>
  <c r="V350" i="39"/>
  <c r="W349" i="39" a="1"/>
  <c r="W349" i="39" s="1"/>
  <c r="V349" i="39"/>
  <c r="W348" i="39" a="1"/>
  <c r="W348" i="39" s="1"/>
  <c r="V348" i="39"/>
  <c r="W347" i="39" a="1"/>
  <c r="W347" i="39" s="1"/>
  <c r="V347" i="39"/>
  <c r="W346" i="39" a="1"/>
  <c r="W346" i="39" s="1"/>
  <c r="V346" i="39"/>
  <c r="W345" i="39" a="1"/>
  <c r="W345" i="39" s="1"/>
  <c r="V345" i="39"/>
  <c r="W344" i="39" a="1"/>
  <c r="W344" i="39" s="1"/>
  <c r="V344" i="39"/>
  <c r="W343" i="39" a="1"/>
  <c r="W343" i="39" s="1"/>
  <c r="V343" i="39"/>
  <c r="W342" i="39" a="1"/>
  <c r="W342" i="39" s="1"/>
  <c r="V342" i="39"/>
  <c r="W341" i="39" a="1"/>
  <c r="W341" i="39" s="1"/>
  <c r="V341" i="39"/>
  <c r="W340" i="39" a="1"/>
  <c r="W340" i="39" s="1"/>
  <c r="V340" i="39"/>
  <c r="W339" i="39" a="1"/>
  <c r="W339" i="39" s="1"/>
  <c r="V339" i="39"/>
  <c r="W338" i="39" a="1"/>
  <c r="W338" i="39" s="1"/>
  <c r="V338" i="39"/>
  <c r="W337" i="39" a="1"/>
  <c r="W337" i="39" s="1"/>
  <c r="V337" i="39"/>
  <c r="W336" i="39" a="1"/>
  <c r="W336" i="39" s="1"/>
  <c r="V336" i="39"/>
  <c r="W335" i="39" a="1"/>
  <c r="W335" i="39" s="1"/>
  <c r="V335" i="39"/>
  <c r="W334" i="39" a="1"/>
  <c r="W334" i="39" s="1"/>
  <c r="V334" i="39"/>
  <c r="W333" i="39" a="1"/>
  <c r="W333" i="39" s="1"/>
  <c r="V333" i="39"/>
  <c r="W332" i="39" a="1"/>
  <c r="W332" i="39" s="1"/>
  <c r="V332" i="39"/>
  <c r="W331" i="39" a="1"/>
  <c r="W331" i="39" s="1"/>
  <c r="V331" i="39"/>
  <c r="W330" i="39" a="1"/>
  <c r="W330" i="39" s="1"/>
  <c r="V330" i="39"/>
  <c r="W329" i="39" a="1"/>
  <c r="W329" i="39" s="1"/>
  <c r="V329" i="39"/>
  <c r="W328" i="39" a="1"/>
  <c r="W328" i="39" s="1"/>
  <c r="V328" i="39"/>
  <c r="W327" i="39" a="1"/>
  <c r="W327" i="39" s="1"/>
  <c r="V327" i="39"/>
  <c r="W326" i="39" a="1"/>
  <c r="W326" i="39" s="1"/>
  <c r="V326" i="39"/>
  <c r="W325" i="39" a="1"/>
  <c r="W325" i="39" s="1"/>
  <c r="V325" i="39"/>
  <c r="W324" i="39" a="1"/>
  <c r="W324" i="39" s="1"/>
  <c r="V324" i="39"/>
  <c r="W323" i="39" a="1"/>
  <c r="W323" i="39" s="1"/>
  <c r="V323" i="39"/>
  <c r="W322" i="39" a="1"/>
  <c r="W322" i="39" s="1"/>
  <c r="V322" i="39"/>
  <c r="W321" i="39" a="1"/>
  <c r="W321" i="39" s="1"/>
  <c r="V321" i="39"/>
  <c r="W320" i="39" a="1"/>
  <c r="W320" i="39" s="1"/>
  <c r="V320" i="39"/>
  <c r="W319" i="39" a="1"/>
  <c r="W319" i="39" s="1"/>
  <c r="V319" i="39"/>
  <c r="W318" i="39" a="1"/>
  <c r="W318" i="39" s="1"/>
  <c r="V318" i="39"/>
  <c r="W317" i="39" a="1"/>
  <c r="W317" i="39" s="1"/>
  <c r="V317" i="39"/>
  <c r="W316" i="39" a="1"/>
  <c r="W316" i="39" s="1"/>
  <c r="V316" i="39"/>
  <c r="W315" i="39" a="1"/>
  <c r="W315" i="39" s="1"/>
  <c r="V315" i="39"/>
  <c r="W314" i="39" a="1"/>
  <c r="W314" i="39" s="1"/>
  <c r="V314" i="39"/>
  <c r="W313" i="39" a="1"/>
  <c r="W313" i="39" s="1"/>
  <c r="V313" i="39"/>
  <c r="W312" i="39" a="1"/>
  <c r="W312" i="39" s="1"/>
  <c r="V312" i="39"/>
  <c r="W311" i="39" a="1"/>
  <c r="W311" i="39" s="1"/>
  <c r="V311" i="39"/>
  <c r="W310" i="39" a="1"/>
  <c r="W310" i="39" s="1"/>
  <c r="V310" i="39"/>
  <c r="W309" i="39" a="1"/>
  <c r="W309" i="39" s="1"/>
  <c r="V309" i="39"/>
  <c r="W308" i="39" a="1"/>
  <c r="W308" i="39" s="1"/>
  <c r="V308" i="39"/>
  <c r="W307" i="39" a="1"/>
  <c r="W307" i="39" s="1"/>
  <c r="V307" i="39"/>
  <c r="W306" i="39" a="1"/>
  <c r="W306" i="39" s="1"/>
  <c r="V306" i="39"/>
  <c r="W305" i="39" a="1"/>
  <c r="W305" i="39" s="1"/>
  <c r="V305" i="39"/>
  <c r="W304" i="39" a="1"/>
  <c r="W304" i="39" s="1"/>
  <c r="V304" i="39"/>
  <c r="W303" i="39" a="1"/>
  <c r="W303" i="39" s="1"/>
  <c r="V303" i="39"/>
  <c r="W302" i="39" a="1"/>
  <c r="W302" i="39" s="1"/>
  <c r="V302" i="39"/>
  <c r="W301" i="39" a="1"/>
  <c r="W301" i="39" s="1"/>
  <c r="V301" i="39"/>
  <c r="W300" i="39" a="1"/>
  <c r="W300" i="39" s="1"/>
  <c r="V300" i="39"/>
  <c r="W299" i="39" a="1"/>
  <c r="W299" i="39" s="1"/>
  <c r="V299" i="39"/>
  <c r="W298" i="39" a="1"/>
  <c r="W298" i="39" s="1"/>
  <c r="V298" i="39"/>
  <c r="W297" i="39" a="1"/>
  <c r="W297" i="39" s="1"/>
  <c r="V297" i="39"/>
  <c r="W296" i="39" a="1"/>
  <c r="W296" i="39" s="1"/>
  <c r="V296" i="39"/>
  <c r="W295" i="39" a="1"/>
  <c r="W295" i="39" s="1"/>
  <c r="V295" i="39"/>
  <c r="W294" i="39" a="1"/>
  <c r="W294" i="39" s="1"/>
  <c r="V294" i="39"/>
  <c r="W293" i="39" a="1"/>
  <c r="W293" i="39" s="1"/>
  <c r="V293" i="39"/>
  <c r="W292" i="39" a="1"/>
  <c r="W292" i="39" s="1"/>
  <c r="V292" i="39"/>
  <c r="W291" i="39" a="1"/>
  <c r="W291" i="39" s="1"/>
  <c r="V291" i="39"/>
  <c r="W290" i="39" a="1"/>
  <c r="W290" i="39" s="1"/>
  <c r="V290" i="39"/>
  <c r="W289" i="39" a="1"/>
  <c r="W289" i="39" s="1"/>
  <c r="V289" i="39"/>
  <c r="W288" i="39" a="1"/>
  <c r="W288" i="39" s="1"/>
  <c r="V288" i="39"/>
  <c r="W287" i="39" a="1"/>
  <c r="W287" i="39" s="1"/>
  <c r="V287" i="39"/>
  <c r="W286" i="39" a="1"/>
  <c r="W286" i="39" s="1"/>
  <c r="V286" i="39"/>
  <c r="W285" i="39" a="1"/>
  <c r="W285" i="39" s="1"/>
  <c r="V285" i="39"/>
  <c r="W284" i="39" a="1"/>
  <c r="W284" i="39" s="1"/>
  <c r="V284" i="39"/>
  <c r="W283" i="39" a="1"/>
  <c r="W283" i="39" s="1"/>
  <c r="V283" i="39"/>
  <c r="W282" i="39" a="1"/>
  <c r="W282" i="39" s="1"/>
  <c r="V282" i="39"/>
  <c r="W281" i="39" a="1"/>
  <c r="W281" i="39" s="1"/>
  <c r="V281" i="39"/>
  <c r="W280" i="39" a="1"/>
  <c r="W280" i="39" s="1"/>
  <c r="V280" i="39"/>
  <c r="W279" i="39" a="1"/>
  <c r="W279" i="39" s="1"/>
  <c r="V279" i="39"/>
  <c r="W278" i="39" a="1"/>
  <c r="W278" i="39" s="1"/>
  <c r="V278" i="39"/>
  <c r="W277" i="39" a="1"/>
  <c r="W277" i="39" s="1"/>
  <c r="V277" i="39"/>
  <c r="W276" i="39" a="1"/>
  <c r="W276" i="39" s="1"/>
  <c r="V276" i="39"/>
  <c r="W275" i="39" a="1"/>
  <c r="W275" i="39" s="1"/>
  <c r="V275" i="39"/>
  <c r="W274" i="39" a="1"/>
  <c r="W274" i="39" s="1"/>
  <c r="V274" i="39"/>
  <c r="W273" i="39" a="1"/>
  <c r="W273" i="39" s="1"/>
  <c r="V273" i="39"/>
  <c r="W272" i="39" a="1"/>
  <c r="W272" i="39" s="1"/>
  <c r="V272" i="39"/>
  <c r="W271" i="39" a="1"/>
  <c r="W271" i="39" s="1"/>
  <c r="V271" i="39"/>
  <c r="W270" i="39" a="1"/>
  <c r="W270" i="39" s="1"/>
  <c r="V270" i="39"/>
  <c r="W269" i="39" a="1"/>
  <c r="W269" i="39" s="1"/>
  <c r="V269" i="39"/>
  <c r="W268" i="39" a="1"/>
  <c r="W268" i="39" s="1"/>
  <c r="V268" i="39"/>
  <c r="W267" i="39" a="1"/>
  <c r="W267" i="39" s="1"/>
  <c r="V267" i="39"/>
  <c r="W266" i="39" a="1"/>
  <c r="W266" i="39" s="1"/>
  <c r="V266" i="39"/>
  <c r="W265" i="39" a="1"/>
  <c r="W265" i="39" s="1"/>
  <c r="V265" i="39"/>
  <c r="W264" i="39" a="1"/>
  <c r="W264" i="39" s="1"/>
  <c r="V264" i="39"/>
  <c r="W263" i="39" a="1"/>
  <c r="W263" i="39" s="1"/>
  <c r="V263" i="39"/>
  <c r="W262" i="39" a="1"/>
  <c r="W262" i="39" s="1"/>
  <c r="V262" i="39"/>
  <c r="W261" i="39" a="1"/>
  <c r="W261" i="39" s="1"/>
  <c r="V261" i="39"/>
  <c r="W260" i="39" a="1"/>
  <c r="W260" i="39" s="1"/>
  <c r="V260" i="39"/>
  <c r="W259" i="39" a="1"/>
  <c r="W259" i="39" s="1"/>
  <c r="V259" i="39"/>
  <c r="W258" i="39" a="1"/>
  <c r="W258" i="39" s="1"/>
  <c r="V258" i="39"/>
  <c r="W257" i="39" a="1"/>
  <c r="W257" i="39" s="1"/>
  <c r="V257" i="39"/>
  <c r="W256" i="39" a="1"/>
  <c r="W256" i="39" s="1"/>
  <c r="V256" i="39"/>
  <c r="W255" i="39" a="1"/>
  <c r="W255" i="39" s="1"/>
  <c r="V255" i="39"/>
  <c r="W254" i="39" a="1"/>
  <c r="W254" i="39" s="1"/>
  <c r="V254" i="39"/>
  <c r="W253" i="39" a="1"/>
  <c r="W253" i="39" s="1"/>
  <c r="V253" i="39"/>
  <c r="W252" i="39" a="1"/>
  <c r="W252" i="39" s="1"/>
  <c r="V252" i="39"/>
  <c r="W251" i="39" a="1"/>
  <c r="W251" i="39" s="1"/>
  <c r="V251" i="39"/>
  <c r="W250" i="39" a="1"/>
  <c r="W250" i="39" s="1"/>
  <c r="V250" i="39"/>
  <c r="W249" i="39" a="1"/>
  <c r="W249" i="39" s="1"/>
  <c r="V249" i="39"/>
  <c r="W248" i="39" a="1"/>
  <c r="W248" i="39" s="1"/>
  <c r="V248" i="39"/>
  <c r="W247" i="39" a="1"/>
  <c r="W247" i="39" s="1"/>
  <c r="V247" i="39"/>
  <c r="W246" i="39" a="1"/>
  <c r="W246" i="39" s="1"/>
  <c r="V246" i="39"/>
  <c r="W245" i="39" a="1"/>
  <c r="W245" i="39" s="1"/>
  <c r="V245" i="39"/>
  <c r="W244" i="39" a="1"/>
  <c r="W244" i="39" s="1"/>
  <c r="V244" i="39"/>
  <c r="W243" i="39" a="1"/>
  <c r="W243" i="39" s="1"/>
  <c r="V243" i="39"/>
  <c r="W242" i="39" a="1"/>
  <c r="W242" i="39" s="1"/>
  <c r="V242" i="39"/>
  <c r="W241" i="39" a="1"/>
  <c r="W241" i="39" s="1"/>
  <c r="V241" i="39"/>
  <c r="W240" i="39" a="1"/>
  <c r="W240" i="39" s="1"/>
  <c r="V240" i="39"/>
  <c r="W239" i="39" a="1"/>
  <c r="W239" i="39" s="1"/>
  <c r="V239" i="39"/>
  <c r="W238" i="39" a="1"/>
  <c r="W238" i="39" s="1"/>
  <c r="V238" i="39"/>
  <c r="W237" i="39" a="1"/>
  <c r="W237" i="39" s="1"/>
  <c r="V237" i="39"/>
  <c r="W236" i="39" a="1"/>
  <c r="W236" i="39" s="1"/>
  <c r="V236" i="39"/>
  <c r="W235" i="39" a="1"/>
  <c r="W235" i="39" s="1"/>
  <c r="V235" i="39"/>
  <c r="W234" i="39" a="1"/>
  <c r="W234" i="39" s="1"/>
  <c r="V234" i="39"/>
  <c r="W233" i="39" a="1"/>
  <c r="W233" i="39" s="1"/>
  <c r="V233" i="39"/>
  <c r="W232" i="39" a="1"/>
  <c r="W232" i="39" s="1"/>
  <c r="V232" i="39"/>
  <c r="W231" i="39" a="1"/>
  <c r="W231" i="39" s="1"/>
  <c r="V231" i="39"/>
  <c r="W230" i="39" a="1"/>
  <c r="W230" i="39" s="1"/>
  <c r="V230" i="39"/>
  <c r="W229" i="39" a="1"/>
  <c r="W229" i="39" s="1"/>
  <c r="V229" i="39"/>
  <c r="W228" i="39" a="1"/>
  <c r="W228" i="39" s="1"/>
  <c r="V228" i="39"/>
  <c r="W227" i="39" a="1"/>
  <c r="W227" i="39" s="1"/>
  <c r="V227" i="39"/>
  <c r="W226" i="39" a="1"/>
  <c r="W226" i="39" s="1"/>
  <c r="V226" i="39"/>
  <c r="W225" i="39" a="1"/>
  <c r="W225" i="39" s="1"/>
  <c r="V225" i="39"/>
  <c r="W224" i="39" a="1"/>
  <c r="W224" i="39" s="1"/>
  <c r="V224" i="39"/>
  <c r="W223" i="39" a="1"/>
  <c r="W223" i="39" s="1"/>
  <c r="V223" i="39"/>
  <c r="W222" i="39" a="1"/>
  <c r="W222" i="39" s="1"/>
  <c r="V222" i="39"/>
  <c r="W221" i="39" a="1"/>
  <c r="W221" i="39" s="1"/>
  <c r="V221" i="39"/>
  <c r="W220" i="39" a="1"/>
  <c r="W220" i="39" s="1"/>
  <c r="V220" i="39"/>
  <c r="W219" i="39" a="1"/>
  <c r="W219" i="39" s="1"/>
  <c r="V219" i="39"/>
  <c r="W218" i="39" a="1"/>
  <c r="W218" i="39" s="1"/>
  <c r="V218" i="39"/>
  <c r="W217" i="39" a="1"/>
  <c r="W217" i="39" s="1"/>
  <c r="V217" i="39"/>
  <c r="W216" i="39" a="1"/>
  <c r="W216" i="39" s="1"/>
  <c r="V216" i="39"/>
  <c r="W215" i="39" a="1"/>
  <c r="W215" i="39" s="1"/>
  <c r="V215" i="39"/>
  <c r="W214" i="39" a="1"/>
  <c r="W214" i="39" s="1"/>
  <c r="V214" i="39"/>
  <c r="W213" i="39" a="1"/>
  <c r="W213" i="39" s="1"/>
  <c r="V213" i="39"/>
  <c r="W212" i="39" a="1"/>
  <c r="W212" i="39" s="1"/>
  <c r="V212" i="39"/>
  <c r="W211" i="39" a="1"/>
  <c r="W211" i="39" s="1"/>
  <c r="V211" i="39"/>
  <c r="W210" i="39" a="1"/>
  <c r="W210" i="39" s="1"/>
  <c r="V210" i="39"/>
  <c r="W209" i="39" a="1"/>
  <c r="W209" i="39" s="1"/>
  <c r="V209" i="39"/>
  <c r="W208" i="39" a="1"/>
  <c r="W208" i="39" s="1"/>
  <c r="V208" i="39"/>
  <c r="W207" i="39" a="1"/>
  <c r="W207" i="39" s="1"/>
  <c r="V207" i="39"/>
  <c r="W206" i="39" a="1"/>
  <c r="W206" i="39" s="1"/>
  <c r="V206" i="39"/>
  <c r="W205" i="39" a="1"/>
  <c r="W205" i="39" s="1"/>
  <c r="V205" i="39"/>
  <c r="W204" i="39" a="1"/>
  <c r="W204" i="39" s="1"/>
  <c r="V204" i="39"/>
  <c r="W203" i="39" a="1"/>
  <c r="W203" i="39" s="1"/>
  <c r="V203" i="39"/>
  <c r="W202" i="39" a="1"/>
  <c r="W202" i="39" s="1"/>
  <c r="V202" i="39"/>
  <c r="W201" i="39" a="1"/>
  <c r="W201" i="39" s="1"/>
  <c r="V201" i="39"/>
  <c r="W200" i="39" a="1"/>
  <c r="W200" i="39" s="1"/>
  <c r="V200" i="39"/>
  <c r="W199" i="39" a="1"/>
  <c r="W199" i="39" s="1"/>
  <c r="V199" i="39"/>
  <c r="W198" i="39" a="1"/>
  <c r="W198" i="39" s="1"/>
  <c r="V198" i="39"/>
  <c r="W197" i="39" a="1"/>
  <c r="W197" i="39" s="1"/>
  <c r="V197" i="39"/>
  <c r="W196" i="39" a="1"/>
  <c r="W196" i="39" s="1"/>
  <c r="V196" i="39"/>
  <c r="W195" i="39" a="1"/>
  <c r="W195" i="39" s="1"/>
  <c r="V195" i="39"/>
  <c r="W194" i="39" a="1"/>
  <c r="W194" i="39" s="1"/>
  <c r="V194" i="39"/>
  <c r="W193" i="39" a="1"/>
  <c r="W193" i="39" s="1"/>
  <c r="V193" i="39"/>
  <c r="W192" i="39" a="1"/>
  <c r="W192" i="39" s="1"/>
  <c r="V192" i="39"/>
  <c r="W191" i="39" a="1"/>
  <c r="W191" i="39" s="1"/>
  <c r="V191" i="39"/>
  <c r="W190" i="39" a="1"/>
  <c r="W190" i="39" s="1"/>
  <c r="V190" i="39"/>
  <c r="W189" i="39" a="1"/>
  <c r="W189" i="39" s="1"/>
  <c r="V189" i="39"/>
  <c r="W188" i="39" a="1"/>
  <c r="W188" i="39" s="1"/>
  <c r="V188" i="39"/>
  <c r="W187" i="39" a="1"/>
  <c r="W187" i="39" s="1"/>
  <c r="V187" i="39"/>
  <c r="W186" i="39" a="1"/>
  <c r="W186" i="39" s="1"/>
  <c r="V186" i="39"/>
  <c r="W185" i="39" a="1"/>
  <c r="W185" i="39" s="1"/>
  <c r="V185" i="39"/>
  <c r="W184" i="39" a="1"/>
  <c r="W184" i="39" s="1"/>
  <c r="V184" i="39"/>
  <c r="W183" i="39" a="1"/>
  <c r="W183" i="39" s="1"/>
  <c r="V183" i="39"/>
  <c r="W182" i="39" a="1"/>
  <c r="W182" i="39" s="1"/>
  <c r="V182" i="39"/>
  <c r="W181" i="39" a="1"/>
  <c r="W181" i="39" s="1"/>
  <c r="V181" i="39"/>
  <c r="W180" i="39" a="1"/>
  <c r="W180" i="39" s="1"/>
  <c r="V180" i="39"/>
  <c r="W179" i="39" a="1"/>
  <c r="W179" i="39" s="1"/>
  <c r="V179" i="39"/>
  <c r="W178" i="39" a="1"/>
  <c r="W178" i="39" s="1"/>
  <c r="V178" i="39"/>
  <c r="W177" i="39" a="1"/>
  <c r="W177" i="39" s="1"/>
  <c r="V177" i="39"/>
  <c r="W176" i="39" a="1"/>
  <c r="W176" i="39" s="1"/>
  <c r="V176" i="39"/>
  <c r="W175" i="39" a="1"/>
  <c r="W175" i="39" s="1"/>
  <c r="V175" i="39"/>
  <c r="W174" i="39" a="1"/>
  <c r="W174" i="39" s="1"/>
  <c r="V174" i="39"/>
  <c r="W173" i="39" a="1"/>
  <c r="W173" i="39" s="1"/>
  <c r="V173" i="39"/>
  <c r="W172" i="39" a="1"/>
  <c r="W172" i="39" s="1"/>
  <c r="V172" i="39"/>
  <c r="W171" i="39" a="1"/>
  <c r="W171" i="39" s="1"/>
  <c r="V171" i="39"/>
  <c r="W170" i="39" a="1"/>
  <c r="W170" i="39" s="1"/>
  <c r="V170" i="39"/>
  <c r="W169" i="39" a="1"/>
  <c r="W169" i="39" s="1"/>
  <c r="V169" i="39"/>
  <c r="W168" i="39" a="1"/>
  <c r="W168" i="39" s="1"/>
  <c r="V168" i="39"/>
  <c r="W167" i="39" a="1"/>
  <c r="W167" i="39" s="1"/>
  <c r="V167" i="39"/>
  <c r="W166" i="39" a="1"/>
  <c r="W166" i="39" s="1"/>
  <c r="V166" i="39"/>
  <c r="W165" i="39" a="1"/>
  <c r="W165" i="39" s="1"/>
  <c r="V165" i="39"/>
  <c r="W164" i="39" a="1"/>
  <c r="W164" i="39" s="1"/>
  <c r="V164" i="39"/>
  <c r="W163" i="39" a="1"/>
  <c r="W163" i="39" s="1"/>
  <c r="V163" i="39"/>
  <c r="W162" i="39" a="1"/>
  <c r="W162" i="39" s="1"/>
  <c r="V162" i="39"/>
  <c r="W161" i="39" a="1"/>
  <c r="W161" i="39" s="1"/>
  <c r="V161" i="39"/>
  <c r="W160" i="39" a="1"/>
  <c r="W160" i="39" s="1"/>
  <c r="V160" i="39"/>
  <c r="W159" i="39" a="1"/>
  <c r="W159" i="39" s="1"/>
  <c r="V159" i="39"/>
  <c r="W158" i="39" a="1"/>
  <c r="W158" i="39" s="1"/>
  <c r="V158" i="39"/>
  <c r="W157" i="39" a="1"/>
  <c r="W157" i="39" s="1"/>
  <c r="V157" i="39"/>
  <c r="W156" i="39" a="1"/>
  <c r="W156" i="39" s="1"/>
  <c r="V156" i="39"/>
  <c r="W155" i="39" a="1"/>
  <c r="W155" i="39" s="1"/>
  <c r="V155" i="39"/>
  <c r="W154" i="39" a="1"/>
  <c r="W154" i="39" s="1"/>
  <c r="V154" i="39"/>
  <c r="W153" i="39" a="1"/>
  <c r="W153" i="39" s="1"/>
  <c r="V153" i="39"/>
  <c r="W152" i="39" a="1"/>
  <c r="W152" i="39" s="1"/>
  <c r="V152" i="39"/>
  <c r="W151" i="39" a="1"/>
  <c r="W151" i="39" s="1"/>
  <c r="V151" i="39"/>
  <c r="W150" i="39" a="1"/>
  <c r="W150" i="39" s="1"/>
  <c r="V150" i="39"/>
  <c r="W149" i="39" a="1"/>
  <c r="W149" i="39" s="1"/>
  <c r="V149" i="39"/>
  <c r="W148" i="39" a="1"/>
  <c r="W148" i="39" s="1"/>
  <c r="V148" i="39"/>
  <c r="W147" i="39" a="1"/>
  <c r="W147" i="39" s="1"/>
  <c r="V147" i="39"/>
  <c r="W146" i="39" a="1"/>
  <c r="W146" i="39" s="1"/>
  <c r="V146" i="39"/>
  <c r="W145" i="39" a="1"/>
  <c r="W145" i="39" s="1"/>
  <c r="V145" i="39"/>
  <c r="W144" i="39" a="1"/>
  <c r="W144" i="39" s="1"/>
  <c r="V144" i="39"/>
  <c r="W143" i="39" a="1"/>
  <c r="W143" i="39" s="1"/>
  <c r="V143" i="39"/>
  <c r="W142" i="39" a="1"/>
  <c r="W142" i="39" s="1"/>
  <c r="V142" i="39"/>
  <c r="W141" i="39" a="1"/>
  <c r="W141" i="39" s="1"/>
  <c r="V141" i="39"/>
  <c r="W140" i="39" a="1"/>
  <c r="W140" i="39" s="1"/>
  <c r="V140" i="39"/>
  <c r="W139" i="39" a="1"/>
  <c r="W139" i="39" s="1"/>
  <c r="V139" i="39"/>
  <c r="W138" i="39" a="1"/>
  <c r="W138" i="39" s="1"/>
  <c r="V138" i="39"/>
  <c r="W137" i="39" a="1"/>
  <c r="W137" i="39" s="1"/>
  <c r="V137" i="39"/>
  <c r="W136" i="39" a="1"/>
  <c r="W136" i="39" s="1"/>
  <c r="V136" i="39"/>
  <c r="W135" i="39" a="1"/>
  <c r="W135" i="39" s="1"/>
  <c r="V135" i="39"/>
  <c r="W134" i="39" a="1"/>
  <c r="W134" i="39" s="1"/>
  <c r="V134" i="39"/>
  <c r="W133" i="39" a="1"/>
  <c r="W133" i="39" s="1"/>
  <c r="V133" i="39"/>
  <c r="W132" i="39" a="1"/>
  <c r="W132" i="39" s="1"/>
  <c r="V132" i="39"/>
  <c r="W131" i="39" a="1"/>
  <c r="W131" i="39" s="1"/>
  <c r="V131" i="39"/>
  <c r="W130" i="39" a="1"/>
  <c r="W130" i="39" s="1"/>
  <c r="V130" i="39"/>
  <c r="W129" i="39" a="1"/>
  <c r="W129" i="39" s="1"/>
  <c r="V129" i="39"/>
  <c r="W128" i="39" a="1"/>
  <c r="W128" i="39" s="1"/>
  <c r="V128" i="39"/>
  <c r="W127" i="39" a="1"/>
  <c r="W127" i="39" s="1"/>
  <c r="V127" i="39"/>
  <c r="W126" i="39" a="1"/>
  <c r="W126" i="39" s="1"/>
  <c r="V126" i="39"/>
  <c r="W125" i="39" a="1"/>
  <c r="W125" i="39" s="1"/>
  <c r="V125" i="39"/>
  <c r="W124" i="39" a="1"/>
  <c r="W124" i="39" s="1"/>
  <c r="V124" i="39"/>
  <c r="W123" i="39" a="1"/>
  <c r="W123" i="39" s="1"/>
  <c r="V123" i="39"/>
  <c r="W122" i="39" a="1"/>
  <c r="W122" i="39" s="1"/>
  <c r="V122" i="39"/>
  <c r="W121" i="39" a="1"/>
  <c r="W121" i="39" s="1"/>
  <c r="V121" i="39"/>
  <c r="W120" i="39" a="1"/>
  <c r="W120" i="39" s="1"/>
  <c r="V120" i="39"/>
  <c r="W119" i="39" a="1"/>
  <c r="W119" i="39" s="1"/>
  <c r="V119" i="39"/>
  <c r="W118" i="39" a="1"/>
  <c r="W118" i="39" s="1"/>
  <c r="V118" i="39"/>
  <c r="W117" i="39" a="1"/>
  <c r="W117" i="39" s="1"/>
  <c r="V117" i="39"/>
  <c r="W116" i="39" a="1"/>
  <c r="W116" i="39" s="1"/>
  <c r="V116" i="39"/>
  <c r="W115" i="39" a="1"/>
  <c r="W115" i="39" s="1"/>
  <c r="V115" i="39"/>
  <c r="W114" i="39" a="1"/>
  <c r="W114" i="39" s="1"/>
  <c r="V114" i="39"/>
  <c r="W113" i="39" a="1"/>
  <c r="W113" i="39" s="1"/>
  <c r="V113" i="39"/>
  <c r="W112" i="39" a="1"/>
  <c r="W112" i="39" s="1"/>
  <c r="V112" i="39"/>
  <c r="W111" i="39" a="1"/>
  <c r="W111" i="39" s="1"/>
  <c r="V111" i="39"/>
  <c r="W110" i="39" a="1"/>
  <c r="W110" i="39" s="1"/>
  <c r="V110" i="39"/>
  <c r="W109" i="39" a="1"/>
  <c r="W109" i="39" s="1"/>
  <c r="V109" i="39"/>
  <c r="W108" i="39" a="1"/>
  <c r="W108" i="39" s="1"/>
  <c r="V108" i="39"/>
  <c r="W107" i="39" a="1"/>
  <c r="W107" i="39" s="1"/>
  <c r="V107" i="39"/>
  <c r="W106" i="39" a="1"/>
  <c r="W106" i="39" s="1"/>
  <c r="V106" i="39"/>
  <c r="W105" i="39" a="1"/>
  <c r="W105" i="39" s="1"/>
  <c r="V105" i="39"/>
  <c r="W104" i="39" a="1"/>
  <c r="W104" i="39" s="1"/>
  <c r="V104" i="39"/>
  <c r="W103" i="39" a="1"/>
  <c r="W103" i="39" s="1"/>
  <c r="V103" i="39"/>
  <c r="W102" i="39" a="1"/>
  <c r="W102" i="39" s="1"/>
  <c r="V102" i="39"/>
  <c r="W101" i="39" a="1"/>
  <c r="W101" i="39" s="1"/>
  <c r="V101" i="39"/>
  <c r="W100" i="39" a="1"/>
  <c r="W100" i="39" s="1"/>
  <c r="V100" i="39"/>
  <c r="W99" i="39" a="1"/>
  <c r="W99" i="39" s="1"/>
  <c r="V99" i="39"/>
  <c r="W98" i="39" a="1"/>
  <c r="W98" i="39" s="1"/>
  <c r="V98" i="39"/>
  <c r="W97" i="39" a="1"/>
  <c r="W97" i="39" s="1"/>
  <c r="V97" i="39"/>
  <c r="W96" i="39" a="1"/>
  <c r="W96" i="39" s="1"/>
  <c r="V96" i="39"/>
  <c r="W95" i="39" a="1"/>
  <c r="W95" i="39" s="1"/>
  <c r="V95" i="39"/>
  <c r="W94" i="39" a="1"/>
  <c r="W94" i="39" s="1"/>
  <c r="V94" i="39"/>
  <c r="W93" i="39" a="1"/>
  <c r="W93" i="39" s="1"/>
  <c r="V93" i="39"/>
  <c r="W92" i="39" a="1"/>
  <c r="W92" i="39" s="1"/>
  <c r="V92" i="39"/>
  <c r="W91" i="39" a="1"/>
  <c r="W91" i="39" s="1"/>
  <c r="V91" i="39"/>
  <c r="W90" i="39" a="1"/>
  <c r="W90" i="39" s="1"/>
  <c r="V90" i="39"/>
  <c r="W89" i="39" a="1"/>
  <c r="W89" i="39" s="1"/>
  <c r="V89" i="39"/>
  <c r="W88" i="39" a="1"/>
  <c r="W88" i="39" s="1"/>
  <c r="V88" i="39"/>
  <c r="W87" i="39" a="1"/>
  <c r="W87" i="39" s="1"/>
  <c r="V87" i="39"/>
  <c r="W86" i="39" a="1"/>
  <c r="W86" i="39" s="1"/>
  <c r="V86" i="39"/>
  <c r="W85" i="39" a="1"/>
  <c r="W85" i="39" s="1"/>
  <c r="V85" i="39"/>
  <c r="W84" i="39" a="1"/>
  <c r="W84" i="39" s="1"/>
  <c r="V84" i="39"/>
  <c r="W83" i="39" a="1"/>
  <c r="W83" i="39" s="1"/>
  <c r="V83" i="39"/>
  <c r="W82" i="39" a="1"/>
  <c r="W82" i="39" s="1"/>
  <c r="V82" i="39"/>
  <c r="W81" i="39" a="1"/>
  <c r="W81" i="39" s="1"/>
  <c r="V81" i="39"/>
  <c r="W80" i="39" a="1"/>
  <c r="W80" i="39" s="1"/>
  <c r="V80" i="39"/>
  <c r="W79" i="39" a="1"/>
  <c r="W79" i="39" s="1"/>
  <c r="V79" i="39"/>
  <c r="W78" i="39" a="1"/>
  <c r="W78" i="39" s="1"/>
  <c r="V78" i="39"/>
  <c r="W77" i="39" a="1"/>
  <c r="W77" i="39" s="1"/>
  <c r="V77" i="39"/>
  <c r="W76" i="39" a="1"/>
  <c r="W76" i="39" s="1"/>
  <c r="V76" i="39"/>
  <c r="W75" i="39" a="1"/>
  <c r="W75" i="39" s="1"/>
  <c r="V75" i="39"/>
  <c r="W74" i="39" a="1"/>
  <c r="W74" i="39" s="1"/>
  <c r="V74" i="39"/>
  <c r="W73" i="39" a="1"/>
  <c r="W73" i="39" s="1"/>
  <c r="V73" i="39"/>
  <c r="W72" i="39" a="1"/>
  <c r="W72" i="39" s="1"/>
  <c r="V72" i="39"/>
  <c r="W71" i="39" a="1"/>
  <c r="W71" i="39" s="1"/>
  <c r="V71" i="39"/>
  <c r="W70" i="39" a="1"/>
  <c r="W70" i="39" s="1"/>
  <c r="V70" i="39"/>
  <c r="W69" i="39" a="1"/>
  <c r="W69" i="39" s="1"/>
  <c r="V69" i="39"/>
  <c r="W68" i="39" a="1"/>
  <c r="W68" i="39" s="1"/>
  <c r="V68" i="39"/>
  <c r="W67" i="39" a="1"/>
  <c r="W67" i="39" s="1"/>
  <c r="V67" i="39"/>
  <c r="W66" i="39" a="1"/>
  <c r="W66" i="39" s="1"/>
  <c r="V66" i="39"/>
  <c r="W65" i="39" a="1"/>
  <c r="W65" i="39" s="1"/>
  <c r="V65" i="39"/>
  <c r="W64" i="39" a="1"/>
  <c r="W64" i="39" s="1"/>
  <c r="V64" i="39"/>
  <c r="W63" i="39" a="1"/>
  <c r="W63" i="39" s="1"/>
  <c r="V63" i="39"/>
  <c r="W62" i="39" a="1"/>
  <c r="W62" i="39" s="1"/>
  <c r="V62" i="39"/>
  <c r="W61" i="39" a="1"/>
  <c r="W61" i="39" s="1"/>
  <c r="V61" i="39"/>
  <c r="W60" i="39" a="1"/>
  <c r="W60" i="39" s="1"/>
  <c r="V60" i="39"/>
  <c r="W59" i="39" a="1"/>
  <c r="W59" i="39" s="1"/>
  <c r="V59" i="39"/>
  <c r="W58" i="39" a="1"/>
  <c r="W58" i="39" s="1"/>
  <c r="V58" i="39"/>
  <c r="W57" i="39" a="1"/>
  <c r="W57" i="39" s="1"/>
  <c r="V57" i="39"/>
  <c r="W56" i="39" a="1"/>
  <c r="W56" i="39" s="1"/>
  <c r="V56" i="39"/>
  <c r="W55" i="39" a="1"/>
  <c r="W55" i="39" s="1"/>
  <c r="V55" i="39"/>
  <c r="W54" i="39" a="1"/>
  <c r="W54" i="39" s="1"/>
  <c r="V54" i="39"/>
  <c r="W53" i="39" a="1"/>
  <c r="W53" i="39" s="1"/>
  <c r="V53" i="39"/>
  <c r="W52" i="39" a="1"/>
  <c r="W52" i="39" s="1"/>
  <c r="V52" i="39"/>
  <c r="W51" i="39" a="1"/>
  <c r="W51" i="39" s="1"/>
  <c r="V51" i="39"/>
  <c r="W50" i="39" a="1"/>
  <c r="W50" i="39" s="1"/>
  <c r="V50" i="39"/>
  <c r="W49" i="39" a="1"/>
  <c r="W49" i="39" s="1"/>
  <c r="V49" i="39"/>
  <c r="W48" i="39" a="1"/>
  <c r="W48" i="39" s="1"/>
  <c r="V48" i="39"/>
  <c r="W47" i="39" a="1"/>
  <c r="W47" i="39" s="1"/>
  <c r="V47" i="39"/>
  <c r="W46" i="39" a="1"/>
  <c r="W46" i="39" s="1"/>
  <c r="V46" i="39"/>
  <c r="W45" i="39" a="1"/>
  <c r="W45" i="39" s="1"/>
  <c r="V45" i="39"/>
  <c r="W44" i="39" a="1"/>
  <c r="W44" i="39" s="1"/>
  <c r="V44" i="39"/>
  <c r="W43" i="39" a="1"/>
  <c r="W43" i="39" s="1"/>
  <c r="V43" i="39"/>
  <c r="W42" i="39" a="1"/>
  <c r="W42" i="39" s="1"/>
  <c r="V42" i="39"/>
  <c r="W41" i="39" a="1"/>
  <c r="W41" i="39" s="1"/>
  <c r="V41" i="39"/>
  <c r="W40" i="39" a="1"/>
  <c r="W40" i="39" s="1"/>
  <c r="V40" i="39"/>
  <c r="W39" i="39" a="1"/>
  <c r="W39" i="39" s="1"/>
  <c r="V39" i="39"/>
  <c r="W38" i="39" a="1"/>
  <c r="W38" i="39" s="1"/>
  <c r="V38" i="39"/>
  <c r="W37" i="39" a="1"/>
  <c r="W37" i="39" s="1"/>
  <c r="V37" i="39"/>
  <c r="W36" i="39" a="1"/>
  <c r="W36" i="39" s="1"/>
  <c r="V36" i="39"/>
  <c r="W35" i="39" a="1"/>
  <c r="W35" i="39" s="1"/>
  <c r="V35" i="39"/>
  <c r="W34" i="39" a="1"/>
  <c r="W34" i="39" s="1"/>
  <c r="V34" i="39"/>
  <c r="W33" i="39" a="1"/>
  <c r="W33" i="39" s="1"/>
  <c r="V33" i="39"/>
  <c r="W32" i="39" a="1"/>
  <c r="W32" i="39" s="1"/>
  <c r="V32" i="39"/>
  <c r="W31" i="39" a="1"/>
  <c r="W31" i="39" s="1"/>
  <c r="V31" i="39"/>
  <c r="W30" i="39" a="1"/>
  <c r="W30" i="39" s="1"/>
  <c r="V30" i="39"/>
  <c r="W29" i="39" a="1"/>
  <c r="W29" i="39" s="1"/>
  <c r="V29" i="39"/>
  <c r="W28" i="39" a="1"/>
  <c r="W28" i="39" s="1"/>
  <c r="V28" i="39"/>
  <c r="W27" i="39" a="1"/>
  <c r="W27" i="39" s="1"/>
  <c r="V27" i="39"/>
  <c r="W26" i="39" a="1"/>
  <c r="W26" i="39" s="1"/>
  <c r="V26" i="39"/>
  <c r="W25" i="39" a="1"/>
  <c r="W25" i="39" s="1"/>
  <c r="V25" i="39"/>
  <c r="W24" i="39" a="1"/>
  <c r="W24" i="39" s="1"/>
  <c r="V24" i="39"/>
  <c r="W23" i="39" a="1"/>
  <c r="W23" i="39" s="1"/>
  <c r="V23" i="39"/>
  <c r="W22" i="39" a="1"/>
  <c r="W22" i="39" s="1"/>
  <c r="V22" i="39"/>
  <c r="W21" i="39" a="1"/>
  <c r="W21" i="39" s="1"/>
  <c r="V21" i="39"/>
  <c r="W20" i="39" a="1"/>
  <c r="W20" i="39" s="1"/>
  <c r="V20" i="39"/>
  <c r="V19" i="39"/>
  <c r="V18" i="39"/>
  <c r="V17" i="39"/>
  <c r="V16" i="39"/>
  <c r="V15" i="39"/>
  <c r="V14" i="39"/>
  <c r="V13" i="39"/>
  <c r="V12" i="39"/>
  <c r="V11" i="39"/>
  <c r="V10" i="39"/>
  <c r="W2" i="39" a="1"/>
  <c r="W2" i="39" s="1"/>
  <c r="U659" i="34"/>
  <c r="V658" i="34" a="1"/>
  <c r="V658" i="34" s="1"/>
  <c r="U658" i="34"/>
  <c r="V657" i="34" a="1"/>
  <c r="V657" i="34" s="1"/>
  <c r="U657" i="34"/>
  <c r="V656" i="34" a="1"/>
  <c r="V656" i="34" s="1"/>
  <c r="U656" i="34"/>
  <c r="V655" i="34" a="1"/>
  <c r="V655" i="34" s="1"/>
  <c r="U655" i="34"/>
  <c r="V654" i="34" a="1"/>
  <c r="V654" i="34" s="1"/>
  <c r="U654" i="34"/>
  <c r="V653" i="34" a="1"/>
  <c r="V653" i="34" s="1"/>
  <c r="U653" i="34"/>
  <c r="V652" i="34" a="1"/>
  <c r="V652" i="34" s="1"/>
  <c r="U652" i="34"/>
  <c r="V651" i="34" a="1"/>
  <c r="V651" i="34" s="1"/>
  <c r="U651" i="34"/>
  <c r="V650" i="34" a="1"/>
  <c r="V650" i="34" s="1"/>
  <c r="U650" i="34"/>
  <c r="V649" i="34" a="1"/>
  <c r="V649" i="34" s="1"/>
  <c r="U649" i="34"/>
  <c r="V648" i="34" a="1"/>
  <c r="V648" i="34" s="1"/>
  <c r="U648" i="34"/>
  <c r="V647" i="34" a="1"/>
  <c r="V647" i="34" s="1"/>
  <c r="U647" i="34"/>
  <c r="V646" i="34" a="1"/>
  <c r="V646" i="34" s="1"/>
  <c r="U646" i="34"/>
  <c r="V645" i="34" a="1"/>
  <c r="V645" i="34" s="1"/>
  <c r="U645" i="34"/>
  <c r="V644" i="34" a="1"/>
  <c r="V644" i="34" s="1"/>
  <c r="U644" i="34"/>
  <c r="V643" i="34" a="1"/>
  <c r="V643" i="34" s="1"/>
  <c r="U643" i="34"/>
  <c r="V642" i="34" a="1"/>
  <c r="V642" i="34" s="1"/>
  <c r="U642" i="34"/>
  <c r="V641" i="34" a="1"/>
  <c r="V641" i="34" s="1"/>
  <c r="U641" i="34"/>
  <c r="V640" i="34" a="1"/>
  <c r="V640" i="34" s="1"/>
  <c r="U640" i="34"/>
  <c r="V639" i="34" a="1"/>
  <c r="V639" i="34" s="1"/>
  <c r="U639" i="34"/>
  <c r="V638" i="34" a="1"/>
  <c r="V638" i="34" s="1"/>
  <c r="U638" i="34"/>
  <c r="V637" i="34" a="1"/>
  <c r="V637" i="34" s="1"/>
  <c r="U637" i="34"/>
  <c r="V636" i="34" a="1"/>
  <c r="V636" i="34" s="1"/>
  <c r="U636" i="34"/>
  <c r="V635" i="34" a="1"/>
  <c r="V635" i="34" s="1"/>
  <c r="U635" i="34"/>
  <c r="V634" i="34" a="1"/>
  <c r="V634" i="34" s="1"/>
  <c r="U634" i="34"/>
  <c r="V633" i="34" a="1"/>
  <c r="V633" i="34" s="1"/>
  <c r="U633" i="34"/>
  <c r="V632" i="34" a="1"/>
  <c r="V632" i="34" s="1"/>
  <c r="U632" i="34"/>
  <c r="V631" i="34" a="1"/>
  <c r="V631" i="34" s="1"/>
  <c r="U631" i="34"/>
  <c r="V630" i="34" a="1"/>
  <c r="V630" i="34" s="1"/>
  <c r="U630" i="34"/>
  <c r="V629" i="34" a="1"/>
  <c r="V629" i="34" s="1"/>
  <c r="U629" i="34"/>
  <c r="V628" i="34" a="1"/>
  <c r="V628" i="34" s="1"/>
  <c r="U628" i="34"/>
  <c r="V627" i="34" a="1"/>
  <c r="V627" i="34" s="1"/>
  <c r="U627" i="34"/>
  <c r="V626" i="34" a="1"/>
  <c r="V626" i="34" s="1"/>
  <c r="U626" i="34"/>
  <c r="V625" i="34" a="1"/>
  <c r="V625" i="34" s="1"/>
  <c r="U625" i="34"/>
  <c r="V624" i="34" a="1"/>
  <c r="V624" i="34" s="1"/>
  <c r="U624" i="34"/>
  <c r="V623" i="34" a="1"/>
  <c r="V623" i="34" s="1"/>
  <c r="U623" i="34"/>
  <c r="V622" i="34" a="1"/>
  <c r="V622" i="34" s="1"/>
  <c r="U622" i="34"/>
  <c r="V621" i="34" a="1"/>
  <c r="V621" i="34" s="1"/>
  <c r="U621" i="34"/>
  <c r="V620" i="34" a="1"/>
  <c r="V620" i="34" s="1"/>
  <c r="U620" i="34"/>
  <c r="V619" i="34" a="1"/>
  <c r="V619" i="34" s="1"/>
  <c r="U619" i="34"/>
  <c r="V618" i="34" a="1"/>
  <c r="V618" i="34" s="1"/>
  <c r="U618" i="34"/>
  <c r="V617" i="34" a="1"/>
  <c r="V617" i="34" s="1"/>
  <c r="U617" i="34"/>
  <c r="V616" i="34" a="1"/>
  <c r="V616" i="34" s="1"/>
  <c r="U616" i="34"/>
  <c r="V615" i="34" a="1"/>
  <c r="V615" i="34" s="1"/>
  <c r="U615" i="34"/>
  <c r="V614" i="34" a="1"/>
  <c r="V614" i="34" s="1"/>
  <c r="U614" i="34"/>
  <c r="V613" i="34" a="1"/>
  <c r="V613" i="34" s="1"/>
  <c r="U613" i="34"/>
  <c r="V612" i="34" a="1"/>
  <c r="V612" i="34" s="1"/>
  <c r="U612" i="34"/>
  <c r="V611" i="34" a="1"/>
  <c r="V611" i="34" s="1"/>
  <c r="U611" i="34"/>
  <c r="V610" i="34" a="1"/>
  <c r="V610" i="34" s="1"/>
  <c r="U610" i="34"/>
  <c r="V609" i="34" a="1"/>
  <c r="V609" i="34" s="1"/>
  <c r="U609" i="34"/>
  <c r="V608" i="34" a="1"/>
  <c r="V608" i="34" s="1"/>
  <c r="U608" i="34"/>
  <c r="V607" i="34" a="1"/>
  <c r="V607" i="34" s="1"/>
  <c r="U607" i="34"/>
  <c r="V606" i="34" a="1"/>
  <c r="V606" i="34" s="1"/>
  <c r="U606" i="34"/>
  <c r="V605" i="34" a="1"/>
  <c r="V605" i="34" s="1"/>
  <c r="U605" i="34"/>
  <c r="V604" i="34" a="1"/>
  <c r="V604" i="34" s="1"/>
  <c r="U604" i="34"/>
  <c r="V603" i="34" a="1"/>
  <c r="V603" i="34" s="1"/>
  <c r="U603" i="34"/>
  <c r="V602" i="34" a="1"/>
  <c r="V602" i="34" s="1"/>
  <c r="U602" i="34"/>
  <c r="V601" i="34" a="1"/>
  <c r="V601" i="34" s="1"/>
  <c r="U601" i="34"/>
  <c r="V600" i="34" a="1"/>
  <c r="V600" i="34" s="1"/>
  <c r="U600" i="34"/>
  <c r="V599" i="34" a="1"/>
  <c r="V599" i="34" s="1"/>
  <c r="U599" i="34"/>
  <c r="V598" i="34" a="1"/>
  <c r="V598" i="34" s="1"/>
  <c r="U598" i="34"/>
  <c r="V597" i="34" a="1"/>
  <c r="V597" i="34" s="1"/>
  <c r="U597" i="34"/>
  <c r="V596" i="34" a="1"/>
  <c r="V596" i="34" s="1"/>
  <c r="U596" i="34"/>
  <c r="V595" i="34" a="1"/>
  <c r="V595" i="34" s="1"/>
  <c r="U595" i="34"/>
  <c r="V594" i="34" a="1"/>
  <c r="V594" i="34" s="1"/>
  <c r="U594" i="34"/>
  <c r="V593" i="34" a="1"/>
  <c r="V593" i="34" s="1"/>
  <c r="U593" i="34"/>
  <c r="V592" i="34" a="1"/>
  <c r="V592" i="34" s="1"/>
  <c r="U592" i="34"/>
  <c r="V591" i="34" a="1"/>
  <c r="V591" i="34" s="1"/>
  <c r="U591" i="34"/>
  <c r="V590" i="34" a="1"/>
  <c r="V590" i="34" s="1"/>
  <c r="U590" i="34"/>
  <c r="V589" i="34" a="1"/>
  <c r="V589" i="34" s="1"/>
  <c r="U589" i="34"/>
  <c r="V588" i="34" a="1"/>
  <c r="V588" i="34" s="1"/>
  <c r="U588" i="34"/>
  <c r="V587" i="34" a="1"/>
  <c r="V587" i="34" s="1"/>
  <c r="U587" i="34"/>
  <c r="V586" i="34" a="1"/>
  <c r="V586" i="34" s="1"/>
  <c r="U586" i="34"/>
  <c r="V585" i="34" a="1"/>
  <c r="V585" i="34" s="1"/>
  <c r="U585" i="34"/>
  <c r="V584" i="34" a="1"/>
  <c r="V584" i="34" s="1"/>
  <c r="U584" i="34"/>
  <c r="V583" i="34" a="1"/>
  <c r="V583" i="34" s="1"/>
  <c r="U583" i="34"/>
  <c r="V582" i="34" a="1"/>
  <c r="V582" i="34" s="1"/>
  <c r="U582" i="34"/>
  <c r="V581" i="34" a="1"/>
  <c r="V581" i="34" s="1"/>
  <c r="U581" i="34"/>
  <c r="V580" i="34" a="1"/>
  <c r="V580" i="34" s="1"/>
  <c r="U580" i="34"/>
  <c r="V579" i="34" a="1"/>
  <c r="V579" i="34" s="1"/>
  <c r="U579" i="34"/>
  <c r="V578" i="34" a="1"/>
  <c r="V578" i="34" s="1"/>
  <c r="U578" i="34"/>
  <c r="V577" i="34" a="1"/>
  <c r="V577" i="34" s="1"/>
  <c r="U577" i="34"/>
  <c r="V576" i="34" a="1"/>
  <c r="V576" i="34" s="1"/>
  <c r="U576" i="34"/>
  <c r="V575" i="34" a="1"/>
  <c r="V575" i="34" s="1"/>
  <c r="U575" i="34"/>
  <c r="V574" i="34" a="1"/>
  <c r="V574" i="34" s="1"/>
  <c r="U574" i="34"/>
  <c r="V573" i="34" a="1"/>
  <c r="V573" i="34" s="1"/>
  <c r="U573" i="34"/>
  <c r="V572" i="34" a="1"/>
  <c r="V572" i="34" s="1"/>
  <c r="U572" i="34"/>
  <c r="V571" i="34" a="1"/>
  <c r="V571" i="34" s="1"/>
  <c r="U571" i="34"/>
  <c r="V570" i="34" a="1"/>
  <c r="V570" i="34" s="1"/>
  <c r="U570" i="34"/>
  <c r="V569" i="34" a="1"/>
  <c r="V569" i="34" s="1"/>
  <c r="U569" i="34"/>
  <c r="V568" i="34" a="1"/>
  <c r="V568" i="34" s="1"/>
  <c r="U568" i="34"/>
  <c r="V567" i="34" a="1"/>
  <c r="V567" i="34" s="1"/>
  <c r="U567" i="34"/>
  <c r="V566" i="34" a="1"/>
  <c r="V566" i="34" s="1"/>
  <c r="U566" i="34"/>
  <c r="V565" i="34" a="1"/>
  <c r="V565" i="34" s="1"/>
  <c r="U565" i="34"/>
  <c r="V564" i="34" a="1"/>
  <c r="V564" i="34" s="1"/>
  <c r="U564" i="34"/>
  <c r="V563" i="34" a="1"/>
  <c r="V563" i="34" s="1"/>
  <c r="U563" i="34"/>
  <c r="V562" i="34" a="1"/>
  <c r="V562" i="34" s="1"/>
  <c r="U562" i="34"/>
  <c r="V561" i="34" a="1"/>
  <c r="V561" i="34" s="1"/>
  <c r="U561" i="34"/>
  <c r="V560" i="34" a="1"/>
  <c r="V560" i="34" s="1"/>
  <c r="U560" i="34"/>
  <c r="V559" i="34" a="1"/>
  <c r="V559" i="34" s="1"/>
  <c r="U559" i="34"/>
  <c r="V558" i="34" a="1"/>
  <c r="V558" i="34" s="1"/>
  <c r="U558" i="34"/>
  <c r="V557" i="34" a="1"/>
  <c r="V557" i="34" s="1"/>
  <c r="U557" i="34"/>
  <c r="V556" i="34" a="1"/>
  <c r="V556" i="34" s="1"/>
  <c r="U556" i="34"/>
  <c r="V555" i="34" a="1"/>
  <c r="V555" i="34" s="1"/>
  <c r="U555" i="34"/>
  <c r="V554" i="34" a="1"/>
  <c r="V554" i="34" s="1"/>
  <c r="U554" i="34"/>
  <c r="V553" i="34" a="1"/>
  <c r="V553" i="34" s="1"/>
  <c r="U553" i="34"/>
  <c r="V552" i="34" a="1"/>
  <c r="V552" i="34" s="1"/>
  <c r="U552" i="34"/>
  <c r="V551" i="34" a="1"/>
  <c r="V551" i="34" s="1"/>
  <c r="U551" i="34"/>
  <c r="V550" i="34" a="1"/>
  <c r="V550" i="34" s="1"/>
  <c r="U550" i="34"/>
  <c r="V549" i="34" a="1"/>
  <c r="V549" i="34" s="1"/>
  <c r="U549" i="34"/>
  <c r="V548" i="34" a="1"/>
  <c r="V548" i="34" s="1"/>
  <c r="U548" i="34"/>
  <c r="V547" i="34" a="1"/>
  <c r="V547" i="34" s="1"/>
  <c r="U547" i="34"/>
  <c r="V546" i="34" a="1"/>
  <c r="V546" i="34" s="1"/>
  <c r="U546" i="34"/>
  <c r="V545" i="34" a="1"/>
  <c r="V545" i="34" s="1"/>
  <c r="U545" i="34"/>
  <c r="V544" i="34" a="1"/>
  <c r="V544" i="34" s="1"/>
  <c r="U544" i="34"/>
  <c r="V543" i="34" a="1"/>
  <c r="V543" i="34" s="1"/>
  <c r="U543" i="34"/>
  <c r="V542" i="34" a="1"/>
  <c r="V542" i="34" s="1"/>
  <c r="U542" i="34"/>
  <c r="V541" i="34" a="1"/>
  <c r="V541" i="34" s="1"/>
  <c r="U541" i="34"/>
  <c r="V540" i="34" a="1"/>
  <c r="V540" i="34" s="1"/>
  <c r="U540" i="34"/>
  <c r="V539" i="34" a="1"/>
  <c r="V539" i="34" s="1"/>
  <c r="U539" i="34"/>
  <c r="V538" i="34" a="1"/>
  <c r="V538" i="34" s="1"/>
  <c r="U538" i="34"/>
  <c r="V537" i="34" a="1"/>
  <c r="V537" i="34" s="1"/>
  <c r="U537" i="34"/>
  <c r="V536" i="34" a="1"/>
  <c r="V536" i="34" s="1"/>
  <c r="U536" i="34"/>
  <c r="V535" i="34" a="1"/>
  <c r="V535" i="34" s="1"/>
  <c r="U535" i="34"/>
  <c r="V534" i="34" a="1"/>
  <c r="V534" i="34" s="1"/>
  <c r="U534" i="34"/>
  <c r="V533" i="34" a="1"/>
  <c r="V533" i="34" s="1"/>
  <c r="U533" i="34"/>
  <c r="V532" i="34" a="1"/>
  <c r="V532" i="34" s="1"/>
  <c r="U532" i="34"/>
  <c r="V531" i="34" a="1"/>
  <c r="V531" i="34" s="1"/>
  <c r="U531" i="34"/>
  <c r="V530" i="34" a="1"/>
  <c r="V530" i="34" s="1"/>
  <c r="U530" i="34"/>
  <c r="V529" i="34" a="1"/>
  <c r="V529" i="34" s="1"/>
  <c r="U529" i="34"/>
  <c r="V528" i="34" a="1"/>
  <c r="V528" i="34" s="1"/>
  <c r="U528" i="34"/>
  <c r="V527" i="34" a="1"/>
  <c r="V527" i="34" s="1"/>
  <c r="U527" i="34"/>
  <c r="V526" i="34" a="1"/>
  <c r="V526" i="34" s="1"/>
  <c r="U526" i="34"/>
  <c r="V525" i="34" a="1"/>
  <c r="V525" i="34" s="1"/>
  <c r="U525" i="34"/>
  <c r="V524" i="34" a="1"/>
  <c r="V524" i="34" s="1"/>
  <c r="U524" i="34"/>
  <c r="V523" i="34" a="1"/>
  <c r="V523" i="34" s="1"/>
  <c r="U523" i="34"/>
  <c r="V522" i="34" a="1"/>
  <c r="V522" i="34" s="1"/>
  <c r="U522" i="34"/>
  <c r="V521" i="34" a="1"/>
  <c r="V521" i="34" s="1"/>
  <c r="U521" i="34"/>
  <c r="V520" i="34" a="1"/>
  <c r="V520" i="34" s="1"/>
  <c r="U520" i="34"/>
  <c r="V519" i="34" a="1"/>
  <c r="V519" i="34" s="1"/>
  <c r="U519" i="34"/>
  <c r="V518" i="34" a="1"/>
  <c r="V518" i="34" s="1"/>
  <c r="U518" i="34"/>
  <c r="V517" i="34" a="1"/>
  <c r="V517" i="34" s="1"/>
  <c r="U517" i="34"/>
  <c r="V516" i="34" a="1"/>
  <c r="V516" i="34" s="1"/>
  <c r="U516" i="34"/>
  <c r="V515" i="34" a="1"/>
  <c r="V515" i="34" s="1"/>
  <c r="U515" i="34"/>
  <c r="V514" i="34" a="1"/>
  <c r="V514" i="34" s="1"/>
  <c r="U514" i="34"/>
  <c r="V513" i="34" a="1"/>
  <c r="V513" i="34" s="1"/>
  <c r="U513" i="34"/>
  <c r="V512" i="34" a="1"/>
  <c r="V512" i="34" s="1"/>
  <c r="U512" i="34"/>
  <c r="V511" i="34" a="1"/>
  <c r="V511" i="34" s="1"/>
  <c r="U511" i="34"/>
  <c r="V510" i="34" a="1"/>
  <c r="V510" i="34" s="1"/>
  <c r="U510" i="34"/>
  <c r="V509" i="34" a="1"/>
  <c r="V509" i="34" s="1"/>
  <c r="U509" i="34"/>
  <c r="V508" i="34" a="1"/>
  <c r="V508" i="34" s="1"/>
  <c r="U508" i="34"/>
  <c r="V507" i="34" a="1"/>
  <c r="V507" i="34" s="1"/>
  <c r="U507" i="34"/>
  <c r="V506" i="34" a="1"/>
  <c r="V506" i="34" s="1"/>
  <c r="U506" i="34"/>
  <c r="V505" i="34" a="1"/>
  <c r="V505" i="34" s="1"/>
  <c r="U505" i="34"/>
  <c r="V504" i="34" a="1"/>
  <c r="V504" i="34" s="1"/>
  <c r="U504" i="34"/>
  <c r="V503" i="34" a="1"/>
  <c r="V503" i="34" s="1"/>
  <c r="U503" i="34"/>
  <c r="V502" i="34" a="1"/>
  <c r="V502" i="34" s="1"/>
  <c r="U502" i="34"/>
  <c r="V501" i="34" a="1"/>
  <c r="V501" i="34" s="1"/>
  <c r="U501" i="34"/>
  <c r="V500" i="34" a="1"/>
  <c r="V500" i="34" s="1"/>
  <c r="U500" i="34"/>
  <c r="V499" i="34" a="1"/>
  <c r="V499" i="34" s="1"/>
  <c r="U499" i="34"/>
  <c r="V498" i="34" a="1"/>
  <c r="V498" i="34" s="1"/>
  <c r="U498" i="34"/>
  <c r="V497" i="34" a="1"/>
  <c r="V497" i="34" s="1"/>
  <c r="U497" i="34"/>
  <c r="V496" i="34" a="1"/>
  <c r="V496" i="34" s="1"/>
  <c r="U496" i="34"/>
  <c r="V495" i="34" a="1"/>
  <c r="V495" i="34" s="1"/>
  <c r="U495" i="34"/>
  <c r="V494" i="34" a="1"/>
  <c r="V494" i="34" s="1"/>
  <c r="U494" i="34"/>
  <c r="V493" i="34" a="1"/>
  <c r="V493" i="34" s="1"/>
  <c r="U493" i="34"/>
  <c r="V492" i="34" a="1"/>
  <c r="V492" i="34" s="1"/>
  <c r="U492" i="34"/>
  <c r="V491" i="34" a="1"/>
  <c r="V491" i="34" s="1"/>
  <c r="U491" i="34"/>
  <c r="V490" i="34" a="1"/>
  <c r="V490" i="34" s="1"/>
  <c r="U490" i="34"/>
  <c r="V489" i="34" a="1"/>
  <c r="V489" i="34" s="1"/>
  <c r="U489" i="34"/>
  <c r="V488" i="34" a="1"/>
  <c r="V488" i="34" s="1"/>
  <c r="U488" i="34"/>
  <c r="V487" i="34" a="1"/>
  <c r="V487" i="34" s="1"/>
  <c r="U487" i="34"/>
  <c r="V486" i="34" a="1"/>
  <c r="V486" i="34" s="1"/>
  <c r="U486" i="34"/>
  <c r="V485" i="34" a="1"/>
  <c r="V485" i="34" s="1"/>
  <c r="U485" i="34"/>
  <c r="V484" i="34" a="1"/>
  <c r="V484" i="34" s="1"/>
  <c r="U484" i="34"/>
  <c r="V483" i="34" a="1"/>
  <c r="V483" i="34" s="1"/>
  <c r="U483" i="34"/>
  <c r="V482" i="34" a="1"/>
  <c r="V482" i="34" s="1"/>
  <c r="U482" i="34"/>
  <c r="V481" i="34" a="1"/>
  <c r="V481" i="34" s="1"/>
  <c r="U481" i="34"/>
  <c r="V480" i="34" a="1"/>
  <c r="V480" i="34" s="1"/>
  <c r="U480" i="34"/>
  <c r="V479" i="34" a="1"/>
  <c r="V479" i="34" s="1"/>
  <c r="U479" i="34"/>
  <c r="V478" i="34" a="1"/>
  <c r="V478" i="34" s="1"/>
  <c r="U478" i="34"/>
  <c r="V477" i="34" a="1"/>
  <c r="V477" i="34" s="1"/>
  <c r="U477" i="34"/>
  <c r="V476" i="34" a="1"/>
  <c r="V476" i="34" s="1"/>
  <c r="U476" i="34"/>
  <c r="V475" i="34" a="1"/>
  <c r="V475" i="34" s="1"/>
  <c r="U475" i="34"/>
  <c r="V474" i="34" a="1"/>
  <c r="V474" i="34" s="1"/>
  <c r="U474" i="34"/>
  <c r="V473" i="34" a="1"/>
  <c r="V473" i="34" s="1"/>
  <c r="U473" i="34"/>
  <c r="V472" i="34" a="1"/>
  <c r="V472" i="34" s="1"/>
  <c r="U472" i="34"/>
  <c r="V471" i="34" a="1"/>
  <c r="V471" i="34" s="1"/>
  <c r="U471" i="34"/>
  <c r="V470" i="34" a="1"/>
  <c r="V470" i="34" s="1"/>
  <c r="U470" i="34"/>
  <c r="V469" i="34" a="1"/>
  <c r="V469" i="34" s="1"/>
  <c r="U469" i="34"/>
  <c r="V468" i="34" a="1"/>
  <c r="V468" i="34" s="1"/>
  <c r="U468" i="34"/>
  <c r="V467" i="34" a="1"/>
  <c r="V467" i="34" s="1"/>
  <c r="U467" i="34"/>
  <c r="V466" i="34" a="1"/>
  <c r="V466" i="34" s="1"/>
  <c r="U466" i="34"/>
  <c r="V465" i="34" a="1"/>
  <c r="V465" i="34" s="1"/>
  <c r="U465" i="34"/>
  <c r="V464" i="34" a="1"/>
  <c r="V464" i="34" s="1"/>
  <c r="U464" i="34"/>
  <c r="V463" i="34" a="1"/>
  <c r="V463" i="34" s="1"/>
  <c r="U463" i="34"/>
  <c r="V462" i="34" a="1"/>
  <c r="V462" i="34" s="1"/>
  <c r="U462" i="34"/>
  <c r="V461" i="34" a="1"/>
  <c r="V461" i="34" s="1"/>
  <c r="U461" i="34"/>
  <c r="V460" i="34" a="1"/>
  <c r="V460" i="34" s="1"/>
  <c r="U460" i="34"/>
  <c r="V459" i="34" a="1"/>
  <c r="V459" i="34" s="1"/>
  <c r="U459" i="34"/>
  <c r="V458" i="34" a="1"/>
  <c r="V458" i="34" s="1"/>
  <c r="U458" i="34"/>
  <c r="V457" i="34" a="1"/>
  <c r="V457" i="34" s="1"/>
  <c r="U457" i="34"/>
  <c r="V456" i="34" a="1"/>
  <c r="V456" i="34" s="1"/>
  <c r="U456" i="34"/>
  <c r="V455" i="34" a="1"/>
  <c r="V455" i="34" s="1"/>
  <c r="U455" i="34"/>
  <c r="V454" i="34" a="1"/>
  <c r="V454" i="34" s="1"/>
  <c r="U454" i="34"/>
  <c r="V453" i="34" a="1"/>
  <c r="V453" i="34" s="1"/>
  <c r="U453" i="34"/>
  <c r="V452" i="34" a="1"/>
  <c r="V452" i="34" s="1"/>
  <c r="U452" i="34"/>
  <c r="V451" i="34" a="1"/>
  <c r="V451" i="34" s="1"/>
  <c r="U451" i="34"/>
  <c r="V450" i="34" a="1"/>
  <c r="V450" i="34" s="1"/>
  <c r="U450" i="34"/>
  <c r="V449" i="34" a="1"/>
  <c r="V449" i="34" s="1"/>
  <c r="U449" i="34"/>
  <c r="V448" i="34" a="1"/>
  <c r="V448" i="34" s="1"/>
  <c r="U448" i="34"/>
  <c r="V447" i="34" a="1"/>
  <c r="V447" i="34" s="1"/>
  <c r="U447" i="34"/>
  <c r="V446" i="34" a="1"/>
  <c r="V446" i="34" s="1"/>
  <c r="U446" i="34"/>
  <c r="V445" i="34" a="1"/>
  <c r="V445" i="34" s="1"/>
  <c r="U445" i="34"/>
  <c r="V444" i="34" a="1"/>
  <c r="V444" i="34" s="1"/>
  <c r="U444" i="34"/>
  <c r="V443" i="34" a="1"/>
  <c r="V443" i="34" s="1"/>
  <c r="U443" i="34"/>
  <c r="V442" i="34" a="1"/>
  <c r="V442" i="34" s="1"/>
  <c r="U442" i="34"/>
  <c r="V441" i="34" a="1"/>
  <c r="V441" i="34" s="1"/>
  <c r="U441" i="34"/>
  <c r="V440" i="34" a="1"/>
  <c r="V440" i="34" s="1"/>
  <c r="U440" i="34"/>
  <c r="V439" i="34" a="1"/>
  <c r="V439" i="34" s="1"/>
  <c r="U439" i="34"/>
  <c r="V438" i="34" a="1"/>
  <c r="V438" i="34" s="1"/>
  <c r="U438" i="34"/>
  <c r="V437" i="34" a="1"/>
  <c r="V437" i="34" s="1"/>
  <c r="U437" i="34"/>
  <c r="V436" i="34" a="1"/>
  <c r="V436" i="34" s="1"/>
  <c r="U436" i="34"/>
  <c r="V435" i="34" a="1"/>
  <c r="V435" i="34" s="1"/>
  <c r="U435" i="34"/>
  <c r="V434" i="34" a="1"/>
  <c r="V434" i="34" s="1"/>
  <c r="U434" i="34"/>
  <c r="V433" i="34" a="1"/>
  <c r="V433" i="34" s="1"/>
  <c r="U433" i="34"/>
  <c r="V432" i="34" a="1"/>
  <c r="V432" i="34" s="1"/>
  <c r="U432" i="34"/>
  <c r="V431" i="34" a="1"/>
  <c r="V431" i="34" s="1"/>
  <c r="U431" i="34"/>
  <c r="V430" i="34" a="1"/>
  <c r="V430" i="34" s="1"/>
  <c r="U430" i="34"/>
  <c r="V429" i="34" a="1"/>
  <c r="V429" i="34" s="1"/>
  <c r="U429" i="34"/>
  <c r="V428" i="34" a="1"/>
  <c r="V428" i="34" s="1"/>
  <c r="U428" i="34"/>
  <c r="V427" i="34" a="1"/>
  <c r="V427" i="34" s="1"/>
  <c r="U427" i="34"/>
  <c r="V426" i="34" a="1"/>
  <c r="V426" i="34" s="1"/>
  <c r="U426" i="34"/>
  <c r="V425" i="34" a="1"/>
  <c r="V425" i="34" s="1"/>
  <c r="U425" i="34"/>
  <c r="V424" i="34" a="1"/>
  <c r="V424" i="34" s="1"/>
  <c r="U424" i="34"/>
  <c r="V423" i="34" a="1"/>
  <c r="V423" i="34" s="1"/>
  <c r="U423" i="34"/>
  <c r="V422" i="34" a="1"/>
  <c r="V422" i="34" s="1"/>
  <c r="U422" i="34"/>
  <c r="V421" i="34" a="1"/>
  <c r="V421" i="34" s="1"/>
  <c r="U421" i="34"/>
  <c r="V420" i="34" a="1"/>
  <c r="V420" i="34" s="1"/>
  <c r="U420" i="34"/>
  <c r="V419" i="34" a="1"/>
  <c r="V419" i="34" s="1"/>
  <c r="U419" i="34"/>
  <c r="V418" i="34" a="1"/>
  <c r="V418" i="34" s="1"/>
  <c r="U418" i="34"/>
  <c r="V417" i="34" a="1"/>
  <c r="V417" i="34" s="1"/>
  <c r="U417" i="34"/>
  <c r="V416" i="34" a="1"/>
  <c r="V416" i="34" s="1"/>
  <c r="U416" i="34"/>
  <c r="V415" i="34" a="1"/>
  <c r="V415" i="34" s="1"/>
  <c r="U415" i="34"/>
  <c r="V414" i="34" a="1"/>
  <c r="V414" i="34" s="1"/>
  <c r="U414" i="34"/>
  <c r="V413" i="34" a="1"/>
  <c r="V413" i="34" s="1"/>
  <c r="U413" i="34"/>
  <c r="V412" i="34" a="1"/>
  <c r="V412" i="34" s="1"/>
  <c r="U412" i="34"/>
  <c r="V411" i="34" a="1"/>
  <c r="V411" i="34" s="1"/>
  <c r="U411" i="34"/>
  <c r="V410" i="34" a="1"/>
  <c r="V410" i="34" s="1"/>
  <c r="U410" i="34"/>
  <c r="V409" i="34" a="1"/>
  <c r="V409" i="34" s="1"/>
  <c r="U409" i="34"/>
  <c r="V408" i="34" a="1"/>
  <c r="V408" i="34" s="1"/>
  <c r="U408" i="34"/>
  <c r="V407" i="34" a="1"/>
  <c r="V407" i="34" s="1"/>
  <c r="U407" i="34"/>
  <c r="V406" i="34" a="1"/>
  <c r="V406" i="34" s="1"/>
  <c r="U406" i="34"/>
  <c r="V405" i="34" a="1"/>
  <c r="V405" i="34" s="1"/>
  <c r="U405" i="34"/>
  <c r="V404" i="34" a="1"/>
  <c r="V404" i="34" s="1"/>
  <c r="U404" i="34"/>
  <c r="V403" i="34" a="1"/>
  <c r="V403" i="34" s="1"/>
  <c r="U403" i="34"/>
  <c r="V402" i="34" a="1"/>
  <c r="V402" i="34" s="1"/>
  <c r="U402" i="34"/>
  <c r="V401" i="34" a="1"/>
  <c r="V401" i="34" s="1"/>
  <c r="U401" i="34"/>
  <c r="V400" i="34" a="1"/>
  <c r="V400" i="34" s="1"/>
  <c r="U400" i="34"/>
  <c r="V399" i="34" a="1"/>
  <c r="V399" i="34" s="1"/>
  <c r="U399" i="34"/>
  <c r="V398" i="34" a="1"/>
  <c r="V398" i="34" s="1"/>
  <c r="U398" i="34"/>
  <c r="V397" i="34" a="1"/>
  <c r="V397" i="34" s="1"/>
  <c r="U397" i="34"/>
  <c r="V396" i="34" a="1"/>
  <c r="V396" i="34" s="1"/>
  <c r="U396" i="34"/>
  <c r="V395" i="34" a="1"/>
  <c r="V395" i="34" s="1"/>
  <c r="U395" i="34"/>
  <c r="V394" i="34" a="1"/>
  <c r="V394" i="34" s="1"/>
  <c r="U394" i="34"/>
  <c r="V393" i="34" a="1"/>
  <c r="V393" i="34" s="1"/>
  <c r="U393" i="34"/>
  <c r="V392" i="34" a="1"/>
  <c r="V392" i="34" s="1"/>
  <c r="U392" i="34"/>
  <c r="V391" i="34" a="1"/>
  <c r="V391" i="34" s="1"/>
  <c r="U391" i="34"/>
  <c r="V390" i="34" a="1"/>
  <c r="V390" i="34" s="1"/>
  <c r="U390" i="34"/>
  <c r="V389" i="34" a="1"/>
  <c r="V389" i="34" s="1"/>
  <c r="U389" i="34"/>
  <c r="V388" i="34" a="1"/>
  <c r="V388" i="34" s="1"/>
  <c r="U388" i="34"/>
  <c r="V387" i="34" a="1"/>
  <c r="V387" i="34" s="1"/>
  <c r="U387" i="34"/>
  <c r="V386" i="34" a="1"/>
  <c r="V386" i="34" s="1"/>
  <c r="U386" i="34"/>
  <c r="V385" i="34" a="1"/>
  <c r="V385" i="34" s="1"/>
  <c r="U385" i="34"/>
  <c r="V384" i="34" a="1"/>
  <c r="V384" i="34" s="1"/>
  <c r="U384" i="34"/>
  <c r="V383" i="34" a="1"/>
  <c r="V383" i="34" s="1"/>
  <c r="U383" i="34"/>
  <c r="V382" i="34" a="1"/>
  <c r="V382" i="34" s="1"/>
  <c r="U382" i="34"/>
  <c r="V381" i="34" a="1"/>
  <c r="V381" i="34" s="1"/>
  <c r="U381" i="34"/>
  <c r="V380" i="34" a="1"/>
  <c r="V380" i="34" s="1"/>
  <c r="U380" i="34"/>
  <c r="V379" i="34" a="1"/>
  <c r="V379" i="34" s="1"/>
  <c r="U379" i="34"/>
  <c r="V378" i="34" a="1"/>
  <c r="V378" i="34" s="1"/>
  <c r="U378" i="34"/>
  <c r="V377" i="34" a="1"/>
  <c r="V377" i="34" s="1"/>
  <c r="U377" i="34"/>
  <c r="V376" i="34" a="1"/>
  <c r="V376" i="34" s="1"/>
  <c r="U376" i="34"/>
  <c r="V375" i="34" a="1"/>
  <c r="V375" i="34" s="1"/>
  <c r="U375" i="34"/>
  <c r="V374" i="34" a="1"/>
  <c r="V374" i="34" s="1"/>
  <c r="U374" i="34"/>
  <c r="V373" i="34" a="1"/>
  <c r="V373" i="34" s="1"/>
  <c r="U373" i="34"/>
  <c r="V372" i="34" a="1"/>
  <c r="V372" i="34" s="1"/>
  <c r="U372" i="34"/>
  <c r="V371" i="34" a="1"/>
  <c r="V371" i="34" s="1"/>
  <c r="U371" i="34"/>
  <c r="V370" i="34" a="1"/>
  <c r="V370" i="34" s="1"/>
  <c r="U370" i="34"/>
  <c r="V369" i="34" a="1"/>
  <c r="V369" i="34" s="1"/>
  <c r="U369" i="34"/>
  <c r="V368" i="34" a="1"/>
  <c r="V368" i="34" s="1"/>
  <c r="U368" i="34"/>
  <c r="V367" i="34" a="1"/>
  <c r="V367" i="34" s="1"/>
  <c r="U367" i="34"/>
  <c r="V366" i="34" a="1"/>
  <c r="V366" i="34" s="1"/>
  <c r="U366" i="34"/>
  <c r="V365" i="34" a="1"/>
  <c r="V365" i="34" s="1"/>
  <c r="U365" i="34"/>
  <c r="V364" i="34" a="1"/>
  <c r="V364" i="34" s="1"/>
  <c r="U364" i="34"/>
  <c r="V363" i="34" a="1"/>
  <c r="V363" i="34" s="1"/>
  <c r="U363" i="34"/>
  <c r="V362" i="34" a="1"/>
  <c r="V362" i="34" s="1"/>
  <c r="U362" i="34"/>
  <c r="V361" i="34" a="1"/>
  <c r="V361" i="34" s="1"/>
  <c r="U361" i="34"/>
  <c r="V360" i="34" a="1"/>
  <c r="V360" i="34" s="1"/>
  <c r="U360" i="34"/>
  <c r="V359" i="34" a="1"/>
  <c r="V359" i="34" s="1"/>
  <c r="U359" i="34"/>
  <c r="V358" i="34" a="1"/>
  <c r="V358" i="34" s="1"/>
  <c r="U358" i="34"/>
  <c r="V357" i="34" a="1"/>
  <c r="V357" i="34" s="1"/>
  <c r="U357" i="34"/>
  <c r="V356" i="34" a="1"/>
  <c r="V356" i="34" s="1"/>
  <c r="U356" i="34"/>
  <c r="V355" i="34" a="1"/>
  <c r="V355" i="34" s="1"/>
  <c r="U355" i="34"/>
  <c r="V354" i="34" a="1"/>
  <c r="V354" i="34" s="1"/>
  <c r="U354" i="34"/>
  <c r="V353" i="34" a="1"/>
  <c r="V353" i="34" s="1"/>
  <c r="U353" i="34"/>
  <c r="V352" i="34" a="1"/>
  <c r="V352" i="34" s="1"/>
  <c r="U352" i="34"/>
  <c r="V351" i="34" a="1"/>
  <c r="V351" i="34" s="1"/>
  <c r="U351" i="34"/>
  <c r="V350" i="34" a="1"/>
  <c r="V350" i="34" s="1"/>
  <c r="U350" i="34"/>
  <c r="V349" i="34" a="1"/>
  <c r="V349" i="34" s="1"/>
  <c r="U349" i="34"/>
  <c r="V348" i="34" a="1"/>
  <c r="V348" i="34" s="1"/>
  <c r="U348" i="34"/>
  <c r="V347" i="34" a="1"/>
  <c r="V347" i="34" s="1"/>
  <c r="U347" i="34"/>
  <c r="V346" i="34" a="1"/>
  <c r="V346" i="34" s="1"/>
  <c r="U346" i="34"/>
  <c r="V345" i="34" a="1"/>
  <c r="V345" i="34" s="1"/>
  <c r="U345" i="34"/>
  <c r="V344" i="34" a="1"/>
  <c r="V344" i="34" s="1"/>
  <c r="U344" i="34"/>
  <c r="V343" i="34" a="1"/>
  <c r="V343" i="34" s="1"/>
  <c r="U343" i="34"/>
  <c r="V342" i="34" a="1"/>
  <c r="V342" i="34" s="1"/>
  <c r="U342" i="34"/>
  <c r="V341" i="34" a="1"/>
  <c r="V341" i="34" s="1"/>
  <c r="U341" i="34"/>
  <c r="V340" i="34" a="1"/>
  <c r="V340" i="34" s="1"/>
  <c r="U340" i="34"/>
  <c r="V339" i="34" a="1"/>
  <c r="V339" i="34" s="1"/>
  <c r="U339" i="34"/>
  <c r="V338" i="34" a="1"/>
  <c r="V338" i="34" s="1"/>
  <c r="U338" i="34"/>
  <c r="V337" i="34" a="1"/>
  <c r="V337" i="34" s="1"/>
  <c r="U337" i="34"/>
  <c r="V336" i="34" a="1"/>
  <c r="V336" i="34" s="1"/>
  <c r="U336" i="34"/>
  <c r="V335" i="34" a="1"/>
  <c r="V335" i="34" s="1"/>
  <c r="U335" i="34"/>
  <c r="V334" i="34" a="1"/>
  <c r="V334" i="34" s="1"/>
  <c r="U334" i="34"/>
  <c r="V333" i="34" a="1"/>
  <c r="V333" i="34" s="1"/>
  <c r="U333" i="34"/>
  <c r="V332" i="34" a="1"/>
  <c r="V332" i="34" s="1"/>
  <c r="U332" i="34"/>
  <c r="V331" i="34" a="1"/>
  <c r="V331" i="34" s="1"/>
  <c r="U331" i="34"/>
  <c r="V330" i="34" a="1"/>
  <c r="V330" i="34" s="1"/>
  <c r="U330" i="34"/>
  <c r="V329" i="34" a="1"/>
  <c r="V329" i="34" s="1"/>
  <c r="U329" i="34"/>
  <c r="V328" i="34" a="1"/>
  <c r="V328" i="34" s="1"/>
  <c r="U328" i="34"/>
  <c r="V327" i="34" a="1"/>
  <c r="V327" i="34" s="1"/>
  <c r="U327" i="34"/>
  <c r="V326" i="34" a="1"/>
  <c r="V326" i="34" s="1"/>
  <c r="U326" i="34"/>
  <c r="V325" i="34" a="1"/>
  <c r="V325" i="34" s="1"/>
  <c r="U325" i="34"/>
  <c r="V324" i="34" a="1"/>
  <c r="V324" i="34" s="1"/>
  <c r="U324" i="34"/>
  <c r="V323" i="34" a="1"/>
  <c r="V323" i="34" s="1"/>
  <c r="U323" i="34"/>
  <c r="V322" i="34" a="1"/>
  <c r="V322" i="34" s="1"/>
  <c r="U322" i="34"/>
  <c r="V321" i="34" a="1"/>
  <c r="V321" i="34" s="1"/>
  <c r="U321" i="34"/>
  <c r="V320" i="34" a="1"/>
  <c r="V320" i="34" s="1"/>
  <c r="U320" i="34"/>
  <c r="V319" i="34" a="1"/>
  <c r="V319" i="34" s="1"/>
  <c r="U319" i="34"/>
  <c r="V318" i="34" a="1"/>
  <c r="V318" i="34" s="1"/>
  <c r="U318" i="34"/>
  <c r="V317" i="34" a="1"/>
  <c r="V317" i="34" s="1"/>
  <c r="U317" i="34"/>
  <c r="V316" i="34" a="1"/>
  <c r="V316" i="34" s="1"/>
  <c r="U316" i="34"/>
  <c r="V315" i="34" a="1"/>
  <c r="V315" i="34" s="1"/>
  <c r="U315" i="34"/>
  <c r="V314" i="34" a="1"/>
  <c r="V314" i="34" s="1"/>
  <c r="U314" i="34"/>
  <c r="V313" i="34" a="1"/>
  <c r="V313" i="34" s="1"/>
  <c r="U313" i="34"/>
  <c r="V312" i="34" a="1"/>
  <c r="V312" i="34" s="1"/>
  <c r="U312" i="34"/>
  <c r="V311" i="34" a="1"/>
  <c r="V311" i="34" s="1"/>
  <c r="U311" i="34"/>
  <c r="V310" i="34" a="1"/>
  <c r="V310" i="34" s="1"/>
  <c r="U310" i="34"/>
  <c r="V309" i="34" a="1"/>
  <c r="V309" i="34" s="1"/>
  <c r="U309" i="34"/>
  <c r="V308" i="34" a="1"/>
  <c r="V308" i="34" s="1"/>
  <c r="U308" i="34"/>
  <c r="V307" i="34" a="1"/>
  <c r="V307" i="34" s="1"/>
  <c r="U307" i="34"/>
  <c r="V306" i="34" a="1"/>
  <c r="V306" i="34" s="1"/>
  <c r="U306" i="34"/>
  <c r="V305" i="34" a="1"/>
  <c r="V305" i="34" s="1"/>
  <c r="U305" i="34"/>
  <c r="V304" i="34" a="1"/>
  <c r="V304" i="34" s="1"/>
  <c r="U304" i="34"/>
  <c r="V303" i="34" a="1"/>
  <c r="V303" i="34" s="1"/>
  <c r="U303" i="34"/>
  <c r="V302" i="34" a="1"/>
  <c r="V302" i="34" s="1"/>
  <c r="U302" i="34"/>
  <c r="V301" i="34" a="1"/>
  <c r="V301" i="34" s="1"/>
  <c r="U301" i="34"/>
  <c r="V300" i="34" a="1"/>
  <c r="V300" i="34" s="1"/>
  <c r="U300" i="34"/>
  <c r="V299" i="34" a="1"/>
  <c r="V299" i="34" s="1"/>
  <c r="U299" i="34"/>
  <c r="V298" i="34" a="1"/>
  <c r="V298" i="34" s="1"/>
  <c r="U298" i="34"/>
  <c r="V297" i="34" a="1"/>
  <c r="V297" i="34" s="1"/>
  <c r="U297" i="34"/>
  <c r="V296" i="34" a="1"/>
  <c r="V296" i="34" s="1"/>
  <c r="U296" i="34"/>
  <c r="V295" i="34" a="1"/>
  <c r="V295" i="34" s="1"/>
  <c r="U295" i="34"/>
  <c r="V294" i="34" a="1"/>
  <c r="V294" i="34" s="1"/>
  <c r="U294" i="34"/>
  <c r="V293" i="34" a="1"/>
  <c r="V293" i="34" s="1"/>
  <c r="U293" i="34"/>
  <c r="V292" i="34" a="1"/>
  <c r="V292" i="34" s="1"/>
  <c r="U292" i="34"/>
  <c r="V291" i="34" a="1"/>
  <c r="V291" i="34" s="1"/>
  <c r="U291" i="34"/>
  <c r="V290" i="34" a="1"/>
  <c r="V290" i="34" s="1"/>
  <c r="U290" i="34"/>
  <c r="V289" i="34" a="1"/>
  <c r="V289" i="34" s="1"/>
  <c r="U289" i="34"/>
  <c r="V288" i="34" a="1"/>
  <c r="V288" i="34" s="1"/>
  <c r="U288" i="34"/>
  <c r="V287" i="34" a="1"/>
  <c r="V287" i="34" s="1"/>
  <c r="U287" i="34"/>
  <c r="V286" i="34" a="1"/>
  <c r="V286" i="34" s="1"/>
  <c r="U286" i="34"/>
  <c r="V285" i="34" a="1"/>
  <c r="V285" i="34" s="1"/>
  <c r="U285" i="34"/>
  <c r="V284" i="34" a="1"/>
  <c r="V284" i="34" s="1"/>
  <c r="U284" i="34"/>
  <c r="V283" i="34" a="1"/>
  <c r="V283" i="34" s="1"/>
  <c r="U283" i="34"/>
  <c r="V282" i="34" a="1"/>
  <c r="V282" i="34" s="1"/>
  <c r="U282" i="34"/>
  <c r="V281" i="34" a="1"/>
  <c r="V281" i="34" s="1"/>
  <c r="U281" i="34"/>
  <c r="V280" i="34" a="1"/>
  <c r="V280" i="34" s="1"/>
  <c r="U280" i="34"/>
  <c r="V279" i="34" a="1"/>
  <c r="V279" i="34" s="1"/>
  <c r="U279" i="34"/>
  <c r="V278" i="34" a="1"/>
  <c r="V278" i="34" s="1"/>
  <c r="U278" i="34"/>
  <c r="V277" i="34" a="1"/>
  <c r="V277" i="34" s="1"/>
  <c r="U277" i="34"/>
  <c r="V276" i="34" a="1"/>
  <c r="V276" i="34" s="1"/>
  <c r="U276" i="34"/>
  <c r="V275" i="34" a="1"/>
  <c r="V275" i="34" s="1"/>
  <c r="U275" i="34"/>
  <c r="V274" i="34" a="1"/>
  <c r="V274" i="34" s="1"/>
  <c r="U274" i="34"/>
  <c r="V273" i="34" a="1"/>
  <c r="V273" i="34" s="1"/>
  <c r="U273" i="34"/>
  <c r="V272" i="34" a="1"/>
  <c r="V272" i="34" s="1"/>
  <c r="U272" i="34"/>
  <c r="V271" i="34" a="1"/>
  <c r="V271" i="34" s="1"/>
  <c r="U271" i="34"/>
  <c r="V270" i="34" a="1"/>
  <c r="V270" i="34" s="1"/>
  <c r="U270" i="34"/>
  <c r="V269" i="34" a="1"/>
  <c r="V269" i="34" s="1"/>
  <c r="U269" i="34"/>
  <c r="V268" i="34" a="1"/>
  <c r="V268" i="34" s="1"/>
  <c r="U268" i="34"/>
  <c r="V267" i="34" a="1"/>
  <c r="V267" i="34" s="1"/>
  <c r="U267" i="34"/>
  <c r="V266" i="34" a="1"/>
  <c r="V266" i="34" s="1"/>
  <c r="U266" i="34"/>
  <c r="V265" i="34" a="1"/>
  <c r="V265" i="34" s="1"/>
  <c r="U265" i="34"/>
  <c r="V264" i="34" a="1"/>
  <c r="V264" i="34" s="1"/>
  <c r="U264" i="34"/>
  <c r="V263" i="34" a="1"/>
  <c r="V263" i="34" s="1"/>
  <c r="U263" i="34"/>
  <c r="V262" i="34" a="1"/>
  <c r="V262" i="34" s="1"/>
  <c r="U262" i="34"/>
  <c r="V261" i="34" a="1"/>
  <c r="V261" i="34" s="1"/>
  <c r="U261" i="34"/>
  <c r="V260" i="34" a="1"/>
  <c r="V260" i="34" s="1"/>
  <c r="U260" i="34"/>
  <c r="V259" i="34" a="1"/>
  <c r="V259" i="34" s="1"/>
  <c r="U259" i="34"/>
  <c r="V258" i="34" a="1"/>
  <c r="V258" i="34" s="1"/>
  <c r="U258" i="34"/>
  <c r="V257" i="34" a="1"/>
  <c r="V257" i="34" s="1"/>
  <c r="U257" i="34"/>
  <c r="V256" i="34" a="1"/>
  <c r="V256" i="34" s="1"/>
  <c r="U256" i="34"/>
  <c r="V255" i="34" a="1"/>
  <c r="V255" i="34" s="1"/>
  <c r="U255" i="34"/>
  <c r="V254" i="34" a="1"/>
  <c r="V254" i="34" s="1"/>
  <c r="U254" i="34"/>
  <c r="V253" i="34" a="1"/>
  <c r="V253" i="34" s="1"/>
  <c r="U253" i="34"/>
  <c r="V252" i="34" a="1"/>
  <c r="V252" i="34" s="1"/>
  <c r="U252" i="34"/>
  <c r="V251" i="34" a="1"/>
  <c r="V251" i="34" s="1"/>
  <c r="U251" i="34"/>
  <c r="V250" i="34" a="1"/>
  <c r="V250" i="34" s="1"/>
  <c r="U250" i="34"/>
  <c r="V249" i="34" a="1"/>
  <c r="V249" i="34" s="1"/>
  <c r="U249" i="34"/>
  <c r="V248" i="34" a="1"/>
  <c r="V248" i="34" s="1"/>
  <c r="U248" i="34"/>
  <c r="V247" i="34" a="1"/>
  <c r="V247" i="34" s="1"/>
  <c r="U247" i="34"/>
  <c r="V246" i="34" a="1"/>
  <c r="V246" i="34" s="1"/>
  <c r="U246" i="34"/>
  <c r="V245" i="34" a="1"/>
  <c r="V245" i="34" s="1"/>
  <c r="U245" i="34"/>
  <c r="V244" i="34" a="1"/>
  <c r="V244" i="34" s="1"/>
  <c r="U244" i="34"/>
  <c r="V243" i="34" a="1"/>
  <c r="V243" i="34" s="1"/>
  <c r="U243" i="34"/>
  <c r="V242" i="34" a="1"/>
  <c r="V242" i="34" s="1"/>
  <c r="U242" i="34"/>
  <c r="V241" i="34" a="1"/>
  <c r="V241" i="34" s="1"/>
  <c r="U241" i="34"/>
  <c r="V240" i="34" a="1"/>
  <c r="V240" i="34" s="1"/>
  <c r="U240" i="34"/>
  <c r="V239" i="34" a="1"/>
  <c r="V239" i="34" s="1"/>
  <c r="U239" i="34"/>
  <c r="V238" i="34" a="1"/>
  <c r="V238" i="34" s="1"/>
  <c r="U238" i="34"/>
  <c r="V237" i="34" a="1"/>
  <c r="V237" i="34" s="1"/>
  <c r="U237" i="34"/>
  <c r="V236" i="34" a="1"/>
  <c r="V236" i="34" s="1"/>
  <c r="U236" i="34"/>
  <c r="V235" i="34" a="1"/>
  <c r="V235" i="34" s="1"/>
  <c r="U235" i="34"/>
  <c r="V234" i="34" a="1"/>
  <c r="V234" i="34" s="1"/>
  <c r="U234" i="34"/>
  <c r="V233" i="34" a="1"/>
  <c r="V233" i="34" s="1"/>
  <c r="U233" i="34"/>
  <c r="V232" i="34" a="1"/>
  <c r="V232" i="34" s="1"/>
  <c r="U232" i="34"/>
  <c r="V231" i="34" a="1"/>
  <c r="V231" i="34" s="1"/>
  <c r="U231" i="34"/>
  <c r="V230" i="34" a="1"/>
  <c r="V230" i="34" s="1"/>
  <c r="U230" i="34"/>
  <c r="V229" i="34" a="1"/>
  <c r="V229" i="34" s="1"/>
  <c r="U229" i="34"/>
  <c r="V228" i="34" a="1"/>
  <c r="V228" i="34" s="1"/>
  <c r="U228" i="34"/>
  <c r="V227" i="34" a="1"/>
  <c r="V227" i="34" s="1"/>
  <c r="U227" i="34"/>
  <c r="V226" i="34" a="1"/>
  <c r="V226" i="34" s="1"/>
  <c r="U226" i="34"/>
  <c r="V225" i="34" a="1"/>
  <c r="V225" i="34" s="1"/>
  <c r="U225" i="34"/>
  <c r="V224" i="34" a="1"/>
  <c r="V224" i="34" s="1"/>
  <c r="U224" i="34"/>
  <c r="V223" i="34" a="1"/>
  <c r="V223" i="34" s="1"/>
  <c r="U223" i="34"/>
  <c r="V222" i="34" a="1"/>
  <c r="V222" i="34" s="1"/>
  <c r="U222" i="34"/>
  <c r="V221" i="34" a="1"/>
  <c r="V221" i="34" s="1"/>
  <c r="U221" i="34"/>
  <c r="V220" i="34" a="1"/>
  <c r="V220" i="34" s="1"/>
  <c r="U220" i="34"/>
  <c r="V219" i="34" a="1"/>
  <c r="V219" i="34" s="1"/>
  <c r="U219" i="34"/>
  <c r="V218" i="34" a="1"/>
  <c r="V218" i="34" s="1"/>
  <c r="U218" i="34"/>
  <c r="V217" i="34" a="1"/>
  <c r="V217" i="34" s="1"/>
  <c r="U217" i="34"/>
  <c r="V216" i="34" a="1"/>
  <c r="V216" i="34" s="1"/>
  <c r="U216" i="34"/>
  <c r="V215" i="34" a="1"/>
  <c r="V215" i="34" s="1"/>
  <c r="U215" i="34"/>
  <c r="V214" i="34" a="1"/>
  <c r="V214" i="34" s="1"/>
  <c r="U214" i="34"/>
  <c r="V213" i="34" a="1"/>
  <c r="V213" i="34" s="1"/>
  <c r="U213" i="34"/>
  <c r="V212" i="34" a="1"/>
  <c r="V212" i="34" s="1"/>
  <c r="U212" i="34"/>
  <c r="V211" i="34" a="1"/>
  <c r="V211" i="34" s="1"/>
  <c r="U211" i="34"/>
  <c r="V210" i="34" a="1"/>
  <c r="V210" i="34" s="1"/>
  <c r="U210" i="34"/>
  <c r="V209" i="34" a="1"/>
  <c r="V209" i="34" s="1"/>
  <c r="U209" i="34"/>
  <c r="V208" i="34" a="1"/>
  <c r="V208" i="34" s="1"/>
  <c r="U208" i="34"/>
  <c r="V207" i="34" a="1"/>
  <c r="V207" i="34" s="1"/>
  <c r="U207" i="34"/>
  <c r="V206" i="34" a="1"/>
  <c r="V206" i="34" s="1"/>
  <c r="U206" i="34"/>
  <c r="V205" i="34" a="1"/>
  <c r="V205" i="34" s="1"/>
  <c r="U205" i="34"/>
  <c r="V204" i="34" a="1"/>
  <c r="V204" i="34" s="1"/>
  <c r="U204" i="34"/>
  <c r="V203" i="34" a="1"/>
  <c r="V203" i="34" s="1"/>
  <c r="U203" i="34"/>
  <c r="V202" i="34" a="1"/>
  <c r="V202" i="34" s="1"/>
  <c r="U202" i="34"/>
  <c r="V201" i="34" a="1"/>
  <c r="V201" i="34" s="1"/>
  <c r="U201" i="34"/>
  <c r="V200" i="34" a="1"/>
  <c r="V200" i="34" s="1"/>
  <c r="U200" i="34"/>
  <c r="V199" i="34" a="1"/>
  <c r="V199" i="34" s="1"/>
  <c r="U199" i="34"/>
  <c r="V198" i="34" a="1"/>
  <c r="V198" i="34" s="1"/>
  <c r="U198" i="34"/>
  <c r="V197" i="34" a="1"/>
  <c r="V197" i="34" s="1"/>
  <c r="U197" i="34"/>
  <c r="V196" i="34" a="1"/>
  <c r="V196" i="34" s="1"/>
  <c r="U196" i="34"/>
  <c r="V195" i="34" a="1"/>
  <c r="V195" i="34" s="1"/>
  <c r="U195" i="34"/>
  <c r="V194" i="34" a="1"/>
  <c r="V194" i="34" s="1"/>
  <c r="U194" i="34"/>
  <c r="V193" i="34" a="1"/>
  <c r="V193" i="34" s="1"/>
  <c r="U193" i="34"/>
  <c r="V192" i="34" a="1"/>
  <c r="V192" i="34" s="1"/>
  <c r="U192" i="34"/>
  <c r="V191" i="34" a="1"/>
  <c r="V191" i="34" s="1"/>
  <c r="U191" i="34"/>
  <c r="V190" i="34" a="1"/>
  <c r="V190" i="34" s="1"/>
  <c r="U190" i="34"/>
  <c r="V189" i="34" a="1"/>
  <c r="V189" i="34" s="1"/>
  <c r="U189" i="34"/>
  <c r="V188" i="34" a="1"/>
  <c r="V188" i="34" s="1"/>
  <c r="U188" i="34"/>
  <c r="V187" i="34" a="1"/>
  <c r="V187" i="34" s="1"/>
  <c r="U187" i="34"/>
  <c r="V186" i="34" a="1"/>
  <c r="V186" i="34" s="1"/>
  <c r="U186" i="34"/>
  <c r="V185" i="34" a="1"/>
  <c r="V185" i="34" s="1"/>
  <c r="U185" i="34"/>
  <c r="V184" i="34" a="1"/>
  <c r="V184" i="34" s="1"/>
  <c r="U184" i="34"/>
  <c r="V183" i="34" a="1"/>
  <c r="V183" i="34" s="1"/>
  <c r="U183" i="34"/>
  <c r="V182" i="34" a="1"/>
  <c r="V182" i="34" s="1"/>
  <c r="U182" i="34"/>
  <c r="V181" i="34" a="1"/>
  <c r="V181" i="34" s="1"/>
  <c r="U181" i="34"/>
  <c r="V180" i="34" a="1"/>
  <c r="V180" i="34" s="1"/>
  <c r="U180" i="34"/>
  <c r="V179" i="34" a="1"/>
  <c r="V179" i="34" s="1"/>
  <c r="U179" i="34"/>
  <c r="V178" i="34" a="1"/>
  <c r="V178" i="34" s="1"/>
  <c r="U178" i="34"/>
  <c r="V177" i="34" a="1"/>
  <c r="V177" i="34" s="1"/>
  <c r="U177" i="34"/>
  <c r="V176" i="34" a="1"/>
  <c r="V176" i="34" s="1"/>
  <c r="U176" i="34"/>
  <c r="V175" i="34" a="1"/>
  <c r="V175" i="34" s="1"/>
  <c r="U175" i="34"/>
  <c r="V174" i="34" a="1"/>
  <c r="V174" i="34" s="1"/>
  <c r="U174" i="34"/>
  <c r="V173" i="34" a="1"/>
  <c r="V173" i="34" s="1"/>
  <c r="U173" i="34"/>
  <c r="V172" i="34" a="1"/>
  <c r="V172" i="34" s="1"/>
  <c r="U172" i="34"/>
  <c r="V171" i="34" a="1"/>
  <c r="V171" i="34" s="1"/>
  <c r="U171" i="34"/>
  <c r="V170" i="34" a="1"/>
  <c r="V170" i="34" s="1"/>
  <c r="U170" i="34"/>
  <c r="V169" i="34" a="1"/>
  <c r="V169" i="34" s="1"/>
  <c r="U169" i="34"/>
  <c r="V168" i="34" a="1"/>
  <c r="V168" i="34" s="1"/>
  <c r="U168" i="34"/>
  <c r="V167" i="34" a="1"/>
  <c r="V167" i="34" s="1"/>
  <c r="U167" i="34"/>
  <c r="V166" i="34" a="1"/>
  <c r="V166" i="34" s="1"/>
  <c r="U166" i="34"/>
  <c r="V165" i="34" a="1"/>
  <c r="V165" i="34" s="1"/>
  <c r="U165" i="34"/>
  <c r="V164" i="34" a="1"/>
  <c r="V164" i="34" s="1"/>
  <c r="U164" i="34"/>
  <c r="V163" i="34" a="1"/>
  <c r="V163" i="34" s="1"/>
  <c r="U163" i="34"/>
  <c r="V162" i="34" a="1"/>
  <c r="V162" i="34" s="1"/>
  <c r="U162" i="34"/>
  <c r="V161" i="34" a="1"/>
  <c r="V161" i="34" s="1"/>
  <c r="U161" i="34"/>
  <c r="V160" i="34" a="1"/>
  <c r="V160" i="34" s="1"/>
  <c r="U160" i="34"/>
  <c r="V159" i="34" a="1"/>
  <c r="V159" i="34" s="1"/>
  <c r="U159" i="34"/>
  <c r="V158" i="34" a="1"/>
  <c r="V158" i="34" s="1"/>
  <c r="U158" i="34"/>
  <c r="V157" i="34" a="1"/>
  <c r="V157" i="34" s="1"/>
  <c r="U157" i="34"/>
  <c r="V156" i="34" a="1"/>
  <c r="V156" i="34" s="1"/>
  <c r="U156" i="34"/>
  <c r="V155" i="34" a="1"/>
  <c r="V155" i="34" s="1"/>
  <c r="U155" i="34"/>
  <c r="V154" i="34" a="1"/>
  <c r="V154" i="34" s="1"/>
  <c r="U154" i="34"/>
  <c r="V153" i="34" a="1"/>
  <c r="V153" i="34" s="1"/>
  <c r="U153" i="34"/>
  <c r="V152" i="34" a="1"/>
  <c r="V152" i="34" s="1"/>
  <c r="U152" i="34"/>
  <c r="V151" i="34" a="1"/>
  <c r="V151" i="34" s="1"/>
  <c r="U151" i="34"/>
  <c r="V150" i="34" a="1"/>
  <c r="V150" i="34" s="1"/>
  <c r="U150" i="34"/>
  <c r="V149" i="34" a="1"/>
  <c r="V149" i="34" s="1"/>
  <c r="U149" i="34"/>
  <c r="V148" i="34" a="1"/>
  <c r="V148" i="34" s="1"/>
  <c r="U148" i="34"/>
  <c r="V147" i="34" a="1"/>
  <c r="V147" i="34" s="1"/>
  <c r="U147" i="34"/>
  <c r="V146" i="34" a="1"/>
  <c r="V146" i="34" s="1"/>
  <c r="U146" i="34"/>
  <c r="V145" i="34" a="1"/>
  <c r="V145" i="34" s="1"/>
  <c r="U145" i="34"/>
  <c r="V144" i="34" a="1"/>
  <c r="V144" i="34" s="1"/>
  <c r="U144" i="34"/>
  <c r="V143" i="34" a="1"/>
  <c r="V143" i="34" s="1"/>
  <c r="U143" i="34"/>
  <c r="V142" i="34" a="1"/>
  <c r="V142" i="34" s="1"/>
  <c r="U142" i="34"/>
  <c r="V141" i="34" a="1"/>
  <c r="V141" i="34" s="1"/>
  <c r="U141" i="34"/>
  <c r="V140" i="34" a="1"/>
  <c r="V140" i="34" s="1"/>
  <c r="U140" i="34"/>
  <c r="V139" i="34" a="1"/>
  <c r="V139" i="34" s="1"/>
  <c r="U139" i="34"/>
  <c r="V138" i="34" a="1"/>
  <c r="V138" i="34" s="1"/>
  <c r="U138" i="34"/>
  <c r="V137" i="34" a="1"/>
  <c r="V137" i="34" s="1"/>
  <c r="U137" i="34"/>
  <c r="V136" i="34" a="1"/>
  <c r="V136" i="34" s="1"/>
  <c r="U136" i="34"/>
  <c r="V135" i="34" a="1"/>
  <c r="V135" i="34" s="1"/>
  <c r="U135" i="34"/>
  <c r="V134" i="34" a="1"/>
  <c r="V134" i="34" s="1"/>
  <c r="U134" i="34"/>
  <c r="V133" i="34" a="1"/>
  <c r="V133" i="34" s="1"/>
  <c r="U133" i="34"/>
  <c r="V132" i="34" a="1"/>
  <c r="V132" i="34" s="1"/>
  <c r="U132" i="34"/>
  <c r="V131" i="34" a="1"/>
  <c r="V131" i="34" s="1"/>
  <c r="U131" i="34"/>
  <c r="V130" i="34" a="1"/>
  <c r="V130" i="34" s="1"/>
  <c r="U130" i="34"/>
  <c r="V129" i="34" a="1"/>
  <c r="V129" i="34" s="1"/>
  <c r="U129" i="34"/>
  <c r="V128" i="34" a="1"/>
  <c r="V128" i="34" s="1"/>
  <c r="U128" i="34"/>
  <c r="V127" i="34" a="1"/>
  <c r="V127" i="34" s="1"/>
  <c r="U127" i="34"/>
  <c r="V126" i="34" a="1"/>
  <c r="V126" i="34" s="1"/>
  <c r="U126" i="34"/>
  <c r="V125" i="34" a="1"/>
  <c r="V125" i="34" s="1"/>
  <c r="U125" i="34"/>
  <c r="V124" i="34" a="1"/>
  <c r="V124" i="34" s="1"/>
  <c r="U124" i="34"/>
  <c r="V123" i="34" a="1"/>
  <c r="V123" i="34" s="1"/>
  <c r="U123" i="34"/>
  <c r="V122" i="34" a="1"/>
  <c r="V122" i="34" s="1"/>
  <c r="U122" i="34"/>
  <c r="V121" i="34" a="1"/>
  <c r="V121" i="34" s="1"/>
  <c r="U121" i="34"/>
  <c r="V120" i="34" a="1"/>
  <c r="V120" i="34" s="1"/>
  <c r="U120" i="34"/>
  <c r="V119" i="34" a="1"/>
  <c r="V119" i="34" s="1"/>
  <c r="U119" i="34"/>
  <c r="V118" i="34" a="1"/>
  <c r="V118" i="34" s="1"/>
  <c r="U118" i="34"/>
  <c r="V117" i="34" a="1"/>
  <c r="V117" i="34" s="1"/>
  <c r="U117" i="34"/>
  <c r="V116" i="34" a="1"/>
  <c r="V116" i="34" s="1"/>
  <c r="U116" i="34"/>
  <c r="V115" i="34" a="1"/>
  <c r="V115" i="34" s="1"/>
  <c r="U115" i="34"/>
  <c r="V114" i="34" a="1"/>
  <c r="V114" i="34" s="1"/>
  <c r="U114" i="34"/>
  <c r="V113" i="34" a="1"/>
  <c r="V113" i="34" s="1"/>
  <c r="U113" i="34"/>
  <c r="V112" i="34" a="1"/>
  <c r="V112" i="34" s="1"/>
  <c r="U112" i="34"/>
  <c r="V111" i="34" a="1"/>
  <c r="V111" i="34" s="1"/>
  <c r="U111" i="34"/>
  <c r="V110" i="34" a="1"/>
  <c r="V110" i="34" s="1"/>
  <c r="U110" i="34"/>
  <c r="V109" i="34" a="1"/>
  <c r="V109" i="34" s="1"/>
  <c r="U109" i="34"/>
  <c r="V108" i="34" a="1"/>
  <c r="V108" i="34" s="1"/>
  <c r="U108" i="34"/>
  <c r="V107" i="34" a="1"/>
  <c r="V107" i="34" s="1"/>
  <c r="U107" i="34"/>
  <c r="V106" i="34" a="1"/>
  <c r="V106" i="34" s="1"/>
  <c r="U106" i="34"/>
  <c r="V105" i="34" a="1"/>
  <c r="V105" i="34" s="1"/>
  <c r="U105" i="34"/>
  <c r="V104" i="34" a="1"/>
  <c r="V104" i="34" s="1"/>
  <c r="U104" i="34"/>
  <c r="V103" i="34" a="1"/>
  <c r="V103" i="34" s="1"/>
  <c r="U103" i="34"/>
  <c r="V102" i="34" a="1"/>
  <c r="V102" i="34" s="1"/>
  <c r="U102" i="34"/>
  <c r="V101" i="34" a="1"/>
  <c r="V101" i="34" s="1"/>
  <c r="U101" i="34"/>
  <c r="V100" i="34" a="1"/>
  <c r="V100" i="34" s="1"/>
  <c r="U100" i="34"/>
  <c r="V99" i="34" a="1"/>
  <c r="V99" i="34" s="1"/>
  <c r="U99" i="34"/>
  <c r="V98" i="34" a="1"/>
  <c r="V98" i="34" s="1"/>
  <c r="U98" i="34"/>
  <c r="V97" i="34" a="1"/>
  <c r="V97" i="34" s="1"/>
  <c r="U97" i="34"/>
  <c r="V96" i="34" a="1"/>
  <c r="V96" i="34" s="1"/>
  <c r="U96" i="34"/>
  <c r="V95" i="34" a="1"/>
  <c r="V95" i="34" s="1"/>
  <c r="U95" i="34"/>
  <c r="V94" i="34" a="1"/>
  <c r="V94" i="34" s="1"/>
  <c r="U94" i="34"/>
  <c r="V93" i="34" a="1"/>
  <c r="V93" i="34" s="1"/>
  <c r="U93" i="34"/>
  <c r="V92" i="34" a="1"/>
  <c r="V92" i="34" s="1"/>
  <c r="U92" i="34"/>
  <c r="V91" i="34" a="1"/>
  <c r="V91" i="34" s="1"/>
  <c r="U91" i="34"/>
  <c r="V90" i="34" a="1"/>
  <c r="V90" i="34" s="1"/>
  <c r="U90" i="34"/>
  <c r="V89" i="34" a="1"/>
  <c r="V89" i="34" s="1"/>
  <c r="U89" i="34"/>
  <c r="V88" i="34" a="1"/>
  <c r="V88" i="34" s="1"/>
  <c r="U88" i="34"/>
  <c r="V87" i="34" a="1"/>
  <c r="V87" i="34" s="1"/>
  <c r="U87" i="34"/>
  <c r="V86" i="34" a="1"/>
  <c r="V86" i="34" s="1"/>
  <c r="U86" i="34"/>
  <c r="V85" i="34" a="1"/>
  <c r="V85" i="34" s="1"/>
  <c r="U85" i="34"/>
  <c r="V84" i="34" a="1"/>
  <c r="V84" i="34" s="1"/>
  <c r="U84" i="34"/>
  <c r="V83" i="34" a="1"/>
  <c r="V83" i="34" s="1"/>
  <c r="U83" i="34"/>
  <c r="V82" i="34" a="1"/>
  <c r="V82" i="34" s="1"/>
  <c r="U82" i="34"/>
  <c r="V81" i="34" a="1"/>
  <c r="V81" i="34" s="1"/>
  <c r="U81" i="34"/>
  <c r="V80" i="34" a="1"/>
  <c r="V80" i="34" s="1"/>
  <c r="U80" i="34"/>
  <c r="V79" i="34" a="1"/>
  <c r="V79" i="34" s="1"/>
  <c r="U79" i="34"/>
  <c r="V78" i="34" a="1"/>
  <c r="V78" i="34" s="1"/>
  <c r="U78" i="34"/>
  <c r="V77" i="34" a="1"/>
  <c r="V77" i="34" s="1"/>
  <c r="U77" i="34"/>
  <c r="V76" i="34" a="1"/>
  <c r="V76" i="34" s="1"/>
  <c r="U76" i="34"/>
  <c r="V75" i="34" a="1"/>
  <c r="V75" i="34" s="1"/>
  <c r="U75" i="34"/>
  <c r="V74" i="34" a="1"/>
  <c r="V74" i="34" s="1"/>
  <c r="U74" i="34"/>
  <c r="V73" i="34" a="1"/>
  <c r="V73" i="34" s="1"/>
  <c r="U73" i="34"/>
  <c r="V72" i="34" a="1"/>
  <c r="V72" i="34" s="1"/>
  <c r="U72" i="34"/>
  <c r="V71" i="34" a="1"/>
  <c r="V71" i="34" s="1"/>
  <c r="U71" i="34"/>
  <c r="V70" i="34" a="1"/>
  <c r="V70" i="34" s="1"/>
  <c r="U70" i="34"/>
  <c r="V69" i="34" a="1"/>
  <c r="V69" i="34" s="1"/>
  <c r="U69" i="34"/>
  <c r="V68" i="34" a="1"/>
  <c r="V68" i="34" s="1"/>
  <c r="U68" i="34"/>
  <c r="V67" i="34" a="1"/>
  <c r="V67" i="34" s="1"/>
  <c r="U67" i="34"/>
  <c r="V66" i="34" a="1"/>
  <c r="V66" i="34" s="1"/>
  <c r="U66" i="34"/>
  <c r="V65" i="34" a="1"/>
  <c r="V65" i="34" s="1"/>
  <c r="U65" i="34"/>
  <c r="V64" i="34" a="1"/>
  <c r="V64" i="34" s="1"/>
  <c r="U64" i="34"/>
  <c r="V63" i="34" a="1"/>
  <c r="V63" i="34" s="1"/>
  <c r="U63" i="34"/>
  <c r="V62" i="34" a="1"/>
  <c r="V62" i="34" s="1"/>
  <c r="U62" i="34"/>
  <c r="V61" i="34" a="1"/>
  <c r="V61" i="34" s="1"/>
  <c r="U61" i="34"/>
  <c r="V60" i="34" a="1"/>
  <c r="V60" i="34" s="1"/>
  <c r="U60" i="34"/>
  <c r="V59" i="34" a="1"/>
  <c r="V59" i="34" s="1"/>
  <c r="U59" i="34"/>
  <c r="V58" i="34" a="1"/>
  <c r="V58" i="34" s="1"/>
  <c r="U58" i="34"/>
  <c r="V57" i="34" a="1"/>
  <c r="V57" i="34" s="1"/>
  <c r="U57" i="34"/>
  <c r="V56" i="34" a="1"/>
  <c r="V56" i="34" s="1"/>
  <c r="U56" i="34"/>
  <c r="V55" i="34" a="1"/>
  <c r="V55" i="34" s="1"/>
  <c r="U55" i="34"/>
  <c r="V54" i="34" a="1"/>
  <c r="V54" i="34" s="1"/>
  <c r="U54" i="34"/>
  <c r="V53" i="34" a="1"/>
  <c r="V53" i="34" s="1"/>
  <c r="U53" i="34"/>
  <c r="V52" i="34" a="1"/>
  <c r="V52" i="34" s="1"/>
  <c r="U52" i="34"/>
  <c r="V51" i="34" a="1"/>
  <c r="V51" i="34" s="1"/>
  <c r="U51" i="34"/>
  <c r="V50" i="34" a="1"/>
  <c r="V50" i="34" s="1"/>
  <c r="U50" i="34"/>
  <c r="V49" i="34" a="1"/>
  <c r="V49" i="34" s="1"/>
  <c r="U49" i="34"/>
  <c r="V48" i="34" a="1"/>
  <c r="V48" i="34" s="1"/>
  <c r="U48" i="34"/>
  <c r="V47" i="34" a="1"/>
  <c r="V47" i="34" s="1"/>
  <c r="U47" i="34"/>
  <c r="V46" i="34" a="1"/>
  <c r="V46" i="34" s="1"/>
  <c r="U46" i="34"/>
  <c r="V45" i="34" a="1"/>
  <c r="V45" i="34" s="1"/>
  <c r="U45" i="34"/>
  <c r="V44" i="34" a="1"/>
  <c r="V44" i="34" s="1"/>
  <c r="U44" i="34"/>
  <c r="V43" i="34" a="1"/>
  <c r="V43" i="34" s="1"/>
  <c r="U43" i="34"/>
  <c r="V42" i="34" a="1"/>
  <c r="V42" i="34" s="1"/>
  <c r="U42" i="34"/>
  <c r="V41" i="34" a="1"/>
  <c r="V41" i="34" s="1"/>
  <c r="U41" i="34"/>
  <c r="V40" i="34" a="1"/>
  <c r="V40" i="34" s="1"/>
  <c r="U40" i="34"/>
  <c r="V39" i="34" a="1"/>
  <c r="V39" i="34" s="1"/>
  <c r="U39" i="34"/>
  <c r="V38" i="34" a="1"/>
  <c r="V38" i="34" s="1"/>
  <c r="U38" i="34"/>
  <c r="V37" i="34" a="1"/>
  <c r="V37" i="34" s="1"/>
  <c r="U37" i="34"/>
  <c r="V36" i="34" a="1"/>
  <c r="V36" i="34" s="1"/>
  <c r="U36" i="34"/>
  <c r="V35" i="34" a="1"/>
  <c r="V35" i="34" s="1"/>
  <c r="U35" i="34"/>
  <c r="V34" i="34" a="1"/>
  <c r="V34" i="34" s="1"/>
  <c r="U34" i="34"/>
  <c r="V33" i="34" a="1"/>
  <c r="V33" i="34" s="1"/>
  <c r="U33" i="34"/>
  <c r="V32" i="34" a="1"/>
  <c r="V32" i="34" s="1"/>
  <c r="U32" i="34"/>
  <c r="V31" i="34" a="1"/>
  <c r="V31" i="34" s="1"/>
  <c r="U31" i="34"/>
  <c r="V30" i="34" a="1"/>
  <c r="V30" i="34" s="1"/>
  <c r="U30" i="34"/>
  <c r="V29" i="34" a="1"/>
  <c r="V29" i="34" s="1"/>
  <c r="U29" i="34"/>
  <c r="V28" i="34" a="1"/>
  <c r="V28" i="34" s="1"/>
  <c r="U28" i="34"/>
  <c r="V27" i="34" a="1"/>
  <c r="V27" i="34" s="1"/>
  <c r="U27" i="34"/>
  <c r="V26" i="34" a="1"/>
  <c r="V26" i="34" s="1"/>
  <c r="U26" i="34"/>
  <c r="V25" i="34" a="1"/>
  <c r="V25" i="34" s="1"/>
  <c r="U25" i="34"/>
  <c r="V24" i="34" a="1"/>
  <c r="V24" i="34" s="1"/>
  <c r="U24" i="34"/>
  <c r="V23" i="34" a="1"/>
  <c r="V23" i="34" s="1"/>
  <c r="U23" i="34"/>
  <c r="V22" i="34" a="1"/>
  <c r="V22" i="34" s="1"/>
  <c r="U22" i="34"/>
  <c r="V21" i="34" a="1"/>
  <c r="V21" i="34" s="1"/>
  <c r="U21" i="34"/>
  <c r="V20" i="34" a="1"/>
  <c r="V20" i="34" s="1"/>
  <c r="U20" i="34"/>
  <c r="V19" i="34" a="1"/>
  <c r="V19" i="34" s="1"/>
  <c r="U19" i="34"/>
  <c r="V18" i="34" a="1"/>
  <c r="V18" i="34" s="1"/>
  <c r="U18" i="34"/>
  <c r="V17" i="34" a="1"/>
  <c r="V17" i="34" s="1"/>
  <c r="U17" i="34"/>
  <c r="V16" i="34" a="1"/>
  <c r="V16" i="34" s="1"/>
  <c r="U16" i="34"/>
  <c r="V15" i="34" a="1"/>
  <c r="V15" i="34" s="1"/>
  <c r="U15" i="34"/>
  <c r="V14" i="34" a="1"/>
  <c r="V14" i="34" s="1"/>
  <c r="U14" i="34"/>
  <c r="V13" i="34" a="1"/>
  <c r="V13" i="34" s="1"/>
  <c r="U13" i="34"/>
  <c r="V12" i="34" a="1"/>
  <c r="V12" i="34" s="1"/>
  <c r="U12" i="34"/>
  <c r="V11" i="34" a="1"/>
  <c r="V11" i="34" s="1"/>
  <c r="U11" i="34"/>
  <c r="V10" i="34" a="1"/>
  <c r="V10" i="34" s="1"/>
  <c r="U10" i="34"/>
  <c r="V9" i="34" a="1"/>
  <c r="V9" i="34" s="1"/>
  <c r="U9" i="34"/>
  <c r="V8" i="34" a="1"/>
  <c r="V8" i="34" s="1"/>
  <c r="U8" i="34"/>
  <c r="V7" i="34" a="1"/>
  <c r="V7" i="34" s="1"/>
  <c r="U7" i="34"/>
  <c r="V6" i="34" a="1"/>
  <c r="V6" i="34" s="1"/>
  <c r="U6" i="34"/>
  <c r="V5" i="34" a="1"/>
  <c r="V5" i="34" s="1"/>
  <c r="U5" i="34"/>
  <c r="V4" i="34" a="1"/>
  <c r="V4" i="34" s="1"/>
  <c r="U4" i="34"/>
  <c r="V3" i="34" a="1"/>
  <c r="V3" i="34" s="1"/>
  <c r="U3" i="34"/>
  <c r="V2" i="34" a="1"/>
  <c r="V2" i="34" s="1"/>
  <c r="U2" i="34"/>
  <c r="N141" i="41"/>
  <c r="M141" i="41"/>
  <c r="K141" i="41"/>
  <c r="J141" i="41"/>
  <c r="I141" i="41"/>
  <c r="N140" i="41"/>
  <c r="M140" i="41"/>
  <c r="L140" i="41"/>
  <c r="J140" i="41"/>
  <c r="I140" i="41"/>
  <c r="N139" i="41"/>
  <c r="M139" i="41"/>
  <c r="L139" i="41"/>
  <c r="K139" i="41"/>
  <c r="I139" i="41"/>
  <c r="N138" i="41"/>
  <c r="M138" i="41"/>
  <c r="K138" i="41"/>
  <c r="J138" i="41"/>
  <c r="I138" i="41"/>
  <c r="N137" i="41"/>
  <c r="M137" i="41"/>
  <c r="L137" i="41"/>
  <c r="J137" i="41"/>
  <c r="I137" i="41"/>
  <c r="N136" i="41"/>
  <c r="M136" i="41"/>
  <c r="L136" i="41"/>
  <c r="K136" i="41"/>
  <c r="I136" i="41"/>
  <c r="N135" i="41"/>
  <c r="M135" i="41"/>
  <c r="K135" i="41"/>
  <c r="J135" i="41"/>
  <c r="I135" i="41"/>
  <c r="N134" i="41"/>
  <c r="M134" i="41"/>
  <c r="L134" i="41"/>
  <c r="J134" i="41"/>
  <c r="I134" i="41"/>
  <c r="N133" i="41"/>
  <c r="M133" i="41"/>
  <c r="L133" i="41"/>
  <c r="K133" i="41"/>
  <c r="I133" i="41"/>
  <c r="N132" i="41"/>
  <c r="M132" i="41"/>
  <c r="K132" i="41"/>
  <c r="J132" i="41"/>
  <c r="I132" i="41"/>
  <c r="N131" i="41"/>
  <c r="M131" i="41"/>
  <c r="L131" i="41"/>
  <c r="J131" i="41"/>
  <c r="I131" i="41"/>
  <c r="N130" i="41"/>
  <c r="M130" i="41"/>
  <c r="L130" i="41"/>
  <c r="K130" i="41"/>
  <c r="I130" i="41"/>
  <c r="M129" i="41"/>
  <c r="L129" i="41"/>
  <c r="K129" i="41"/>
  <c r="J129" i="41"/>
  <c r="I129" i="41"/>
  <c r="N128" i="41"/>
  <c r="L128" i="41"/>
  <c r="K128" i="41"/>
  <c r="J128" i="41"/>
  <c r="I128" i="41"/>
  <c r="N127" i="41"/>
  <c r="M127" i="41"/>
  <c r="K127" i="41"/>
  <c r="J127" i="41"/>
  <c r="I127" i="41"/>
  <c r="N126" i="41"/>
  <c r="M126" i="41"/>
  <c r="L126" i="41"/>
  <c r="J126" i="41"/>
  <c r="I126" i="41"/>
  <c r="N125" i="41"/>
  <c r="M125" i="41"/>
  <c r="L125" i="41"/>
  <c r="K125" i="41"/>
  <c r="I125" i="41"/>
  <c r="N124" i="41"/>
  <c r="M124" i="41"/>
  <c r="K124" i="41"/>
  <c r="J124" i="41"/>
  <c r="I124" i="41"/>
  <c r="N123" i="41"/>
  <c r="M123" i="41"/>
  <c r="L123" i="41"/>
  <c r="J123" i="41"/>
  <c r="I123" i="41"/>
  <c r="N122" i="41"/>
  <c r="M122" i="41"/>
  <c r="L122" i="41"/>
  <c r="K122" i="41"/>
  <c r="I122" i="41"/>
  <c r="N20" i="41"/>
  <c r="M20" i="41"/>
  <c r="K20" i="41"/>
  <c r="J20" i="41"/>
  <c r="I20" i="41"/>
  <c r="N19" i="41"/>
  <c r="M19" i="41"/>
  <c r="L19" i="41"/>
  <c r="J19" i="41"/>
  <c r="I19" i="41"/>
  <c r="N18" i="41"/>
  <c r="M18" i="41"/>
  <c r="L18" i="41"/>
  <c r="K18" i="41"/>
  <c r="I18" i="41"/>
  <c r="N17" i="41"/>
  <c r="M17" i="41"/>
  <c r="K17" i="41"/>
  <c r="J17" i="41"/>
  <c r="I17" i="41"/>
  <c r="N16" i="41"/>
  <c r="M16" i="41"/>
  <c r="L16" i="41"/>
  <c r="J16" i="41"/>
  <c r="I16" i="41"/>
  <c r="N15" i="41"/>
  <c r="M15" i="41"/>
  <c r="L15" i="41"/>
  <c r="K15" i="41"/>
  <c r="I15" i="41"/>
  <c r="CC14" i="41"/>
  <c r="N14" i="41"/>
  <c r="M14" i="41"/>
  <c r="K14" i="41"/>
  <c r="J14" i="41"/>
  <c r="I14" i="41"/>
  <c r="CC13" i="41"/>
  <c r="N13" i="41"/>
  <c r="M13" i="41"/>
  <c r="L13" i="41"/>
  <c r="J13" i="41"/>
  <c r="I13" i="41"/>
  <c r="CC12" i="41"/>
  <c r="AJ12" i="41"/>
  <c r="N12" i="41"/>
  <c r="M12" i="41"/>
  <c r="L12" i="41"/>
  <c r="K12" i="41"/>
  <c r="I12" i="41"/>
  <c r="CC11" i="41"/>
  <c r="AJ11" i="41"/>
  <c r="N11" i="41"/>
  <c r="M11" i="41"/>
  <c r="K11" i="41"/>
  <c r="J11" i="41"/>
  <c r="I11" i="41"/>
  <c r="DT10" i="41"/>
  <c r="CC10" i="41"/>
  <c r="AJ10" i="41"/>
  <c r="N10" i="41"/>
  <c r="M10" i="41"/>
  <c r="L10" i="41"/>
  <c r="J10" i="41"/>
  <c r="I10" i="41"/>
  <c r="DT9" i="41"/>
  <c r="CC9" i="41"/>
  <c r="AU9" i="41" a="1"/>
  <c r="AU9" i="41" s="1"/>
  <c r="AT9" i="41" a="1"/>
  <c r="AT9" i="41" s="1"/>
  <c r="AS9" i="41" a="1"/>
  <c r="AS9" i="41" s="1"/>
  <c r="AR9" i="41" a="1"/>
  <c r="AR9" i="41" s="1"/>
  <c r="AQ9" i="41" a="1"/>
  <c r="AQ9" i="41" s="1"/>
  <c r="AO9" i="41" a="1"/>
  <c r="AO9" i="41" s="1"/>
  <c r="AM9" i="41" a="1"/>
  <c r="AM9" i="41" s="1"/>
  <c r="AJ9" i="41"/>
  <c r="N9" i="41"/>
  <c r="M9" i="41"/>
  <c r="L9" i="41"/>
  <c r="K9" i="41"/>
  <c r="I9" i="41"/>
  <c r="DT8" i="41"/>
  <c r="CC8" i="41"/>
  <c r="AJ8" i="41"/>
  <c r="N8" i="41"/>
  <c r="M8" i="41"/>
  <c r="L8" i="41"/>
  <c r="K8" i="41"/>
  <c r="J8" i="41"/>
  <c r="I8" i="41"/>
  <c r="DT7" i="41"/>
  <c r="CC7" i="41"/>
  <c r="AJ7" i="41"/>
  <c r="N7" i="41"/>
  <c r="M7" i="41"/>
  <c r="K7" i="41"/>
  <c r="J7" i="41"/>
  <c r="I7" i="41"/>
  <c r="DT6" i="41"/>
  <c r="CC6" i="41"/>
  <c r="AJ6" i="41"/>
  <c r="N6" i="41"/>
  <c r="M6" i="41"/>
  <c r="L6" i="41"/>
  <c r="J6" i="41"/>
  <c r="I6" i="41"/>
  <c r="DT5" i="41"/>
  <c r="CC5" i="41"/>
  <c r="AJ5" i="41"/>
  <c r="N5" i="41"/>
  <c r="M5" i="41"/>
  <c r="L5" i="41"/>
  <c r="K5" i="41"/>
  <c r="I5" i="41"/>
  <c r="DT4" i="41"/>
  <c r="CC4" i="41"/>
  <c r="AJ4" i="41"/>
  <c r="N4" i="41"/>
  <c r="M4" i="41"/>
  <c r="K4" i="41"/>
  <c r="J4" i="41"/>
  <c r="I4" i="41"/>
  <c r="DT3" i="41"/>
  <c r="CC3" i="41"/>
  <c r="AJ3" i="41"/>
  <c r="N3" i="41"/>
  <c r="M3" i="41"/>
  <c r="L3" i="41"/>
  <c r="J3" i="41"/>
  <c r="I3" i="41"/>
  <c r="DT2" i="41"/>
  <c r="CC2" i="41"/>
  <c r="AJ2" i="41"/>
  <c r="N2" i="41"/>
  <c r="M2" i="41"/>
  <c r="L2" i="41"/>
  <c r="K2" i="41"/>
  <c r="I2" i="41"/>
  <c r="I708" i="10"/>
  <c r="I702" i="10"/>
  <c r="I696" i="10"/>
  <c r="I658" i="10"/>
  <c r="I657" i="10"/>
  <c r="I656" i="10"/>
  <c r="I655" i="10"/>
  <c r="I654" i="10"/>
  <c r="I653" i="10"/>
  <c r="I652" i="10"/>
  <c r="I651" i="10"/>
  <c r="Q647" i="10"/>
  <c r="I644" i="10"/>
  <c r="Q643" i="10"/>
  <c r="I643" i="10"/>
  <c r="I626" i="10"/>
  <c r="I625" i="10"/>
  <c r="I624" i="10"/>
  <c r="I623" i="10"/>
  <c r="I622" i="10"/>
  <c r="I603" i="10"/>
  <c r="I599" i="10"/>
  <c r="I598" i="10"/>
  <c r="I597" i="10"/>
  <c r="I596" i="10"/>
  <c r="Q595" i="10"/>
  <c r="I595" i="10"/>
  <c r="Q594" i="10"/>
  <c r="I594" i="10"/>
  <c r="I573" i="10"/>
  <c r="I572" i="10"/>
  <c r="I571" i="10"/>
  <c r="Q570" i="10"/>
  <c r="Q528" i="10"/>
  <c r="I528" i="10"/>
  <c r="Q527" i="10"/>
  <c r="I527" i="10"/>
  <c r="Q526" i="10"/>
  <c r="I526" i="10"/>
  <c r="Q522" i="10"/>
  <c r="I522" i="10"/>
  <c r="Q521" i="10"/>
  <c r="I521" i="10"/>
  <c r="Q520" i="10"/>
  <c r="I520" i="10"/>
  <c r="Q519" i="10"/>
  <c r="I519" i="10"/>
  <c r="Q518" i="10"/>
  <c r="I518" i="10"/>
  <c r="Q517" i="10"/>
  <c r="I517" i="10"/>
  <c r="I513" i="10"/>
  <c r="I512" i="10"/>
  <c r="I511" i="10"/>
  <c r="I510" i="10"/>
  <c r="I509" i="10"/>
  <c r="I504" i="10"/>
  <c r="I502" i="10"/>
  <c r="I501" i="10"/>
  <c r="I500" i="10"/>
  <c r="I499" i="10"/>
  <c r="I498" i="10"/>
  <c r="I497" i="10"/>
  <c r="I491" i="10"/>
  <c r="I490" i="10"/>
  <c r="I489" i="10"/>
  <c r="I487" i="10"/>
  <c r="I486" i="10"/>
  <c r="I480" i="10"/>
  <c r="Q472" i="10"/>
  <c r="I472" i="10"/>
  <c r="Q461" i="10"/>
  <c r="I461" i="10"/>
  <c r="I457" i="10"/>
  <c r="I456" i="10"/>
  <c r="I455" i="10"/>
  <c r="Q453" i="10"/>
  <c r="I453" i="10"/>
  <c r="I448" i="10"/>
  <c r="I440" i="10"/>
  <c r="I439" i="10"/>
  <c r="Q436" i="10"/>
  <c r="I436" i="10"/>
  <c r="Q435" i="10"/>
  <c r="I435" i="10"/>
  <c r="I405" i="10"/>
  <c r="I404" i="10"/>
  <c r="I402" i="10"/>
  <c r="I401" i="10"/>
  <c r="I400" i="10"/>
  <c r="I399" i="10"/>
  <c r="I398" i="10"/>
  <c r="I397" i="10"/>
  <c r="I396" i="10"/>
  <c r="I395" i="10"/>
  <c r="I394" i="10"/>
  <c r="I393" i="10"/>
  <c r="I392" i="10"/>
  <c r="I391" i="10"/>
  <c r="I390" i="10"/>
  <c r="I385" i="10"/>
  <c r="I378" i="10"/>
  <c r="Q370" i="10"/>
  <c r="I370" i="10"/>
  <c r="Q369" i="10"/>
  <c r="I369" i="10"/>
  <c r="Q368" i="10"/>
  <c r="I368" i="10"/>
  <c r="Q363" i="10"/>
  <c r="I363" i="10"/>
  <c r="I322" i="10"/>
  <c r="I321" i="10"/>
  <c r="Q311" i="10"/>
  <c r="I311" i="10"/>
  <c r="Q310" i="10"/>
  <c r="I310" i="10"/>
  <c r="Q309" i="10"/>
  <c r="I309" i="10"/>
  <c r="Q308" i="10"/>
  <c r="I308" i="10"/>
  <c r="I307" i="10"/>
  <c r="I306" i="10"/>
  <c r="I305" i="10"/>
  <c r="I304" i="10"/>
  <c r="I303" i="10"/>
  <c r="I302" i="10"/>
  <c r="I301" i="10"/>
  <c r="I300" i="10"/>
  <c r="I299" i="10"/>
  <c r="I298" i="10"/>
  <c r="I297" i="10"/>
  <c r="I279" i="10"/>
  <c r="I276" i="10"/>
  <c r="I273" i="10"/>
  <c r="I267" i="10"/>
  <c r="I264" i="10"/>
  <c r="I263" i="10"/>
  <c r="I262" i="10"/>
  <c r="I261" i="10"/>
  <c r="I257" i="10"/>
  <c r="I244" i="10"/>
  <c r="I243" i="10"/>
  <c r="I241" i="10"/>
  <c r="I227" i="10"/>
  <c r="I226" i="10"/>
  <c r="I225" i="10"/>
  <c r="I224" i="10"/>
  <c r="I223" i="10"/>
  <c r="I222" i="10"/>
  <c r="I221" i="10"/>
  <c r="I220" i="10"/>
  <c r="I195" i="10"/>
  <c r="Q186" i="10"/>
  <c r="I186" i="10"/>
  <c r="I184" i="10"/>
  <c r="Q183" i="10"/>
  <c r="I183" i="10"/>
  <c r="I182" i="10"/>
  <c r="I181" i="10"/>
  <c r="I176" i="10"/>
  <c r="I175" i="10"/>
  <c r="I163" i="10"/>
  <c r="I159" i="10"/>
  <c r="I143" i="10"/>
  <c r="I142" i="10"/>
  <c r="I138" i="10"/>
  <c r="I137" i="10"/>
  <c r="I134" i="10"/>
  <c r="I133" i="10"/>
  <c r="I132" i="10"/>
  <c r="I130" i="10"/>
  <c r="I129" i="10"/>
  <c r="I128" i="10"/>
  <c r="I126" i="10"/>
  <c r="I125" i="10"/>
  <c r="I124" i="10"/>
  <c r="I123" i="10"/>
  <c r="I122" i="10"/>
  <c r="I120" i="10"/>
  <c r="I119" i="10"/>
  <c r="I117" i="10"/>
  <c r="I116" i="10"/>
  <c r="I114" i="10"/>
  <c r="I113" i="10"/>
  <c r="I111" i="10"/>
  <c r="I110" i="10"/>
  <c r="I109" i="10"/>
  <c r="Q104" i="10"/>
  <c r="Q103" i="10"/>
  <c r="I103" i="10"/>
  <c r="Q102" i="10"/>
  <c r="I102" i="10"/>
  <c r="I82" i="10"/>
  <c r="I81" i="10"/>
  <c r="I77" i="10"/>
  <c r="I75" i="10"/>
  <c r="I70" i="10"/>
  <c r="I69" i="10"/>
  <c r="I66" i="10"/>
  <c r="I61" i="10"/>
  <c r="I60" i="10"/>
  <c r="I59" i="10"/>
  <c r="Q57" i="10"/>
  <c r="I57" i="10"/>
  <c r="Q56" i="10"/>
  <c r="I56" i="10"/>
  <c r="I55" i="10"/>
  <c r="Q54" i="10"/>
  <c r="I54" i="10"/>
  <c r="I53" i="10"/>
  <c r="I51" i="10"/>
  <c r="Q46" i="10"/>
  <c r="I46" i="10"/>
  <c r="Q42" i="10"/>
  <c r="I42" i="10"/>
  <c r="Q41" i="10"/>
  <c r="I41" i="10"/>
  <c r="Q7" i="10"/>
  <c r="I7" i="10"/>
  <c r="I5" i="10"/>
  <c r="N141" i="37"/>
  <c r="M141" i="37"/>
  <c r="K141" i="37"/>
  <c r="J141" i="37"/>
  <c r="I141" i="37"/>
  <c r="N140" i="37"/>
  <c r="M140" i="37"/>
  <c r="L140" i="37"/>
  <c r="J140" i="37"/>
  <c r="I140" i="37"/>
  <c r="N139" i="37"/>
  <c r="M139" i="37"/>
  <c r="L139" i="37"/>
  <c r="K139" i="37"/>
  <c r="I139" i="37"/>
  <c r="N138" i="37"/>
  <c r="M138" i="37"/>
  <c r="K138" i="37"/>
  <c r="J138" i="37"/>
  <c r="I138" i="37"/>
  <c r="N137" i="37"/>
  <c r="M137" i="37"/>
  <c r="L137" i="37"/>
  <c r="J137" i="37"/>
  <c r="I137" i="37"/>
  <c r="N136" i="37"/>
  <c r="M136" i="37"/>
  <c r="L136" i="37"/>
  <c r="K136" i="37"/>
  <c r="I136" i="37"/>
  <c r="N135" i="37"/>
  <c r="M135" i="37"/>
  <c r="K135" i="37"/>
  <c r="J135" i="37"/>
  <c r="I135" i="37"/>
  <c r="N134" i="37"/>
  <c r="M134" i="37"/>
  <c r="L134" i="37"/>
  <c r="J134" i="37"/>
  <c r="I134" i="37"/>
  <c r="N133" i="37"/>
  <c r="M133" i="37"/>
  <c r="L133" i="37"/>
  <c r="K133" i="37"/>
  <c r="I133" i="37"/>
  <c r="N132" i="37"/>
  <c r="M132" i="37"/>
  <c r="K132" i="37"/>
  <c r="J132" i="37"/>
  <c r="I132" i="37"/>
  <c r="N131" i="37"/>
  <c r="M131" i="37"/>
  <c r="L131" i="37"/>
  <c r="J131" i="37"/>
  <c r="I131" i="37"/>
  <c r="N130" i="37"/>
  <c r="M130" i="37"/>
  <c r="L130" i="37"/>
  <c r="K130" i="37"/>
  <c r="I130" i="37"/>
  <c r="M129" i="37"/>
  <c r="L129" i="37"/>
  <c r="K129" i="37"/>
  <c r="J129" i="37"/>
  <c r="I129" i="37"/>
  <c r="N128" i="37"/>
  <c r="L128" i="37"/>
  <c r="K128" i="37"/>
  <c r="J128" i="37"/>
  <c r="I128" i="37"/>
  <c r="N127" i="37"/>
  <c r="M127" i="37"/>
  <c r="K127" i="37"/>
  <c r="J127" i="37"/>
  <c r="I127" i="37"/>
  <c r="N126" i="37"/>
  <c r="M126" i="37"/>
  <c r="L126" i="37"/>
  <c r="J126" i="37"/>
  <c r="I126" i="37"/>
  <c r="N125" i="37"/>
  <c r="M125" i="37"/>
  <c r="L125" i="37"/>
  <c r="K125" i="37"/>
  <c r="I125" i="37"/>
  <c r="N124" i="37"/>
  <c r="M124" i="37"/>
  <c r="K124" i="37"/>
  <c r="J124" i="37"/>
  <c r="I124" i="37"/>
  <c r="N123" i="37"/>
  <c r="M123" i="37"/>
  <c r="L123" i="37"/>
  <c r="J123" i="37"/>
  <c r="I123" i="37"/>
  <c r="N122" i="37"/>
  <c r="M122" i="37"/>
  <c r="L122" i="37"/>
  <c r="K122" i="37"/>
  <c r="I122" i="37"/>
  <c r="CD20" i="37"/>
  <c r="N20" i="37"/>
  <c r="M20" i="37"/>
  <c r="K20" i="37"/>
  <c r="J20" i="37"/>
  <c r="I20" i="37"/>
  <c r="CD19" i="37"/>
  <c r="N19" i="37"/>
  <c r="M19" i="37"/>
  <c r="L19" i="37"/>
  <c r="J19" i="37"/>
  <c r="I19" i="37"/>
  <c r="CD18" i="37"/>
  <c r="N18" i="37"/>
  <c r="M18" i="37"/>
  <c r="L18" i="37"/>
  <c r="K18" i="37"/>
  <c r="I18" i="37"/>
  <c r="CD17" i="37"/>
  <c r="N17" i="37"/>
  <c r="M17" i="37"/>
  <c r="K17" i="37"/>
  <c r="J17" i="37"/>
  <c r="I17" i="37"/>
  <c r="CD16" i="37"/>
  <c r="N16" i="37"/>
  <c r="M16" i="37"/>
  <c r="L16" i="37"/>
  <c r="J16" i="37"/>
  <c r="I16" i="37"/>
  <c r="CD15" i="37"/>
  <c r="N15" i="37"/>
  <c r="M15" i="37"/>
  <c r="L15" i="37"/>
  <c r="K15" i="37"/>
  <c r="I15" i="37"/>
  <c r="CD14" i="37"/>
  <c r="N14" i="37"/>
  <c r="M14" i="37"/>
  <c r="K14" i="37"/>
  <c r="J14" i="37"/>
  <c r="I14" i="37"/>
  <c r="CD13" i="37"/>
  <c r="N13" i="37"/>
  <c r="M13" i="37"/>
  <c r="L13" i="37"/>
  <c r="J13" i="37"/>
  <c r="I13" i="37"/>
  <c r="CD12" i="37"/>
  <c r="N12" i="37"/>
  <c r="M12" i="37"/>
  <c r="L12" i="37"/>
  <c r="K12" i="37"/>
  <c r="I12" i="37"/>
  <c r="CD11" i="37"/>
  <c r="AI11" i="37"/>
  <c r="N11" i="37"/>
  <c r="M11" i="37"/>
  <c r="K11" i="37"/>
  <c r="J11" i="37"/>
  <c r="I11" i="37"/>
  <c r="CD10" i="37"/>
  <c r="AI10" i="37"/>
  <c r="N10" i="37"/>
  <c r="M10" i="37"/>
  <c r="L10" i="37"/>
  <c r="J10" i="37"/>
  <c r="I10" i="37"/>
  <c r="CQ9" i="37" a="1"/>
  <c r="CQ9" i="37" s="1"/>
  <c r="CP9" i="37" a="1"/>
  <c r="CP9" i="37" s="1"/>
  <c r="CO9" i="37" a="1"/>
  <c r="CO9" i="37" s="1"/>
  <c r="CN9" i="37" a="1"/>
  <c r="CN9" i="37" s="1"/>
  <c r="CM9" i="37" a="1"/>
  <c r="CM9" i="37" s="1"/>
  <c r="CL9" i="37" a="1"/>
  <c r="CL9" i="37" s="1"/>
  <c r="CK9" i="37" a="1"/>
  <c r="CK9" i="37" s="1"/>
  <c r="CJ9" i="37" a="1"/>
  <c r="CJ9" i="37" s="1"/>
  <c r="CI9" i="37" a="1"/>
  <c r="CI9" i="37" s="1"/>
  <c r="CH9" i="37" a="1"/>
  <c r="CH9" i="37" s="1"/>
  <c r="CG9" i="37" a="1"/>
  <c r="CG9" i="37" s="1"/>
  <c r="CE9" i="37" a="1"/>
  <c r="CE9" i="37" s="1"/>
  <c r="CD9" i="37"/>
  <c r="AV9" i="37" a="1"/>
  <c r="AV9" i="37" s="1"/>
  <c r="AU9" i="37" a="1"/>
  <c r="AU9" i="37" s="1"/>
  <c r="AT9" i="37" a="1"/>
  <c r="AT9" i="37" s="1"/>
  <c r="AS9" i="37" a="1"/>
  <c r="AS9" i="37" s="1"/>
  <c r="AR9" i="37" a="1"/>
  <c r="AR9" i="37" s="1"/>
  <c r="AQ9" i="37" a="1"/>
  <c r="AQ9" i="37" s="1"/>
  <c r="AP9" i="37" a="1"/>
  <c r="AP9" i="37" s="1"/>
  <c r="AO9" i="37" a="1"/>
  <c r="AO9" i="37" s="1"/>
  <c r="AN9" i="37" a="1"/>
  <c r="AN9" i="37" s="1"/>
  <c r="AM9" i="37" a="1"/>
  <c r="AM9" i="37" s="1"/>
  <c r="AL9" i="37" a="1"/>
  <c r="AL9" i="37" s="1"/>
  <c r="AJ9" i="37" a="1"/>
  <c r="AJ9" i="37" s="1"/>
  <c r="AI9" i="37"/>
  <c r="N9" i="37"/>
  <c r="M9" i="37"/>
  <c r="L9" i="37"/>
  <c r="K9" i="37"/>
  <c r="I9" i="37"/>
  <c r="CD8" i="37"/>
  <c r="AI8" i="37"/>
  <c r="N8" i="37"/>
  <c r="M8" i="37"/>
  <c r="L8" i="37"/>
  <c r="K8" i="37"/>
  <c r="J8" i="37"/>
  <c r="I8" i="37"/>
  <c r="CD7" i="37"/>
  <c r="AI7" i="37"/>
  <c r="N7" i="37"/>
  <c r="M7" i="37"/>
  <c r="K7" i="37"/>
  <c r="J7" i="37"/>
  <c r="I7" i="37"/>
  <c r="CD6" i="37"/>
  <c r="AI6" i="37"/>
  <c r="N6" i="37"/>
  <c r="M6" i="37"/>
  <c r="L6" i="37"/>
  <c r="J6" i="37"/>
  <c r="I6" i="37"/>
  <c r="CD5" i="37"/>
  <c r="AI5" i="37"/>
  <c r="N5" i="37"/>
  <c r="M5" i="37"/>
  <c r="L5" i="37"/>
  <c r="K5" i="37"/>
  <c r="I5" i="37"/>
  <c r="EC4" i="37" a="1"/>
  <c r="EC4" i="37" s="1"/>
  <c r="EB4" i="37" a="1"/>
  <c r="EB4" i="37" s="1"/>
  <c r="EA4" i="37" a="1"/>
  <c r="EA4" i="37" s="1"/>
  <c r="DZ4" i="37" a="1"/>
  <c r="DZ4" i="37" s="1"/>
  <c r="DY4" i="37" a="1"/>
  <c r="DY4" i="37" s="1"/>
  <c r="DX4" i="37" a="1"/>
  <c r="DX4" i="37" s="1"/>
  <c r="DW4" i="37" a="1"/>
  <c r="DW4" i="37" s="1"/>
  <c r="DV4" i="37" a="1"/>
  <c r="DV4" i="37" s="1"/>
  <c r="DU4" i="37" a="1"/>
  <c r="DU4" i="37" s="1"/>
  <c r="DT4" i="37" a="1"/>
  <c r="DT4" i="37" s="1"/>
  <c r="DS4" i="37" a="1"/>
  <c r="DS4" i="37" s="1"/>
  <c r="DQ4" i="37" a="1"/>
  <c r="DQ4" i="37" s="1"/>
  <c r="DP4" i="37"/>
  <c r="CD4" i="37"/>
  <c r="AI4" i="37"/>
  <c r="N4" i="37"/>
  <c r="M4" i="37"/>
  <c r="K4" i="37"/>
  <c r="J4" i="37"/>
  <c r="I4" i="37"/>
  <c r="EC3" i="37" a="1"/>
  <c r="EC3" i="37" s="1"/>
  <c r="EB3" i="37" a="1"/>
  <c r="EB3" i="37" s="1"/>
  <c r="EA3" i="37" a="1"/>
  <c r="EA3" i="37" s="1"/>
  <c r="DZ3" i="37" a="1"/>
  <c r="DZ3" i="37" s="1"/>
  <c r="DY3" i="37" a="1"/>
  <c r="DY3" i="37" s="1"/>
  <c r="DX3" i="37" a="1"/>
  <c r="DX3" i="37" s="1"/>
  <c r="DW3" i="37" a="1"/>
  <c r="DW3" i="37" s="1"/>
  <c r="DV3" i="37" a="1"/>
  <c r="DV3" i="37" s="1"/>
  <c r="DU3" i="37" a="1"/>
  <c r="DU3" i="37" s="1"/>
  <c r="DT3" i="37" a="1"/>
  <c r="DT3" i="37" s="1"/>
  <c r="DS3" i="37" a="1"/>
  <c r="DS3" i="37" s="1"/>
  <c r="DQ3" i="37" a="1"/>
  <c r="DQ3" i="37" s="1"/>
  <c r="DP3" i="37"/>
  <c r="CD3" i="37"/>
  <c r="AI3" i="37"/>
  <c r="N3" i="37"/>
  <c r="M3" i="37"/>
  <c r="L3" i="37"/>
  <c r="J3" i="37"/>
  <c r="I3" i="37"/>
  <c r="EC2" i="37" a="1"/>
  <c r="EC2" i="37" s="1"/>
  <c r="EB2" i="37" a="1"/>
  <c r="EB2" i="37" s="1"/>
  <c r="EA2" i="37" a="1"/>
  <c r="EA2" i="37" s="1"/>
  <c r="DZ2" i="37" a="1"/>
  <c r="DZ2" i="37" s="1"/>
  <c r="DY2" i="37" a="1"/>
  <c r="DY2" i="37" s="1"/>
  <c r="DX2" i="37" a="1"/>
  <c r="DX2" i="37" s="1"/>
  <c r="DW2" i="37" a="1"/>
  <c r="DW2" i="37" s="1"/>
  <c r="DV2" i="37" a="1"/>
  <c r="DV2" i="37" s="1"/>
  <c r="DU2" i="37" a="1"/>
  <c r="DU2" i="37" s="1"/>
  <c r="DT2" i="37" a="1"/>
  <c r="DT2" i="37" s="1"/>
  <c r="DS2" i="37" a="1"/>
  <c r="DS2" i="37" s="1"/>
  <c r="DR2" i="37" a="1"/>
  <c r="DR2" i="37" s="1"/>
  <c r="DQ2" i="37" a="1"/>
  <c r="DQ2" i="37" s="1"/>
  <c r="DP2" i="37"/>
  <c r="CD2" i="37"/>
  <c r="AI2" i="37"/>
  <c r="N2" i="37"/>
  <c r="M2" i="37"/>
  <c r="L2" i="37"/>
  <c r="K2" i="37"/>
  <c r="I2" i="37"/>
  <c r="DN2" i="41" a="1"/>
  <c r="DO2" i="41" a="1"/>
  <c r="DL2" i="41" a="1"/>
  <c r="DK2" i="41" a="1"/>
  <c r="DQ2" i="41" a="1"/>
  <c r="R13" i="39" l="1"/>
  <c r="R22" i="39"/>
  <c r="Q209" i="34"/>
  <c r="Q202" i="34"/>
  <c r="Q32" i="34"/>
  <c r="Q28" i="34"/>
  <c r="R332" i="34"/>
  <c r="R97" i="34"/>
  <c r="Q356" i="34"/>
  <c r="Q676" i="34"/>
  <c r="R65" i="34"/>
  <c r="Q84" i="34"/>
  <c r="R202" i="34"/>
  <c r="R342" i="34"/>
  <c r="R346" i="34"/>
  <c r="R331" i="34"/>
  <c r="R86" i="34"/>
  <c r="Q31" i="34"/>
  <c r="Q80" i="34"/>
  <c r="Q97" i="34"/>
  <c r="Q201" i="34"/>
  <c r="R358" i="34"/>
  <c r="Q64" i="34"/>
  <c r="Q69" i="34"/>
  <c r="Q207" i="34"/>
  <c r="R387" i="34"/>
  <c r="R30" i="34"/>
  <c r="R96" i="34"/>
  <c r="R209" i="34"/>
  <c r="R92" i="34"/>
  <c r="R78" i="34"/>
  <c r="Q34" i="34"/>
  <c r="R34" i="34"/>
  <c r="R201" i="34"/>
  <c r="R210" i="34"/>
  <c r="R356" i="34"/>
  <c r="Q59" i="34"/>
  <c r="R91" i="34"/>
  <c r="Q67" i="34"/>
  <c r="R676" i="34"/>
  <c r="R33" i="34"/>
  <c r="Q342" i="34"/>
  <c r="Q91" i="34"/>
  <c r="Q346" i="34"/>
  <c r="R84" i="34"/>
  <c r="R208" i="34"/>
  <c r="Q358" i="34"/>
  <c r="R95" i="34"/>
  <c r="R81" i="34"/>
  <c r="R69" i="34"/>
  <c r="R59" i="34"/>
  <c r="R31" i="34"/>
  <c r="Q331" i="34"/>
  <c r="R204" i="34"/>
  <c r="Q332" i="34"/>
  <c r="Q81" i="34"/>
  <c r="R29" i="34"/>
  <c r="Q30" i="34"/>
  <c r="Q205" i="34"/>
  <c r="Q208" i="34"/>
  <c r="R61" i="34"/>
  <c r="R372" i="34"/>
  <c r="Q96" i="34"/>
  <c r="Q29" i="34"/>
  <c r="Q65" i="34"/>
  <c r="Q78" i="34"/>
  <c r="Q92" i="34"/>
  <c r="Q210" i="34"/>
  <c r="Q204" i="34"/>
  <c r="R80" i="34"/>
  <c r="Q372" i="34"/>
  <c r="R28" i="34"/>
  <c r="Q387" i="34"/>
  <c r="Q33" i="34"/>
  <c r="R32" i="34"/>
  <c r="R67" i="34"/>
  <c r="R64" i="34"/>
  <c r="Q95" i="34"/>
  <c r="Q61" i="34"/>
  <c r="R205" i="34"/>
  <c r="R207" i="34"/>
  <c r="Q86" i="34"/>
  <c r="Q688" i="34"/>
  <c r="R284" i="34"/>
  <c r="Q154" i="34"/>
  <c r="R594" i="34"/>
  <c r="R100" i="34"/>
  <c r="R335" i="34"/>
  <c r="Q124" i="34"/>
  <c r="Q284" i="34"/>
  <c r="R117" i="34"/>
  <c r="R124" i="34"/>
  <c r="R399" i="34"/>
  <c r="Q602" i="34"/>
  <c r="Q137" i="34"/>
  <c r="Q330" i="34"/>
  <c r="Q673" i="34"/>
  <c r="Q594" i="34"/>
  <c r="Q311" i="34"/>
  <c r="Q117" i="34"/>
  <c r="Q130" i="34"/>
  <c r="R137" i="34"/>
  <c r="Q116" i="34"/>
  <c r="Q110" i="34"/>
  <c r="Q600" i="34"/>
  <c r="Q139" i="34"/>
  <c r="R139" i="34"/>
  <c r="R314" i="34"/>
  <c r="R21" i="34"/>
  <c r="R343" i="34"/>
  <c r="Q314" i="34"/>
  <c r="Q319" i="34"/>
  <c r="R600" i="34"/>
  <c r="R598" i="34"/>
  <c r="R319" i="34"/>
  <c r="R311" i="34"/>
  <c r="R155" i="34"/>
  <c r="R146" i="34"/>
  <c r="R603" i="34"/>
  <c r="Q100" i="34"/>
  <c r="R130" i="34"/>
  <c r="R116" i="34"/>
  <c r="Q603" i="34"/>
  <c r="Q554" i="34"/>
  <c r="Q557" i="34"/>
  <c r="Q598" i="34"/>
  <c r="Q490" i="34"/>
  <c r="Q648" i="34"/>
  <c r="Q21" i="34"/>
  <c r="R599" i="34"/>
  <c r="Q599" i="34"/>
  <c r="R490" i="34"/>
  <c r="Q593" i="34"/>
  <c r="Q22" i="34"/>
  <c r="R330" i="34"/>
  <c r="R554" i="34"/>
  <c r="R557" i="34"/>
  <c r="R602" i="34"/>
  <c r="Q399" i="34"/>
  <c r="R648" i="34"/>
  <c r="R154" i="34"/>
  <c r="Q155" i="34"/>
  <c r="Q146" i="34"/>
  <c r="R661" i="34"/>
  <c r="R593" i="34"/>
  <c r="R688" i="34"/>
  <c r="Q335" i="34"/>
  <c r="Q343" i="34"/>
  <c r="R22" i="34"/>
  <c r="R110" i="34"/>
  <c r="R673" i="34"/>
  <c r="R111" i="34"/>
  <c r="Q111" i="34"/>
  <c r="Q661" i="34"/>
  <c r="R552" i="34"/>
  <c r="Q553" i="34"/>
  <c r="Q552" i="34"/>
  <c r="R553" i="34"/>
  <c r="R660" i="34"/>
  <c r="Q660" i="34"/>
  <c r="R195" i="34"/>
  <c r="R691" i="34"/>
  <c r="Q171" i="34"/>
  <c r="R492" i="34"/>
  <c r="Q693" i="34"/>
  <c r="R693" i="34"/>
  <c r="Q692" i="34"/>
  <c r="Q492" i="34"/>
  <c r="R171" i="34"/>
  <c r="Q444" i="34"/>
  <c r="Q691" i="34"/>
  <c r="Q195" i="34"/>
  <c r="R692" i="34"/>
  <c r="R444" i="34"/>
  <c r="R576" i="34"/>
  <c r="Q274" i="34"/>
  <c r="R338" i="34"/>
  <c r="R367" i="34"/>
  <c r="R175" i="34"/>
  <c r="Q576" i="34"/>
  <c r="R376" i="34"/>
  <c r="Q243" i="34"/>
  <c r="Q175" i="34"/>
  <c r="Q536" i="34"/>
  <c r="R153" i="34"/>
  <c r="R354" i="34"/>
  <c r="Q338" i="34"/>
  <c r="R274" i="34"/>
  <c r="Q354" i="34"/>
  <c r="Q367" i="34"/>
  <c r="Q376" i="34"/>
  <c r="R536" i="34"/>
  <c r="R243" i="34"/>
  <c r="Q153" i="34"/>
  <c r="R551" i="34"/>
  <c r="Q551" i="34"/>
  <c r="Q241" i="34"/>
  <c r="R495" i="34"/>
  <c r="R703" i="34"/>
  <c r="Q215" i="34"/>
  <c r="Q556" i="34"/>
  <c r="Q495" i="34"/>
  <c r="Q429" i="34"/>
  <c r="R704" i="34"/>
  <c r="R646" i="34"/>
  <c r="R504" i="34"/>
  <c r="R427" i="34"/>
  <c r="Q564" i="34"/>
  <c r="R571" i="34"/>
  <c r="Q571" i="34"/>
  <c r="Q267" i="34"/>
  <c r="Q20" i="34"/>
  <c r="R564" i="34"/>
  <c r="R267" i="34"/>
  <c r="R215" i="34"/>
  <c r="R149" i="34"/>
  <c r="Q398" i="34"/>
  <c r="R241" i="34"/>
  <c r="Q703" i="34"/>
  <c r="R169" i="34"/>
  <c r="Q427" i="34"/>
  <c r="Q596" i="34"/>
  <c r="R398" i="34"/>
  <c r="R437" i="34"/>
  <c r="Q388" i="34"/>
  <c r="Q504" i="34"/>
  <c r="R62" i="34"/>
  <c r="R388" i="34"/>
  <c r="Q646" i="34"/>
  <c r="Q217" i="34"/>
  <c r="Q275" i="34"/>
  <c r="R275" i="34"/>
  <c r="R556" i="34"/>
  <c r="R217" i="34"/>
  <c r="Q437" i="34"/>
  <c r="R596" i="34"/>
  <c r="R429" i="34"/>
  <c r="R167" i="34"/>
  <c r="Q704" i="34"/>
  <c r="Q149" i="34"/>
  <c r="Q62" i="34"/>
  <c r="Q169" i="34"/>
  <c r="R580" i="34"/>
  <c r="Q268" i="34"/>
  <c r="Q580" i="34"/>
  <c r="R268" i="34"/>
  <c r="Q167" i="34"/>
  <c r="R20" i="34"/>
  <c r="Q168" i="34"/>
  <c r="R168" i="34"/>
  <c r="Q25" i="34"/>
  <c r="Q216" i="34"/>
  <c r="Q643" i="34"/>
  <c r="Q650" i="34"/>
  <c r="Q159" i="34"/>
  <c r="Q193" i="34"/>
  <c r="Q222" i="34"/>
  <c r="Q334" i="34"/>
  <c r="Q350" i="34"/>
  <c r="Q361" i="34"/>
  <c r="Q396" i="34"/>
  <c r="Q163" i="34"/>
  <c r="Q415" i="34"/>
  <c r="Q443" i="34"/>
  <c r="Q477" i="34"/>
  <c r="Q192" i="34"/>
  <c r="Q628" i="34"/>
  <c r="R164" i="34"/>
  <c r="Q631" i="34"/>
  <c r="Q638" i="34"/>
  <c r="R25" i="34"/>
  <c r="Q235" i="34"/>
  <c r="R192" i="34"/>
  <c r="R162" i="34"/>
  <c r="R191" i="34"/>
  <c r="R212" i="34"/>
  <c r="R222" i="34"/>
  <c r="R226" i="34"/>
  <c r="R333" i="34"/>
  <c r="R348" i="34"/>
  <c r="R628" i="34"/>
  <c r="Q228" i="34"/>
  <c r="R632" i="34"/>
  <c r="Q238" i="34"/>
  <c r="R638" i="34"/>
  <c r="Q147" i="34"/>
  <c r="Q160" i="34"/>
  <c r="Q188" i="34"/>
  <c r="R26" i="34"/>
  <c r="Q384" i="34"/>
  <c r="R193" i="34"/>
  <c r="R216" i="34"/>
  <c r="Q417" i="34"/>
  <c r="R228" i="34"/>
  <c r="R235" i="34"/>
  <c r="R360" i="34"/>
  <c r="Q476" i="34"/>
  <c r="R522" i="34"/>
  <c r="R373" i="34"/>
  <c r="R550" i="34"/>
  <c r="R525" i="34"/>
  <c r="R643" i="34"/>
  <c r="R650" i="34"/>
  <c r="Q632" i="34"/>
  <c r="Q624" i="34"/>
  <c r="Q647" i="34"/>
  <c r="R631" i="34"/>
  <c r="R624" i="34"/>
  <c r="R378" i="34"/>
  <c r="R381" i="34"/>
  <c r="R384" i="34"/>
  <c r="R393" i="34"/>
  <c r="R396" i="34"/>
  <c r="R397" i="34"/>
  <c r="R152" i="34"/>
  <c r="R413" i="34"/>
  <c r="R415" i="34"/>
  <c r="R417" i="34"/>
  <c r="R418" i="34"/>
  <c r="R334" i="34"/>
  <c r="R341" i="34"/>
  <c r="R419" i="34"/>
  <c r="R361" i="34"/>
  <c r="R420" i="34"/>
  <c r="Q639" i="34"/>
  <c r="R433" i="34"/>
  <c r="R443" i="34"/>
  <c r="R446" i="34"/>
  <c r="R468" i="34"/>
  <c r="R476" i="34"/>
  <c r="R477" i="34"/>
  <c r="R633" i="34"/>
  <c r="Q26" i="34"/>
  <c r="R647" i="34"/>
  <c r="R493" i="34"/>
  <c r="R494" i="34"/>
  <c r="R497" i="34"/>
  <c r="R502" i="34"/>
  <c r="R637" i="34"/>
  <c r="Q493" i="34"/>
  <c r="Q494" i="34"/>
  <c r="Q244" i="34"/>
  <c r="Q497" i="34"/>
  <c r="Q237" i="34"/>
  <c r="Q502" i="34"/>
  <c r="R238" i="34"/>
  <c r="Q420" i="34"/>
  <c r="Q637" i="34"/>
  <c r="R27" i="34"/>
  <c r="R159" i="34"/>
  <c r="R190" i="34"/>
  <c r="R244" i="34"/>
  <c r="R147" i="34"/>
  <c r="Q191" i="34"/>
  <c r="Q27" i="34"/>
  <c r="R161" i="34"/>
  <c r="R336" i="34"/>
  <c r="Q522" i="34"/>
  <c r="Q523" i="34"/>
  <c r="R350" i="34"/>
  <c r="Q525" i="34"/>
  <c r="Q349" i="34"/>
  <c r="R189" i="34"/>
  <c r="Q148" i="34"/>
  <c r="Q161" i="34"/>
  <c r="Q189" i="34"/>
  <c r="R349" i="34"/>
  <c r="Q333" i="34"/>
  <c r="Q341" i="34"/>
  <c r="Q348" i="34"/>
  <c r="Q360" i="34"/>
  <c r="Q373" i="34"/>
  <c r="Q381" i="34"/>
  <c r="Q24" i="34"/>
  <c r="Q413" i="34"/>
  <c r="Q164" i="34"/>
  <c r="Q212" i="34"/>
  <c r="Q550" i="34"/>
  <c r="Q226" i="34"/>
  <c r="Q378" i="34"/>
  <c r="Q397" i="34"/>
  <c r="Q418" i="34"/>
  <c r="Q433" i="34"/>
  <c r="Q446" i="34"/>
  <c r="Q468" i="34"/>
  <c r="Q633" i="34"/>
  <c r="R23" i="34"/>
  <c r="R148" i="34"/>
  <c r="R163" i="34"/>
  <c r="R188" i="34"/>
  <c r="R237" i="34"/>
  <c r="R345" i="34"/>
  <c r="R359" i="34"/>
  <c r="R523" i="34"/>
  <c r="R639" i="34"/>
  <c r="Q23" i="34"/>
  <c r="Q162" i="34"/>
  <c r="Q190" i="34"/>
  <c r="Q336" i="34"/>
  <c r="Q345" i="34"/>
  <c r="Q359" i="34"/>
  <c r="Q393" i="34"/>
  <c r="Q419" i="34"/>
  <c r="R24" i="34"/>
  <c r="R160" i="34"/>
  <c r="Q152" i="34"/>
  <c r="Q508" i="34"/>
  <c r="Q601" i="34"/>
  <c r="R170" i="34"/>
  <c r="Q706" i="34"/>
  <c r="Q93" i="34"/>
  <c r="Q170" i="34"/>
  <c r="R93" i="34"/>
  <c r="R509" i="34"/>
  <c r="Q509" i="34"/>
  <c r="R706" i="34"/>
  <c r="R508" i="34"/>
  <c r="R601" i="34"/>
  <c r="Q63" i="34"/>
  <c r="R63" i="34"/>
  <c r="Q705" i="34"/>
  <c r="R705" i="34"/>
  <c r="R290" i="34"/>
  <c r="Q269" i="34"/>
  <c r="Q290" i="34"/>
  <c r="R269" i="34"/>
  <c r="Q122" i="34"/>
  <c r="R122" i="34"/>
  <c r="Q85" i="34"/>
  <c r="R85" i="34"/>
  <c r="R395" i="34"/>
  <c r="Q82" i="34"/>
  <c r="Q395" i="34"/>
  <c r="R82" i="34"/>
  <c r="Q517" i="34"/>
  <c r="Q107" i="34"/>
  <c r="R118" i="34"/>
  <c r="Q118" i="34"/>
  <c r="R517" i="34"/>
  <c r="R107" i="34"/>
  <c r="R77" i="34"/>
  <c r="Q606" i="34"/>
  <c r="Q351" i="34"/>
  <c r="Q76" i="34"/>
  <c r="R76" i="34"/>
  <c r="R389" i="34"/>
  <c r="Q451" i="34"/>
  <c r="Q595" i="34"/>
  <c r="R461" i="34"/>
  <c r="R329" i="34"/>
  <c r="R291" i="34"/>
  <c r="Q294" i="34"/>
  <c r="Q255" i="34"/>
  <c r="R385" i="34"/>
  <c r="R351" i="34"/>
  <c r="R339" i="34"/>
  <c r="Q597" i="34"/>
  <c r="R658" i="34"/>
  <c r="Q291" i="34"/>
  <c r="Q134" i="34"/>
  <c r="Q307" i="34"/>
  <c r="R702" i="34"/>
  <c r="Q340" i="34"/>
  <c r="R606" i="34"/>
  <c r="Q176" i="34"/>
  <c r="R240" i="34"/>
  <c r="Q615" i="34"/>
  <c r="Q240" i="34"/>
  <c r="R292" i="34"/>
  <c r="Q484" i="34"/>
  <c r="R471" i="34"/>
  <c r="Q658" i="34"/>
  <c r="R484" i="34"/>
  <c r="R597" i="34"/>
  <c r="Q173" i="34"/>
  <c r="Q471" i="34"/>
  <c r="Q292" i="34"/>
  <c r="Q389" i="34"/>
  <c r="Q174" i="34"/>
  <c r="R595" i="34"/>
  <c r="Q172" i="34"/>
  <c r="Q702" i="34"/>
  <c r="Q281" i="34"/>
  <c r="R172" i="34"/>
  <c r="Q329" i="34"/>
  <c r="Q337" i="34"/>
  <c r="Q75" i="34"/>
  <c r="Q339" i="34"/>
  <c r="R174" i="34"/>
  <c r="Q438" i="34"/>
  <c r="Q649" i="34"/>
  <c r="Q371" i="34"/>
  <c r="R337" i="34"/>
  <c r="Q627" i="34"/>
  <c r="Q385" i="34"/>
  <c r="Q547" i="34"/>
  <c r="R627" i="34"/>
  <c r="Q534" i="34"/>
  <c r="R281" i="34"/>
  <c r="R75" i="34"/>
  <c r="R534" i="34"/>
  <c r="R615" i="34"/>
  <c r="R134" i="34"/>
  <c r="Q449" i="34"/>
  <c r="Q566" i="34"/>
  <c r="R176" i="34"/>
  <c r="R451" i="34"/>
  <c r="Q77" i="34"/>
  <c r="R255" i="34"/>
  <c r="R294" i="34"/>
  <c r="R307" i="34"/>
  <c r="R449" i="34"/>
  <c r="R371" i="34"/>
  <c r="R649" i="34"/>
  <c r="R547" i="34"/>
  <c r="R566" i="34"/>
  <c r="R232" i="34"/>
  <c r="R438" i="34"/>
  <c r="Q232" i="34"/>
  <c r="Q461" i="34"/>
  <c r="R340" i="34"/>
  <c r="R173" i="34"/>
  <c r="Q56" i="34"/>
  <c r="R460" i="34"/>
  <c r="Q321" i="34"/>
  <c r="Q249" i="34"/>
  <c r="R321" i="34"/>
  <c r="Q250" i="34"/>
  <c r="Q248" i="34"/>
  <c r="Q318" i="34"/>
  <c r="Q411" i="34"/>
  <c r="R325" i="34"/>
  <c r="R317" i="34"/>
  <c r="Q406" i="34"/>
  <c r="R578" i="34"/>
  <c r="R448" i="34"/>
  <c r="R573" i="34"/>
  <c r="Q317" i="34"/>
  <c r="R57" i="34"/>
  <c r="Q57" i="34"/>
  <c r="Q577" i="34"/>
  <c r="R58" i="34"/>
  <c r="R411" i="34"/>
  <c r="R409" i="34"/>
  <c r="R652" i="34"/>
  <c r="R406" i="34"/>
  <c r="Q344" i="34"/>
  <c r="Q460" i="34"/>
  <c r="Q652" i="34"/>
  <c r="Q60" i="34"/>
  <c r="R56" i="34"/>
  <c r="Q572" i="34"/>
  <c r="Q58" i="34"/>
  <c r="Q325" i="34"/>
  <c r="R250" i="34"/>
  <c r="R248" i="34"/>
  <c r="R249" i="34"/>
  <c r="Q409" i="34"/>
  <c r="R251" i="34"/>
  <c r="Q578" i="34"/>
  <c r="R344" i="34"/>
  <c r="Q355" i="34"/>
  <c r="R572" i="34"/>
  <c r="Q573" i="34"/>
  <c r="R318" i="34"/>
  <c r="Q251" i="34"/>
  <c r="Q448" i="34"/>
  <c r="R60" i="34"/>
  <c r="R355" i="34"/>
  <c r="R577" i="34"/>
  <c r="R636" i="34"/>
  <c r="R156" i="34"/>
  <c r="Q537" i="34"/>
  <c r="R545" i="34"/>
  <c r="Q126" i="34"/>
  <c r="Q538" i="34"/>
  <c r="R540" i="34"/>
  <c r="Q48" i="34"/>
  <c r="R612" i="34"/>
  <c r="Q49" i="34"/>
  <c r="Q612" i="34"/>
  <c r="Q635" i="34"/>
  <c r="Q156" i="34"/>
  <c r="R5" i="34"/>
  <c r="R412" i="34"/>
  <c r="R126" i="34"/>
  <c r="Q347" i="34"/>
  <c r="R233" i="34"/>
  <c r="Q548" i="34"/>
  <c r="Q382" i="34"/>
  <c r="Q549" i="34"/>
  <c r="Q542" i="34"/>
  <c r="R247" i="34"/>
  <c r="R245" i="34"/>
  <c r="R623" i="34"/>
  <c r="Q636" i="34"/>
  <c r="Q386" i="34"/>
  <c r="R548" i="34"/>
  <c r="R49" i="34"/>
  <c r="Q383" i="34"/>
  <c r="R538" i="34"/>
  <c r="Q545" i="34"/>
  <c r="R48" i="34"/>
  <c r="Q540" i="34"/>
  <c r="Q234" i="34"/>
  <c r="R537" i="34"/>
  <c r="R386" i="34"/>
  <c r="Q245" i="34"/>
  <c r="Q623" i="34"/>
  <c r="R549" i="34"/>
  <c r="R234" i="34"/>
  <c r="Q233" i="34"/>
  <c r="R383" i="34"/>
  <c r="Q539" i="34"/>
  <c r="Q544" i="34"/>
  <c r="R382" i="34"/>
  <c r="Q247" i="34"/>
  <c r="Q412" i="34"/>
  <c r="R635" i="34"/>
  <c r="R347" i="34"/>
  <c r="Q5" i="34"/>
  <c r="R539" i="34"/>
  <c r="R544" i="34"/>
  <c r="R542" i="34"/>
  <c r="Q166" i="34"/>
  <c r="R473" i="34"/>
  <c r="Q230" i="34"/>
  <c r="R430" i="34"/>
  <c r="R166" i="34"/>
  <c r="Q532" i="34"/>
  <c r="R532" i="34"/>
  <c r="Q200" i="34"/>
  <c r="R463" i="34"/>
  <c r="Q199" i="34"/>
  <c r="R374" i="34"/>
  <c r="Q375" i="34"/>
  <c r="Q374" i="34"/>
  <c r="Q390" i="34"/>
  <c r="R533" i="34"/>
  <c r="Q430" i="34"/>
  <c r="Q533" i="34"/>
  <c r="R213" i="34"/>
  <c r="Q450" i="34"/>
  <c r="R453" i="34"/>
  <c r="Q473" i="34"/>
  <c r="Q479" i="34"/>
  <c r="Q463" i="34"/>
  <c r="R230" i="34"/>
  <c r="R375" i="34"/>
  <c r="R198" i="34"/>
  <c r="R394" i="34"/>
  <c r="R199" i="34"/>
  <c r="Q453" i="34"/>
  <c r="R197" i="34"/>
  <c r="R165" i="34"/>
  <c r="Q394" i="34"/>
  <c r="R200" i="34"/>
  <c r="R390" i="34"/>
  <c r="R479" i="34"/>
  <c r="Q198" i="34"/>
  <c r="R450" i="34"/>
  <c r="Q213" i="34"/>
  <c r="Q165" i="34"/>
  <c r="Q197" i="34"/>
  <c r="Q121" i="34"/>
  <c r="Q143" i="34"/>
  <c r="R113" i="34"/>
  <c r="Q568" i="34"/>
  <c r="Q113" i="34"/>
  <c r="Q138" i="34"/>
  <c r="R121" i="34"/>
  <c r="R138" i="34"/>
  <c r="R143" i="34"/>
  <c r="Q131" i="34"/>
  <c r="R568" i="34"/>
  <c r="Q125" i="34"/>
  <c r="R558" i="34"/>
  <c r="R135" i="34"/>
  <c r="R131" i="34"/>
  <c r="R125" i="34"/>
  <c r="Q558" i="34"/>
  <c r="Q135" i="34"/>
  <c r="R74" i="34"/>
  <c r="R71" i="34"/>
  <c r="Q364" i="34"/>
  <c r="Q583" i="34"/>
  <c r="R485" i="34"/>
  <c r="R363" i="34"/>
  <c r="Q379" i="34"/>
  <c r="Q391" i="34"/>
  <c r="R221" i="34"/>
  <c r="Q70" i="34"/>
  <c r="R582" i="34"/>
  <c r="Q157" i="34"/>
  <c r="Q177" i="34"/>
  <c r="R469" i="34"/>
  <c r="R486" i="34"/>
  <c r="Q256" i="34"/>
  <c r="R441" i="34"/>
  <c r="Q270" i="34"/>
  <c r="R310" i="34"/>
  <c r="Q357" i="34"/>
  <c r="Q363" i="34"/>
  <c r="Q287" i="34"/>
  <c r="R436" i="34"/>
  <c r="Q73" i="34"/>
  <c r="R352" i="34"/>
  <c r="Q257" i="34"/>
  <c r="Q441" i="34"/>
  <c r="Q467" i="34"/>
  <c r="Q150" i="34"/>
  <c r="R271" i="34"/>
  <c r="Q310" i="34"/>
  <c r="R535" i="34"/>
  <c r="Q239" i="34"/>
  <c r="Q286" i="34"/>
  <c r="R583" i="34"/>
  <c r="Q472" i="34"/>
  <c r="R472" i="34"/>
  <c r="Q271" i="34"/>
  <c r="R585" i="34"/>
  <c r="Q252" i="34"/>
  <c r="R286" i="34"/>
  <c r="R467" i="34"/>
  <c r="Q74" i="34"/>
  <c r="R466" i="34"/>
  <c r="Q469" i="34"/>
  <c r="Q366" i="34"/>
  <c r="Q221" i="34"/>
  <c r="R474" i="34"/>
  <c r="Q466" i="34"/>
  <c r="R475" i="34"/>
  <c r="Q54" i="34"/>
  <c r="Q485" i="34"/>
  <c r="Q436" i="34"/>
  <c r="Q178" i="34"/>
  <c r="Q585" i="34"/>
  <c r="R483" i="34"/>
  <c r="Q151" i="34"/>
  <c r="R219" i="34"/>
  <c r="R357" i="34"/>
  <c r="Q483" i="34"/>
  <c r="Q71" i="34"/>
  <c r="R70" i="34"/>
  <c r="Q535" i="34"/>
  <c r="R391" i="34"/>
  <c r="Q626" i="34"/>
  <c r="R150" i="34"/>
  <c r="R158" i="34"/>
  <c r="R626" i="34"/>
  <c r="Q582" i="34"/>
  <c r="Q584" i="34"/>
  <c r="R252" i="34"/>
  <c r="R73" i="34"/>
  <c r="R157" i="34"/>
  <c r="R459" i="34"/>
  <c r="R256" i="34"/>
  <c r="R270" i="34"/>
  <c r="R177" i="34"/>
  <c r="R239" i="34"/>
  <c r="R72" i="34"/>
  <c r="R178" i="34"/>
  <c r="Q459" i="34"/>
  <c r="R452" i="34"/>
  <c r="Q158" i="34"/>
  <c r="R366" i="34"/>
  <c r="Q352" i="34"/>
  <c r="R584" i="34"/>
  <c r="R151" i="34"/>
  <c r="Q452" i="34"/>
  <c r="Q72" i="34"/>
  <c r="R218" i="34"/>
  <c r="R379" i="34"/>
  <c r="Q218" i="34"/>
  <c r="Q219" i="34"/>
  <c r="R257" i="34"/>
  <c r="Q474" i="34"/>
  <c r="R364" i="34"/>
  <c r="Q486" i="34"/>
  <c r="Q475" i="34"/>
  <c r="R287" i="34"/>
  <c r="R54" i="34"/>
  <c r="Q316" i="34"/>
  <c r="R428" i="34"/>
  <c r="Q428" i="34"/>
  <c r="Q46" i="34"/>
  <c r="R422" i="34"/>
  <c r="Q689" i="34"/>
  <c r="Q236" i="34"/>
  <c r="Q690" i="34"/>
  <c r="Q47" i="34"/>
  <c r="R316" i="34"/>
  <c r="R47" i="34"/>
  <c r="R690" i="34"/>
  <c r="R327" i="34"/>
  <c r="Q422" i="34"/>
  <c r="Q327" i="34"/>
  <c r="Q231" i="34"/>
  <c r="R689" i="34"/>
  <c r="R46" i="34"/>
  <c r="R231" i="34"/>
  <c r="R236" i="34"/>
  <c r="R457" i="34"/>
  <c r="R109" i="34"/>
  <c r="R456" i="34"/>
  <c r="R455" i="34"/>
  <c r="R260" i="34"/>
  <c r="R288" i="34"/>
  <c r="R514" i="34"/>
  <c r="R620" i="34"/>
  <c r="R696" i="34"/>
  <c r="Q114" i="34"/>
  <c r="Q423" i="34"/>
  <c r="R561" i="34"/>
  <c r="Q289" i="34"/>
  <c r="Q491" i="34"/>
  <c r="R302" i="34"/>
  <c r="Q455" i="34"/>
  <c r="Q405" i="34"/>
  <c r="Q424" i="34"/>
  <c r="R491" i="34"/>
  <c r="R242" i="34"/>
  <c r="R114" i="34"/>
  <c r="R180" i="34"/>
  <c r="R695" i="34"/>
  <c r="Q180" i="34"/>
  <c r="R405" i="34"/>
  <c r="R404" i="34"/>
  <c r="R289" i="34"/>
  <c r="Q229" i="34"/>
  <c r="R470" i="34"/>
  <c r="Q214" i="34"/>
  <c r="Q696" i="34"/>
  <c r="Q242" i="34"/>
  <c r="Q312" i="34"/>
  <c r="R563" i="34"/>
  <c r="R700" i="34"/>
  <c r="Q559" i="34"/>
  <c r="Q560" i="34"/>
  <c r="Q561" i="34"/>
  <c r="Q562" i="34"/>
  <c r="Q563" i="34"/>
  <c r="Q565" i="34"/>
  <c r="Q510" i="34"/>
  <c r="R619" i="34"/>
  <c r="R179" i="34"/>
  <c r="Q514" i="34"/>
  <c r="Q700" i="34"/>
  <c r="Q619" i="34"/>
  <c r="Q179" i="34"/>
  <c r="Q194" i="34"/>
  <c r="Q515" i="34"/>
  <c r="Q109" i="34"/>
  <c r="Q694" i="34"/>
  <c r="R214" i="34"/>
  <c r="R701" i="34"/>
  <c r="R312" i="34"/>
  <c r="R273" i="34"/>
  <c r="Q470" i="34"/>
  <c r="R559" i="34"/>
  <c r="R510" i="34"/>
  <c r="R560" i="34"/>
  <c r="Q288" i="34"/>
  <c r="Q302" i="34"/>
  <c r="R432" i="34"/>
  <c r="Q404" i="34"/>
  <c r="R565" i="34"/>
  <c r="R515" i="34"/>
  <c r="Q432" i="34"/>
  <c r="Q620" i="34"/>
  <c r="Q456" i="34"/>
  <c r="R246" i="34"/>
  <c r="Q695" i="34"/>
  <c r="Q701" i="34"/>
  <c r="R424" i="34"/>
  <c r="R694" i="34"/>
  <c r="R423" i="34"/>
  <c r="Q457" i="34"/>
  <c r="R229" i="34"/>
  <c r="R562" i="34"/>
  <c r="R194" i="34"/>
  <c r="Q246" i="34"/>
  <c r="Q260" i="34"/>
  <c r="Q273" i="34"/>
  <c r="Q656" i="34"/>
  <c r="Q657" i="34"/>
  <c r="R653" i="34"/>
  <c r="Q487" i="34"/>
  <c r="R574" i="34"/>
  <c r="R656" i="34"/>
  <c r="Q574" i="34"/>
  <c r="Q653" i="34"/>
  <c r="R487" i="34"/>
  <c r="R657" i="34"/>
  <c r="Q280" i="34"/>
  <c r="R507" i="34"/>
  <c r="Q298" i="34"/>
  <c r="Q431" i="34"/>
  <c r="Q277" i="34"/>
  <c r="Q227" i="34"/>
  <c r="Q184" i="34"/>
  <c r="R276" i="34"/>
  <c r="R55" i="34"/>
  <c r="R511" i="34"/>
  <c r="Q211" i="34"/>
  <c r="Q183" i="34"/>
  <c r="R543" i="34"/>
  <c r="Q276" i="34"/>
  <c r="Q55" i="34"/>
  <c r="R298" i="34"/>
  <c r="R182" i="34"/>
  <c r="R279" i="34"/>
  <c r="R104" i="34"/>
  <c r="Q480" i="34"/>
  <c r="R506" i="34"/>
  <c r="R465" i="34"/>
  <c r="R392" i="34"/>
  <c r="R272" i="34"/>
  <c r="Q392" i="34"/>
  <c r="R622" i="34"/>
  <c r="Q458" i="34"/>
  <c r="Q465" i="34"/>
  <c r="Q254" i="34"/>
  <c r="R187" i="34"/>
  <c r="Q365" i="34"/>
  <c r="R280" i="34"/>
  <c r="R186" i="34"/>
  <c r="R513" i="34"/>
  <c r="Q186" i="34"/>
  <c r="R254" i="34"/>
  <c r="R185" i="34"/>
  <c r="Q581" i="34"/>
  <c r="Q625" i="34"/>
  <c r="R258" i="34"/>
  <c r="R259" i="34"/>
  <c r="Q543" i="34"/>
  <c r="R299" i="34"/>
  <c r="R431" i="34"/>
  <c r="R277" i="34"/>
  <c r="Q380" i="34"/>
  <c r="R480" i="34"/>
  <c r="R625" i="34"/>
  <c r="Q185" i="34"/>
  <c r="Q182" i="34"/>
  <c r="Q513" i="34"/>
  <c r="Q511" i="34"/>
  <c r="R458" i="34"/>
  <c r="Q507" i="34"/>
  <c r="Q506" i="34"/>
  <c r="Q272" i="34"/>
  <c r="R581" i="34"/>
  <c r="R380" i="34"/>
  <c r="R211" i="34"/>
  <c r="R278" i="34"/>
  <c r="Q299" i="34"/>
  <c r="Q279" i="34"/>
  <c r="R227" i="34"/>
  <c r="Q293" i="34"/>
  <c r="R184" i="34"/>
  <c r="R293" i="34"/>
  <c r="Q258" i="34"/>
  <c r="Q622" i="34"/>
  <c r="Q259" i="34"/>
  <c r="Q187" i="34"/>
  <c r="R183" i="34"/>
  <c r="R365" i="34"/>
  <c r="Q278" i="34"/>
  <c r="Q104" i="34"/>
  <c r="R43" i="34"/>
  <c r="Q610" i="34"/>
  <c r="R264" i="34"/>
  <c r="R296" i="34"/>
  <c r="R306" i="34"/>
  <c r="R324" i="34"/>
  <c r="R362" i="34"/>
  <c r="R370" i="34"/>
  <c r="Q13" i="34"/>
  <c r="Q14" i="34"/>
  <c r="Q12" i="34"/>
  <c r="Q19" i="34"/>
  <c r="Q42" i="34"/>
  <c r="Q45" i="34"/>
  <c r="Q43" i="34"/>
  <c r="Q265" i="34"/>
  <c r="Q308" i="34"/>
  <c r="R253" i="34"/>
  <c r="Q315" i="34"/>
  <c r="Q18" i="34"/>
  <c r="Q40" i="34"/>
  <c r="Q263" i="34"/>
  <c r="Q313" i="34"/>
  <c r="R303" i="34"/>
  <c r="Q324" i="34"/>
  <c r="Q369" i="34"/>
  <c r="Q377" i="34"/>
  <c r="Q426" i="34"/>
  <c r="Q17" i="34"/>
  <c r="Q434" i="34"/>
  <c r="Q203" i="34"/>
  <c r="R19" i="34"/>
  <c r="R369" i="34"/>
  <c r="Q38" i="34"/>
  <c r="R518" i="34"/>
  <c r="R45" i="34"/>
  <c r="Q253" i="34"/>
  <c r="R305" i="34"/>
  <c r="Q266" i="34"/>
  <c r="R320" i="34"/>
  <c r="Q262" i="34"/>
  <c r="R516" i="34"/>
  <c r="R607" i="34"/>
  <c r="Q305" i="34"/>
  <c r="R524" i="34"/>
  <c r="Q320" i="34"/>
  <c r="R531" i="34"/>
  <c r="Q297" i="34"/>
  <c r="Q604" i="34"/>
  <c r="Q605" i="34"/>
  <c r="Q362" i="34"/>
  <c r="Q516" i="34"/>
  <c r="Q15" i="34"/>
  <c r="Q607" i="34"/>
  <c r="Q518" i="34"/>
  <c r="Q41" i="34"/>
  <c r="Q403" i="34"/>
  <c r="Q410" i="34"/>
  <c r="Q519" i="34"/>
  <c r="Q521" i="34"/>
  <c r="Q608" i="34"/>
  <c r="Q609" i="34"/>
  <c r="Q402" i="34"/>
  <c r="Q408" i="34"/>
  <c r="Q524" i="34"/>
  <c r="Q529" i="34"/>
  <c r="Q611" i="34"/>
  <c r="Q530" i="34"/>
  <c r="Q531" i="34"/>
  <c r="Q616" i="34"/>
  <c r="R15" i="34"/>
  <c r="R44" i="34"/>
  <c r="R261" i="34"/>
  <c r="R266" i="34"/>
  <c r="Q261" i="34"/>
  <c r="R297" i="34"/>
  <c r="R313" i="34"/>
  <c r="Q282" i="34"/>
  <c r="R353" i="34"/>
  <c r="R368" i="34"/>
  <c r="Q309" i="34"/>
  <c r="R18" i="34"/>
  <c r="R610" i="34"/>
  <c r="Q322" i="34"/>
  <c r="R40" i="34"/>
  <c r="R377" i="34"/>
  <c r="R402" i="34"/>
  <c r="R403" i="34"/>
  <c r="Q353" i="34"/>
  <c r="R17" i="34"/>
  <c r="Q370" i="34"/>
  <c r="Q283" i="34"/>
  <c r="R41" i="34"/>
  <c r="R407" i="34"/>
  <c r="Q296" i="34"/>
  <c r="Q303" i="34"/>
  <c r="R408" i="34"/>
  <c r="R410" i="34"/>
  <c r="R421" i="34"/>
  <c r="R425" i="34"/>
  <c r="R426" i="34"/>
  <c r="R434" i="34"/>
  <c r="Q425" i="34"/>
  <c r="R435" i="34"/>
  <c r="Q440" i="34"/>
  <c r="R439" i="34"/>
  <c r="R440" i="34"/>
  <c r="R263" i="34"/>
  <c r="R442" i="34"/>
  <c r="R445" i="34"/>
  <c r="R283" i="34"/>
  <c r="R608" i="34"/>
  <c r="R611" i="34"/>
  <c r="R308" i="34"/>
  <c r="R315" i="34"/>
  <c r="R322" i="34"/>
  <c r="Q323" i="34"/>
  <c r="Q439" i="34"/>
  <c r="Q368" i="34"/>
  <c r="Q407" i="34"/>
  <c r="Q435" i="34"/>
  <c r="Q442" i="34"/>
  <c r="R12" i="34"/>
  <c r="R605" i="34"/>
  <c r="R262" i="34"/>
  <c r="R519" i="34"/>
  <c r="R529" i="34"/>
  <c r="R530" i="34"/>
  <c r="R42" i="34"/>
  <c r="R50" i="34"/>
  <c r="R282" i="34"/>
  <c r="R16" i="34"/>
  <c r="R181" i="34"/>
  <c r="R265" i="34"/>
  <c r="R309" i="34"/>
  <c r="R14" i="34"/>
  <c r="R323" i="34"/>
  <c r="R521" i="34"/>
  <c r="R38" i="34"/>
  <c r="Q16" i="34"/>
  <c r="Q44" i="34"/>
  <c r="Q50" i="34"/>
  <c r="R604" i="34"/>
  <c r="Q181" i="34"/>
  <c r="Q264" i="34"/>
  <c r="R609" i="34"/>
  <c r="R616" i="34"/>
  <c r="Q306" i="34"/>
  <c r="Q421" i="34"/>
  <c r="Q445" i="34"/>
  <c r="R13" i="34"/>
  <c r="R203" i="34"/>
  <c r="Q145" i="34"/>
  <c r="Q618" i="34"/>
  <c r="R145" i="34"/>
  <c r="R617" i="34"/>
  <c r="Q462" i="34"/>
  <c r="R462" i="34"/>
  <c r="R481" i="34"/>
  <c r="R618" i="34"/>
  <c r="Q617" i="34"/>
  <c r="Q481" i="34"/>
  <c r="Q144" i="34"/>
  <c r="R499" i="34"/>
  <c r="R144" i="34"/>
  <c r="Q499" i="34"/>
  <c r="Q285" i="34"/>
  <c r="Q223" i="34"/>
  <c r="Q416" i="34"/>
  <c r="Q141" i="34"/>
  <c r="Q127" i="34"/>
  <c r="R301" i="34"/>
  <c r="R285" i="34"/>
  <c r="R224" i="34"/>
  <c r="Q132" i="34"/>
  <c r="Q678" i="34"/>
  <c r="R132" i="34"/>
  <c r="Q645" i="34"/>
  <c r="Q641" i="34"/>
  <c r="R300" i="34"/>
  <c r="Q447" i="34"/>
  <c r="R220" i="34"/>
  <c r="Q642" i="34"/>
  <c r="Q224" i="34"/>
  <c r="R642" i="34"/>
  <c r="R414" i="34"/>
  <c r="R416" i="34"/>
  <c r="R127" i="34"/>
  <c r="R142" i="34"/>
  <c r="R645" i="34"/>
  <c r="R223" i="34"/>
  <c r="R678" i="34"/>
  <c r="Q414" i="34"/>
  <c r="R447" i="34"/>
  <c r="R454" i="34"/>
  <c r="Q644" i="34"/>
  <c r="Q225" i="34"/>
  <c r="R141" i="34"/>
  <c r="R225" i="34"/>
  <c r="Q300" i="34"/>
  <c r="Q220" i="34"/>
  <c r="Q301" i="34"/>
  <c r="Q454" i="34"/>
  <c r="R641" i="34"/>
  <c r="Q142" i="34"/>
  <c r="R644" i="34"/>
  <c r="Q640" i="34"/>
  <c r="R464" i="34"/>
  <c r="Q304" i="34"/>
  <c r="Q488" i="34"/>
  <c r="R196" i="34"/>
  <c r="Q501" i="34"/>
  <c r="Q500" i="34"/>
  <c r="R677" i="34"/>
  <c r="R489" i="34"/>
  <c r="R488" i="34"/>
  <c r="R304" i="34"/>
  <c r="Q489" i="34"/>
  <c r="R295" i="34"/>
  <c r="R640" i="34"/>
  <c r="Q464" i="34"/>
  <c r="R206" i="34"/>
  <c r="Q677" i="34"/>
  <c r="Q196" i="34"/>
  <c r="R501" i="34"/>
  <c r="Q206" i="34"/>
  <c r="Q295" i="34"/>
  <c r="R500" i="34"/>
  <c r="Q655" i="34"/>
  <c r="R400" i="34"/>
  <c r="R629" i="34"/>
  <c r="Q478" i="34"/>
  <c r="Q592" i="34"/>
  <c r="Q482" i="34"/>
  <c r="Q651" i="34"/>
  <c r="Q654" i="34"/>
  <c r="R654" i="34"/>
  <c r="R592" i="34"/>
  <c r="Q400" i="34"/>
  <c r="Q629" i="34"/>
  <c r="R651" i="34"/>
  <c r="R482" i="34"/>
  <c r="R478" i="34"/>
  <c r="R655" i="34"/>
  <c r="Q326" i="34"/>
  <c r="R326" i="34"/>
  <c r="Q401" i="34"/>
  <c r="Q119" i="34"/>
  <c r="R503" i="34"/>
  <c r="R328" i="34"/>
  <c r="Q328" i="34"/>
  <c r="R119" i="34"/>
  <c r="Q503" i="34"/>
  <c r="R401" i="34"/>
  <c r="Q659" i="34"/>
  <c r="R659" i="34"/>
  <c r="R496" i="34"/>
  <c r="Q496" i="34"/>
  <c r="Q672" i="34"/>
  <c r="R672" i="34"/>
  <c r="Q621" i="39"/>
  <c r="R621" i="39"/>
  <c r="Q142" i="39"/>
  <c r="Q498" i="39"/>
  <c r="Q493" i="39"/>
  <c r="Q555" i="39"/>
  <c r="Q544" i="39"/>
  <c r="Q545" i="39"/>
  <c r="Q560" i="39"/>
  <c r="Q546" i="39"/>
  <c r="R142" i="39"/>
  <c r="R498" i="39"/>
  <c r="R493" i="39"/>
  <c r="R555" i="39"/>
  <c r="R544" i="39"/>
  <c r="R545" i="39"/>
  <c r="R546" i="39"/>
  <c r="R560" i="39"/>
  <c r="Q254" i="39"/>
  <c r="Q263" i="39"/>
  <c r="Q556" i="39"/>
  <c r="Q255" i="39"/>
  <c r="Q264" i="39"/>
  <c r="Q548" i="39"/>
  <c r="Q557" i="39"/>
  <c r="Q31" i="39"/>
  <c r="Q136" i="39"/>
  <c r="Q549" i="39"/>
  <c r="R258" i="39"/>
  <c r="R109" i="39"/>
  <c r="Q256" i="39"/>
  <c r="Q108" i="39"/>
  <c r="Q11" i="39"/>
  <c r="R250" i="39"/>
  <c r="R259" i="39"/>
  <c r="R110" i="39"/>
  <c r="Q257" i="39"/>
  <c r="Q267" i="39"/>
  <c r="Q27" i="39"/>
  <c r="R251" i="39"/>
  <c r="R260" i="39"/>
  <c r="R272" i="39"/>
  <c r="Q32" i="39"/>
  <c r="Q268" i="39"/>
  <c r="R111" i="39"/>
  <c r="R261" i="39"/>
  <c r="R273" i="39"/>
  <c r="Q33" i="39"/>
  <c r="Q269" i="39"/>
  <c r="R112" i="39"/>
  <c r="R262" i="39"/>
  <c r="Q258" i="39"/>
  <c r="Q109" i="39"/>
  <c r="R254" i="39"/>
  <c r="R263" i="39"/>
  <c r="Q250" i="39"/>
  <c r="Q259" i="39"/>
  <c r="Q110" i="39"/>
  <c r="Q552" i="39"/>
  <c r="R255" i="39"/>
  <c r="R264" i="39"/>
  <c r="Q251" i="39"/>
  <c r="Q260" i="39"/>
  <c r="Q272" i="39"/>
  <c r="Q137" i="39"/>
  <c r="R31" i="39"/>
  <c r="R136" i="39"/>
  <c r="Q111" i="39"/>
  <c r="Q261" i="39"/>
  <c r="Q273" i="39"/>
  <c r="Q112" i="39"/>
  <c r="Q262" i="39"/>
  <c r="Q105" i="39"/>
  <c r="R257" i="39"/>
  <c r="R267" i="39"/>
  <c r="R556" i="39"/>
  <c r="R548" i="39"/>
  <c r="R557" i="39"/>
  <c r="Q554" i="39"/>
  <c r="R256" i="39"/>
  <c r="R549" i="39"/>
  <c r="R32" i="39"/>
  <c r="R11" i="39"/>
  <c r="R33" i="39"/>
  <c r="R27" i="39"/>
  <c r="R108" i="39"/>
  <c r="R268" i="39"/>
  <c r="R269" i="39"/>
  <c r="R552" i="39"/>
  <c r="R137" i="39"/>
  <c r="R554" i="39"/>
  <c r="R105" i="39"/>
  <c r="Q378" i="39"/>
  <c r="Q161" i="39"/>
  <c r="Q46" i="39"/>
  <c r="Q13" i="39"/>
  <c r="R203" i="39"/>
  <c r="Q34" i="39"/>
  <c r="Q537" i="39"/>
  <c r="Q22" i="39"/>
  <c r="Q542" i="39"/>
  <c r="Q176" i="39"/>
  <c r="Q5" i="39"/>
  <c r="R377" i="39"/>
  <c r="R182" i="39"/>
  <c r="Q210" i="39"/>
  <c r="Q163" i="39"/>
  <c r="Q10" i="39"/>
  <c r="R378" i="39"/>
  <c r="R161" i="39"/>
  <c r="Q203" i="39"/>
  <c r="Q159" i="39"/>
  <c r="Q660" i="39"/>
  <c r="R46" i="39"/>
  <c r="Q160" i="39"/>
  <c r="Q149" i="39"/>
  <c r="Q661" i="39"/>
  <c r="Q379" i="39"/>
  <c r="Q195" i="39"/>
  <c r="Q196" i="39"/>
  <c r="R34" i="39"/>
  <c r="Q382" i="39"/>
  <c r="Q193" i="39"/>
  <c r="Q377" i="39"/>
  <c r="Q182" i="39"/>
  <c r="R537" i="39"/>
  <c r="R176" i="39"/>
  <c r="Q212" i="39"/>
  <c r="R160" i="39"/>
  <c r="R379" i="39"/>
  <c r="R163" i="39"/>
  <c r="R159" i="39"/>
  <c r="R5" i="39"/>
  <c r="R149" i="39"/>
  <c r="R10" i="39"/>
  <c r="R195" i="39"/>
  <c r="R660" i="39"/>
  <c r="R193" i="39"/>
  <c r="R661" i="39"/>
  <c r="R196" i="39"/>
  <c r="R542" i="39"/>
  <c r="R212" i="39"/>
  <c r="R210" i="39"/>
  <c r="Q547" i="39"/>
  <c r="Q237" i="39"/>
  <c r="R240" i="39"/>
  <c r="Q138" i="39"/>
  <c r="Q585" i="39"/>
  <c r="R241" i="39"/>
  <c r="Q133" i="39"/>
  <c r="Q298" i="39"/>
  <c r="R242" i="39"/>
  <c r="Q240" i="39"/>
  <c r="Q587" i="39"/>
  <c r="Q241" i="39"/>
  <c r="Q588" i="39"/>
  <c r="Q242" i="39"/>
  <c r="R237" i="39"/>
  <c r="R547" i="39"/>
  <c r="R585" i="39"/>
  <c r="R298" i="39"/>
  <c r="R587" i="39"/>
  <c r="R588" i="39"/>
  <c r="R138" i="39"/>
  <c r="R133" i="39"/>
  <c r="Q558" i="39"/>
  <c r="Q406" i="39"/>
  <c r="Q617" i="39"/>
  <c r="Q437" i="39"/>
  <c r="Q409" i="39"/>
  <c r="R617" i="39"/>
  <c r="R558" i="39"/>
  <c r="R406" i="39"/>
  <c r="R437" i="39"/>
  <c r="R409" i="39"/>
  <c r="Q92" i="39"/>
  <c r="Q129" i="39"/>
  <c r="R129" i="39"/>
  <c r="R92" i="39"/>
  <c r="Q387" i="39"/>
  <c r="Q388" i="39"/>
  <c r="R387" i="39"/>
  <c r="R388" i="39"/>
  <c r="Q664" i="39"/>
  <c r="Q67" i="39"/>
  <c r="Q64" i="39"/>
  <c r="Q65" i="39"/>
  <c r="Q609" i="39"/>
  <c r="Q612" i="39"/>
  <c r="Q610" i="39"/>
  <c r="Q611" i="39"/>
  <c r="Q598" i="39"/>
  <c r="Q618" i="39"/>
  <c r="Q589" i="39"/>
  <c r="Q597" i="39"/>
  <c r="Q590" i="39"/>
  <c r="Q623" i="39"/>
  <c r="Q607" i="39"/>
  <c r="Q665" i="39"/>
  <c r="Q596" i="39"/>
  <c r="Q68" i="39"/>
  <c r="R664" i="39"/>
  <c r="R67" i="39"/>
  <c r="R64" i="39"/>
  <c r="R65" i="39"/>
  <c r="R609" i="39"/>
  <c r="R612" i="39"/>
  <c r="R610" i="39"/>
  <c r="R611" i="39"/>
  <c r="R598" i="39"/>
  <c r="R618" i="39"/>
  <c r="R589" i="39"/>
  <c r="R597" i="39"/>
  <c r="R590" i="39"/>
  <c r="R623" i="39"/>
  <c r="Q608" i="39"/>
  <c r="R607" i="39"/>
  <c r="R665" i="39"/>
  <c r="Q663" i="39"/>
  <c r="R608" i="39"/>
  <c r="R663" i="39"/>
  <c r="R596" i="39"/>
  <c r="R68" i="39"/>
  <c r="Q287" i="39"/>
  <c r="Q536" i="39"/>
  <c r="Q99" i="39"/>
  <c r="Q642" i="39"/>
  <c r="Q288" i="39"/>
  <c r="Q143" i="39"/>
  <c r="Q60" i="39"/>
  <c r="Q643" i="39"/>
  <c r="Q289" i="39"/>
  <c r="Q538" i="39"/>
  <c r="Q41" i="39"/>
  <c r="Q644" i="39"/>
  <c r="R282" i="39"/>
  <c r="Q290" i="39"/>
  <c r="Q539" i="39"/>
  <c r="R283" i="39"/>
  <c r="Q291" i="39"/>
  <c r="Q540" i="39"/>
  <c r="R284" i="39"/>
  <c r="Q541" i="39"/>
  <c r="R127" i="39"/>
  <c r="Q281" i="39"/>
  <c r="Q25" i="39"/>
  <c r="Q630" i="39"/>
  <c r="Q690" i="39"/>
  <c r="R128" i="39"/>
  <c r="Q282" i="39"/>
  <c r="Q531" i="39"/>
  <c r="Q631" i="39"/>
  <c r="Q695" i="39"/>
  <c r="R287" i="39"/>
  <c r="Q283" i="39"/>
  <c r="Q532" i="39"/>
  <c r="Q632" i="39"/>
  <c r="Q696" i="39"/>
  <c r="R288" i="39"/>
  <c r="Q284" i="39"/>
  <c r="Q533" i="39"/>
  <c r="Q633" i="39"/>
  <c r="Q639" i="39"/>
  <c r="R289" i="39"/>
  <c r="Q127" i="39"/>
  <c r="Q128" i="39"/>
  <c r="Q89" i="39"/>
  <c r="Q635" i="39"/>
  <c r="Q641" i="39"/>
  <c r="R291" i="39"/>
  <c r="Q145" i="39"/>
  <c r="R536" i="39"/>
  <c r="R143" i="39"/>
  <c r="R538" i="39"/>
  <c r="R630" i="39"/>
  <c r="R639" i="39"/>
  <c r="Q634" i="39"/>
  <c r="R539" i="39"/>
  <c r="R631" i="39"/>
  <c r="R640" i="39"/>
  <c r="R540" i="39"/>
  <c r="R632" i="39"/>
  <c r="R641" i="39"/>
  <c r="R541" i="39"/>
  <c r="R633" i="39"/>
  <c r="R642" i="39"/>
  <c r="R25" i="39"/>
  <c r="R634" i="39"/>
  <c r="R643" i="39"/>
  <c r="R635" i="39"/>
  <c r="Q640" i="39"/>
  <c r="R531" i="39"/>
  <c r="R644" i="39"/>
  <c r="R532" i="39"/>
  <c r="R99" i="39"/>
  <c r="R533" i="39"/>
  <c r="R60" i="39"/>
  <c r="R281" i="39"/>
  <c r="R145" i="39"/>
  <c r="R41" i="39"/>
  <c r="R290" i="39"/>
  <c r="R89" i="39"/>
  <c r="Q275" i="39"/>
  <c r="Q276" i="39"/>
  <c r="Q277" i="39"/>
  <c r="Q278" i="39"/>
  <c r="Q279" i="39"/>
  <c r="Q280" i="39"/>
  <c r="Q435" i="39"/>
  <c r="Q436" i="39"/>
  <c r="R274" i="39"/>
  <c r="R275" i="39"/>
  <c r="R276" i="39"/>
  <c r="R277" i="39"/>
  <c r="Q274" i="39"/>
  <c r="R279" i="39"/>
  <c r="R436" i="39"/>
  <c r="R278" i="39"/>
  <c r="R280" i="39"/>
  <c r="R435" i="39"/>
  <c r="Q252" i="39"/>
  <c r="Q454" i="39"/>
  <c r="Q253" i="39"/>
  <c r="Q455" i="39"/>
  <c r="Q270" i="39"/>
  <c r="Q456" i="39"/>
  <c r="Q445" i="39"/>
  <c r="Q571" i="39"/>
  <c r="Q446" i="39"/>
  <c r="Q447" i="39"/>
  <c r="Q448" i="39"/>
  <c r="Q614" i="39"/>
  <c r="Q78" i="39"/>
  <c r="Q449" i="39"/>
  <c r="Q615" i="39"/>
  <c r="Q66" i="39"/>
  <c r="Q450" i="39"/>
  <c r="Q616" i="39"/>
  <c r="Q28" i="39"/>
  <c r="Q451" i="39"/>
  <c r="Q244" i="39"/>
  <c r="Q453" i="39"/>
  <c r="Q47" i="39"/>
  <c r="R448" i="39"/>
  <c r="Q452" i="39"/>
  <c r="R78" i="39"/>
  <c r="R449" i="39"/>
  <c r="R66" i="39"/>
  <c r="R450" i="39"/>
  <c r="R28" i="39"/>
  <c r="R451" i="39"/>
  <c r="R571" i="39"/>
  <c r="R47" i="39"/>
  <c r="R452" i="39"/>
  <c r="R244" i="39"/>
  <c r="R453" i="39"/>
  <c r="R252" i="39"/>
  <c r="R454" i="39"/>
  <c r="R614" i="39"/>
  <c r="R615" i="39"/>
  <c r="R253" i="39"/>
  <c r="R455" i="39"/>
  <c r="R270" i="39"/>
  <c r="R456" i="39"/>
  <c r="R616" i="39"/>
  <c r="R445" i="39"/>
  <c r="R446" i="39"/>
  <c r="R447" i="39"/>
  <c r="Q84" i="39"/>
  <c r="R83" i="39"/>
  <c r="Q83" i="39"/>
  <c r="R84" i="39"/>
  <c r="Q383" i="39"/>
  <c r="R383" i="39"/>
  <c r="Q402" i="39"/>
  <c r="Q505" i="39"/>
  <c r="Q216" i="39"/>
  <c r="Q79" i="39"/>
  <c r="Q403" i="39"/>
  <c r="Q506" i="39"/>
  <c r="Q207" i="39"/>
  <c r="Q507" i="39"/>
  <c r="Q396" i="39"/>
  <c r="Q405" i="39"/>
  <c r="Q508" i="39"/>
  <c r="Q676" i="39"/>
  <c r="Q509" i="39"/>
  <c r="Q626" i="39"/>
  <c r="Q63" i="39"/>
  <c r="Q510" i="39"/>
  <c r="Q613" i="39"/>
  <c r="R400" i="39"/>
  <c r="R72" i="39"/>
  <c r="Q205" i="39"/>
  <c r="Q511" i="39"/>
  <c r="Q389" i="39"/>
  <c r="Q399" i="39"/>
  <c r="Q194" i="39"/>
  <c r="Q215" i="39"/>
  <c r="R79" i="39"/>
  <c r="R403" i="39"/>
  <c r="Q390" i="39"/>
  <c r="Q394" i="39"/>
  <c r="Q192" i="39"/>
  <c r="Q208" i="39"/>
  <c r="Q6" i="39"/>
  <c r="Q173" i="39"/>
  <c r="Q188" i="39"/>
  <c r="R396" i="39"/>
  <c r="Q400" i="39"/>
  <c r="Q72" i="39"/>
  <c r="Q504" i="39"/>
  <c r="Q199" i="39"/>
  <c r="R63" i="39"/>
  <c r="R389" i="39"/>
  <c r="R402" i="39"/>
  <c r="R505" i="39"/>
  <c r="R216" i="39"/>
  <c r="R390" i="39"/>
  <c r="R506" i="39"/>
  <c r="R207" i="39"/>
  <c r="R405" i="39"/>
  <c r="R507" i="39"/>
  <c r="R508" i="39"/>
  <c r="R676" i="39"/>
  <c r="R509" i="39"/>
  <c r="R626" i="39"/>
  <c r="R510" i="39"/>
  <c r="R613" i="39"/>
  <c r="R205" i="39"/>
  <c r="R511" i="39"/>
  <c r="Q401" i="39"/>
  <c r="Q503" i="39"/>
  <c r="R194" i="39"/>
  <c r="R215" i="39"/>
  <c r="R399" i="39"/>
  <c r="R192" i="39"/>
  <c r="R208" i="39"/>
  <c r="R394" i="39"/>
  <c r="R173" i="39"/>
  <c r="R188" i="39"/>
  <c r="R6" i="39"/>
  <c r="R503" i="39"/>
  <c r="R401" i="39"/>
  <c r="R504" i="39"/>
  <c r="R199" i="39"/>
  <c r="Q627" i="39"/>
  <c r="R627" i="39"/>
  <c r="Q526" i="39"/>
  <c r="Q236" i="39"/>
  <c r="Q3" i="39"/>
  <c r="Q4" i="39"/>
  <c r="Q550" i="39"/>
  <c r="Q553" i="39"/>
  <c r="Q525" i="39"/>
  <c r="R526" i="39"/>
  <c r="R3" i="39"/>
  <c r="R4" i="39"/>
  <c r="R550" i="39"/>
  <c r="R553" i="39"/>
  <c r="R236" i="39"/>
  <c r="R525" i="39"/>
  <c r="Q624" i="39"/>
  <c r="Q625" i="39"/>
  <c r="Q689" i="39"/>
  <c r="Q662" i="39"/>
  <c r="Q77" i="39"/>
  <c r="Q73" i="39"/>
  <c r="Q499" i="39"/>
  <c r="Q535" i="39"/>
  <c r="Q50" i="39"/>
  <c r="Q52" i="39"/>
  <c r="R624" i="39"/>
  <c r="R625" i="39"/>
  <c r="R689" i="39"/>
  <c r="R662" i="39"/>
  <c r="R77" i="39"/>
  <c r="R73" i="39"/>
  <c r="R499" i="39"/>
  <c r="R535" i="39"/>
  <c r="R52" i="39"/>
  <c r="R50" i="39"/>
  <c r="Q577" i="39"/>
  <c r="Q183" i="39"/>
  <c r="Q619" i="39"/>
  <c r="Q570" i="39"/>
  <c r="Q620" i="39"/>
  <c r="Q652" i="39"/>
  <c r="Q117" i="39"/>
  <c r="R339" i="39"/>
  <c r="Q653" i="39"/>
  <c r="Q119" i="39"/>
  <c r="Q654" i="39"/>
  <c r="Q666" i="39"/>
  <c r="Q337" i="39"/>
  <c r="Q655" i="39"/>
  <c r="Q667" i="39"/>
  <c r="R350" i="39"/>
  <c r="Q338" i="39"/>
  <c r="Q656" i="39"/>
  <c r="Q668" i="39"/>
  <c r="R341" i="39"/>
  <c r="Q339" i="39"/>
  <c r="Q657" i="39"/>
  <c r="Q669" i="39"/>
  <c r="R577" i="39"/>
  <c r="Q340" i="39"/>
  <c r="Q658" i="39"/>
  <c r="Q670" i="39"/>
  <c r="Q70" i="39"/>
  <c r="Q131" i="39"/>
  <c r="Q659" i="39"/>
  <c r="Q671" i="39"/>
  <c r="Q350" i="39"/>
  <c r="Q341" i="39"/>
  <c r="Q151" i="39"/>
  <c r="Q649" i="39"/>
  <c r="Q132" i="39"/>
  <c r="Q673" i="39"/>
  <c r="Q113" i="39"/>
  <c r="R183" i="39"/>
  <c r="R657" i="39"/>
  <c r="R669" i="39"/>
  <c r="Q115" i="39"/>
  <c r="R619" i="39"/>
  <c r="R658" i="39"/>
  <c r="R670" i="39"/>
  <c r="Q672" i="39"/>
  <c r="R570" i="39"/>
  <c r="R620" i="39"/>
  <c r="R659" i="39"/>
  <c r="R671" i="39"/>
  <c r="Q674" i="39"/>
  <c r="R130" i="39"/>
  <c r="R672" i="39"/>
  <c r="R337" i="39"/>
  <c r="R649" i="39"/>
  <c r="R132" i="39"/>
  <c r="R673" i="39"/>
  <c r="R338" i="39"/>
  <c r="R650" i="39"/>
  <c r="R113" i="39"/>
  <c r="R674" i="39"/>
  <c r="R340" i="39"/>
  <c r="R651" i="39"/>
  <c r="R115" i="39"/>
  <c r="R652" i="39"/>
  <c r="R70" i="39"/>
  <c r="R117" i="39"/>
  <c r="R653" i="39"/>
  <c r="R119" i="39"/>
  <c r="Q650" i="39"/>
  <c r="R131" i="39"/>
  <c r="R654" i="39"/>
  <c r="R666" i="39"/>
  <c r="Q651" i="39"/>
  <c r="R271" i="39"/>
  <c r="R655" i="39"/>
  <c r="R667" i="39"/>
  <c r="Q271" i="39"/>
  <c r="Q130" i="39"/>
  <c r="R151" i="39"/>
  <c r="R656" i="39"/>
  <c r="R668" i="39"/>
  <c r="R249" i="39"/>
  <c r="Q247" i="39"/>
  <c r="Q248" i="39"/>
  <c r="Q703" i="39"/>
  <c r="Q26" i="39"/>
  <c r="Q249" i="39"/>
  <c r="Q697" i="39"/>
  <c r="R247" i="39"/>
  <c r="R248" i="39"/>
  <c r="R26" i="39"/>
  <c r="R697" i="39"/>
  <c r="R703" i="39"/>
  <c r="Q431" i="39"/>
  <c r="Q432" i="39"/>
  <c r="Q433" i="39"/>
  <c r="R348" i="39"/>
  <c r="Q434" i="39"/>
  <c r="Q181" i="39"/>
  <c r="R351" i="39"/>
  <c r="R352" i="39"/>
  <c r="Q348" i="39"/>
  <c r="R432" i="39"/>
  <c r="Q407" i="39"/>
  <c r="Q29" i="39"/>
  <c r="Q351" i="39"/>
  <c r="Q352" i="39"/>
  <c r="R407" i="39"/>
  <c r="R29" i="39"/>
  <c r="R431" i="39"/>
  <c r="R433" i="39"/>
  <c r="R434" i="39"/>
  <c r="R181" i="39"/>
  <c r="Q285" i="39"/>
  <c r="Q300" i="39"/>
  <c r="Q245" i="39"/>
  <c r="Q246" i="39"/>
  <c r="R76" i="39"/>
  <c r="R285" i="39"/>
  <c r="R300" i="39"/>
  <c r="R245" i="39"/>
  <c r="Q76" i="39"/>
  <c r="R246" i="39"/>
  <c r="Q438" i="39"/>
  <c r="Q57" i="39"/>
  <c r="Q305" i="39"/>
  <c r="Q310" i="39"/>
  <c r="Q139" i="39"/>
  <c r="Q606" i="39"/>
  <c r="Q106" i="39"/>
  <c r="Q69" i="39"/>
  <c r="Q61" i="39"/>
  <c r="Q311" i="39"/>
  <c r="Q141" i="39"/>
  <c r="Q169" i="39"/>
  <c r="Q302" i="39"/>
  <c r="Q317" i="39"/>
  <c r="Q118" i="39"/>
  <c r="Q312" i="39"/>
  <c r="Q265" i="39"/>
  <c r="Q171" i="39"/>
  <c r="R294" i="39"/>
  <c r="R304" i="39"/>
  <c r="R442" i="39"/>
  <c r="R53" i="39"/>
  <c r="R134" i="39"/>
  <c r="Q9" i="39"/>
  <c r="Q441" i="39"/>
  <c r="Q408" i="39"/>
  <c r="Q313" i="39"/>
  <c r="Q239" i="39"/>
  <c r="Q152" i="39"/>
  <c r="R295" i="39"/>
  <c r="R56" i="39"/>
  <c r="R324" i="39"/>
  <c r="R306" i="39"/>
  <c r="Q55" i="39"/>
  <c r="Q303" i="39"/>
  <c r="Q301" i="39"/>
  <c r="Q314" i="39"/>
  <c r="Q135" i="39"/>
  <c r="Q153" i="39"/>
  <c r="R54" i="39"/>
  <c r="Q292" i="39"/>
  <c r="Q74" i="39"/>
  <c r="Q58" i="39"/>
  <c r="Q543" i="39"/>
  <c r="Q315" i="39"/>
  <c r="Q599" i="39"/>
  <c r="Q179" i="39"/>
  <c r="R344" i="39"/>
  <c r="R323" i="39"/>
  <c r="R101" i="39"/>
  <c r="R308" i="39"/>
  <c r="Q293" i="39"/>
  <c r="Q439" i="39"/>
  <c r="Q75" i="39"/>
  <c r="Q62" i="39"/>
  <c r="Q316" i="39"/>
  <c r="Q600" i="39"/>
  <c r="Q162" i="39"/>
  <c r="R296" i="39"/>
  <c r="R71" i="39"/>
  <c r="R496" i="39"/>
  <c r="R309" i="39"/>
  <c r="Q294" i="39"/>
  <c r="Q304" i="39"/>
  <c r="Q442" i="39"/>
  <c r="Q53" i="39"/>
  <c r="Q134" i="39"/>
  <c r="Q601" i="39"/>
  <c r="Q148" i="39"/>
  <c r="R438" i="39"/>
  <c r="R57" i="39"/>
  <c r="R305" i="39"/>
  <c r="R310" i="39"/>
  <c r="Q295" i="39"/>
  <c r="Q56" i="39"/>
  <c r="Q324" i="39"/>
  <c r="Q306" i="39"/>
  <c r="Q602" i="39"/>
  <c r="Q186" i="39"/>
  <c r="Q648" i="39"/>
  <c r="R106" i="39"/>
  <c r="R69" i="39"/>
  <c r="R61" i="39"/>
  <c r="Q54" i="39"/>
  <c r="Q440" i="39"/>
  <c r="Q59" i="39"/>
  <c r="Q307" i="39"/>
  <c r="Q266" i="39"/>
  <c r="Q603" i="39"/>
  <c r="R302" i="39"/>
  <c r="R317" i="39"/>
  <c r="R118" i="39"/>
  <c r="R312" i="39"/>
  <c r="Q344" i="39"/>
  <c r="Q323" i="39"/>
  <c r="Q101" i="39"/>
  <c r="Q308" i="39"/>
  <c r="Q296" i="39"/>
  <c r="Q71" i="39"/>
  <c r="Q496" i="39"/>
  <c r="Q309" i="39"/>
  <c r="Q238" i="39"/>
  <c r="Q605" i="39"/>
  <c r="R55" i="39"/>
  <c r="R303" i="39"/>
  <c r="R301" i="39"/>
  <c r="R314" i="39"/>
  <c r="R292" i="39"/>
  <c r="R62" i="39"/>
  <c r="R139" i="39"/>
  <c r="R606" i="39"/>
  <c r="R293" i="39"/>
  <c r="R307" i="39"/>
  <c r="R141" i="39"/>
  <c r="R169" i="39"/>
  <c r="R648" i="39"/>
  <c r="R9" i="39"/>
  <c r="R311" i="39"/>
  <c r="R265" i="39"/>
  <c r="R171" i="39"/>
  <c r="R74" i="39"/>
  <c r="R313" i="39"/>
  <c r="R239" i="39"/>
  <c r="R152" i="39"/>
  <c r="R439" i="39"/>
  <c r="R315" i="39"/>
  <c r="R135" i="39"/>
  <c r="R153" i="39"/>
  <c r="R440" i="39"/>
  <c r="R316" i="39"/>
  <c r="R599" i="39"/>
  <c r="R179" i="39"/>
  <c r="R441" i="39"/>
  <c r="R600" i="39"/>
  <c r="R162" i="39"/>
  <c r="R148" i="39"/>
  <c r="Q140" i="39"/>
  <c r="R58" i="39"/>
  <c r="R601" i="39"/>
  <c r="Q604" i="39"/>
  <c r="R75" i="39"/>
  <c r="R602" i="39"/>
  <c r="R186" i="39"/>
  <c r="R59" i="39"/>
  <c r="R266" i="39"/>
  <c r="R603" i="39"/>
  <c r="R408" i="39"/>
  <c r="R140" i="39"/>
  <c r="R604" i="39"/>
  <c r="R543" i="39"/>
  <c r="R238" i="39"/>
  <c r="R605" i="39"/>
  <c r="Q466" i="39"/>
  <c r="Q478" i="39"/>
  <c r="Q95" i="39"/>
  <c r="Q342" i="39"/>
  <c r="Q467" i="39"/>
  <c r="Q479" i="39"/>
  <c r="Q121" i="39"/>
  <c r="Q343" i="39"/>
  <c r="Q468" i="39"/>
  <c r="Q480" i="39"/>
  <c r="Q86" i="39"/>
  <c r="Q457" i="39"/>
  <c r="Q469" i="39"/>
  <c r="Q481" i="39"/>
  <c r="Q559" i="39"/>
  <c r="Q345" i="39"/>
  <c r="Q458" i="39"/>
  <c r="Q470" i="39"/>
  <c r="Q482" i="39"/>
  <c r="Q49" i="39"/>
  <c r="Q48" i="39"/>
  <c r="Q459" i="39"/>
  <c r="Q471" i="39"/>
  <c r="Q483" i="39"/>
  <c r="Q561" i="39"/>
  <c r="Q347" i="39"/>
  <c r="Q460" i="39"/>
  <c r="Q472" i="39"/>
  <c r="Q484" i="39"/>
  <c r="Q114" i="39"/>
  <c r="Q461" i="39"/>
  <c r="Q473" i="39"/>
  <c r="Q94" i="39"/>
  <c r="Q563" i="39"/>
  <c r="Q462" i="39"/>
  <c r="Q474" i="39"/>
  <c r="Q96" i="39"/>
  <c r="Q564" i="39"/>
  <c r="Q463" i="39"/>
  <c r="Q475" i="39"/>
  <c r="Q104" i="39"/>
  <c r="Q565" i="39"/>
  <c r="R343" i="39"/>
  <c r="Q465" i="39"/>
  <c r="Q477" i="39"/>
  <c r="Q93" i="39"/>
  <c r="Q567" i="39"/>
  <c r="R345" i="39"/>
  <c r="R460" i="39"/>
  <c r="R472" i="39"/>
  <c r="R484" i="39"/>
  <c r="R461" i="39"/>
  <c r="R473" i="39"/>
  <c r="R94" i="39"/>
  <c r="Q464" i="39"/>
  <c r="R462" i="39"/>
  <c r="R474" i="39"/>
  <c r="R96" i="39"/>
  <c r="Q562" i="39"/>
  <c r="Q566" i="39"/>
  <c r="R463" i="39"/>
  <c r="R475" i="39"/>
  <c r="R104" i="39"/>
  <c r="R559" i="39"/>
  <c r="Q116" i="39"/>
  <c r="R464" i="39"/>
  <c r="R562" i="39"/>
  <c r="R116" i="39"/>
  <c r="R49" i="39"/>
  <c r="R465" i="39"/>
  <c r="R477" i="39"/>
  <c r="R93" i="39"/>
  <c r="R561" i="39"/>
  <c r="R466" i="39"/>
  <c r="R478" i="39"/>
  <c r="R95" i="39"/>
  <c r="R114" i="39"/>
  <c r="R467" i="39"/>
  <c r="R479" i="39"/>
  <c r="R121" i="39"/>
  <c r="R563" i="39"/>
  <c r="R342" i="39"/>
  <c r="R468" i="39"/>
  <c r="R480" i="39"/>
  <c r="R564" i="39"/>
  <c r="R86" i="39"/>
  <c r="R457" i="39"/>
  <c r="R469" i="39"/>
  <c r="R481" i="39"/>
  <c r="R565" i="39"/>
  <c r="R48" i="39"/>
  <c r="R458" i="39"/>
  <c r="R470" i="39"/>
  <c r="R482" i="39"/>
  <c r="R566" i="39"/>
  <c r="R347" i="39"/>
  <c r="R459" i="39"/>
  <c r="R471" i="39"/>
  <c r="R483" i="39"/>
  <c r="R567" i="39"/>
  <c r="Q514" i="39"/>
  <c r="Q568" i="39"/>
  <c r="Q569" i="39"/>
  <c r="Q513" i="39"/>
  <c r="R514" i="39"/>
  <c r="R568" i="39"/>
  <c r="R569" i="39"/>
  <c r="Q512" i="39"/>
  <c r="R512" i="39"/>
  <c r="R513" i="39"/>
  <c r="Q414" i="39"/>
  <c r="Q485" i="39"/>
  <c r="Q500" i="39"/>
  <c r="Q576" i="39"/>
  <c r="Q85" i="39"/>
  <c r="Q155" i="39"/>
  <c r="Q415" i="39"/>
  <c r="Q443" i="39"/>
  <c r="Q502" i="39"/>
  <c r="Q578" i="39"/>
  <c r="Q100" i="39"/>
  <c r="Q166" i="39"/>
  <c r="Q416" i="39"/>
  <c r="Q476" i="39"/>
  <c r="Q527" i="39"/>
  <c r="Q592" i="39"/>
  <c r="Q88" i="39"/>
  <c r="Q189" i="39"/>
  <c r="Q417" i="39"/>
  <c r="Q444" i="39"/>
  <c r="Q501" i="39"/>
  <c r="Q593" i="39"/>
  <c r="Q81" i="39"/>
  <c r="Q418" i="39"/>
  <c r="Q423" i="39"/>
  <c r="Q528" i="39"/>
  <c r="Q591" i="39"/>
  <c r="Q594" i="39"/>
  <c r="Q82" i="39"/>
  <c r="Q44" i="39"/>
  <c r="Q424" i="39"/>
  <c r="Q494" i="39"/>
  <c r="Q24" i="39"/>
  <c r="Q581" i="39"/>
  <c r="Q595" i="39"/>
  <c r="Q97" i="39"/>
  <c r="R413" i="39"/>
  <c r="Q45" i="39"/>
  <c r="Q425" i="39"/>
  <c r="Q534" i="39"/>
  <c r="Q580" i="39"/>
  <c r="Q586" i="39"/>
  <c r="Q582" i="39"/>
  <c r="Q704" i="39"/>
  <c r="Q51" i="39"/>
  <c r="Q426" i="39"/>
  <c r="Q495" i="39"/>
  <c r="Q579" i="39"/>
  <c r="Q124" i="39"/>
  <c r="Q583" i="39"/>
  <c r="R415" i="39"/>
  <c r="R443" i="39"/>
  <c r="Q410" i="39"/>
  <c r="Q419" i="39"/>
  <c r="Q427" i="39"/>
  <c r="Q30" i="39"/>
  <c r="Q572" i="39"/>
  <c r="Q622" i="39"/>
  <c r="Q584" i="39"/>
  <c r="Q411" i="39"/>
  <c r="Q420" i="39"/>
  <c r="Q428" i="39"/>
  <c r="Q497" i="39"/>
  <c r="Q573" i="39"/>
  <c r="Q120" i="39"/>
  <c r="Q191" i="39"/>
  <c r="Q413" i="39"/>
  <c r="Q422" i="39"/>
  <c r="Q430" i="39"/>
  <c r="Q23" i="39"/>
  <c r="Q575" i="39"/>
  <c r="Q123" i="39"/>
  <c r="Q174" i="39"/>
  <c r="R418" i="39"/>
  <c r="R424" i="39"/>
  <c r="R500" i="39"/>
  <c r="R576" i="39"/>
  <c r="R85" i="39"/>
  <c r="R155" i="39"/>
  <c r="R44" i="39"/>
  <c r="R425" i="39"/>
  <c r="R502" i="39"/>
  <c r="R578" i="39"/>
  <c r="R100" i="39"/>
  <c r="R166" i="39"/>
  <c r="R45" i="39"/>
  <c r="R426" i="39"/>
  <c r="R527" i="39"/>
  <c r="R592" i="39"/>
  <c r="R88" i="39"/>
  <c r="R189" i="39"/>
  <c r="R51" i="39"/>
  <c r="R427" i="39"/>
  <c r="R501" i="39"/>
  <c r="R593" i="39"/>
  <c r="R81" i="39"/>
  <c r="Q574" i="39"/>
  <c r="R419" i="39"/>
  <c r="R428" i="39"/>
  <c r="R528" i="39"/>
  <c r="R591" i="39"/>
  <c r="R594" i="39"/>
  <c r="R82" i="39"/>
  <c r="Q122" i="39"/>
  <c r="R420" i="39"/>
  <c r="R429" i="39"/>
  <c r="R494" i="39"/>
  <c r="R24" i="39"/>
  <c r="R581" i="39"/>
  <c r="R595" i="39"/>
  <c r="R97" i="39"/>
  <c r="R698" i="39"/>
  <c r="Q12" i="39"/>
  <c r="Q184" i="39"/>
  <c r="R410" i="39"/>
  <c r="R421" i="39"/>
  <c r="R430" i="39"/>
  <c r="R534" i="39"/>
  <c r="R580" i="39"/>
  <c r="R586" i="39"/>
  <c r="R582" i="39"/>
  <c r="R583" i="39"/>
  <c r="R411" i="39"/>
  <c r="R422" i="39"/>
  <c r="R495" i="39"/>
  <c r="R579" i="39"/>
  <c r="R124" i="39"/>
  <c r="R412" i="39"/>
  <c r="R485" i="39"/>
  <c r="R30" i="39"/>
  <c r="R572" i="39"/>
  <c r="R622" i="39"/>
  <c r="R584" i="39"/>
  <c r="Q412" i="39"/>
  <c r="Q698" i="39"/>
  <c r="R414" i="39"/>
  <c r="R476" i="39"/>
  <c r="R497" i="39"/>
  <c r="R573" i="39"/>
  <c r="R120" i="39"/>
  <c r="R191" i="39"/>
  <c r="Q421" i="39"/>
  <c r="R416" i="39"/>
  <c r="R444" i="39"/>
  <c r="R12" i="39"/>
  <c r="R574" i="39"/>
  <c r="R122" i="39"/>
  <c r="R184" i="39"/>
  <c r="Q429" i="39"/>
  <c r="R417" i="39"/>
  <c r="R423" i="39"/>
  <c r="R23" i="39"/>
  <c r="R575" i="39"/>
  <c r="R123" i="39"/>
  <c r="R174" i="39"/>
  <c r="R704" i="39"/>
  <c r="Q645" i="39"/>
  <c r="Q646" i="39"/>
  <c r="Q701" i="39"/>
  <c r="Q702" i="39"/>
  <c r="Q647" i="39"/>
  <c r="Q677" i="39"/>
  <c r="R647" i="39"/>
  <c r="R677" i="39"/>
  <c r="R682" i="39"/>
  <c r="Q682" i="39"/>
  <c r="R645" i="39"/>
  <c r="R646" i="39"/>
  <c r="R701" i="39"/>
  <c r="R702" i="39"/>
  <c r="Q220" i="39"/>
  <c r="R220" i="39"/>
  <c r="Q321" i="39"/>
  <c r="Q332" i="39"/>
  <c r="Q322" i="39"/>
  <c r="Q333" i="39"/>
  <c r="Q7" i="39"/>
  <c r="Q334" i="39"/>
  <c r="R327" i="39"/>
  <c r="Q349" i="39"/>
  <c r="Q335" i="39"/>
  <c r="Q8" i="39"/>
  <c r="Q336" i="39"/>
  <c r="Q325" i="39"/>
  <c r="R320" i="39"/>
  <c r="R330" i="39"/>
  <c r="Q326" i="39"/>
  <c r="R346" i="39"/>
  <c r="R331" i="39"/>
  <c r="Q327" i="39"/>
  <c r="R321" i="39"/>
  <c r="R332" i="39"/>
  <c r="Q328" i="39"/>
  <c r="Q319" i="39"/>
  <c r="Q329" i="39"/>
  <c r="R7" i="39"/>
  <c r="R334" i="39"/>
  <c r="Q320" i="39"/>
  <c r="Q330" i="39"/>
  <c r="Q346" i="39"/>
  <c r="Q331" i="39"/>
  <c r="R8" i="39"/>
  <c r="R336" i="39"/>
  <c r="R328" i="39"/>
  <c r="R329" i="39"/>
  <c r="R333" i="39"/>
  <c r="R335" i="39"/>
  <c r="R319" i="39"/>
  <c r="R322" i="39"/>
  <c r="R349" i="39"/>
  <c r="R325" i="39"/>
  <c r="R326" i="39"/>
  <c r="Q217" i="39"/>
  <c r="Q218" i="39"/>
  <c r="Q219" i="39"/>
  <c r="Q90" i="39"/>
  <c r="Q688" i="39"/>
  <c r="Q700" i="39"/>
  <c r="Q107" i="39"/>
  <c r="Q678" i="39"/>
  <c r="Q80" i="39"/>
  <c r="Q679" i="39"/>
  <c r="Q691" i="39"/>
  <c r="Q680" i="39"/>
  <c r="Q692" i="39"/>
  <c r="Q681" i="39"/>
  <c r="Q693" i="39"/>
  <c r="Q705" i="39"/>
  <c r="Q91" i="39"/>
  <c r="Q694" i="39"/>
  <c r="Q706" i="39"/>
  <c r="Q551" i="39"/>
  <c r="R217" i="39"/>
  <c r="Q685" i="39"/>
  <c r="R219" i="39"/>
  <c r="R681" i="39"/>
  <c r="R693" i="39"/>
  <c r="R705" i="39"/>
  <c r="R688" i="39"/>
  <c r="R91" i="39"/>
  <c r="R694" i="39"/>
  <c r="R706" i="39"/>
  <c r="R551" i="39"/>
  <c r="R684" i="39"/>
  <c r="R90" i="39"/>
  <c r="Q675" i="39"/>
  <c r="R685" i="39"/>
  <c r="Q684" i="39"/>
  <c r="R686" i="39"/>
  <c r="Q686" i="39"/>
  <c r="R675" i="39"/>
  <c r="R687" i="39"/>
  <c r="R699" i="39"/>
  <c r="R700" i="39"/>
  <c r="Q687" i="39"/>
  <c r="R683" i="39"/>
  <c r="R107" i="39"/>
  <c r="R678" i="39"/>
  <c r="R80" i="39"/>
  <c r="Q699" i="39"/>
  <c r="R679" i="39"/>
  <c r="R691" i="39"/>
  <c r="R218" i="39"/>
  <c r="R680" i="39"/>
  <c r="R692" i="39"/>
  <c r="Q492" i="39"/>
  <c r="R492" i="39"/>
  <c r="Q357" i="39"/>
  <c r="Q286" i="39"/>
  <c r="Q42" i="39"/>
  <c r="Q373" i="39"/>
  <c r="Q356" i="39"/>
  <c r="Q146" i="39"/>
  <c r="Q43" i="39"/>
  <c r="Q374" i="39"/>
  <c r="Q353" i="39"/>
  <c r="Q125" i="39"/>
  <c r="Q36" i="39"/>
  <c r="Q375" i="39"/>
  <c r="R358" i="39"/>
  <c r="R364" i="39"/>
  <c r="R37" i="39"/>
  <c r="Q355" i="39"/>
  <c r="Q144" i="39"/>
  <c r="Q40" i="39"/>
  <c r="Q376" i="39"/>
  <c r="Q359" i="39"/>
  <c r="Q361" i="39"/>
  <c r="Q39" i="39"/>
  <c r="Q360" i="39"/>
  <c r="Q362" i="39"/>
  <c r="Q38" i="39"/>
  <c r="R126" i="39"/>
  <c r="R367" i="39"/>
  <c r="R371" i="39"/>
  <c r="Q354" i="39"/>
  <c r="Q363" i="39"/>
  <c r="Q35" i="39"/>
  <c r="R297" i="39"/>
  <c r="R368" i="39"/>
  <c r="R372" i="39"/>
  <c r="Q358" i="39"/>
  <c r="Q364" i="39"/>
  <c r="Q37" i="39"/>
  <c r="R357" i="39"/>
  <c r="R286" i="39"/>
  <c r="R42" i="39"/>
  <c r="R373" i="39"/>
  <c r="Q380" i="39"/>
  <c r="Q365" i="39"/>
  <c r="Q369" i="39"/>
  <c r="Q381" i="39"/>
  <c r="Q366" i="39"/>
  <c r="Q370" i="39"/>
  <c r="R353" i="39"/>
  <c r="R125" i="39"/>
  <c r="R36" i="39"/>
  <c r="R375" i="39"/>
  <c r="Q126" i="39"/>
  <c r="Q367" i="39"/>
  <c r="Q371" i="39"/>
  <c r="Q297" i="39"/>
  <c r="Q368" i="39"/>
  <c r="Q372" i="39"/>
  <c r="R359" i="39"/>
  <c r="R361" i="39"/>
  <c r="R39" i="39"/>
  <c r="R365" i="39"/>
  <c r="R366" i="39"/>
  <c r="R356" i="39"/>
  <c r="R43" i="39"/>
  <c r="R355" i="39"/>
  <c r="R40" i="39"/>
  <c r="R360" i="39"/>
  <c r="R38" i="39"/>
  <c r="R354" i="39"/>
  <c r="R35" i="39"/>
  <c r="R380" i="39"/>
  <c r="R369" i="39"/>
  <c r="R381" i="39"/>
  <c r="R370" i="39"/>
  <c r="R146" i="39"/>
  <c r="R374" i="39"/>
  <c r="R144" i="39"/>
  <c r="R376" i="39"/>
  <c r="R362" i="39"/>
  <c r="R363" i="39"/>
  <c r="Q644" i="10"/>
  <c r="G31" i="35"/>
  <c r="G21" i="35"/>
  <c r="G39" i="35"/>
  <c r="G23" i="35"/>
  <c r="G19" i="35"/>
  <c r="G5" i="35"/>
  <c r="G11" i="35"/>
  <c r="G17" i="35"/>
  <c r="G59" i="35"/>
  <c r="G42" i="35"/>
  <c r="G55" i="35"/>
  <c r="G3" i="35"/>
  <c r="G15" i="35"/>
  <c r="G26" i="35"/>
  <c r="G38" i="35"/>
  <c r="G51" i="35"/>
  <c r="G7" i="35"/>
  <c r="G6" i="35"/>
  <c r="G29" i="35"/>
  <c r="G35" i="35"/>
  <c r="G43" i="35"/>
  <c r="G10" i="35"/>
  <c r="G27" i="35"/>
  <c r="G33" i="35"/>
  <c r="G22" i="35"/>
  <c r="G13" i="35"/>
  <c r="G58" i="35"/>
  <c r="G37" i="35"/>
  <c r="G54" i="35"/>
  <c r="G47" i="35"/>
  <c r="G41" i="35"/>
  <c r="G57" i="35"/>
  <c r="G53" i="35"/>
  <c r="G49" i="35"/>
  <c r="G2" i="35"/>
  <c r="G18" i="35"/>
  <c r="G34" i="35"/>
  <c r="G50" i="35"/>
  <c r="G45" i="35"/>
  <c r="G61" i="35"/>
  <c r="G14" i="35"/>
  <c r="G30" i="35"/>
  <c r="G46" i="35"/>
  <c r="G9" i="35"/>
  <c r="G25" i="35"/>
  <c r="AW9" i="37"/>
  <c r="EG2" i="37"/>
  <c r="CR9" i="37"/>
  <c r="EG4" i="37"/>
  <c r="ED3" i="37"/>
  <c r="ED4" i="37"/>
  <c r="CT9" i="37"/>
  <c r="ED2" i="37"/>
  <c r="EG3" i="37"/>
  <c r="AY9" i="37"/>
  <c r="DK2" i="41"/>
  <c r="EI2" i="41" s="1" a="1"/>
  <c r="EI2" i="41" s="1"/>
  <c r="DQ2" i="41"/>
  <c r="EI8" i="41" s="1" a="1"/>
  <c r="EI8" i="41" s="1"/>
  <c r="DL2" i="41"/>
  <c r="EI3" i="41" s="1" a="1"/>
  <c r="EI3" i="41" s="1"/>
  <c r="DN2" i="41"/>
  <c r="EJ5" i="41" s="1" a="1"/>
  <c r="EJ5" i="41" s="1"/>
  <c r="DO2" i="41"/>
  <c r="EI6" i="41" s="1" a="1"/>
  <c r="EI6" i="41" s="1"/>
  <c r="G16" i="35"/>
  <c r="G32" i="35"/>
  <c r="G48" i="35"/>
  <c r="G12" i="35"/>
  <c r="G28" i="35"/>
  <c r="G44" i="35"/>
  <c r="G60" i="35"/>
  <c r="G8" i="35"/>
  <c r="G24" i="35"/>
  <c r="G40" i="35"/>
  <c r="G56" i="35"/>
  <c r="G4" i="35"/>
  <c r="G20" i="35"/>
  <c r="G36" i="35"/>
  <c r="G52" i="35"/>
  <c r="DS2" i="41" a="1"/>
  <c r="DR2" i="41" a="1"/>
  <c r="R52" i="34" l="1"/>
  <c r="R681" i="34"/>
  <c r="R39" i="34"/>
  <c r="Q687" i="34"/>
  <c r="Q680" i="34"/>
  <c r="Q686" i="34"/>
  <c r="Q36" i="34"/>
  <c r="R683" i="34"/>
  <c r="Q679" i="34"/>
  <c r="R36" i="34"/>
  <c r="Q683" i="34"/>
  <c r="Q685" i="34"/>
  <c r="R686" i="34"/>
  <c r="R680" i="34"/>
  <c r="Q681" i="34"/>
  <c r="R682" i="34"/>
  <c r="R37" i="34"/>
  <c r="Q684" i="34"/>
  <c r="R685" i="34"/>
  <c r="R687" i="34"/>
  <c r="Q682" i="34"/>
  <c r="R35" i="34"/>
  <c r="Q52" i="34"/>
  <c r="Q39" i="34"/>
  <c r="Q35" i="34"/>
  <c r="R51" i="34"/>
  <c r="R53" i="34"/>
  <c r="R679" i="34"/>
  <c r="R684" i="34"/>
  <c r="Q53" i="34"/>
  <c r="Q51" i="34"/>
  <c r="Q37" i="34"/>
  <c r="Q634" i="34"/>
  <c r="R634" i="34"/>
  <c r="Q613" i="34"/>
  <c r="R613" i="34"/>
  <c r="R575" i="34"/>
  <c r="Q575" i="34"/>
  <c r="Q11" i="34"/>
  <c r="Q586" i="34"/>
  <c r="R588" i="34"/>
  <c r="Q9" i="34"/>
  <c r="Q10" i="34"/>
  <c r="R6" i="34"/>
  <c r="Q591" i="34"/>
  <c r="R586" i="34"/>
  <c r="R591" i="34"/>
  <c r="R11" i="34"/>
  <c r="Q589" i="34"/>
  <c r="R8" i="34"/>
  <c r="R10" i="34"/>
  <c r="Q7" i="34"/>
  <c r="Q587" i="34"/>
  <c r="Q588" i="34"/>
  <c r="R9" i="34"/>
  <c r="R587" i="34"/>
  <c r="R589" i="34"/>
  <c r="Q8" i="34"/>
  <c r="R7" i="34"/>
  <c r="Q6" i="34"/>
  <c r="R140" i="34"/>
  <c r="Q136" i="34"/>
  <c r="Q140" i="34"/>
  <c r="R133" i="34"/>
  <c r="Q133" i="34"/>
  <c r="R136" i="34"/>
  <c r="Q103" i="34"/>
  <c r="Q101" i="34"/>
  <c r="Q129" i="34"/>
  <c r="Q87" i="34"/>
  <c r="R66" i="34"/>
  <c r="R128" i="34"/>
  <c r="R88" i="34"/>
  <c r="R103" i="34"/>
  <c r="Q88" i="34"/>
  <c r="Q123" i="34"/>
  <c r="R87" i="34"/>
  <c r="R102" i="34"/>
  <c r="R123" i="34"/>
  <c r="Q102" i="34"/>
  <c r="Q115" i="34"/>
  <c r="Q128" i="34"/>
  <c r="Q66" i="34"/>
  <c r="R101" i="34"/>
  <c r="R115" i="34"/>
  <c r="R129" i="34"/>
  <c r="Q541" i="34"/>
  <c r="Q546" i="34"/>
  <c r="Q555" i="34"/>
  <c r="Q567" i="34"/>
  <c r="Q569" i="34"/>
  <c r="Q570" i="34"/>
  <c r="Q579" i="34"/>
  <c r="Q621" i="34"/>
  <c r="Q505" i="34"/>
  <c r="R120" i="34"/>
  <c r="R505" i="34"/>
  <c r="R512" i="34"/>
  <c r="Q83" i="34"/>
  <c r="Q90" i="34"/>
  <c r="Q498" i="34"/>
  <c r="R83" i="34"/>
  <c r="R90" i="34"/>
  <c r="R526" i="34"/>
  <c r="R555" i="34"/>
  <c r="Q89" i="34"/>
  <c r="Q120" i="34"/>
  <c r="Q590" i="34"/>
  <c r="R68" i="34"/>
  <c r="Q79" i="34"/>
  <c r="Q68" i="34"/>
  <c r="R674" i="34"/>
  <c r="R89" i="34"/>
  <c r="R99" i="34"/>
  <c r="R106" i="34"/>
  <c r="R569" i="34"/>
  <c r="R527" i="34"/>
  <c r="R79" i="34"/>
  <c r="R112" i="34"/>
  <c r="Q98" i="34"/>
  <c r="Q105" i="34"/>
  <c r="Q112" i="34"/>
  <c r="Q674" i="34"/>
  <c r="Q94" i="34"/>
  <c r="Q99" i="34"/>
  <c r="R94" i="34"/>
  <c r="Q106" i="34"/>
  <c r="Q675" i="34"/>
  <c r="R541" i="34"/>
  <c r="Q630" i="34"/>
  <c r="R498" i="34"/>
  <c r="Q614" i="34"/>
  <c r="R520" i="34"/>
  <c r="R567" i="34"/>
  <c r="R98" i="34"/>
  <c r="Q108" i="34"/>
  <c r="R546" i="34"/>
  <c r="R614" i="34"/>
  <c r="R630" i="34"/>
  <c r="R590" i="34"/>
  <c r="R621" i="34"/>
  <c r="R105" i="34"/>
  <c r="Q512" i="34"/>
  <c r="Q520" i="34"/>
  <c r="R108" i="34"/>
  <c r="Q526" i="34"/>
  <c r="Q527" i="34"/>
  <c r="Q528" i="34"/>
  <c r="R675" i="34"/>
  <c r="R579" i="34"/>
  <c r="R570" i="34"/>
  <c r="R528" i="34"/>
  <c r="R3" i="34"/>
  <c r="Q4" i="34"/>
  <c r="R4" i="34"/>
  <c r="Q3" i="34"/>
  <c r="Q515" i="39"/>
  <c r="Q516" i="39"/>
  <c r="Q517" i="39"/>
  <c r="Q518" i="39"/>
  <c r="Q519" i="39"/>
  <c r="Q520" i="39"/>
  <c r="Q521" i="39"/>
  <c r="Q522" i="39"/>
  <c r="Q523" i="39"/>
  <c r="R515" i="39"/>
  <c r="R516" i="39"/>
  <c r="R517" i="39"/>
  <c r="R518" i="39"/>
  <c r="R519" i="39"/>
  <c r="R520" i="39"/>
  <c r="R521" i="39"/>
  <c r="R522" i="39"/>
  <c r="Q524" i="39"/>
  <c r="R523" i="39"/>
  <c r="R524" i="39"/>
  <c r="Q490" i="39"/>
  <c r="Q491" i="39"/>
  <c r="Q486" i="39"/>
  <c r="Q164" i="39"/>
  <c r="Q170" i="39"/>
  <c r="Q201" i="39"/>
  <c r="Q214" i="39"/>
  <c r="Q487" i="39"/>
  <c r="Q213" i="39"/>
  <c r="Q489" i="39"/>
  <c r="R214" i="39"/>
  <c r="R213" i="39"/>
  <c r="Q488" i="39"/>
  <c r="R164" i="39"/>
  <c r="R170" i="39"/>
  <c r="R201" i="39"/>
  <c r="Q384" i="39"/>
  <c r="Q385" i="39"/>
  <c r="Q386" i="39"/>
  <c r="R385" i="39"/>
  <c r="R384" i="39"/>
  <c r="R386" i="39"/>
  <c r="Q628" i="39"/>
  <c r="Q19" i="39"/>
  <c r="Q629" i="39"/>
  <c r="Q18" i="39"/>
  <c r="Q17" i="39"/>
  <c r="Q204" i="39"/>
  <c r="Q16" i="39"/>
  <c r="Q200" i="39"/>
  <c r="Q15" i="39"/>
  <c r="Q190" i="39"/>
  <c r="Q14" i="39"/>
  <c r="Q168" i="39"/>
  <c r="Q103" i="39"/>
  <c r="Q87" i="39"/>
  <c r="Q98" i="39"/>
  <c r="Q102" i="39"/>
  <c r="Q21" i="39"/>
  <c r="R628" i="39"/>
  <c r="R190" i="39"/>
  <c r="R629" i="39"/>
  <c r="R168" i="39"/>
  <c r="Q20" i="39"/>
  <c r="R17" i="39"/>
  <c r="R16" i="39"/>
  <c r="R15" i="39"/>
  <c r="R14" i="39"/>
  <c r="R20" i="39"/>
  <c r="R21" i="39"/>
  <c r="R19" i="39"/>
  <c r="R18" i="39"/>
  <c r="R204" i="39"/>
  <c r="R200" i="39"/>
  <c r="R243" i="39"/>
  <c r="Q2" i="39"/>
  <c r="Q299" i="39"/>
  <c r="Q243" i="39"/>
  <c r="Q223" i="39"/>
  <c r="Q235" i="39"/>
  <c r="Q158" i="39"/>
  <c r="Q224" i="39"/>
  <c r="Q175" i="39"/>
  <c r="Q225" i="39"/>
  <c r="Q165" i="39"/>
  <c r="R206" i="39"/>
  <c r="R228" i="39"/>
  <c r="R157" i="39"/>
  <c r="Q226" i="39"/>
  <c r="Q150" i="39"/>
  <c r="R187" i="39"/>
  <c r="R229" i="39"/>
  <c r="R147" i="39"/>
  <c r="Q211" i="39"/>
  <c r="Q227" i="39"/>
  <c r="Q172" i="39"/>
  <c r="R177" i="39"/>
  <c r="R230" i="39"/>
  <c r="R185" i="39"/>
  <c r="Q206" i="39"/>
  <c r="Q228" i="39"/>
  <c r="Q157" i="39"/>
  <c r="R202" i="39"/>
  <c r="R231" i="39"/>
  <c r="R167" i="39"/>
  <c r="Q187" i="39"/>
  <c r="Q229" i="39"/>
  <c r="Q147" i="39"/>
  <c r="R156" i="39"/>
  <c r="R232" i="39"/>
  <c r="R154" i="39"/>
  <c r="Q177" i="39"/>
  <c r="Q230" i="39"/>
  <c r="Q185" i="39"/>
  <c r="R221" i="39"/>
  <c r="R233" i="39"/>
  <c r="R198" i="39"/>
  <c r="Q202" i="39"/>
  <c r="Q231" i="39"/>
  <c r="Q167" i="39"/>
  <c r="R222" i="39"/>
  <c r="R234" i="39"/>
  <c r="R178" i="39"/>
  <c r="Q156" i="39"/>
  <c r="Q232" i="39"/>
  <c r="Q154" i="39"/>
  <c r="R223" i="39"/>
  <c r="R235" i="39"/>
  <c r="R158" i="39"/>
  <c r="Q221" i="39"/>
  <c r="Q233" i="39"/>
  <c r="Q198" i="39"/>
  <c r="Q222" i="39"/>
  <c r="Q234" i="39"/>
  <c r="Q178" i="39"/>
  <c r="R225" i="39"/>
  <c r="R165" i="39"/>
  <c r="R211" i="39"/>
  <c r="R224" i="39"/>
  <c r="R226" i="39"/>
  <c r="R227" i="39"/>
  <c r="R175" i="39"/>
  <c r="R150" i="39"/>
  <c r="R172" i="39"/>
  <c r="Q180" i="39"/>
  <c r="Q197" i="39"/>
  <c r="Q209" i="39"/>
  <c r="R180" i="39"/>
  <c r="R197" i="39"/>
  <c r="R209" i="39"/>
  <c r="F138" i="37" a="1"/>
  <c r="F138" i="37" s="1"/>
  <c r="E17" i="41" a="1"/>
  <c r="E17" i="41" s="1"/>
  <c r="AZ2" i="42" a="1"/>
  <c r="Q2" i="34"/>
  <c r="R2" i="34"/>
  <c r="AA2" i="43" s="1" a="1"/>
  <c r="AA2" i="43" s="1"/>
  <c r="D22" i="43" s="1"/>
  <c r="DS2" i="41"/>
  <c r="DU10" i="41" s="1" a="1"/>
  <c r="DU10" i="41" s="1"/>
  <c r="F141" i="41" a="1"/>
  <c r="F141" i="41" s="1"/>
  <c r="D141" i="41" a="1"/>
  <c r="D141" i="41" s="1"/>
  <c r="DR2" i="41"/>
  <c r="DV9" i="41" s="1" a="1"/>
  <c r="DV9" i="41" s="1"/>
  <c r="D131" i="37" a="1"/>
  <c r="D131" i="37" s="1"/>
  <c r="G10" i="37" a="1"/>
  <c r="G10" i="37" s="1"/>
  <c r="K10" i="37" s="1"/>
  <c r="G131" i="41" a="1"/>
  <c r="G131" i="41" s="1"/>
  <c r="K131" i="41" s="1"/>
  <c r="G10" i="41" a="1"/>
  <c r="G10" i="41" s="1"/>
  <c r="K10" i="41" s="1"/>
  <c r="F10" i="41" a="1"/>
  <c r="F10" i="41" s="1"/>
  <c r="F10" i="37" a="1"/>
  <c r="F10" i="37" s="1"/>
  <c r="D131" i="41" a="1"/>
  <c r="D131" i="41" s="1"/>
  <c r="E10" i="41" a="1"/>
  <c r="E10" i="41" s="1"/>
  <c r="E10" i="37" a="1"/>
  <c r="E10" i="37" s="1"/>
  <c r="D10" i="37" a="1"/>
  <c r="D10" i="37" s="1"/>
  <c r="D10" i="41" a="1"/>
  <c r="D10" i="41" s="1"/>
  <c r="BS2" i="37" a="1"/>
  <c r="BS2" i="37" s="1"/>
  <c r="G131" i="37" a="1"/>
  <c r="G131" i="37" s="1"/>
  <c r="K131" i="37" s="1"/>
  <c r="F131" i="37" a="1"/>
  <c r="F131" i="37" s="1"/>
  <c r="E131" i="37" a="1"/>
  <c r="E131" i="37" s="1"/>
  <c r="F20" i="41" a="1"/>
  <c r="F20" i="41" s="1"/>
  <c r="E20" i="41" a="1"/>
  <c r="E20" i="41" s="1"/>
  <c r="D20" i="41" a="1"/>
  <c r="D20" i="41" s="1"/>
  <c r="G141" i="41" a="1"/>
  <c r="G141" i="41" s="1"/>
  <c r="L141" i="41" s="1"/>
  <c r="G141" i="37" a="1"/>
  <c r="G141" i="37" s="1"/>
  <c r="L141" i="37" s="1"/>
  <c r="DO2" i="37" a="1"/>
  <c r="DO2" i="37" s="1"/>
  <c r="F141" i="37" a="1"/>
  <c r="F141" i="37" s="1"/>
  <c r="E141" i="37" a="1"/>
  <c r="E141" i="37" s="1"/>
  <c r="D141" i="37" a="1"/>
  <c r="D141" i="37" s="1"/>
  <c r="G20" i="37" a="1"/>
  <c r="G20" i="37" s="1"/>
  <c r="L20" i="37" s="1"/>
  <c r="CC2" i="37" a="1"/>
  <c r="CC2" i="37" s="1"/>
  <c r="F20" i="37" a="1"/>
  <c r="F20" i="37" s="1"/>
  <c r="E20" i="37" a="1"/>
  <c r="E20" i="37" s="1"/>
  <c r="G20" i="41" a="1"/>
  <c r="G20" i="41" s="1"/>
  <c r="L20" i="41" s="1"/>
  <c r="D20" i="37" a="1"/>
  <c r="D20" i="37" s="1"/>
  <c r="AH2" i="37" a="1"/>
  <c r="AH2" i="37" s="1"/>
  <c r="Z2" i="41" a="1"/>
  <c r="Z2" i="41" s="1"/>
  <c r="AF2" i="43" a="1"/>
  <c r="AF2" i="43" s="1"/>
  <c r="AR9" i="43" s="1" a="1"/>
  <c r="AR9" i="43" s="1"/>
  <c r="AH2" i="41" a="1"/>
  <c r="AH2" i="41" s="1"/>
  <c r="AI2" i="41" a="1"/>
  <c r="AI2" i="41" s="1"/>
  <c r="BL2" i="37" a="1"/>
  <c r="BL2" i="37" s="1"/>
  <c r="G123" i="37" a="1"/>
  <c r="G123" i="37" s="1"/>
  <c r="K123" i="37" s="1"/>
  <c r="G123" i="41" a="1"/>
  <c r="G123" i="41" s="1"/>
  <c r="K123" i="41" s="1"/>
  <c r="F123" i="37" a="1"/>
  <c r="F123" i="37" s="1"/>
  <c r="F123" i="41" a="1"/>
  <c r="F123" i="41" s="1"/>
  <c r="G3" i="41" a="1"/>
  <c r="G3" i="41" s="1"/>
  <c r="K3" i="41" s="1"/>
  <c r="E123" i="37" a="1"/>
  <c r="E123" i="37" s="1"/>
  <c r="E123" i="41" a="1"/>
  <c r="E123" i="41" s="1"/>
  <c r="F3" i="41" a="1"/>
  <c r="F3" i="41" s="1"/>
  <c r="D123" i="37" a="1"/>
  <c r="D123" i="37" s="1"/>
  <c r="D123" i="41" a="1"/>
  <c r="D123" i="41" s="1"/>
  <c r="E3" i="41" a="1"/>
  <c r="E3" i="41" s="1"/>
  <c r="F3" i="37" a="1"/>
  <c r="F3" i="37" s="1"/>
  <c r="D3" i="37" a="1"/>
  <c r="D3" i="37" s="1"/>
  <c r="DF2" i="37" a="1"/>
  <c r="DF2" i="37" s="1"/>
  <c r="Z2" i="37" a="1"/>
  <c r="Z2" i="37" s="1"/>
  <c r="G3" i="37" a="1"/>
  <c r="G3" i="37" s="1"/>
  <c r="K3" i="37" s="1"/>
  <c r="EJ6" i="41" a="1"/>
  <c r="EJ6" i="41" s="1"/>
  <c r="AA2" i="41" a="1"/>
  <c r="AA2" i="41" s="1"/>
  <c r="D4" i="41" a="1"/>
  <c r="D4" i="41" s="1"/>
  <c r="EI5" i="41" a="1"/>
  <c r="EI5" i="41" s="1"/>
  <c r="EJ3" i="41" a="1"/>
  <c r="EJ3" i="41" s="1"/>
  <c r="EC6" i="41" a="1"/>
  <c r="EC6" i="41" s="1"/>
  <c r="DW6" i="41" a="1"/>
  <c r="DW6" i="41" s="1"/>
  <c r="DZ6" i="41" a="1"/>
  <c r="DZ6" i="41" s="1"/>
  <c r="DY6" i="41" a="1"/>
  <c r="DY6" i="41" s="1"/>
  <c r="EL6" i="41" s="1"/>
  <c r="EE6" i="41" a="1"/>
  <c r="EE6" i="41" s="1"/>
  <c r="DX6" i="41" a="1"/>
  <c r="DX6" i="41" s="1"/>
  <c r="ED6" i="41" a="1"/>
  <c r="ED6" i="41" s="1"/>
  <c r="DV6" i="41" a="1"/>
  <c r="DV6" i="41" s="1"/>
  <c r="EB6" i="41" a="1"/>
  <c r="EB6" i="41" s="1"/>
  <c r="DU6" i="41" a="1"/>
  <c r="DU6" i="41" s="1"/>
  <c r="EA6" i="41" a="1"/>
  <c r="EA6" i="41" s="1"/>
  <c r="DZ5" i="41" a="1"/>
  <c r="DZ5" i="41" s="1"/>
  <c r="EN5" i="41" s="1"/>
  <c r="EC5" i="41" a="1"/>
  <c r="EC5" i="41" s="1"/>
  <c r="DW5" i="41" a="1"/>
  <c r="DW5" i="41" s="1"/>
  <c r="EE5" i="41" a="1"/>
  <c r="EE5" i="41" s="1"/>
  <c r="DX5" i="41" a="1"/>
  <c r="DX5" i="41" s="1"/>
  <c r="ED5" i="41" a="1"/>
  <c r="ED5" i="41" s="1"/>
  <c r="DV5" i="41" a="1"/>
  <c r="DV5" i="41" s="1"/>
  <c r="EB5" i="41" a="1"/>
  <c r="EB5" i="41" s="1"/>
  <c r="DU5" i="41" a="1"/>
  <c r="DU5" i="41" s="1"/>
  <c r="EA5" i="41" a="1"/>
  <c r="EA5" i="41" s="1"/>
  <c r="DY5" i="41" a="1"/>
  <c r="DY5" i="41" s="1"/>
  <c r="E7" i="37" a="1"/>
  <c r="E7" i="37" s="1"/>
  <c r="BY2" i="41" a="1"/>
  <c r="BY2" i="41" s="1"/>
  <c r="EC3" i="41" a="1"/>
  <c r="EC3" i="41" s="1"/>
  <c r="DX3" i="41" a="1"/>
  <c r="DX3" i="41" s="1"/>
  <c r="ED3" i="41" a="1"/>
  <c r="ED3" i="41" s="1"/>
  <c r="DW3" i="41" a="1"/>
  <c r="DW3" i="41" s="1"/>
  <c r="EB3" i="41" a="1"/>
  <c r="EB3" i="41" s="1"/>
  <c r="DV3" i="41" a="1"/>
  <c r="DV3" i="41" s="1"/>
  <c r="EA3" i="41" a="1"/>
  <c r="EA3" i="41" s="1"/>
  <c r="DU3" i="41" a="1"/>
  <c r="DU3" i="41" s="1"/>
  <c r="DZ3" i="41" a="1"/>
  <c r="DZ3" i="41" s="1"/>
  <c r="DY3" i="41" a="1"/>
  <c r="DY3" i="41" s="1"/>
  <c r="EL3" i="41" s="1"/>
  <c r="EE3" i="41" a="1"/>
  <c r="EE3" i="41" s="1"/>
  <c r="ED8" i="41" a="1"/>
  <c r="ED8" i="41" s="1"/>
  <c r="DX8" i="41" a="1"/>
  <c r="DX8" i="41" s="1"/>
  <c r="EC8" i="41" a="1"/>
  <c r="EC8" i="41" s="1"/>
  <c r="DW8" i="41" a="1"/>
  <c r="DW8" i="41" s="1"/>
  <c r="DZ8" i="41" a="1"/>
  <c r="DZ8" i="41" s="1"/>
  <c r="EE8" i="41" a="1"/>
  <c r="EE8" i="41" s="1"/>
  <c r="DV8" i="41" a="1"/>
  <c r="DV8" i="41" s="1"/>
  <c r="DU8" i="41" a="1"/>
  <c r="DU8" i="41" s="1"/>
  <c r="EB8" i="41" a="1"/>
  <c r="EB8" i="41" s="1"/>
  <c r="EJ8" i="41" a="1"/>
  <c r="EJ8" i="41" s="1"/>
  <c r="EA8" i="41" a="1"/>
  <c r="EA8" i="41" s="1"/>
  <c r="DY8" i="41" a="1"/>
  <c r="DY8" i="41" s="1"/>
  <c r="EL8" i="41" s="1"/>
  <c r="EC2" i="41" a="1"/>
  <c r="EC2" i="41" s="1"/>
  <c r="DW2" i="41" a="1"/>
  <c r="DW2" i="41" s="1"/>
  <c r="EJ2" i="41" a="1"/>
  <c r="EJ2" i="41" s="1"/>
  <c r="EB2" i="41" a="1"/>
  <c r="EB2" i="41" s="1"/>
  <c r="DV2" i="41" a="1"/>
  <c r="DV2" i="41" s="1"/>
  <c r="EA2" i="41" a="1"/>
  <c r="EA2" i="41" s="1"/>
  <c r="DU2" i="41" a="1"/>
  <c r="DU2" i="41" s="1"/>
  <c r="DZ2" i="41" a="1"/>
  <c r="DZ2" i="41" s="1"/>
  <c r="EE2" i="41" a="1"/>
  <c r="EE2" i="41" s="1"/>
  <c r="DY2" i="41" a="1"/>
  <c r="DY2" i="41" s="1"/>
  <c r="EL2" i="41" s="1"/>
  <c r="ED2" i="41" a="1"/>
  <c r="ED2" i="41" s="1"/>
  <c r="DX2" i="41" a="1"/>
  <c r="DX2" i="41" s="1"/>
  <c r="DP2" i="41" a="1"/>
  <c r="DM2" i="41" a="1"/>
  <c r="F17" i="41" l="1" a="1"/>
  <c r="F17" i="41" s="1"/>
  <c r="G17" i="41" a="1"/>
  <c r="G17" i="41" s="1"/>
  <c r="L17" i="41" s="1"/>
  <c r="E138" i="37" a="1"/>
  <c r="E138" i="37" s="1"/>
  <c r="D138" i="37" a="1"/>
  <c r="D138" i="37" s="1"/>
  <c r="E131" i="41" a="1"/>
  <c r="E131" i="41" s="1"/>
  <c r="G17" i="37" a="1"/>
  <c r="G17" i="37" s="1"/>
  <c r="L17" i="37" s="1"/>
  <c r="D3" i="41" a="1"/>
  <c r="D3" i="41" s="1"/>
  <c r="H3" i="41" s="1"/>
  <c r="AZ2" i="42"/>
  <c r="AW2" i="42" a="1"/>
  <c r="G12" i="37" a="1"/>
  <c r="G12" i="37" s="1"/>
  <c r="J12" i="37" s="1"/>
  <c r="BZ2" i="37" a="1"/>
  <c r="BZ2" i="37" s="1"/>
  <c r="D19" i="37" a="1"/>
  <c r="D19" i="37" s="1"/>
  <c r="E3" i="37" a="1"/>
  <c r="E3" i="37" s="1"/>
  <c r="E17" i="37" a="1"/>
  <c r="E17" i="37" s="1"/>
  <c r="D17" i="37" a="1"/>
  <c r="D17" i="37" s="1"/>
  <c r="H17" i="37" s="1"/>
  <c r="G138" i="37" a="1"/>
  <c r="G138" i="37" s="1"/>
  <c r="F17" i="37" a="1"/>
  <c r="F17" i="37" s="1"/>
  <c r="D15" i="37" a="1"/>
  <c r="D15" i="37" s="1"/>
  <c r="E11" i="37" a="1"/>
  <c r="E11" i="37" s="1"/>
  <c r="BU2" i="37" a="1"/>
  <c r="BU2" i="37" s="1"/>
  <c r="D138" i="41" a="1"/>
  <c r="D138" i="41" s="1"/>
  <c r="D17" i="41" a="1"/>
  <c r="D17" i="41" s="1"/>
  <c r="H17" i="41" s="1"/>
  <c r="F137" i="41" a="1"/>
  <c r="F137" i="41" s="1"/>
  <c r="E134" i="41" a="1"/>
  <c r="E134" i="41" s="1"/>
  <c r="E130" i="41" a="1"/>
  <c r="E130" i="41" s="1"/>
  <c r="G122" i="41" a="1"/>
  <c r="G122" i="41" s="1"/>
  <c r="J122" i="41" s="1"/>
  <c r="G16" i="41" a="1"/>
  <c r="G16" i="41" s="1"/>
  <c r="K16" i="41" s="1"/>
  <c r="G12" i="41" a="1"/>
  <c r="G12" i="41" s="1"/>
  <c r="J12" i="41" s="1"/>
  <c r="D9" i="41" a="1"/>
  <c r="D9" i="41" s="1"/>
  <c r="G2" i="41" a="1"/>
  <c r="G2" i="41" s="1"/>
  <c r="J2" i="41" s="1"/>
  <c r="G134" i="37" a="1"/>
  <c r="G134" i="37" s="1"/>
  <c r="K134" i="37" s="1"/>
  <c r="G130" i="37" a="1"/>
  <c r="G130" i="37" s="1"/>
  <c r="J130" i="37" s="1"/>
  <c r="G122" i="37" a="1"/>
  <c r="G122" i="37" s="1"/>
  <c r="J122" i="37" s="1"/>
  <c r="G16" i="37" a="1"/>
  <c r="G16" i="37" s="1"/>
  <c r="K16" i="37" s="1"/>
  <c r="F15" i="37" a="1"/>
  <c r="F15" i="37" s="1"/>
  <c r="DM2" i="37" a="1"/>
  <c r="DM2" i="37" s="1"/>
  <c r="BX2" i="37" a="1"/>
  <c r="BX2" i="37" s="1"/>
  <c r="E140" i="41" a="1"/>
  <c r="E140" i="41" s="1"/>
  <c r="G136" i="41" a="1"/>
  <c r="G136" i="41" s="1"/>
  <c r="J136" i="41" s="1"/>
  <c r="D133" i="41" a="1"/>
  <c r="D133" i="41" s="1"/>
  <c r="E129" i="41" a="1"/>
  <c r="E129" i="41" s="1"/>
  <c r="E19" i="41" a="1"/>
  <c r="E19" i="41" s="1"/>
  <c r="G15" i="41" a="1"/>
  <c r="G15" i="41" s="1"/>
  <c r="J15" i="41" s="1"/>
  <c r="E12" i="41" a="1"/>
  <c r="E12" i="41" s="1"/>
  <c r="E138" i="41" a="1"/>
  <c r="E138" i="41" s="1"/>
  <c r="D136" i="37" a="1"/>
  <c r="D136" i="37" s="1"/>
  <c r="E132" i="37" a="1"/>
  <c r="E132" i="37" s="1"/>
  <c r="E128" i="37" a="1"/>
  <c r="E128" i="37" s="1"/>
  <c r="E18" i="37" a="1"/>
  <c r="E18" i="37" s="1"/>
  <c r="E13" i="37" a="1"/>
  <c r="E13" i="37" s="1"/>
  <c r="F9" i="37" a="1"/>
  <c r="F9" i="37" s="1"/>
  <c r="BR2" i="37" a="1"/>
  <c r="BR2" i="37" s="1"/>
  <c r="CF9" i="37" s="1" a="1"/>
  <c r="CF9" i="37" s="1"/>
  <c r="D140" i="41" a="1"/>
  <c r="D140" i="41" s="1"/>
  <c r="F136" i="41" a="1"/>
  <c r="F136" i="41" s="1"/>
  <c r="G132" i="41" a="1"/>
  <c r="G132" i="41" s="1"/>
  <c r="L132" i="41" s="1"/>
  <c r="D129" i="41" a="1"/>
  <c r="D129" i="41" s="1"/>
  <c r="D19" i="41" a="1"/>
  <c r="D19" i="41" s="1"/>
  <c r="D15" i="41" a="1"/>
  <c r="D15" i="41" s="1"/>
  <c r="E11" i="41" a="1"/>
  <c r="E11" i="41" s="1"/>
  <c r="F131" i="41" a="1"/>
  <c r="F131" i="41" s="1"/>
  <c r="G139" i="37" a="1"/>
  <c r="G139" i="37" s="1"/>
  <c r="J139" i="37" s="1"/>
  <c r="F132" i="37" a="1"/>
  <c r="F132" i="37" s="1"/>
  <c r="G129" i="37" a="1"/>
  <c r="G129" i="37" s="1"/>
  <c r="N129" i="37" s="1"/>
  <c r="E122" i="37" a="1"/>
  <c r="E122" i="37" s="1"/>
  <c r="E16" i="37" a="1"/>
  <c r="E16" i="37" s="1"/>
  <c r="E12" i="37" a="1"/>
  <c r="E12" i="37" s="1"/>
  <c r="DE2" i="37" a="1"/>
  <c r="DE2" i="37" s="1"/>
  <c r="BT2" i="37" a="1"/>
  <c r="BT2" i="37" s="1"/>
  <c r="G139" i="41" a="1"/>
  <c r="G139" i="41" s="1"/>
  <c r="J139" i="41" s="1"/>
  <c r="D136" i="41" a="1"/>
  <c r="D136" i="41" s="1"/>
  <c r="E132" i="41" a="1"/>
  <c r="E132" i="41" s="1"/>
  <c r="F128" i="41" a="1"/>
  <c r="F128" i="41" s="1"/>
  <c r="G18" i="41" a="1"/>
  <c r="G18" i="41" s="1"/>
  <c r="J18" i="41" s="1"/>
  <c r="F13" i="41" a="1"/>
  <c r="F13" i="41" s="1"/>
  <c r="G9" i="41" a="1"/>
  <c r="G9" i="41" s="1"/>
  <c r="J9" i="41" s="1"/>
  <c r="F138" i="41" a="1"/>
  <c r="F138" i="41" s="1"/>
  <c r="G140" i="37" a="1"/>
  <c r="G140" i="37" s="1"/>
  <c r="K140" i="37" s="1"/>
  <c r="F133" i="37" a="1"/>
  <c r="F133" i="37" s="1"/>
  <c r="E129" i="37" a="1"/>
  <c r="E129" i="37" s="1"/>
  <c r="G18" i="37" a="1"/>
  <c r="G18" i="37" s="1"/>
  <c r="J18" i="37" s="1"/>
  <c r="G13" i="37" a="1"/>
  <c r="G13" i="37" s="1"/>
  <c r="K13" i="37" s="1"/>
  <c r="G9" i="37" a="1"/>
  <c r="G9" i="37" s="1"/>
  <c r="J9" i="37" s="1"/>
  <c r="AG2" i="37" a="1"/>
  <c r="AG2" i="37" s="1"/>
  <c r="F2" i="37" a="1"/>
  <c r="F2" i="37" s="1"/>
  <c r="F139" i="41" a="1"/>
  <c r="F139" i="41" s="1"/>
  <c r="G134" i="41" a="1"/>
  <c r="G134" i="41" s="1"/>
  <c r="K134" i="41" s="1"/>
  <c r="D132" i="41" a="1"/>
  <c r="D132" i="41" s="1"/>
  <c r="E128" i="41" a="1"/>
  <c r="E128" i="41" s="1"/>
  <c r="F18" i="41" a="1"/>
  <c r="F18" i="41" s="1"/>
  <c r="E15" i="41" a="1"/>
  <c r="E15" i="41" s="1"/>
  <c r="F11" i="41" a="1"/>
  <c r="F11" i="41" s="1"/>
  <c r="E141" i="41" a="1"/>
  <c r="E141" i="41" s="1"/>
  <c r="E136" i="37" a="1"/>
  <c r="E136" i="37" s="1"/>
  <c r="D132" i="37" a="1"/>
  <c r="D132" i="37" s="1"/>
  <c r="D128" i="37" a="1"/>
  <c r="D128" i="37" s="1"/>
  <c r="D18" i="37" a="1"/>
  <c r="D18" i="37" s="1"/>
  <c r="H18" i="37" s="1"/>
  <c r="D13" i="37" a="1"/>
  <c r="D13" i="37" s="1"/>
  <c r="H13" i="37" s="1"/>
  <c r="D9" i="37" a="1"/>
  <c r="D9" i="37" s="1"/>
  <c r="H9" i="37" s="1"/>
  <c r="BK2" i="37" a="1"/>
  <c r="BK2" i="37" s="1"/>
  <c r="F140" i="41" a="1"/>
  <c r="F140" i="41" s="1"/>
  <c r="E136" i="41" a="1"/>
  <c r="E136" i="41" s="1"/>
  <c r="F132" i="41" a="1"/>
  <c r="F132" i="41" s="1"/>
  <c r="G128" i="41" a="1"/>
  <c r="G128" i="41" s="1"/>
  <c r="M128" i="41" s="1"/>
  <c r="F19" i="41" a="1"/>
  <c r="F19" i="41" s="1"/>
  <c r="E16" i="41" a="1"/>
  <c r="E16" i="41" s="1"/>
  <c r="F12" i="41" a="1"/>
  <c r="F12" i="41" s="1"/>
  <c r="G138" i="41" a="1"/>
  <c r="G138" i="41" s="1"/>
  <c r="L138" i="41" s="1"/>
  <c r="E2" i="41" a="1"/>
  <c r="E2" i="41" s="1"/>
  <c r="E134" i="37" a="1"/>
  <c r="E134" i="37" s="1"/>
  <c r="E130" i="37" a="1"/>
  <c r="E130" i="37" s="1"/>
  <c r="D122" i="37" a="1"/>
  <c r="D122" i="37" s="1"/>
  <c r="F12" i="37" a="1"/>
  <c r="F12" i="37" s="1"/>
  <c r="F11" i="37" a="1"/>
  <c r="F11" i="37" s="1"/>
  <c r="BY2" i="37" a="1"/>
  <c r="BY2" i="37" s="1"/>
  <c r="D2" i="37" a="1"/>
  <c r="D2" i="37" s="1"/>
  <c r="G140" i="41" a="1"/>
  <c r="G140" i="41" s="1"/>
  <c r="K140" i="41" s="1"/>
  <c r="E137" i="41" a="1"/>
  <c r="E137" i="41" s="1"/>
  <c r="D134" i="41" a="1"/>
  <c r="D134" i="41" s="1"/>
  <c r="G129" i="41" a="1"/>
  <c r="G129" i="41" s="1"/>
  <c r="N129" i="41" s="1"/>
  <c r="D122" i="41" a="1"/>
  <c r="D122" i="41" s="1"/>
  <c r="F15" i="41" a="1"/>
  <c r="F15" i="41" s="1"/>
  <c r="G11" i="41" a="1"/>
  <c r="G11" i="41" s="1"/>
  <c r="L11" i="41" s="1"/>
  <c r="F140" i="37" a="1"/>
  <c r="F140" i="37" s="1"/>
  <c r="G133" i="37" a="1"/>
  <c r="G133" i="37" s="1"/>
  <c r="J133" i="37" s="1"/>
  <c r="F129" i="37" a="1"/>
  <c r="F129" i="37" s="1"/>
  <c r="E19" i="37" a="1"/>
  <c r="E19" i="37" s="1"/>
  <c r="E15" i="37" a="1"/>
  <c r="E15" i="37" s="1"/>
  <c r="D11" i="37" a="1"/>
  <c r="D11" i="37" s="1"/>
  <c r="AF2" i="37" a="1"/>
  <c r="AF2" i="37" s="1"/>
  <c r="AK9" i="37" s="1" a="1"/>
  <c r="AK9" i="37" s="1"/>
  <c r="G2" i="37" a="1"/>
  <c r="G2" i="37" s="1"/>
  <c r="J2" i="37" s="1"/>
  <c r="F139" i="37" a="1"/>
  <c r="F139" i="37" s="1"/>
  <c r="E139" i="37" a="1"/>
  <c r="E139" i="37" s="1"/>
  <c r="D139" i="37" a="1"/>
  <c r="D139" i="37" s="1"/>
  <c r="H139" i="37" s="1"/>
  <c r="G137" i="37" a="1"/>
  <c r="G137" i="37" s="1"/>
  <c r="K137" i="37" s="1"/>
  <c r="F137" i="37" a="1"/>
  <c r="F137" i="37" s="1"/>
  <c r="E137" i="37" a="1"/>
  <c r="E137" i="37" s="1"/>
  <c r="D137" i="37" a="1"/>
  <c r="D137" i="37" s="1"/>
  <c r="G136" i="37" a="1"/>
  <c r="G136" i="37" s="1"/>
  <c r="J136" i="37" s="1"/>
  <c r="F136" i="37" a="1"/>
  <c r="F136" i="37" s="1"/>
  <c r="D134" i="37" a="1"/>
  <c r="D134" i="37" s="1"/>
  <c r="H134" i="37" s="1"/>
  <c r="D130" i="37" a="1"/>
  <c r="D130" i="37" s="1"/>
  <c r="H130" i="37" s="1"/>
  <c r="G19" i="37" a="1"/>
  <c r="G19" i="37" s="1"/>
  <c r="K19" i="37" s="1"/>
  <c r="D16" i="37" a="1"/>
  <c r="D16" i="37" s="1"/>
  <c r="H16" i="37" s="1"/>
  <c r="G11" i="37" a="1"/>
  <c r="G11" i="37" s="1"/>
  <c r="L11" i="37" s="1"/>
  <c r="CB2" i="37" a="1"/>
  <c r="CB2" i="37" s="1"/>
  <c r="D139" i="41" a="1"/>
  <c r="D139" i="41" s="1"/>
  <c r="F133" i="41" a="1"/>
  <c r="F133" i="41" s="1"/>
  <c r="F130" i="41" a="1"/>
  <c r="F130" i="41" s="1"/>
  <c r="D128" i="41" a="1"/>
  <c r="D128" i="41" s="1"/>
  <c r="E18" i="41" a="1"/>
  <c r="E18" i="41" s="1"/>
  <c r="G13" i="41" a="1"/>
  <c r="G13" i="41" s="1"/>
  <c r="K13" i="41" s="1"/>
  <c r="D11" i="41" a="1"/>
  <c r="D11" i="41" s="1"/>
  <c r="D2" i="41" a="1"/>
  <c r="D2" i="41" s="1"/>
  <c r="E133" i="37" a="1"/>
  <c r="E133" i="37" s="1"/>
  <c r="D129" i="37" a="1"/>
  <c r="D129" i="37" s="1"/>
  <c r="F18" i="37" a="1"/>
  <c r="F18" i="37" s="1"/>
  <c r="F13" i="37" a="1"/>
  <c r="F13" i="37" s="1"/>
  <c r="E9" i="37" a="1"/>
  <c r="E9" i="37" s="1"/>
  <c r="Y2" i="37" a="1"/>
  <c r="Y2" i="37" s="1"/>
  <c r="E2" i="37" a="1"/>
  <c r="E2" i="37" s="1"/>
  <c r="D137" i="41" a="1"/>
  <c r="D137" i="41" s="1"/>
  <c r="E133" i="41" a="1"/>
  <c r="E133" i="41" s="1"/>
  <c r="F129" i="41" a="1"/>
  <c r="F129" i="41" s="1"/>
  <c r="G19" i="41" a="1"/>
  <c r="G19" i="41" s="1"/>
  <c r="K19" i="41" s="1"/>
  <c r="D16" i="41" a="1"/>
  <c r="D16" i="41" s="1"/>
  <c r="D12" i="41" a="1"/>
  <c r="D12" i="41" s="1"/>
  <c r="E140" i="37" a="1"/>
  <c r="E140" i="37" s="1"/>
  <c r="D133" i="37" a="1"/>
  <c r="D133" i="37" s="1"/>
  <c r="F128" i="37" a="1"/>
  <c r="F128" i="37" s="1"/>
  <c r="F19" i="37" a="1"/>
  <c r="F19" i="37" s="1"/>
  <c r="G15" i="37" a="1"/>
  <c r="G15" i="37" s="1"/>
  <c r="J15" i="37" s="1"/>
  <c r="D12" i="37" a="1"/>
  <c r="D12" i="37" s="1"/>
  <c r="H12" i="37" s="1"/>
  <c r="CA2" i="37" a="1"/>
  <c r="CA2" i="37" s="1"/>
  <c r="E139" i="41" a="1"/>
  <c r="E139" i="41" s="1"/>
  <c r="G133" i="41" a="1"/>
  <c r="G133" i="41" s="1"/>
  <c r="J133" i="41" s="1"/>
  <c r="D130" i="41" a="1"/>
  <c r="D130" i="41" s="1"/>
  <c r="E122" i="41" a="1"/>
  <c r="E122" i="41" s="1"/>
  <c r="F16" i="41" a="1"/>
  <c r="F16" i="41" s="1"/>
  <c r="D13" i="41" a="1"/>
  <c r="D13" i="41" s="1"/>
  <c r="F9" i="41" a="1"/>
  <c r="F9" i="41" s="1"/>
  <c r="F2" i="41" a="1"/>
  <c r="F2" i="41" s="1"/>
  <c r="F134" i="37" a="1"/>
  <c r="F134" i="37" s="1"/>
  <c r="F130" i="37" a="1"/>
  <c r="F130" i="37" s="1"/>
  <c r="F122" i="37" a="1"/>
  <c r="F122" i="37" s="1"/>
  <c r="F16" i="37" a="1"/>
  <c r="F16" i="37" s="1"/>
  <c r="DL2" i="37" a="1"/>
  <c r="DL2" i="37" s="1"/>
  <c r="BV2" i="37" a="1"/>
  <c r="BV2" i="37" s="1"/>
  <c r="G137" i="41" a="1"/>
  <c r="G137" i="41" s="1"/>
  <c r="K137" i="41" s="1"/>
  <c r="F134" i="41" a="1"/>
  <c r="F134" i="41" s="1"/>
  <c r="G130" i="41" a="1"/>
  <c r="G130" i="41" s="1"/>
  <c r="J130" i="41" s="1"/>
  <c r="F122" i="41" a="1"/>
  <c r="F122" i="41" s="1"/>
  <c r="D18" i="41" a="1"/>
  <c r="D18" i="41" s="1"/>
  <c r="H18" i="41" s="1"/>
  <c r="E13" i="41" a="1"/>
  <c r="E13" i="41" s="1"/>
  <c r="E9" i="41" a="1"/>
  <c r="E9" i="41" s="1"/>
  <c r="D140" i="37" a="1"/>
  <c r="D140" i="37" s="1"/>
  <c r="H140" i="37" s="1"/>
  <c r="G132" i="37" a="1"/>
  <c r="G132" i="37" s="1"/>
  <c r="L132" i="37" s="1"/>
  <c r="G128" i="37" a="1"/>
  <c r="G128" i="37" s="1"/>
  <c r="M128" i="37" s="1"/>
  <c r="BU2" i="41" a="1"/>
  <c r="BU2" i="41" s="1"/>
  <c r="BT2" i="41" a="1"/>
  <c r="BT2" i="41" s="1"/>
  <c r="BV2" i="41" a="1"/>
  <c r="BV2" i="41" s="1"/>
  <c r="AF2" i="41" a="1"/>
  <c r="AF2" i="41" s="1"/>
  <c r="BW2" i="41" a="1"/>
  <c r="BW2" i="41" s="1"/>
  <c r="CA2" i="41" a="1"/>
  <c r="CA2" i="41" s="1"/>
  <c r="Y2" i="43" a="1"/>
  <c r="Y2" i="43" s="1"/>
  <c r="BZ2" i="41" a="1"/>
  <c r="BZ2" i="41" s="1"/>
  <c r="AE2" i="43" a="1"/>
  <c r="Y2" i="41" a="1"/>
  <c r="Y2" i="41" s="1"/>
  <c r="BX2" i="41" a="1"/>
  <c r="BX2" i="41" s="1"/>
  <c r="AG2" i="41" a="1"/>
  <c r="AG2" i="41" s="1"/>
  <c r="CB2" i="41" a="1"/>
  <c r="CB2" i="41" s="1"/>
  <c r="D7" i="37" a="1"/>
  <c r="D7" i="37" s="1"/>
  <c r="H141" i="37"/>
  <c r="H141" i="41"/>
  <c r="H131" i="41"/>
  <c r="F124" i="37" a="1"/>
  <c r="F124" i="37" s="1"/>
  <c r="F4" i="37" a="1"/>
  <c r="F4" i="37" s="1"/>
  <c r="F7" i="37" a="1"/>
  <c r="F7" i="37" s="1"/>
  <c r="G127" i="37" a="1"/>
  <c r="G127" i="37" s="1"/>
  <c r="L127" i="37" s="1"/>
  <c r="DP2" i="41"/>
  <c r="EB7" i="41" s="1" a="1"/>
  <c r="EB7" i="41" s="1"/>
  <c r="AU12" i="41" a="1"/>
  <c r="AU12" i="41" s="1"/>
  <c r="AP12" i="41" a="1"/>
  <c r="AP12" i="41" s="1"/>
  <c r="AS12" i="41" a="1"/>
  <c r="AS12" i="41" s="1"/>
  <c r="AO12" i="41" a="1"/>
  <c r="AO12" i="41" s="1"/>
  <c r="AL12" i="41" a="1"/>
  <c r="AL12" i="41" s="1"/>
  <c r="AR12" i="41" a="1"/>
  <c r="AR12" i="41" s="1"/>
  <c r="AQ12" i="41" a="1"/>
  <c r="AQ12" i="41" s="1"/>
  <c r="AK12" i="41" a="1"/>
  <c r="AK12" i="41" s="1"/>
  <c r="CE11" i="41" a="1"/>
  <c r="CE11" i="41" s="1"/>
  <c r="CI11" i="41" a="1"/>
  <c r="CI11" i="41" s="1"/>
  <c r="CL11" i="41" a="1"/>
  <c r="CL11" i="41" s="1"/>
  <c r="CG11" i="41" a="1"/>
  <c r="CG11" i="41" s="1"/>
  <c r="CH11" i="41" a="1"/>
  <c r="CH11" i="41" s="1"/>
  <c r="CF11" i="41" a="1"/>
  <c r="CF11" i="41" s="1"/>
  <c r="CN11" i="41" a="1"/>
  <c r="CN11" i="41" s="1"/>
  <c r="CJ11" i="41" a="1"/>
  <c r="CJ11" i="41" s="1"/>
  <c r="CD11" i="41" a="1"/>
  <c r="CD11" i="41" s="1"/>
  <c r="CM11" i="41" a="1"/>
  <c r="CM11" i="41" s="1"/>
  <c r="CK11" i="41" a="1"/>
  <c r="CK11" i="41" s="1"/>
  <c r="E135" i="41" a="1"/>
  <c r="E135" i="41" s="1"/>
  <c r="F135" i="41" a="1"/>
  <c r="F135" i="41" s="1"/>
  <c r="F124" i="41" a="1"/>
  <c r="F124" i="41" s="1"/>
  <c r="F135" i="37" a="1"/>
  <c r="F135" i="37" s="1"/>
  <c r="E4" i="41" a="1"/>
  <c r="E4" i="41" s="1"/>
  <c r="F14" i="37" a="1"/>
  <c r="F14" i="37" s="1"/>
  <c r="G124" i="41" a="1"/>
  <c r="G124" i="41" s="1"/>
  <c r="L124" i="41" s="1"/>
  <c r="G135" i="37" a="1"/>
  <c r="G135" i="37" s="1"/>
  <c r="L135" i="37" s="1"/>
  <c r="G124" i="37" a="1"/>
  <c r="G124" i="37" s="1"/>
  <c r="L124" i="37" s="1"/>
  <c r="D14" i="41" a="1"/>
  <c r="D14" i="41" s="1"/>
  <c r="AA2" i="37" a="1"/>
  <c r="AA2" i="37" s="1"/>
  <c r="F4" i="41" a="1"/>
  <c r="F4" i="41" s="1"/>
  <c r="G14" i="37" a="1"/>
  <c r="G14" i="37" s="1"/>
  <c r="L14" i="37" s="1"/>
  <c r="BM2" i="37" a="1"/>
  <c r="BM2" i="37" s="1"/>
  <c r="CM4" i="37" s="1" a="1"/>
  <c r="CM4" i="37" s="1"/>
  <c r="G4" i="41" a="1"/>
  <c r="G4" i="41" s="1"/>
  <c r="L4" i="41" s="1"/>
  <c r="E14" i="41" a="1"/>
  <c r="E14" i="41" s="1"/>
  <c r="DG2" i="37" a="1"/>
  <c r="DG2" i="37" s="1"/>
  <c r="E4" i="37" a="1"/>
  <c r="E4" i="37" s="1"/>
  <c r="F14" i="41" a="1"/>
  <c r="F14" i="41" s="1"/>
  <c r="G4" i="37" a="1"/>
  <c r="G4" i="37" s="1"/>
  <c r="L4" i="37" s="1"/>
  <c r="G14" i="41" a="1"/>
  <c r="G14" i="41" s="1"/>
  <c r="L14" i="41" s="1"/>
  <c r="D4" i="37" a="1"/>
  <c r="D4" i="37" s="1"/>
  <c r="D124" i="41" a="1"/>
  <c r="D124" i="41" s="1"/>
  <c r="D135" i="41" a="1"/>
  <c r="D135" i="41" s="1"/>
  <c r="D124" i="37" a="1"/>
  <c r="D124" i="37" s="1"/>
  <c r="D14" i="37" a="1"/>
  <c r="D14" i="37" s="1"/>
  <c r="G135" i="41" a="1"/>
  <c r="G135" i="41" s="1"/>
  <c r="L135" i="41" s="1"/>
  <c r="E124" i="37" a="1"/>
  <c r="E124" i="37" s="1"/>
  <c r="E124" i="41" a="1"/>
  <c r="E124" i="41" s="1"/>
  <c r="E135" i="37" a="1"/>
  <c r="E135" i="37" s="1"/>
  <c r="BW2" i="37" a="1"/>
  <c r="BW2" i="37" s="1"/>
  <c r="CN14" i="37" s="1" a="1"/>
  <c r="CN14" i="37" s="1"/>
  <c r="E14" i="37" a="1"/>
  <c r="E14" i="37" s="1"/>
  <c r="D135" i="37" a="1"/>
  <c r="D135" i="37" s="1"/>
  <c r="AZ2" i="44" a="1"/>
  <c r="AZ2" i="44" s="1"/>
  <c r="AV2" i="44" a="1"/>
  <c r="AV2" i="44" s="1"/>
  <c r="AW2" i="44" a="1"/>
  <c r="AW2" i="44" s="1"/>
  <c r="AY2" i="44" a="1"/>
  <c r="AY2" i="44" s="1"/>
  <c r="AX2" i="44" a="1"/>
  <c r="AX2" i="44" s="1"/>
  <c r="L2" i="42" a="1"/>
  <c r="L2" i="42" s="1"/>
  <c r="O2" i="42" a="1"/>
  <c r="O2" i="42" s="1"/>
  <c r="N2" i="42" a="1"/>
  <c r="N2" i="42" s="1"/>
  <c r="M2" i="42" a="1"/>
  <c r="M2" i="42" s="1"/>
  <c r="K2" i="42" a="1"/>
  <c r="J2" i="42" a="1"/>
  <c r="J2" i="42" s="1"/>
  <c r="I2" i="42" a="1"/>
  <c r="I2" i="42" s="1"/>
  <c r="H2" i="42" a="1"/>
  <c r="H2" i="42" s="1"/>
  <c r="G2" i="42" a="1"/>
  <c r="G2" i="42" s="1"/>
  <c r="F2" i="42" a="1"/>
  <c r="F2" i="42" s="1"/>
  <c r="E2" i="42" a="1"/>
  <c r="E2" i="42" s="1"/>
  <c r="AY2" i="42" a="1"/>
  <c r="ED10" i="41" a="1"/>
  <c r="ED10" i="41" s="1"/>
  <c r="EA10" i="41" a="1"/>
  <c r="EA10" i="41" s="1"/>
  <c r="DZ10" i="41" a="1"/>
  <c r="DZ10" i="41" s="1"/>
  <c r="EC10" i="41" a="1"/>
  <c r="EC10" i="41" s="1"/>
  <c r="DW10" i="41" a="1"/>
  <c r="DW10" i="41" s="1"/>
  <c r="DX10" i="41" a="1"/>
  <c r="DX10" i="41" s="1"/>
  <c r="DV10" i="41" a="1"/>
  <c r="DV10" i="41" s="1"/>
  <c r="EE10" i="41" a="1"/>
  <c r="EE10" i="41" s="1"/>
  <c r="DY10" i="41" a="1"/>
  <c r="DY10" i="41" s="1"/>
  <c r="EB10" i="41" a="1"/>
  <c r="EB10" i="41" s="1"/>
  <c r="DM2" i="41"/>
  <c r="EB4" i="41" s="1" a="1"/>
  <c r="EB4" i="41" s="1"/>
  <c r="Z2" i="43" a="1"/>
  <c r="DX9" i="41" a="1"/>
  <c r="DX9" i="41" s="1"/>
  <c r="DY9" i="41" a="1"/>
  <c r="DY9" i="41" s="1"/>
  <c r="EC9" i="41" a="1"/>
  <c r="EC9" i="41" s="1"/>
  <c r="ED9" i="41" a="1"/>
  <c r="ED9" i="41" s="1"/>
  <c r="EE9" i="41" a="1"/>
  <c r="EE9" i="41" s="1"/>
  <c r="EB9" i="41" a="1"/>
  <c r="EB9" i="41" s="1"/>
  <c r="DW9" i="41" a="1"/>
  <c r="DW9" i="41" s="1"/>
  <c r="DZ9" i="41" a="1"/>
  <c r="DZ9" i="41" s="1"/>
  <c r="DU9" i="41" a="1"/>
  <c r="DU9" i="41" s="1"/>
  <c r="EA9" i="41" a="1"/>
  <c r="EA9" i="41" s="1"/>
  <c r="AN9" i="43" a="1"/>
  <c r="AN9" i="43" s="1"/>
  <c r="AL9" i="43" a="1"/>
  <c r="AL9" i="43" s="1"/>
  <c r="AQ9" i="43" a="1"/>
  <c r="AQ9" i="43" s="1"/>
  <c r="AP9" i="43" a="1"/>
  <c r="AP9" i="43" s="1"/>
  <c r="AJ9" i="43" a="1"/>
  <c r="AJ9" i="43" s="1"/>
  <c r="AK9" i="43" a="1"/>
  <c r="AK9" i="43" s="1"/>
  <c r="AI9" i="43" a="1"/>
  <c r="AI9" i="43" s="1"/>
  <c r="AH9" i="43" a="1"/>
  <c r="AH9" i="43" s="1"/>
  <c r="E127" i="41" a="1"/>
  <c r="E127" i="41" s="1"/>
  <c r="G127" i="41" a="1"/>
  <c r="G127" i="41" s="1"/>
  <c r="L127" i="41" s="1"/>
  <c r="AM9" i="43" a="1"/>
  <c r="AM9" i="43" s="1"/>
  <c r="AO9" i="43" a="1"/>
  <c r="AO9" i="43" s="1"/>
  <c r="H10" i="37"/>
  <c r="F7" i="41" a="1"/>
  <c r="F7" i="41" s="1"/>
  <c r="D127" i="37" a="1"/>
  <c r="D127" i="37" s="1"/>
  <c r="F127" i="41" a="1"/>
  <c r="F127" i="41" s="1"/>
  <c r="F127" i="37" a="1"/>
  <c r="F127" i="37" s="1"/>
  <c r="AD2" i="37" a="1"/>
  <c r="AD2" i="37" s="1"/>
  <c r="AS7" i="37" s="1" a="1"/>
  <c r="AS7" i="37" s="1"/>
  <c r="H20" i="37"/>
  <c r="DJ2" i="37" a="1"/>
  <c r="DJ2" i="37" s="1"/>
  <c r="E127" i="37" a="1"/>
  <c r="E127" i="37" s="1"/>
  <c r="D7" i="41" a="1"/>
  <c r="D7" i="41" s="1"/>
  <c r="BP2" i="37" a="1"/>
  <c r="BP2" i="37" s="1"/>
  <c r="E7" i="41" a="1"/>
  <c r="E7" i="41" s="1"/>
  <c r="G7" i="37" a="1"/>
  <c r="G7" i="37" s="1"/>
  <c r="L7" i="37" s="1"/>
  <c r="D127" i="41" a="1"/>
  <c r="D127" i="41" s="1"/>
  <c r="AN11" i="41" a="1"/>
  <c r="AN11" i="41" s="1"/>
  <c r="AP11" i="41" a="1"/>
  <c r="AP11" i="41" s="1"/>
  <c r="AK11" i="41" a="1"/>
  <c r="AK11" i="41" s="1"/>
  <c r="AM11" i="41" a="1"/>
  <c r="AM11" i="41" s="1"/>
  <c r="AR11" i="41" a="1"/>
  <c r="AR11" i="41" s="1"/>
  <c r="AT11" i="41" a="1"/>
  <c r="AT11" i="41" s="1"/>
  <c r="AS11" i="41" a="1"/>
  <c r="AS11" i="41" s="1"/>
  <c r="AU11" i="41" a="1"/>
  <c r="AU11" i="41" s="1"/>
  <c r="AO11" i="41" a="1"/>
  <c r="AO11" i="41" s="1"/>
  <c r="AQ11" i="41" a="1"/>
  <c r="AQ11" i="41" s="1"/>
  <c r="AL11" i="41" a="1"/>
  <c r="AL11" i="41" s="1"/>
  <c r="AJ11" i="37" a="1"/>
  <c r="AJ11" i="37" s="1"/>
  <c r="AS11" i="37" a="1"/>
  <c r="AS11" i="37" s="1"/>
  <c r="AL11" i="37" a="1"/>
  <c r="AL11" i="37" s="1"/>
  <c r="AV11" i="37" a="1"/>
  <c r="AV11" i="37" s="1"/>
  <c r="AR11" i="37" a="1"/>
  <c r="AR11" i="37" s="1"/>
  <c r="AO11" i="37" a="1"/>
  <c r="AO11" i="37" s="1"/>
  <c r="AQ11" i="37" a="1"/>
  <c r="AQ11" i="37" s="1"/>
  <c r="AP11" i="37" a="1"/>
  <c r="AP11" i="37" s="1"/>
  <c r="AU11" i="37" a="1"/>
  <c r="AU11" i="37" s="1"/>
  <c r="AT11" i="37" a="1"/>
  <c r="AT11" i="37" s="1"/>
  <c r="AK11" i="37" a="1"/>
  <c r="AK11" i="37" s="1"/>
  <c r="AN11" i="37" a="1"/>
  <c r="AN11" i="37" s="1"/>
  <c r="AM11" i="37" a="1"/>
  <c r="AM11" i="37" s="1"/>
  <c r="H20" i="41"/>
  <c r="AT3" i="41" a="1"/>
  <c r="AT3" i="41" s="1"/>
  <c r="AP3" i="41" a="1"/>
  <c r="AP3" i="41" s="1"/>
  <c r="AL3" i="41" a="1"/>
  <c r="AL3" i="41" s="1"/>
  <c r="AR3" i="41" a="1"/>
  <c r="AR3" i="41" s="1"/>
  <c r="AO3" i="41" a="1"/>
  <c r="AO3" i="41" s="1"/>
  <c r="AM3" i="41" a="1"/>
  <c r="AM3" i="41" s="1"/>
  <c r="AS3" i="41" a="1"/>
  <c r="AS3" i="41" s="1"/>
  <c r="AU3" i="41" a="1"/>
  <c r="AU3" i="41" s="1"/>
  <c r="AK3" i="41" a="1"/>
  <c r="AK3" i="41" s="1"/>
  <c r="AN3" i="41" a="1"/>
  <c r="AN3" i="41" s="1"/>
  <c r="AQ3" i="41" a="1"/>
  <c r="AQ3" i="41" s="1"/>
  <c r="CF20" i="37" a="1"/>
  <c r="CF20" i="37" s="1"/>
  <c r="CE20" i="37" a="1"/>
  <c r="CE20" i="37" s="1"/>
  <c r="CQ20" i="37" a="1"/>
  <c r="CQ20" i="37" s="1"/>
  <c r="CG20" i="37" a="1"/>
  <c r="CG20" i="37" s="1"/>
  <c r="CO20" i="37" a="1"/>
  <c r="CO20" i="37" s="1"/>
  <c r="CK20" i="37" a="1"/>
  <c r="CK20" i="37" s="1"/>
  <c r="CJ20" i="37" a="1"/>
  <c r="CJ20" i="37" s="1"/>
  <c r="CM20" i="37" a="1"/>
  <c r="CM20" i="37" s="1"/>
  <c r="CI20" i="37" a="1"/>
  <c r="CI20" i="37" s="1"/>
  <c r="CH20" i="37" a="1"/>
  <c r="CH20" i="37" s="1"/>
  <c r="CL20" i="37" a="1"/>
  <c r="CL20" i="37" s="1"/>
  <c r="CN20" i="37" a="1"/>
  <c r="CN20" i="37" s="1"/>
  <c r="CP20" i="37" a="1"/>
  <c r="CP20" i="37" s="1"/>
  <c r="CG10" i="37" a="1"/>
  <c r="CG10" i="37" s="1"/>
  <c r="CQ10" i="37" a="1"/>
  <c r="CQ10" i="37" s="1"/>
  <c r="CK10" i="37" a="1"/>
  <c r="CK10" i="37" s="1"/>
  <c r="CE10" i="37" a="1"/>
  <c r="CE10" i="37" s="1"/>
  <c r="CP10" i="37" a="1"/>
  <c r="CP10" i="37" s="1"/>
  <c r="CI10" i="37" a="1"/>
  <c r="CI10" i="37" s="1"/>
  <c r="CM10" i="37" a="1"/>
  <c r="CM10" i="37" s="1"/>
  <c r="CJ10" i="37" a="1"/>
  <c r="CJ10" i="37" s="1"/>
  <c r="CF10" i="37" a="1"/>
  <c r="CF10" i="37" s="1"/>
  <c r="CL10" i="37" a="1"/>
  <c r="CL10" i="37" s="1"/>
  <c r="CH10" i="37" a="1"/>
  <c r="CH10" i="37" s="1"/>
  <c r="CO10" i="37" a="1"/>
  <c r="CO10" i="37" s="1"/>
  <c r="CN10" i="37" a="1"/>
  <c r="CN10" i="37" s="1"/>
  <c r="H131" i="37"/>
  <c r="H123" i="37"/>
  <c r="H10" i="41"/>
  <c r="AV2" i="42" a="1"/>
  <c r="BB2" i="42" a="1"/>
  <c r="BB2" i="42" s="1"/>
  <c r="AX2" i="42" a="1"/>
  <c r="AN12" i="41" a="1"/>
  <c r="AN12" i="41" s="1"/>
  <c r="BA2" i="42" a="1"/>
  <c r="G7" i="41" a="1"/>
  <c r="G7" i="41" s="1"/>
  <c r="L7" i="41" s="1"/>
  <c r="AM12" i="41" a="1"/>
  <c r="AM12" i="41" s="1"/>
  <c r="AT12" i="41" a="1"/>
  <c r="AT12" i="41" s="1"/>
  <c r="H123" i="41"/>
  <c r="EN6" i="41"/>
  <c r="H3" i="37"/>
  <c r="CL3" i="37" a="1"/>
  <c r="CL3" i="37" s="1"/>
  <c r="CQ3" i="37" a="1"/>
  <c r="CQ3" i="37" s="1"/>
  <c r="CJ3" i="37" a="1"/>
  <c r="CJ3" i="37" s="1"/>
  <c r="CO3" i="37" a="1"/>
  <c r="CO3" i="37" s="1"/>
  <c r="CF3" i="37" a="1"/>
  <c r="CF3" i="37" s="1"/>
  <c r="CK3" i="37" a="1"/>
  <c r="CK3" i="37" s="1"/>
  <c r="CM3" i="37" a="1"/>
  <c r="CM3" i="37" s="1"/>
  <c r="CE3" i="37" a="1"/>
  <c r="CE3" i="37" s="1"/>
  <c r="CG3" i="37" a="1"/>
  <c r="CG3" i="37" s="1"/>
  <c r="CN3" i="37" a="1"/>
  <c r="CN3" i="37" s="1"/>
  <c r="CI3" i="37" a="1"/>
  <c r="CI3" i="37" s="1"/>
  <c r="CP3" i="37" a="1"/>
  <c r="CP3" i="37" s="1"/>
  <c r="CH3" i="37" a="1"/>
  <c r="CH3" i="37" s="1"/>
  <c r="AS3" i="37" a="1"/>
  <c r="AS3" i="37" s="1"/>
  <c r="AL3" i="37" a="1"/>
  <c r="AL3" i="37" s="1"/>
  <c r="AN3" i="37" a="1"/>
  <c r="AN3" i="37" s="1"/>
  <c r="AK3" i="37" a="1"/>
  <c r="AK3" i="37" s="1"/>
  <c r="AQ3" i="37" a="1"/>
  <c r="AQ3" i="37" s="1"/>
  <c r="AP3" i="37" a="1"/>
  <c r="AP3" i="37" s="1"/>
  <c r="AU3" i="37" a="1"/>
  <c r="AU3" i="37" s="1"/>
  <c r="DR3" i="37" a="1"/>
  <c r="DR3" i="37" s="1"/>
  <c r="AV3" i="37" a="1"/>
  <c r="AV3" i="37" s="1"/>
  <c r="AM3" i="37" a="1"/>
  <c r="AM3" i="37" s="1"/>
  <c r="AJ3" i="37" a="1"/>
  <c r="AJ3" i="37" s="1"/>
  <c r="AR3" i="37" a="1"/>
  <c r="AR3" i="37" s="1"/>
  <c r="AT3" i="37" a="1"/>
  <c r="AT3" i="37" s="1"/>
  <c r="AO3" i="37" a="1"/>
  <c r="AO3" i="37" s="1"/>
  <c r="EL5" i="41"/>
  <c r="E6" i="41" a="1"/>
  <c r="E6" i="41" s="1"/>
  <c r="D6" i="41" a="1"/>
  <c r="D6" i="41" s="1"/>
  <c r="DI2" i="37" a="1"/>
  <c r="DI2" i="37" s="1"/>
  <c r="G126" i="41" a="1"/>
  <c r="G126" i="41" s="1"/>
  <c r="K126" i="41" s="1"/>
  <c r="F126" i="41" a="1"/>
  <c r="F126" i="41" s="1"/>
  <c r="E126" i="41" a="1"/>
  <c r="E126" i="41" s="1"/>
  <c r="G126" i="37" a="1"/>
  <c r="G126" i="37" s="1"/>
  <c r="K126" i="37" s="1"/>
  <c r="D126" i="41" a="1"/>
  <c r="D126" i="41" s="1"/>
  <c r="F126" i="37" a="1"/>
  <c r="F126" i="37" s="1"/>
  <c r="G6" i="41" a="1"/>
  <c r="G6" i="41" s="1"/>
  <c r="K6" i="41" s="1"/>
  <c r="E126" i="37" a="1"/>
  <c r="E126" i="37" s="1"/>
  <c r="F6" i="41" a="1"/>
  <c r="F6" i="41" s="1"/>
  <c r="D126" i="37" a="1"/>
  <c r="D126" i="37" s="1"/>
  <c r="G6" i="37" a="1"/>
  <c r="G6" i="37" s="1"/>
  <c r="K6" i="37" s="1"/>
  <c r="F6" i="37" a="1"/>
  <c r="F6" i="37" s="1"/>
  <c r="BO2" i="37" a="1"/>
  <c r="BO2" i="37" s="1"/>
  <c r="E6" i="37" a="1"/>
  <c r="E6" i="37" s="1"/>
  <c r="D6" i="37" a="1"/>
  <c r="D6" i="37" s="1"/>
  <c r="AC2" i="37" a="1"/>
  <c r="AC2" i="37" s="1"/>
  <c r="AD2" i="41" a="1"/>
  <c r="AD2" i="41" s="1"/>
  <c r="BR2" i="41" a="1"/>
  <c r="BR2" i="41" s="1"/>
  <c r="AC2" i="43" a="1"/>
  <c r="E8" i="41" a="1"/>
  <c r="E8" i="41" s="1"/>
  <c r="D8" i="41" a="1"/>
  <c r="D8" i="41" s="1"/>
  <c r="F8" i="37" a="1"/>
  <c r="F8" i="37" s="1"/>
  <c r="G8" i="41" a="1"/>
  <c r="G8" i="41" s="1"/>
  <c r="D8" i="37" a="1"/>
  <c r="D8" i="37" s="1"/>
  <c r="F8" i="41" a="1"/>
  <c r="F8" i="41" s="1"/>
  <c r="G8" i="37" a="1"/>
  <c r="G8" i="37" s="1"/>
  <c r="E8" i="37" a="1"/>
  <c r="E8" i="37" s="1"/>
  <c r="AE2" i="37" a="1"/>
  <c r="AE2" i="37" s="1"/>
  <c r="DK2" i="37" a="1"/>
  <c r="DK2" i="37" s="1"/>
  <c r="BQ2" i="37" a="1"/>
  <c r="BQ2" i="37" s="1"/>
  <c r="AC2" i="41" a="1"/>
  <c r="AC2" i="41" s="1"/>
  <c r="BQ2" i="41" a="1"/>
  <c r="BQ2" i="41" s="1"/>
  <c r="AB2" i="43" a="1"/>
  <c r="AE2" i="41" a="1"/>
  <c r="AE2" i="41" s="1"/>
  <c r="BS2" i="41" a="1"/>
  <c r="BS2" i="41" s="1"/>
  <c r="AD2" i="43" a="1"/>
  <c r="AS4" i="41" a="1"/>
  <c r="AS4" i="41" s="1"/>
  <c r="AU4" i="41" a="1"/>
  <c r="AU4" i="41" s="1"/>
  <c r="AO4" i="41" a="1"/>
  <c r="AO4" i="41" s="1"/>
  <c r="AK4" i="41" a="1"/>
  <c r="AK4" i="41" s="1"/>
  <c r="AL4" i="41" a="1"/>
  <c r="AL4" i="41" s="1"/>
  <c r="AQ4" i="41" a="1"/>
  <c r="AQ4" i="41" s="1"/>
  <c r="AT4" i="41" a="1"/>
  <c r="AT4" i="41" s="1"/>
  <c r="AM4" i="41" a="1"/>
  <c r="AM4" i="41" s="1"/>
  <c r="AP4" i="41" a="1"/>
  <c r="AP4" i="41" s="1"/>
  <c r="AR4" i="41" a="1"/>
  <c r="AR4" i="41" s="1"/>
  <c r="AN4" i="41" a="1"/>
  <c r="AN4" i="41" s="1"/>
  <c r="EN3" i="41"/>
  <c r="EK6" i="41"/>
  <c r="EQ8" i="41"/>
  <c r="EQ6" i="41"/>
  <c r="EQ3" i="41"/>
  <c r="EK5" i="41"/>
  <c r="EQ5" i="41"/>
  <c r="EF3" i="41"/>
  <c r="EH3" i="41" s="1"/>
  <c r="AB2" i="41" a="1"/>
  <c r="AB2" i="41" s="1"/>
  <c r="BP2" i="41" a="1"/>
  <c r="BP2" i="41" s="1"/>
  <c r="EF2" i="41"/>
  <c r="EG2" i="41" s="1"/>
  <c r="EQ2" i="41"/>
  <c r="EF8" i="41"/>
  <c r="EH8" i="41" s="1"/>
  <c r="EO5" i="41"/>
  <c r="EM5" i="41"/>
  <c r="EO6" i="41"/>
  <c r="EM6" i="41"/>
  <c r="EO8" i="41"/>
  <c r="EM8" i="41"/>
  <c r="EF6" i="41"/>
  <c r="EG6" i="41" s="1"/>
  <c r="EN2" i="41"/>
  <c r="EK2" i="41"/>
  <c r="EF5" i="41"/>
  <c r="EG5" i="41" s="1"/>
  <c r="EN8" i="41"/>
  <c r="EK8" i="41"/>
  <c r="EO2" i="41"/>
  <c r="EM2" i="41"/>
  <c r="EM3" i="41"/>
  <c r="EO3" i="41"/>
  <c r="O138" i="41" a="1"/>
  <c r="O138" i="41" s="1"/>
  <c r="P138" i="41" s="1"/>
  <c r="O129" i="41" a="1"/>
  <c r="O129" i="41" s="1"/>
  <c r="P129" i="41" s="1"/>
  <c r="D125" i="41" a="1"/>
  <c r="D125" i="41" s="1"/>
  <c r="O17" i="41" a="1"/>
  <c r="O17" i="41" s="1"/>
  <c r="P17" i="41" s="1"/>
  <c r="O9" i="41" a="1"/>
  <c r="O9" i="41" s="1"/>
  <c r="P9" i="41" s="1"/>
  <c r="O8" i="41" a="1"/>
  <c r="O8" i="41" s="1"/>
  <c r="P8" i="41" s="1"/>
  <c r="O17" i="37" a="1"/>
  <c r="O17" i="37" s="1"/>
  <c r="P17" i="37" s="1"/>
  <c r="E5" i="37" a="1"/>
  <c r="E5" i="37" s="1"/>
  <c r="O133" i="41" a="1"/>
  <c r="O133" i="41" s="1"/>
  <c r="P133" i="41" s="1"/>
  <c r="O12" i="41" a="1"/>
  <c r="O12" i="41" s="1"/>
  <c r="P12" i="41" s="1"/>
  <c r="O7" i="41" a="1"/>
  <c r="O7" i="41" s="1"/>
  <c r="P7" i="41" s="1"/>
  <c r="O124" i="41" a="1"/>
  <c r="O124" i="41" s="1"/>
  <c r="P124" i="41" s="1"/>
  <c r="O19" i="37" a="1"/>
  <c r="O19" i="37" s="1"/>
  <c r="P19" i="37" s="1"/>
  <c r="D5" i="37" a="1"/>
  <c r="D5" i="37" s="1"/>
  <c r="O137" i="41" a="1"/>
  <c r="O137" i="41" s="1"/>
  <c r="P137" i="41" s="1"/>
  <c r="O128" i="41" a="1"/>
  <c r="O128" i="41" s="1"/>
  <c r="P128" i="41" s="1"/>
  <c r="O16" i="41" a="1"/>
  <c r="O16" i="41" s="1"/>
  <c r="P16" i="41" s="1"/>
  <c r="O20" i="37" a="1"/>
  <c r="O20" i="37" s="1"/>
  <c r="P20" i="37" s="1"/>
  <c r="O10" i="37" a="1"/>
  <c r="O10" i="37" s="1"/>
  <c r="P10" i="37" s="1"/>
  <c r="O132" i="41" a="1"/>
  <c r="O132" i="41" s="1"/>
  <c r="P132" i="41" s="1"/>
  <c r="O20" i="41" a="1"/>
  <c r="O20" i="41" s="1"/>
  <c r="P20" i="41" s="1"/>
  <c r="O140" i="37" a="1"/>
  <c r="O140" i="37" s="1"/>
  <c r="P140" i="37" s="1"/>
  <c r="O138" i="37" a="1"/>
  <c r="O138" i="37" s="1"/>
  <c r="P138" i="37" s="1"/>
  <c r="O136" i="37" a="1"/>
  <c r="O136" i="37" s="1"/>
  <c r="P136" i="37" s="1"/>
  <c r="O134" i="37" a="1"/>
  <c r="O134" i="37" s="1"/>
  <c r="P134" i="37" s="1"/>
  <c r="O132" i="37" a="1"/>
  <c r="O132" i="37" s="1"/>
  <c r="P132" i="37" s="1"/>
  <c r="O130" i="37" a="1"/>
  <c r="O130" i="37" s="1"/>
  <c r="P130" i="37" s="1"/>
  <c r="O128" i="37" a="1"/>
  <c r="O128" i="37" s="1"/>
  <c r="P128" i="37" s="1"/>
  <c r="O126" i="37" a="1"/>
  <c r="O126" i="37" s="1"/>
  <c r="P126" i="37" s="1"/>
  <c r="O124" i="37" a="1"/>
  <c r="O124" i="37" s="1"/>
  <c r="P124" i="37" s="1"/>
  <c r="O122" i="37" a="1"/>
  <c r="O122" i="37" s="1"/>
  <c r="P122" i="37" s="1"/>
  <c r="O136" i="41" a="1"/>
  <c r="O136" i="41" s="1"/>
  <c r="P136" i="41" s="1"/>
  <c r="O123" i="41" a="1"/>
  <c r="O123" i="41" s="1"/>
  <c r="P123" i="41" s="1"/>
  <c r="O15" i="41" a="1"/>
  <c r="O15" i="41" s="1"/>
  <c r="P15" i="41" s="1"/>
  <c r="O13" i="41" a="1"/>
  <c r="O13" i="41" s="1"/>
  <c r="P13" i="41" s="1"/>
  <c r="G5" i="41" a="1"/>
  <c r="G5" i="41" s="1"/>
  <c r="J5" i="41" s="1"/>
  <c r="O127" i="41" a="1"/>
  <c r="O127" i="41" s="1"/>
  <c r="P127" i="41" s="1"/>
  <c r="F5" i="41" a="1"/>
  <c r="F5" i="41" s="1"/>
  <c r="BN2" i="37" a="1"/>
  <c r="BN2" i="37" s="1"/>
  <c r="O131" i="41" a="1"/>
  <c r="O131" i="41" s="1"/>
  <c r="P131" i="41" s="1"/>
  <c r="O122" i="41" a="1"/>
  <c r="O122" i="41" s="1"/>
  <c r="P122" i="41" s="1"/>
  <c r="O19" i="41" a="1"/>
  <c r="O19" i="41" s="1"/>
  <c r="P19" i="41" s="1"/>
  <c r="O4" i="41" a="1"/>
  <c r="O4" i="41" s="1"/>
  <c r="P4" i="41" s="1"/>
  <c r="O135" i="41" a="1"/>
  <c r="O135" i="41" s="1"/>
  <c r="P135" i="41" s="1"/>
  <c r="G125" i="41" a="1"/>
  <c r="G125" i="41" s="1"/>
  <c r="J125" i="41" s="1"/>
  <c r="O5" i="41" a="1"/>
  <c r="O5" i="41" s="1"/>
  <c r="P5" i="41" s="1"/>
  <c r="E5" i="41" a="1"/>
  <c r="E5" i="41" s="1"/>
  <c r="O13" i="37" a="1"/>
  <c r="O13" i="37" s="1"/>
  <c r="P13" i="37" s="1"/>
  <c r="G5" i="37" a="1"/>
  <c r="G5" i="37" s="1"/>
  <c r="J5" i="37" s="1"/>
  <c r="O4" i="37" a="1"/>
  <c r="O4" i="37" s="1"/>
  <c r="P4" i="37" s="1"/>
  <c r="O2" i="37" a="1"/>
  <c r="O2" i="37" s="1"/>
  <c r="P2" i="37" s="1"/>
  <c r="O139" i="41" a="1"/>
  <c r="O139" i="41" s="1"/>
  <c r="P139" i="41" s="1"/>
  <c r="O130" i="41" a="1"/>
  <c r="O130" i="41" s="1"/>
  <c r="P130" i="41" s="1"/>
  <c r="O126" i="41" a="1"/>
  <c r="O126" i="41" s="1"/>
  <c r="P126" i="41" s="1"/>
  <c r="F125" i="41" a="1"/>
  <c r="F125" i="41" s="1"/>
  <c r="O18" i="41" a="1"/>
  <c r="O18" i="41" s="1"/>
  <c r="P18" i="41" s="1"/>
  <c r="O11" i="41" a="1"/>
  <c r="O11" i="41" s="1"/>
  <c r="P11" i="41" s="1"/>
  <c r="O10" i="41" a="1"/>
  <c r="O10" i="41" s="1"/>
  <c r="P10" i="41" s="1"/>
  <c r="D5" i="41" a="1"/>
  <c r="D5" i="41" s="1"/>
  <c r="O3" i="41" a="1"/>
  <c r="O3" i="41" s="1"/>
  <c r="P3" i="41" s="1"/>
  <c r="O141" i="37" a="1"/>
  <c r="O141" i="37" s="1"/>
  <c r="P141" i="37" s="1"/>
  <c r="O139" i="37" a="1"/>
  <c r="O139" i="37" s="1"/>
  <c r="P139" i="37" s="1"/>
  <c r="O137" i="37" a="1"/>
  <c r="O137" i="37" s="1"/>
  <c r="P137" i="37" s="1"/>
  <c r="O135" i="37" a="1"/>
  <c r="O135" i="37" s="1"/>
  <c r="P135" i="37" s="1"/>
  <c r="O133" i="37" a="1"/>
  <c r="O133" i="37" s="1"/>
  <c r="P133" i="37" s="1"/>
  <c r="O131" i="37" a="1"/>
  <c r="O131" i="37" s="1"/>
  <c r="P131" i="37" s="1"/>
  <c r="O129" i="37" a="1"/>
  <c r="O129" i="37" s="1"/>
  <c r="P129" i="37" s="1"/>
  <c r="O127" i="37" a="1"/>
  <c r="O127" i="37" s="1"/>
  <c r="P127" i="37" s="1"/>
  <c r="O125" i="37" a="1"/>
  <c r="O125" i="37" s="1"/>
  <c r="P125" i="37" s="1"/>
  <c r="O123" i="37" a="1"/>
  <c r="O123" i="37" s="1"/>
  <c r="P123" i="37" s="1"/>
  <c r="O134" i="41" a="1"/>
  <c r="O134" i="41" s="1"/>
  <c r="P134" i="41" s="1"/>
  <c r="O125" i="41" a="1"/>
  <c r="O125" i="41" s="1"/>
  <c r="P125" i="41" s="1"/>
  <c r="E125" i="41" a="1"/>
  <c r="E125" i="41" s="1"/>
  <c r="O14" i="41" a="1"/>
  <c r="O14" i="41" s="1"/>
  <c r="P14" i="41" s="1"/>
  <c r="O6" i="41" a="1"/>
  <c r="O6" i="41" s="1"/>
  <c r="P6" i="41" s="1"/>
  <c r="O2" i="41" a="1"/>
  <c r="O2" i="41" s="1"/>
  <c r="P2" i="41" s="1"/>
  <c r="D125" i="37" a="1"/>
  <c r="D125" i="37" s="1"/>
  <c r="O6" i="37" a="1"/>
  <c r="O6" i="37" s="1"/>
  <c r="P6" i="37" s="1"/>
  <c r="O14" i="37" a="1"/>
  <c r="O14" i="37" s="1"/>
  <c r="P14" i="37" s="1"/>
  <c r="AB2" i="37" a="1"/>
  <c r="AB2" i="37" s="1"/>
  <c r="DH2" i="37" a="1"/>
  <c r="DH2" i="37" s="1"/>
  <c r="O3" i="37" a="1"/>
  <c r="O3" i="37" s="1"/>
  <c r="P3" i="37" s="1"/>
  <c r="O18" i="37" a="1"/>
  <c r="O18" i="37" s="1"/>
  <c r="P18" i="37" s="1"/>
  <c r="O9" i="37" a="1"/>
  <c r="O9" i="37" s="1"/>
  <c r="P9" i="37" s="1"/>
  <c r="F5" i="37" a="1"/>
  <c r="F5" i="37" s="1"/>
  <c r="O11" i="37" a="1"/>
  <c r="O11" i="37" s="1"/>
  <c r="P11" i="37" s="1"/>
  <c r="O8" i="37" a="1"/>
  <c r="O8" i="37" s="1"/>
  <c r="P8" i="37" s="1"/>
  <c r="O16" i="37" a="1"/>
  <c r="O16" i="37" s="1"/>
  <c r="P16" i="37" s="1"/>
  <c r="O5" i="37" a="1"/>
  <c r="O5" i="37" s="1"/>
  <c r="P5" i="37" s="1"/>
  <c r="G125" i="37" a="1"/>
  <c r="G125" i="37" s="1"/>
  <c r="J125" i="37" s="1"/>
  <c r="F125" i="37" a="1"/>
  <c r="F125" i="37" s="1"/>
  <c r="O15" i="37" a="1"/>
  <c r="O15" i="37" s="1"/>
  <c r="P15" i="37" s="1"/>
  <c r="O12" i="37" a="1"/>
  <c r="O12" i="37" s="1"/>
  <c r="P12" i="37" s="1"/>
  <c r="O7" i="37" a="1"/>
  <c r="O7" i="37" s="1"/>
  <c r="P7" i="37" s="1"/>
  <c r="E125" i="37" a="1"/>
  <c r="E125" i="37" s="1"/>
  <c r="O140" i="41" a="1"/>
  <c r="O140" i="41" s="1"/>
  <c r="P140" i="41" s="1"/>
  <c r="O141" i="41" a="1"/>
  <c r="O141" i="41" s="1"/>
  <c r="P141" i="41" s="1"/>
  <c r="EK3" i="41"/>
  <c r="H137" i="37" l="1"/>
  <c r="H15" i="41"/>
  <c r="H136" i="41"/>
  <c r="H122" i="37"/>
  <c r="H122" i="41"/>
  <c r="H2" i="41"/>
  <c r="H124" i="41"/>
  <c r="CP17" i="37" a="1"/>
  <c r="CP17" i="37" s="1"/>
  <c r="CQ17" i="37" a="1"/>
  <c r="CQ17" i="37" s="1"/>
  <c r="CE17" i="37" a="1"/>
  <c r="CE17" i="37" s="1"/>
  <c r="CK17" i="37" a="1"/>
  <c r="CK17" i="37" s="1"/>
  <c r="CG17" i="37" a="1"/>
  <c r="CG17" i="37" s="1"/>
  <c r="CF17" i="37" a="1"/>
  <c r="CF17" i="37" s="1"/>
  <c r="CO17" i="37" a="1"/>
  <c r="CO17" i="37" s="1"/>
  <c r="CL17" i="37" a="1"/>
  <c r="CL17" i="37" s="1"/>
  <c r="CI17" i="37" a="1"/>
  <c r="CI17" i="37" s="1"/>
  <c r="CN17" i="37" a="1"/>
  <c r="CN17" i="37" s="1"/>
  <c r="CJ17" i="37" a="1"/>
  <c r="CJ17" i="37" s="1"/>
  <c r="CH17" i="37" a="1"/>
  <c r="CH17" i="37" s="1"/>
  <c r="CR17" i="37" s="1"/>
  <c r="CM17" i="37" a="1"/>
  <c r="CM17" i="37" s="1"/>
  <c r="K2" i="42"/>
  <c r="AW2" i="42"/>
  <c r="AF72" i="42" s="1"/>
  <c r="AF73" i="42"/>
  <c r="AF84" i="42"/>
  <c r="AF74" i="42"/>
  <c r="AF75" i="42"/>
  <c r="AF76" i="42"/>
  <c r="AF77" i="42"/>
  <c r="AF78" i="42"/>
  <c r="AF79" i="42"/>
  <c r="AF80" i="42"/>
  <c r="AF81" i="42"/>
  <c r="AF82" i="42"/>
  <c r="AF83" i="42"/>
  <c r="AF85" i="42"/>
  <c r="AF86" i="42"/>
  <c r="AY2" i="42"/>
  <c r="AV2" i="42"/>
  <c r="AE73" i="42"/>
  <c r="AE74" i="42"/>
  <c r="AE75" i="42"/>
  <c r="AX2" i="42"/>
  <c r="AG76" i="42"/>
  <c r="AG77" i="42"/>
  <c r="AG78" i="42"/>
  <c r="AG79" i="42"/>
  <c r="AG80" i="42"/>
  <c r="AG74" i="42"/>
  <c r="AG73" i="42"/>
  <c r="AG75" i="42"/>
  <c r="BA2" i="42"/>
  <c r="AJ73" i="42"/>
  <c r="H11" i="37"/>
  <c r="H134" i="41"/>
  <c r="H16" i="41"/>
  <c r="H12" i="41"/>
  <c r="H13" i="41"/>
  <c r="H127" i="37"/>
  <c r="BM3" i="42" a="1"/>
  <c r="BM3" i="42" s="1"/>
  <c r="BE3" i="42" a="1"/>
  <c r="BE3" i="42" s="1"/>
  <c r="BH3" i="42" a="1"/>
  <c r="BH3" i="42" s="1"/>
  <c r="BL3" i="42" a="1"/>
  <c r="BL3" i="42" s="1"/>
  <c r="BN3" i="42" a="1"/>
  <c r="BN3" i="42" s="1"/>
  <c r="BD3" i="42" a="1"/>
  <c r="BD3" i="42" s="1"/>
  <c r="BG3" i="42" a="1"/>
  <c r="BG3" i="42" s="1"/>
  <c r="BJ3" i="42" a="1"/>
  <c r="BJ3" i="42" s="1"/>
  <c r="BK3" i="42" a="1"/>
  <c r="BK3" i="42" s="1"/>
  <c r="BF3" i="42" a="1"/>
  <c r="BF3" i="42" s="1"/>
  <c r="BI3" i="42" a="1"/>
  <c r="BI3" i="42" s="1"/>
  <c r="CO12" i="37" a="1"/>
  <c r="CO12" i="37" s="1"/>
  <c r="CF12" i="37" a="1"/>
  <c r="CF12" i="37" s="1"/>
  <c r="CG12" i="37" a="1"/>
  <c r="CG12" i="37" s="1"/>
  <c r="CH12" i="37" a="1"/>
  <c r="CH12" i="37" s="1"/>
  <c r="CI12" i="37" a="1"/>
  <c r="CI12" i="37" s="1"/>
  <c r="CM12" i="37" a="1"/>
  <c r="CM12" i="37" s="1"/>
  <c r="CL12" i="37" a="1"/>
  <c r="CL12" i="37" s="1"/>
  <c r="CN12" i="37" a="1"/>
  <c r="CN12" i="37" s="1"/>
  <c r="CJ12" i="37" a="1"/>
  <c r="CJ12" i="37" s="1"/>
  <c r="CP12" i="37" a="1"/>
  <c r="CP12" i="37" s="1"/>
  <c r="CE12" i="37" a="1"/>
  <c r="CE12" i="37" s="1"/>
  <c r="CK12" i="37" a="1"/>
  <c r="CK12" i="37" s="1"/>
  <c r="CQ12" i="37" a="1"/>
  <c r="CQ12" i="37" s="1"/>
  <c r="CX31" i="41" a="1"/>
  <c r="CX31" i="41" s="1"/>
  <c r="CX23" i="41" a="1"/>
  <c r="CX23" i="41" s="1"/>
  <c r="CX24" i="41" a="1"/>
  <c r="CX24" i="41" s="1"/>
  <c r="CX32" i="41" a="1"/>
  <c r="CX32" i="41" s="1"/>
  <c r="CX25" i="41" a="1"/>
  <c r="CX25" i="41" s="1"/>
  <c r="CX26" i="41" a="1"/>
  <c r="CX26" i="41" s="1"/>
  <c r="CX27" i="41" a="1"/>
  <c r="CX27" i="41" s="1"/>
  <c r="CX28" i="41" a="1"/>
  <c r="CX28" i="41" s="1"/>
  <c r="CX21" i="41" a="1"/>
  <c r="CX21" i="41" s="1"/>
  <c r="CX29" i="41" a="1"/>
  <c r="CX29" i="41" s="1"/>
  <c r="CX22" i="41" a="1"/>
  <c r="CX22" i="41" s="1"/>
  <c r="CX30" i="41" a="1"/>
  <c r="CX30" i="41" s="1"/>
  <c r="CI15" i="37" a="1"/>
  <c r="CI15" i="37" s="1"/>
  <c r="CO15" i="37" a="1"/>
  <c r="CO15" i="37" s="1"/>
  <c r="CJ15" i="37" a="1"/>
  <c r="CJ15" i="37" s="1"/>
  <c r="CP15" i="37" a="1"/>
  <c r="CP15" i="37" s="1"/>
  <c r="CE15" i="37" a="1"/>
  <c r="CE15" i="37" s="1"/>
  <c r="CK15" i="37" a="1"/>
  <c r="CK15" i="37" s="1"/>
  <c r="CQ15" i="37" a="1"/>
  <c r="CQ15" i="37" s="1"/>
  <c r="CF15" i="37" a="1"/>
  <c r="CF15" i="37" s="1"/>
  <c r="CL15" i="37" a="1"/>
  <c r="CL15" i="37" s="1"/>
  <c r="CG15" i="37" a="1"/>
  <c r="CG15" i="37" s="1"/>
  <c r="CM15" i="37" a="1"/>
  <c r="CM15" i="37" s="1"/>
  <c r="CH15" i="37" a="1"/>
  <c r="CH15" i="37" s="1"/>
  <c r="CN15" i="37" a="1"/>
  <c r="CN15" i="37" s="1"/>
  <c r="CJ11" i="37" a="1"/>
  <c r="CJ11" i="37" s="1"/>
  <c r="CM11" i="37" a="1"/>
  <c r="CM11" i="37" s="1"/>
  <c r="CP11" i="37" a="1"/>
  <c r="CP11" i="37" s="1"/>
  <c r="CH11" i="37" a="1"/>
  <c r="CH11" i="37" s="1"/>
  <c r="CN11" i="37" a="1"/>
  <c r="CN11" i="37" s="1"/>
  <c r="CI11" i="37" a="1"/>
  <c r="CI11" i="37" s="1"/>
  <c r="CO11" i="37" a="1"/>
  <c r="CO11" i="37" s="1"/>
  <c r="CE11" i="37" a="1"/>
  <c r="CE11" i="37" s="1"/>
  <c r="CK11" i="37" a="1"/>
  <c r="CK11" i="37" s="1"/>
  <c r="CQ11" i="37" a="1"/>
  <c r="CQ11" i="37" s="1"/>
  <c r="CF11" i="37" a="1"/>
  <c r="CF11" i="37" s="1"/>
  <c r="CL11" i="37" a="1"/>
  <c r="CL11" i="37" s="1"/>
  <c r="CG11" i="37" a="1"/>
  <c r="CG11" i="37" s="1"/>
  <c r="AK10" i="37" a="1"/>
  <c r="AK10" i="37" s="1"/>
  <c r="AL10" i="37" a="1"/>
  <c r="AL10" i="37" s="1"/>
  <c r="AO10" i="37" a="1"/>
  <c r="AO10" i="37" s="1"/>
  <c r="AP10" i="37" a="1"/>
  <c r="AP10" i="37" s="1"/>
  <c r="AQ10" i="37" a="1"/>
  <c r="AQ10" i="37" s="1"/>
  <c r="AR10" i="37" a="1"/>
  <c r="AR10" i="37" s="1"/>
  <c r="AU10" i="37" a="1"/>
  <c r="AU10" i="37" s="1"/>
  <c r="AJ10" i="37" a="1"/>
  <c r="AJ10" i="37" s="1"/>
  <c r="AV10" i="37" a="1"/>
  <c r="AV10" i="37" s="1"/>
  <c r="AM10" i="37" a="1"/>
  <c r="AM10" i="37" s="1"/>
  <c r="AS10" i="37" a="1"/>
  <c r="AS10" i="37" s="1"/>
  <c r="AN10" i="37" a="1"/>
  <c r="AN10" i="37" s="1"/>
  <c r="AT10" i="37" a="1"/>
  <c r="AT10" i="37" s="1"/>
  <c r="CK2" i="37" a="1"/>
  <c r="CK2" i="37" s="1"/>
  <c r="CE2" i="37" a="1"/>
  <c r="CE2" i="37" s="1"/>
  <c r="CF2" i="37" a="1"/>
  <c r="CF2" i="37" s="1"/>
  <c r="CN2" i="37" a="1"/>
  <c r="CN2" i="37" s="1"/>
  <c r="CL2" i="37" a="1"/>
  <c r="CL2" i="37" s="1"/>
  <c r="CG2" i="37" a="1"/>
  <c r="CG2" i="37" s="1"/>
  <c r="CO2" i="37" a="1"/>
  <c r="CO2" i="37" s="1"/>
  <c r="CI2" i="37" a="1"/>
  <c r="CI2" i="37" s="1"/>
  <c r="CQ2" i="37" a="1"/>
  <c r="CQ2" i="37" s="1"/>
  <c r="CM2" i="37" a="1"/>
  <c r="CM2" i="37" s="1"/>
  <c r="CH2" i="37" a="1"/>
  <c r="CH2" i="37" s="1"/>
  <c r="CP2" i="37" a="1"/>
  <c r="CP2" i="37" s="1"/>
  <c r="CJ2" i="37" a="1"/>
  <c r="CJ2" i="37" s="1"/>
  <c r="CQ16" i="37" a="1"/>
  <c r="CQ16" i="37" s="1"/>
  <c r="CJ16" i="37" a="1"/>
  <c r="CJ16" i="37" s="1"/>
  <c r="CH16" i="37" a="1"/>
  <c r="CH16" i="37" s="1"/>
  <c r="CI16" i="37" a="1"/>
  <c r="CI16" i="37" s="1"/>
  <c r="CF16" i="37" a="1"/>
  <c r="CF16" i="37" s="1"/>
  <c r="CL16" i="37" a="1"/>
  <c r="CL16" i="37" s="1"/>
  <c r="CG16" i="37" a="1"/>
  <c r="CG16" i="37" s="1"/>
  <c r="CM16" i="37" a="1"/>
  <c r="CM16" i="37" s="1"/>
  <c r="CP16" i="37" a="1"/>
  <c r="CP16" i="37" s="1"/>
  <c r="CN16" i="37" a="1"/>
  <c r="CN16" i="37" s="1"/>
  <c r="CK16" i="37" a="1"/>
  <c r="CK16" i="37" s="1"/>
  <c r="CO16" i="37" a="1"/>
  <c r="CO16" i="37" s="1"/>
  <c r="CE16" i="37" a="1"/>
  <c r="CE16" i="37" s="1"/>
  <c r="CF32" i="37" a="1"/>
  <c r="CF32" i="37" s="1"/>
  <c r="CF21" i="37" a="1"/>
  <c r="CF21" i="37" s="1"/>
  <c r="CF24" i="37" a="1"/>
  <c r="CF24" i="37" s="1"/>
  <c r="CF25" i="37" a="1"/>
  <c r="CF25" i="37" s="1"/>
  <c r="CF26" i="37" a="1"/>
  <c r="CF26" i="37" s="1"/>
  <c r="CF27" i="37" a="1"/>
  <c r="CF27" i="37" s="1"/>
  <c r="CF30" i="37" a="1"/>
  <c r="CF30" i="37" s="1"/>
  <c r="CF31" i="37" a="1"/>
  <c r="CF31" i="37" s="1"/>
  <c r="CF22" i="37" a="1"/>
  <c r="CF22" i="37" s="1"/>
  <c r="CF28" i="37" a="1"/>
  <c r="CF28" i="37" s="1"/>
  <c r="CF23" i="37" a="1"/>
  <c r="CF23" i="37" s="1"/>
  <c r="CF29" i="37" a="1"/>
  <c r="CF29" i="37" s="1"/>
  <c r="CE19" i="37" a="1"/>
  <c r="CE19" i="37" s="1"/>
  <c r="CF19" i="37" a="1"/>
  <c r="CF19" i="37" s="1"/>
  <c r="CL19" i="37" a="1"/>
  <c r="CL19" i="37" s="1"/>
  <c r="CG19" i="37" a="1"/>
  <c r="CG19" i="37" s="1"/>
  <c r="CM19" i="37" a="1"/>
  <c r="CM19" i="37" s="1"/>
  <c r="CH19" i="37" a="1"/>
  <c r="CH19" i="37" s="1"/>
  <c r="CN19" i="37" a="1"/>
  <c r="CN19" i="37" s="1"/>
  <c r="CI19" i="37" a="1"/>
  <c r="CI19" i="37" s="1"/>
  <c r="CO19" i="37" a="1"/>
  <c r="CO19" i="37" s="1"/>
  <c r="CJ19" i="37" a="1"/>
  <c r="CJ19" i="37" s="1"/>
  <c r="CP19" i="37" a="1"/>
  <c r="CP19" i="37" s="1"/>
  <c r="CK19" i="37" a="1"/>
  <c r="CK19" i="37" s="1"/>
  <c r="CQ19" i="37" a="1"/>
  <c r="CQ19" i="37" s="1"/>
  <c r="AL2" i="37" a="1"/>
  <c r="AL2" i="37" s="1"/>
  <c r="AS2" i="37" a="1"/>
  <c r="AS2" i="37" s="1"/>
  <c r="AM2" i="37" a="1"/>
  <c r="AM2" i="37" s="1"/>
  <c r="AT2" i="37" a="1"/>
  <c r="AT2" i="37" s="1"/>
  <c r="AN2" i="37" a="1"/>
  <c r="AN2" i="37" s="1"/>
  <c r="AU2" i="37" a="1"/>
  <c r="AU2" i="37" s="1"/>
  <c r="AO2" i="37" a="1"/>
  <c r="AO2" i="37" s="1"/>
  <c r="AR2" i="37" a="1"/>
  <c r="AR2" i="37" s="1"/>
  <c r="AJ2" i="37" a="1"/>
  <c r="AJ2" i="37" s="1"/>
  <c r="AP2" i="37" a="1"/>
  <c r="AP2" i="37" s="1"/>
  <c r="AV2" i="37" a="1"/>
  <c r="AV2" i="37" s="1"/>
  <c r="AK2" i="37" a="1"/>
  <c r="AK2" i="37" s="1"/>
  <c r="AQ2" i="37" a="1"/>
  <c r="AQ2" i="37" s="1"/>
  <c r="CI18" i="37" a="1"/>
  <c r="CI18" i="37" s="1"/>
  <c r="CJ18" i="37" a="1"/>
  <c r="CJ18" i="37" s="1"/>
  <c r="CK18" i="37" a="1"/>
  <c r="CK18" i="37" s="1"/>
  <c r="CL18" i="37" a="1"/>
  <c r="CL18" i="37" s="1"/>
  <c r="CO18" i="37" a="1"/>
  <c r="CO18" i="37" s="1"/>
  <c r="CP18" i="37" a="1"/>
  <c r="CP18" i="37" s="1"/>
  <c r="CQ18" i="37" a="1"/>
  <c r="CQ18" i="37" s="1"/>
  <c r="CE18" i="37" a="1"/>
  <c r="CE18" i="37" s="1"/>
  <c r="CF18" i="37" a="1"/>
  <c r="CF18" i="37" s="1"/>
  <c r="CG18" i="37" a="1"/>
  <c r="CG18" i="37" s="1"/>
  <c r="CM18" i="37" a="1"/>
  <c r="CM18" i="37" s="1"/>
  <c r="CH18" i="37" a="1"/>
  <c r="CH18" i="37" s="1"/>
  <c r="CN18" i="37" a="1"/>
  <c r="CN18" i="37" s="1"/>
  <c r="CI13" i="37" a="1"/>
  <c r="CI13" i="37" s="1"/>
  <c r="CO13" i="37" a="1"/>
  <c r="CO13" i="37" s="1"/>
  <c r="CJ13" i="37" a="1"/>
  <c r="CJ13" i="37" s="1"/>
  <c r="CP13" i="37" a="1"/>
  <c r="CP13" i="37" s="1"/>
  <c r="CE13" i="37" a="1"/>
  <c r="CE13" i="37" s="1"/>
  <c r="CK13" i="37" a="1"/>
  <c r="CK13" i="37" s="1"/>
  <c r="CQ13" i="37" a="1"/>
  <c r="CQ13" i="37" s="1"/>
  <c r="CF13" i="37" a="1"/>
  <c r="CF13" i="37" s="1"/>
  <c r="CL13" i="37" a="1"/>
  <c r="CL13" i="37" s="1"/>
  <c r="CG13" i="37" a="1"/>
  <c r="CG13" i="37" s="1"/>
  <c r="CM13" i="37" a="1"/>
  <c r="CM13" i="37" s="1"/>
  <c r="CH13" i="37" a="1"/>
  <c r="CH13" i="37" s="1"/>
  <c r="CN13" i="37" a="1"/>
  <c r="CN13" i="37" s="1"/>
  <c r="CR6" i="41" a="1"/>
  <c r="CR6" i="41" s="1"/>
  <c r="CM6" i="41" a="1"/>
  <c r="CM6" i="41" s="1"/>
  <c r="CG6" i="41" a="1"/>
  <c r="CG6" i="41" s="1"/>
  <c r="CN6" i="41" a="1"/>
  <c r="CN6" i="41" s="1"/>
  <c r="CH6" i="41" a="1"/>
  <c r="CH6" i="41" s="1"/>
  <c r="CJ6" i="41" a="1"/>
  <c r="CJ6" i="41" s="1"/>
  <c r="CD6" i="41" a="1"/>
  <c r="CD6" i="41" s="1"/>
  <c r="CK6" i="41" a="1"/>
  <c r="CK6" i="41" s="1"/>
  <c r="CE6" i="41" a="1"/>
  <c r="CE6" i="41" s="1"/>
  <c r="CI6" i="41" a="1"/>
  <c r="CI6" i="41" s="1"/>
  <c r="CF6" i="41" a="1"/>
  <c r="CF6" i="41" s="1"/>
  <c r="CL6" i="41" a="1"/>
  <c r="CL6" i="41" s="1"/>
  <c r="CS6" i="41" a="1"/>
  <c r="CS6" i="41" s="1"/>
  <c r="CS8" i="41" a="1"/>
  <c r="CS8" i="41" s="1"/>
  <c r="CH8" i="41" a="1"/>
  <c r="CH8" i="41" s="1"/>
  <c r="CR8" i="41" a="1"/>
  <c r="CR8" i="41" s="1"/>
  <c r="CE8" i="41" a="1"/>
  <c r="CE8" i="41" s="1"/>
  <c r="CI8" i="41" a="1"/>
  <c r="CI8" i="41" s="1"/>
  <c r="CF8" i="41" a="1"/>
  <c r="CF8" i="41" s="1"/>
  <c r="CL8" i="41" a="1"/>
  <c r="CL8" i="41" s="1"/>
  <c r="CG8" i="41" a="1"/>
  <c r="CG8" i="41" s="1"/>
  <c r="CM8" i="41" a="1"/>
  <c r="CM8" i="41" s="1"/>
  <c r="CJ8" i="41" a="1"/>
  <c r="CJ8" i="41" s="1"/>
  <c r="CN8" i="41" a="1"/>
  <c r="CN8" i="41" s="1"/>
  <c r="CK8" i="41" a="1"/>
  <c r="CK8" i="41" s="1"/>
  <c r="CD8" i="41" a="1"/>
  <c r="CD8" i="41" s="1"/>
  <c r="AN9" i="41" a="1"/>
  <c r="AN9" i="41" s="1"/>
  <c r="AL9" i="41" a="1"/>
  <c r="AL9" i="41" s="1"/>
  <c r="AP9" i="41" a="1"/>
  <c r="AP9" i="41" s="1"/>
  <c r="AK9" i="41" a="1"/>
  <c r="AK9" i="41" s="1"/>
  <c r="CR9" i="41" a="1"/>
  <c r="CR9" i="41" s="1"/>
  <c r="CM9" i="41" a="1"/>
  <c r="CM9" i="41" s="1"/>
  <c r="CI9" i="41" a="1"/>
  <c r="CI9" i="41" s="1"/>
  <c r="CG9" i="41" a="1"/>
  <c r="CG9" i="41" s="1"/>
  <c r="CK9" i="41" a="1"/>
  <c r="CK9" i="41" s="1"/>
  <c r="CL9" i="41" a="1"/>
  <c r="CL9" i="41" s="1"/>
  <c r="CH9" i="41" a="1"/>
  <c r="CH9" i="41" s="1"/>
  <c r="CU9" i="41" s="1"/>
  <c r="CN9" i="41" a="1"/>
  <c r="CN9" i="41" s="1"/>
  <c r="CD9" i="41" a="1"/>
  <c r="CD9" i="41" s="1"/>
  <c r="CE9" i="41" a="1"/>
  <c r="CE9" i="41" s="1"/>
  <c r="CJ9" i="41" a="1"/>
  <c r="CJ9" i="41" s="1"/>
  <c r="CS9" i="41" a="1"/>
  <c r="CS9" i="41" s="1"/>
  <c r="CF9" i="41" a="1"/>
  <c r="CF9" i="41" s="1"/>
  <c r="CI13" i="41" a="1"/>
  <c r="CI13" i="41" s="1"/>
  <c r="CR13" i="41" a="1"/>
  <c r="CR13" i="41" s="1"/>
  <c r="CN13" i="41" a="1"/>
  <c r="CN13" i="41" s="1"/>
  <c r="CG13" i="41" a="1"/>
  <c r="CG13" i="41" s="1"/>
  <c r="CH13" i="41" a="1"/>
  <c r="CH13" i="41" s="1"/>
  <c r="CU13" i="41" s="1"/>
  <c r="CS13" i="41" a="1"/>
  <c r="CS13" i="41" s="1"/>
  <c r="CM13" i="41" a="1"/>
  <c r="CM13" i="41" s="1"/>
  <c r="CJ13" i="41" a="1"/>
  <c r="CJ13" i="41" s="1"/>
  <c r="CF13" i="41" a="1"/>
  <c r="CF13" i="41" s="1"/>
  <c r="CK13" i="41" a="1"/>
  <c r="CK13" i="41" s="1"/>
  <c r="CL13" i="41" a="1"/>
  <c r="CL13" i="41" s="1"/>
  <c r="CE13" i="41" a="1"/>
  <c r="CE13" i="41" s="1"/>
  <c r="CD13" i="41" a="1"/>
  <c r="CD13" i="41" s="1"/>
  <c r="AK2" i="43" a="1"/>
  <c r="AK2" i="43" s="1"/>
  <c r="AM2" i="43" a="1"/>
  <c r="AM2" i="43" s="1"/>
  <c r="AQ2" i="43" a="1"/>
  <c r="AQ2" i="43" s="1"/>
  <c r="AP2" i="43" a="1"/>
  <c r="AP2" i="43" s="1"/>
  <c r="AI2" i="43" a="1"/>
  <c r="AI2" i="43" s="1"/>
  <c r="AN2" i="43" a="1"/>
  <c r="AN2" i="43" s="1"/>
  <c r="AJ2" i="43" a="1"/>
  <c r="AJ2" i="43" s="1"/>
  <c r="AO2" i="43" a="1"/>
  <c r="AO2" i="43" s="1"/>
  <c r="AH2" i="43" a="1"/>
  <c r="AH2" i="43" s="1"/>
  <c r="AR2" i="43" a="1"/>
  <c r="AR2" i="43" s="1"/>
  <c r="AL2" i="43" a="1"/>
  <c r="AL2" i="43" s="1"/>
  <c r="CD12" i="41" a="1"/>
  <c r="CD12" i="41" s="1"/>
  <c r="CI12" i="41" a="1"/>
  <c r="CI12" i="41" s="1"/>
  <c r="CN12" i="41" a="1"/>
  <c r="CN12" i="41" s="1"/>
  <c r="CL12" i="41" a="1"/>
  <c r="CL12" i="41" s="1"/>
  <c r="CK12" i="41" a="1"/>
  <c r="CK12" i="41" s="1"/>
  <c r="CR12" i="41" a="1"/>
  <c r="CR12" i="41" s="1"/>
  <c r="CG12" i="41" a="1"/>
  <c r="CG12" i="41" s="1"/>
  <c r="CJ12" i="41" a="1"/>
  <c r="CJ12" i="41" s="1"/>
  <c r="CH12" i="41" a="1"/>
  <c r="CH12" i="41" s="1"/>
  <c r="CU12" i="41" s="1"/>
  <c r="CM12" i="41" a="1"/>
  <c r="CM12" i="41" s="1"/>
  <c r="CE12" i="41" a="1"/>
  <c r="CE12" i="41" s="1"/>
  <c r="CF12" i="41" a="1"/>
  <c r="CF12" i="41" s="1"/>
  <c r="CS12" i="41" a="1"/>
  <c r="CS12" i="41" s="1"/>
  <c r="H24" i="43"/>
  <c r="H23" i="43"/>
  <c r="AE2" i="43"/>
  <c r="AU2" i="41" a="1"/>
  <c r="AU2" i="41" s="1"/>
  <c r="AT2" i="41" a="1"/>
  <c r="AT2" i="41" s="1"/>
  <c r="AN2" i="41" a="1"/>
  <c r="AN2" i="41" s="1"/>
  <c r="AS2" i="41" a="1"/>
  <c r="AS2" i="41" s="1"/>
  <c r="AM2" i="41" a="1"/>
  <c r="AM2" i="41" s="1"/>
  <c r="AR2" i="41" a="1"/>
  <c r="AR2" i="41" s="1"/>
  <c r="AL2" i="41" a="1"/>
  <c r="AL2" i="41" s="1"/>
  <c r="AQ2" i="41" a="1"/>
  <c r="AQ2" i="41" s="1"/>
  <c r="AP2" i="41" a="1"/>
  <c r="AP2" i="41" s="1"/>
  <c r="AK2" i="41" a="1"/>
  <c r="AK2" i="41" s="1"/>
  <c r="AO2" i="41" a="1"/>
  <c r="AO2" i="41" s="1"/>
  <c r="CD10" i="41" a="1"/>
  <c r="CD10" i="41" s="1"/>
  <c r="CF10" i="41" a="1"/>
  <c r="CF10" i="41" s="1"/>
  <c r="CJ10" i="41" a="1"/>
  <c r="CJ10" i="41" s="1"/>
  <c r="CI10" i="41" a="1"/>
  <c r="CI10" i="41" s="1"/>
  <c r="CK10" i="41" a="1"/>
  <c r="CK10" i="41" s="1"/>
  <c r="CL10" i="41" a="1"/>
  <c r="CL10" i="41" s="1"/>
  <c r="CH10" i="41" a="1"/>
  <c r="CH10" i="41" s="1"/>
  <c r="CE10" i="41" a="1"/>
  <c r="CE10" i="41" s="1"/>
  <c r="CM10" i="41" a="1"/>
  <c r="CM10" i="41" s="1"/>
  <c r="CR10" i="41" a="1"/>
  <c r="CR10" i="41" s="1"/>
  <c r="CN10" i="41" a="1"/>
  <c r="CN10" i="41" s="1"/>
  <c r="CG10" i="41" a="1"/>
  <c r="CG10" i="41" s="1"/>
  <c r="CS10" i="41" a="1"/>
  <c r="CS10" i="41" s="1"/>
  <c r="AM10" i="41" a="1"/>
  <c r="AM10" i="41" s="1"/>
  <c r="AS10" i="41" a="1"/>
  <c r="AS10" i="41" s="1"/>
  <c r="AN10" i="41" a="1"/>
  <c r="AN10" i="41" s="1"/>
  <c r="AT10" i="41" a="1"/>
  <c r="AT10" i="41" s="1"/>
  <c r="AL10" i="41" a="1"/>
  <c r="AL10" i="41" s="1"/>
  <c r="AK10" i="41" a="1"/>
  <c r="AK10" i="41" s="1"/>
  <c r="AR10" i="41" a="1"/>
  <c r="AR10" i="41" s="1"/>
  <c r="AP10" i="41" a="1"/>
  <c r="AP10" i="41" s="1"/>
  <c r="AQ10" i="41" a="1"/>
  <c r="AQ10" i="41" s="1"/>
  <c r="BG10" i="41" s="1"/>
  <c r="AO10" i="41" a="1"/>
  <c r="AO10" i="41" s="1"/>
  <c r="AU10" i="41" a="1"/>
  <c r="AU10" i="41" s="1"/>
  <c r="H133" i="41"/>
  <c r="H136" i="37"/>
  <c r="H129" i="41"/>
  <c r="H132" i="41"/>
  <c r="H132" i="37"/>
  <c r="H128" i="37"/>
  <c r="H139" i="41"/>
  <c r="H128" i="41"/>
  <c r="H11" i="41"/>
  <c r="H129" i="37"/>
  <c r="H137" i="41"/>
  <c r="H133" i="37"/>
  <c r="H124" i="37"/>
  <c r="H135" i="37"/>
  <c r="H140" i="41"/>
  <c r="H19" i="41"/>
  <c r="H2" i="37"/>
  <c r="H19" i="37"/>
  <c r="H15" i="37"/>
  <c r="H138" i="41"/>
  <c r="H9" i="41"/>
  <c r="H130" i="41"/>
  <c r="L138" i="37"/>
  <c r="H138" i="37"/>
  <c r="CI7" i="41" a="1"/>
  <c r="CI7" i="41" s="1"/>
  <c r="CM7" i="41" a="1"/>
  <c r="CM7" i="41" s="1"/>
  <c r="CD7" i="41" a="1"/>
  <c r="CD7" i="41" s="1"/>
  <c r="CF7" i="41" a="1"/>
  <c r="CF7" i="41" s="1"/>
  <c r="CE7" i="41" a="1"/>
  <c r="CE7" i="41" s="1"/>
  <c r="CH7" i="41" a="1"/>
  <c r="CH7" i="41" s="1"/>
  <c r="CL7" i="41" a="1"/>
  <c r="CL7" i="41" s="1"/>
  <c r="CK7" i="41" a="1"/>
  <c r="CK7" i="41" s="1"/>
  <c r="CN7" i="41" a="1"/>
  <c r="CN7" i="41" s="1"/>
  <c r="CJ7" i="41" a="1"/>
  <c r="CJ7" i="41" s="1"/>
  <c r="CG7" i="41" a="1"/>
  <c r="CG7" i="41" s="1"/>
  <c r="CH14" i="41" a="1"/>
  <c r="CH14" i="41" s="1"/>
  <c r="CN14" i="41" a="1"/>
  <c r="CN14" i="41" s="1"/>
  <c r="CI14" i="41" a="1"/>
  <c r="CI14" i="41" s="1"/>
  <c r="CF14" i="41" a="1"/>
  <c r="CF14" i="41" s="1"/>
  <c r="CL14" i="41" a="1"/>
  <c r="CL14" i="41" s="1"/>
  <c r="CG14" i="41" a="1"/>
  <c r="CG14" i="41" s="1"/>
  <c r="CJ14" i="41" a="1"/>
  <c r="CJ14" i="41" s="1"/>
  <c r="CK14" i="41" a="1"/>
  <c r="CK14" i="41" s="1"/>
  <c r="CD14" i="41" a="1"/>
  <c r="CD14" i="41" s="1"/>
  <c r="CE14" i="41" a="1"/>
  <c r="CE14" i="41" s="1"/>
  <c r="CM14" i="41" a="1"/>
  <c r="CM14" i="41" s="1"/>
  <c r="AS4" i="37" a="1"/>
  <c r="AS4" i="37" s="1"/>
  <c r="AK4" i="37" a="1"/>
  <c r="AK4" i="37" s="1"/>
  <c r="AQ4" i="37" a="1"/>
  <c r="AQ4" i="37" s="1"/>
  <c r="AR4" i="37" a="1"/>
  <c r="AR4" i="37" s="1"/>
  <c r="AU4" i="37" a="1"/>
  <c r="AU4" i="37" s="1"/>
  <c r="AN4" i="37" a="1"/>
  <c r="AN4" i="37" s="1"/>
  <c r="AO4" i="37" a="1"/>
  <c r="AO4" i="37" s="1"/>
  <c r="AT4" i="37" a="1"/>
  <c r="AT4" i="37" s="1"/>
  <c r="AM4" i="37" a="1"/>
  <c r="AM4" i="37" s="1"/>
  <c r="AL4" i="37" a="1"/>
  <c r="AL4" i="37" s="1"/>
  <c r="DR4" i="37" a="1"/>
  <c r="DR4" i="37" s="1"/>
  <c r="AP4" i="37" a="1"/>
  <c r="AP4" i="37" s="1"/>
  <c r="AJ4" i="37" a="1"/>
  <c r="AJ4" i="37" s="1"/>
  <c r="AV4" i="37" a="1"/>
  <c r="AV4" i="37" s="1"/>
  <c r="AB2" i="43"/>
  <c r="E31" i="43"/>
  <c r="E32" i="43"/>
  <c r="E33" i="43"/>
  <c r="E23" i="43"/>
  <c r="E24" i="43"/>
  <c r="E25" i="43"/>
  <c r="E26" i="43"/>
  <c r="E27" i="43"/>
  <c r="E28" i="43"/>
  <c r="E29" i="43"/>
  <c r="E30" i="43"/>
  <c r="AC2" i="43"/>
  <c r="F71" i="43"/>
  <c r="F54" i="43"/>
  <c r="F30" i="43"/>
  <c r="F42" i="43"/>
  <c r="F72" i="43"/>
  <c r="F55" i="43"/>
  <c r="F31" i="43"/>
  <c r="F43" i="43"/>
  <c r="F73" i="43"/>
  <c r="F59" i="43"/>
  <c r="F56" i="43"/>
  <c r="F32" i="43"/>
  <c r="F44" i="43"/>
  <c r="F60" i="43"/>
  <c r="F57" i="43"/>
  <c r="F33" i="43"/>
  <c r="F45" i="43"/>
  <c r="F61" i="43"/>
  <c r="F58" i="43"/>
  <c r="F34" i="43"/>
  <c r="F46" i="43"/>
  <c r="F49" i="43"/>
  <c r="F62" i="43"/>
  <c r="F23" i="43"/>
  <c r="F35" i="43"/>
  <c r="F47" i="43"/>
  <c r="F63" i="43"/>
  <c r="F24" i="43"/>
  <c r="F36" i="43"/>
  <c r="F48" i="43"/>
  <c r="F25" i="43"/>
  <c r="F67" i="43"/>
  <c r="F65" i="43"/>
  <c r="F26" i="43"/>
  <c r="F38" i="43"/>
  <c r="F50" i="43"/>
  <c r="F37" i="43"/>
  <c r="F68" i="43"/>
  <c r="F66" i="43"/>
  <c r="F27" i="43"/>
  <c r="F39" i="43"/>
  <c r="F51" i="43"/>
  <c r="F69" i="43"/>
  <c r="F52" i="43"/>
  <c r="F28" i="43"/>
  <c r="F40" i="43"/>
  <c r="F64" i="43"/>
  <c r="F70" i="43"/>
  <c r="F53" i="43"/>
  <c r="F29" i="43"/>
  <c r="F41" i="43"/>
  <c r="D33" i="43"/>
  <c r="D34" i="43"/>
  <c r="D35" i="43"/>
  <c r="D23" i="43"/>
  <c r="D36" i="43"/>
  <c r="D24" i="43"/>
  <c r="D37" i="43"/>
  <c r="D25" i="43"/>
  <c r="D38" i="43"/>
  <c r="D26" i="43"/>
  <c r="D39" i="43"/>
  <c r="D27" i="43"/>
  <c r="D28" i="43"/>
  <c r="D29" i="43"/>
  <c r="D30" i="43"/>
  <c r="D31" i="43"/>
  <c r="D32" i="43"/>
  <c r="BG12" i="41"/>
  <c r="Z2" i="43"/>
  <c r="C23" i="43"/>
  <c r="C24" i="43"/>
  <c r="C25" i="43"/>
  <c r="C26" i="43"/>
  <c r="C27" i="43"/>
  <c r="C28" i="43"/>
  <c r="AD2" i="43"/>
  <c r="G24" i="43"/>
  <c r="G25" i="43"/>
  <c r="G23" i="43"/>
  <c r="H14" i="41"/>
  <c r="EA7" i="41" a="1"/>
  <c r="EA7" i="41" s="1"/>
  <c r="DX7" i="41" a="1"/>
  <c r="DX7" i="41" s="1"/>
  <c r="DU7" i="41" a="1"/>
  <c r="DU7" i="41" s="1"/>
  <c r="DZ7" i="41" a="1"/>
  <c r="DZ7" i="41" s="1"/>
  <c r="EC7" i="41" a="1"/>
  <c r="EC7" i="41" s="1"/>
  <c r="DW7" i="41" a="1"/>
  <c r="DW7" i="41" s="1"/>
  <c r="ED7" i="41" a="1"/>
  <c r="ED7" i="41" s="1"/>
  <c r="EE7" i="41" a="1"/>
  <c r="EE7" i="41" s="1"/>
  <c r="DV7" i="41" a="1"/>
  <c r="DV7" i="41" s="1"/>
  <c r="H4" i="37"/>
  <c r="DY7" i="41" a="1"/>
  <c r="DY7" i="41" s="1"/>
  <c r="CX11" i="41"/>
  <c r="CL14" i="37" a="1"/>
  <c r="CL14" i="37" s="1"/>
  <c r="H127" i="41"/>
  <c r="CM14" i="37" a="1"/>
  <c r="CM14" i="37" s="1"/>
  <c r="CQ14" i="37" a="1"/>
  <c r="CQ14" i="37" s="1"/>
  <c r="CP14" i="37" a="1"/>
  <c r="CP14" i="37" s="1"/>
  <c r="CP4" i="37" a="1"/>
  <c r="CP4" i="37" s="1"/>
  <c r="CH4" i="37" a="1"/>
  <c r="CH4" i="37" s="1"/>
  <c r="CH14" i="37" a="1"/>
  <c r="CH14" i="37" s="1"/>
  <c r="CN4" i="37" a="1"/>
  <c r="CN4" i="37" s="1"/>
  <c r="CO14" i="37" a="1"/>
  <c r="CO14" i="37" s="1"/>
  <c r="H4" i="41"/>
  <c r="CL4" i="37" a="1"/>
  <c r="CL4" i="37" s="1"/>
  <c r="H7" i="37"/>
  <c r="CK14" i="37" a="1"/>
  <c r="CK14" i="37" s="1"/>
  <c r="CE4" i="37" a="1"/>
  <c r="CE4" i="37" s="1"/>
  <c r="CK4" i="37" a="1"/>
  <c r="CK4" i="37" s="1"/>
  <c r="H14" i="37"/>
  <c r="CE14" i="37" a="1"/>
  <c r="CE14" i="37" s="1"/>
  <c r="CZ11" i="41"/>
  <c r="CQ4" i="37" a="1"/>
  <c r="CQ4" i="37" s="1"/>
  <c r="CF4" i="37" a="1"/>
  <c r="CF4" i="37" s="1"/>
  <c r="CJ4" i="37" a="1"/>
  <c r="CJ4" i="37" s="1"/>
  <c r="CJ14" i="37" a="1"/>
  <c r="CJ14" i="37" s="1"/>
  <c r="CI4" i="37" a="1"/>
  <c r="CI4" i="37" s="1"/>
  <c r="CG14" i="37" a="1"/>
  <c r="CG14" i="37" s="1"/>
  <c r="CG4" i="37" a="1"/>
  <c r="CG4" i="37" s="1"/>
  <c r="CO4" i="37" a="1"/>
  <c r="CO4" i="37" s="1"/>
  <c r="CF14" i="37" a="1"/>
  <c r="CF14" i="37" s="1"/>
  <c r="CO11" i="41"/>
  <c r="CP11" i="41" s="1"/>
  <c r="CR11" i="41" s="1" a="1"/>
  <c r="CR11" i="41" s="1"/>
  <c r="CU11" i="41" s="1"/>
  <c r="CI14" i="37" a="1"/>
  <c r="CI14" i="37" s="1"/>
  <c r="H135" i="41"/>
  <c r="ES2" i="41" a="1"/>
  <c r="ES2" i="41" s="1"/>
  <c r="BH8" i="42" a="1"/>
  <c r="BH8" i="42" s="1"/>
  <c r="BL8" i="42" a="1"/>
  <c r="BL8" i="42" s="1"/>
  <c r="BE8" i="42" a="1"/>
  <c r="BE8" i="42" s="1"/>
  <c r="BM8" i="42" a="1"/>
  <c r="BM8" i="42" s="1"/>
  <c r="BL6" i="42" a="1"/>
  <c r="BL6" i="42" s="1"/>
  <c r="BE6" i="42" a="1"/>
  <c r="BE6" i="42" s="1"/>
  <c r="BM6" i="42" a="1"/>
  <c r="BM6" i="42" s="1"/>
  <c r="BH6" i="42" a="1"/>
  <c r="BH6" i="42" s="1"/>
  <c r="Q6" i="42" a="1"/>
  <c r="Q6" i="42" s="1"/>
  <c r="X6" i="42" a="1"/>
  <c r="X6" i="42" s="1"/>
  <c r="U6" i="42" a="1"/>
  <c r="U6" i="42" s="1"/>
  <c r="T6" i="42" a="1"/>
  <c r="T6" i="42" s="1"/>
  <c r="W6" i="42" a="1"/>
  <c r="W6" i="42" s="1"/>
  <c r="V6" i="42" a="1"/>
  <c r="V6" i="42" s="1"/>
  <c r="R6" i="42" a="1"/>
  <c r="R6" i="42" s="1"/>
  <c r="AA6" i="42" a="1"/>
  <c r="AA6" i="42" s="1"/>
  <c r="Y6" i="42" a="1"/>
  <c r="Y6" i="42" s="1"/>
  <c r="Z6" i="42" a="1"/>
  <c r="Z6" i="42" s="1"/>
  <c r="S6" i="42" a="1"/>
  <c r="S6" i="42" s="1"/>
  <c r="V7" i="42" a="1"/>
  <c r="V7" i="42" s="1"/>
  <c r="Z7" i="42" a="1"/>
  <c r="Z7" i="42" s="1"/>
  <c r="Q7" i="42" a="1"/>
  <c r="Q7" i="42" s="1"/>
  <c r="Y7" i="42" a="1"/>
  <c r="Y7" i="42" s="1"/>
  <c r="AA7" i="42" a="1"/>
  <c r="AA7" i="42" s="1"/>
  <c r="X7" i="42" a="1"/>
  <c r="X7" i="42" s="1"/>
  <c r="R7" i="42" a="1"/>
  <c r="R7" i="42" s="1"/>
  <c r="S7" i="42" a="1"/>
  <c r="S7" i="42" s="1"/>
  <c r="U7" i="42" a="1"/>
  <c r="U7" i="42" s="1"/>
  <c r="T7" i="42" a="1"/>
  <c r="T7" i="42" s="1"/>
  <c r="W7" i="42" a="1"/>
  <c r="W7" i="42" s="1"/>
  <c r="T10" i="42" a="1"/>
  <c r="T10" i="42" s="1"/>
  <c r="V10" i="42" a="1"/>
  <c r="V10" i="42" s="1"/>
  <c r="U10" i="42" a="1"/>
  <c r="U10" i="42" s="1"/>
  <c r="Z10" i="42" a="1"/>
  <c r="Z10" i="42" s="1"/>
  <c r="X10" i="42" a="1"/>
  <c r="X10" i="42" s="1"/>
  <c r="AA10" i="42" a="1"/>
  <c r="AA10" i="42" s="1"/>
  <c r="Y10" i="42" a="1"/>
  <c r="Y10" i="42" s="1"/>
  <c r="W10" i="42" a="1"/>
  <c r="W10" i="42" s="1"/>
  <c r="S10" i="42" a="1"/>
  <c r="S10" i="42" s="1"/>
  <c r="Q10" i="42" a="1"/>
  <c r="Q10" i="42" s="1"/>
  <c r="R10" i="42" a="1"/>
  <c r="R10" i="42" s="1"/>
  <c r="R11" i="42" a="1"/>
  <c r="R11" i="42" s="1"/>
  <c r="AA11" i="42" a="1"/>
  <c r="AA11" i="42" s="1"/>
  <c r="X11" i="42" a="1"/>
  <c r="X11" i="42" s="1"/>
  <c r="Q11" i="42" a="1"/>
  <c r="Q11" i="42" s="1"/>
  <c r="S11" i="42" a="1"/>
  <c r="S11" i="42" s="1"/>
  <c r="W11" i="42" a="1"/>
  <c r="W11" i="42" s="1"/>
  <c r="T11" i="42" a="1"/>
  <c r="T11" i="42" s="1"/>
  <c r="V11" i="42" a="1"/>
  <c r="V11" i="42" s="1"/>
  <c r="U11" i="42" a="1"/>
  <c r="U11" i="42" s="1"/>
  <c r="Y11" i="42" a="1"/>
  <c r="Y11" i="42" s="1"/>
  <c r="Z11" i="42" a="1"/>
  <c r="Z11" i="42" s="1"/>
  <c r="Y12" i="42" a="1"/>
  <c r="Y12" i="42" s="1"/>
  <c r="AA12" i="42" a="1"/>
  <c r="AA12" i="42" s="1"/>
  <c r="R12" i="42" a="1"/>
  <c r="R12" i="42" s="1"/>
  <c r="W12" i="42" a="1"/>
  <c r="W12" i="42" s="1"/>
  <c r="U12" i="42" a="1"/>
  <c r="U12" i="42" s="1"/>
  <c r="Q12" i="42" a="1"/>
  <c r="Q12" i="42" s="1"/>
  <c r="T12" i="42" a="1"/>
  <c r="T12" i="42" s="1"/>
  <c r="S12" i="42" a="1"/>
  <c r="S12" i="42" s="1"/>
  <c r="Z12" i="42" a="1"/>
  <c r="Z12" i="42" s="1"/>
  <c r="X12" i="42" a="1"/>
  <c r="X12" i="42" s="1"/>
  <c r="V12" i="42" a="1"/>
  <c r="V12" i="42" s="1"/>
  <c r="V9" i="42" a="1"/>
  <c r="V9" i="42" s="1"/>
  <c r="Z9" i="42" a="1"/>
  <c r="Z9" i="42" s="1"/>
  <c r="U9" i="42" a="1"/>
  <c r="U9" i="42" s="1"/>
  <c r="X9" i="42" a="1"/>
  <c r="X9" i="42" s="1"/>
  <c r="Y9" i="42" a="1"/>
  <c r="Y9" i="42" s="1"/>
  <c r="S9" i="42" a="1"/>
  <c r="S9" i="42" s="1"/>
  <c r="Q9" i="42" a="1"/>
  <c r="Q9" i="42" s="1"/>
  <c r="R9" i="42" a="1"/>
  <c r="R9" i="42" s="1"/>
  <c r="T9" i="42" a="1"/>
  <c r="T9" i="42" s="1"/>
  <c r="W9" i="42" a="1"/>
  <c r="W9" i="42" s="1"/>
  <c r="AA9" i="42" a="1"/>
  <c r="AA9" i="42" s="1"/>
  <c r="BE4" i="44" a="1"/>
  <c r="BE4" i="44" s="1"/>
  <c r="BC4" i="44" a="1"/>
  <c r="BC4" i="44" s="1"/>
  <c r="BG4" i="44" a="1"/>
  <c r="BG4" i="44" s="1"/>
  <c r="BI4" i="44" a="1"/>
  <c r="BI4" i="44" s="1"/>
  <c r="BD4" i="44" a="1"/>
  <c r="BD4" i="44" s="1"/>
  <c r="BJ4" i="44" a="1"/>
  <c r="BJ4" i="44" s="1"/>
  <c r="BF4" i="44" a="1"/>
  <c r="BF4" i="44" s="1"/>
  <c r="BK4" i="44" a="1"/>
  <c r="BK4" i="44" s="1"/>
  <c r="BB4" i="44" a="1"/>
  <c r="BB4" i="44" s="1"/>
  <c r="BH4" i="44" a="1"/>
  <c r="BH4" i="44" s="1"/>
  <c r="BL4" i="44" a="1"/>
  <c r="BL4" i="44" s="1"/>
  <c r="V2" i="42" a="1"/>
  <c r="V2" i="42" s="1"/>
  <c r="X2" i="42" a="1"/>
  <c r="X2" i="42" s="1"/>
  <c r="R2" i="42" a="1"/>
  <c r="R2" i="42" s="1"/>
  <c r="Q2" i="42" a="1"/>
  <c r="Q2" i="42" s="1"/>
  <c r="AA2" i="42" a="1"/>
  <c r="AA2" i="42" s="1"/>
  <c r="U2" i="42" a="1"/>
  <c r="U2" i="42" s="1"/>
  <c r="Y2" i="42" a="1"/>
  <c r="Y2" i="42" s="1"/>
  <c r="Z2" i="42" a="1"/>
  <c r="Z2" i="42" s="1"/>
  <c r="T2" i="42" a="1"/>
  <c r="T2" i="42" s="1"/>
  <c r="W2" i="42" a="1"/>
  <c r="W2" i="42" s="1"/>
  <c r="S2" i="42" a="1"/>
  <c r="S2" i="42" s="1"/>
  <c r="BL5" i="44" a="1"/>
  <c r="BL5" i="44" s="1"/>
  <c r="BI5" i="44" a="1"/>
  <c r="BI5" i="44" s="1"/>
  <c r="BK5" i="44" a="1"/>
  <c r="BK5" i="44" s="1"/>
  <c r="BF5" i="44" a="1"/>
  <c r="BF5" i="44" s="1"/>
  <c r="BD5" i="44" a="1"/>
  <c r="BD5" i="44" s="1"/>
  <c r="BJ5" i="44" a="1"/>
  <c r="BJ5" i="44" s="1"/>
  <c r="BH5" i="44" a="1"/>
  <c r="BH5" i="44" s="1"/>
  <c r="BE5" i="44" a="1"/>
  <c r="BE5" i="44" s="1"/>
  <c r="BC5" i="44" a="1"/>
  <c r="BC5" i="44" s="1"/>
  <c r="BG5" i="44" a="1"/>
  <c r="BG5" i="44" s="1"/>
  <c r="BB5" i="44" a="1"/>
  <c r="BB5" i="44" s="1"/>
  <c r="Q3" i="42" a="1"/>
  <c r="Q3" i="42" s="1"/>
  <c r="Z3" i="42" a="1"/>
  <c r="Z3" i="42" s="1"/>
  <c r="U3" i="42" a="1"/>
  <c r="U3" i="42" s="1"/>
  <c r="Y3" i="42" a="1"/>
  <c r="Y3" i="42" s="1"/>
  <c r="T3" i="42" a="1"/>
  <c r="T3" i="42" s="1"/>
  <c r="W3" i="42" a="1"/>
  <c r="W3" i="42" s="1"/>
  <c r="S3" i="42" a="1"/>
  <c r="S3" i="42" s="1"/>
  <c r="V3" i="42" a="1"/>
  <c r="V3" i="42" s="1"/>
  <c r="X3" i="42" a="1"/>
  <c r="X3" i="42" s="1"/>
  <c r="R3" i="42" a="1"/>
  <c r="R3" i="42" s="1"/>
  <c r="AA3" i="42" a="1"/>
  <c r="AA3" i="42" s="1"/>
  <c r="BJ3" i="44" a="1"/>
  <c r="BJ3" i="44" s="1"/>
  <c r="BL3" i="44" a="1"/>
  <c r="BL3" i="44" s="1"/>
  <c r="BH3" i="44" a="1"/>
  <c r="BH3" i="44" s="1"/>
  <c r="BC3" i="44" a="1"/>
  <c r="BC3" i="44" s="1"/>
  <c r="BB3" i="44" a="1"/>
  <c r="BB3" i="44" s="1"/>
  <c r="BI3" i="44" a="1"/>
  <c r="BI3" i="44" s="1"/>
  <c r="BD3" i="44" a="1"/>
  <c r="BD3" i="44" s="1"/>
  <c r="BG3" i="44" a="1"/>
  <c r="BG3" i="44" s="1"/>
  <c r="BE3" i="44" a="1"/>
  <c r="BE3" i="44" s="1"/>
  <c r="BF3" i="44" a="1"/>
  <c r="BF3" i="44" s="1"/>
  <c r="BK3" i="44" a="1"/>
  <c r="BK3" i="44" s="1"/>
  <c r="S4" i="42" a="1"/>
  <c r="S4" i="42" s="1"/>
  <c r="U4" i="42" a="1"/>
  <c r="U4" i="42" s="1"/>
  <c r="Y4" i="42" a="1"/>
  <c r="Y4" i="42" s="1"/>
  <c r="R4" i="42" a="1"/>
  <c r="R4" i="42" s="1"/>
  <c r="W4" i="42" a="1"/>
  <c r="W4" i="42" s="1"/>
  <c r="Z4" i="42" a="1"/>
  <c r="Z4" i="42" s="1"/>
  <c r="Q4" i="42" a="1"/>
  <c r="Q4" i="42" s="1"/>
  <c r="AA4" i="42" a="1"/>
  <c r="AA4" i="42" s="1"/>
  <c r="T4" i="42" a="1"/>
  <c r="T4" i="42" s="1"/>
  <c r="V4" i="42" a="1"/>
  <c r="V4" i="42" s="1"/>
  <c r="X4" i="42" a="1"/>
  <c r="X4" i="42" s="1"/>
  <c r="BY2" i="44" a="1"/>
  <c r="BY2" i="44" s="1"/>
  <c r="W5" i="42" a="1"/>
  <c r="W5" i="42" s="1"/>
  <c r="Z5" i="42" a="1"/>
  <c r="Z5" i="42" s="1"/>
  <c r="Q5" i="42" a="1"/>
  <c r="Q5" i="42" s="1"/>
  <c r="Y5" i="42" a="1"/>
  <c r="Y5" i="42" s="1"/>
  <c r="S5" i="42" a="1"/>
  <c r="S5" i="42" s="1"/>
  <c r="V5" i="42" a="1"/>
  <c r="V5" i="42" s="1"/>
  <c r="U5" i="42" a="1"/>
  <c r="U5" i="42" s="1"/>
  <c r="X5" i="42" a="1"/>
  <c r="X5" i="42" s="1"/>
  <c r="T5" i="42" a="1"/>
  <c r="T5" i="42" s="1"/>
  <c r="R5" i="42" a="1"/>
  <c r="R5" i="42" s="1"/>
  <c r="AA5" i="42" a="1"/>
  <c r="AA5" i="42" s="1"/>
  <c r="BF6" i="44" a="1"/>
  <c r="BF6" i="44" s="1"/>
  <c r="BE6" i="44" a="1"/>
  <c r="BE6" i="44" s="1"/>
  <c r="BL6" i="44" a="1"/>
  <c r="BL6" i="44" s="1"/>
  <c r="BB6" i="44" a="1"/>
  <c r="BB6" i="44" s="1"/>
  <c r="BK6" i="44" a="1"/>
  <c r="BK6" i="44" s="1"/>
  <c r="BI6" i="44" a="1"/>
  <c r="BI6" i="44" s="1"/>
  <c r="BG6" i="44" a="1"/>
  <c r="BG6" i="44" s="1"/>
  <c r="BH6" i="44" a="1"/>
  <c r="BH6" i="44" s="1"/>
  <c r="BD6" i="44" a="1"/>
  <c r="BD6" i="44" s="1"/>
  <c r="BJ6" i="44" a="1"/>
  <c r="BJ6" i="44" s="1"/>
  <c r="BC6" i="44" a="1"/>
  <c r="BC6" i="44" s="1"/>
  <c r="EF10" i="41"/>
  <c r="EH10" i="41" s="1"/>
  <c r="EJ10" i="41" s="1" a="1"/>
  <c r="EJ10" i="41" s="1"/>
  <c r="EN10" i="41" s="1"/>
  <c r="EO10" i="41"/>
  <c r="EQ10" i="41"/>
  <c r="ED4" i="41" a="1"/>
  <c r="ED4" i="41" s="1"/>
  <c r="DV4" i="41" a="1"/>
  <c r="DV4" i="41" s="1"/>
  <c r="ER2" i="41" a="1"/>
  <c r="ER2" i="41" s="1"/>
  <c r="DU4" i="41" a="1"/>
  <c r="DU4" i="41" s="1"/>
  <c r="EA4" i="41" a="1"/>
  <c r="EA4" i="41" s="1"/>
  <c r="DY4" i="41" a="1"/>
  <c r="DY4" i="41" s="1"/>
  <c r="DX4" i="41" a="1"/>
  <c r="DX4" i="41" s="1"/>
  <c r="EC4" i="41" a="1"/>
  <c r="EC4" i="41" s="1"/>
  <c r="DW4" i="41" a="1"/>
  <c r="DW4" i="41" s="1"/>
  <c r="DZ4" i="41" a="1"/>
  <c r="DZ4" i="41" s="1"/>
  <c r="EE4" i="41" a="1"/>
  <c r="EE4" i="41" s="1"/>
  <c r="EF9" i="41"/>
  <c r="EH9" i="41" s="1"/>
  <c r="EJ9" i="41" s="1" a="1"/>
  <c r="EJ9" i="41" s="1"/>
  <c r="EN9" i="41" s="1"/>
  <c r="EO9" i="41"/>
  <c r="EQ9" i="41"/>
  <c r="BB9" i="43"/>
  <c r="AW11" i="37"/>
  <c r="AJ7" i="37" a="1"/>
  <c r="AJ7" i="37" s="1"/>
  <c r="AL7" i="37" a="1"/>
  <c r="AL7" i="37" s="1"/>
  <c r="AU7" i="37" a="1"/>
  <c r="AU7" i="37" s="1"/>
  <c r="H126" i="37"/>
  <c r="AT7" i="37" a="1"/>
  <c r="AT7" i="37" s="1"/>
  <c r="H7" i="41"/>
  <c r="AV7" i="37" a="1"/>
  <c r="AV7" i="37" s="1"/>
  <c r="AN7" i="37" a="1"/>
  <c r="AN7" i="37" s="1"/>
  <c r="AQ7" i="37" a="1"/>
  <c r="AQ7" i="37" s="1"/>
  <c r="AK7" i="37" a="1"/>
  <c r="AK7" i="37" s="1"/>
  <c r="AR7" i="37" a="1"/>
  <c r="AR7" i="37" s="1"/>
  <c r="AM7" i="37" a="1"/>
  <c r="AM7" i="37" s="1"/>
  <c r="AO7" i="37" a="1"/>
  <c r="AO7" i="37" s="1"/>
  <c r="BG11" i="41"/>
  <c r="AP7" i="37" a="1"/>
  <c r="AP7" i="37" s="1"/>
  <c r="AY11" i="37"/>
  <c r="CR10" i="37"/>
  <c r="CT10" i="37"/>
  <c r="BE11" i="41"/>
  <c r="BE3" i="41"/>
  <c r="CR20" i="37"/>
  <c r="CG7" i="37" a="1"/>
  <c r="CG7" i="37" s="1"/>
  <c r="CP7" i="37" a="1"/>
  <c r="CP7" i="37" s="1"/>
  <c r="CQ7" i="37" a="1"/>
  <c r="CQ7" i="37" s="1"/>
  <c r="CJ7" i="37" a="1"/>
  <c r="CJ7" i="37" s="1"/>
  <c r="CO7" i="37" a="1"/>
  <c r="CO7" i="37" s="1"/>
  <c r="CK7" i="37" a="1"/>
  <c r="CK7" i="37" s="1"/>
  <c r="CL7" i="37" a="1"/>
  <c r="CL7" i="37" s="1"/>
  <c r="CE7" i="37" a="1"/>
  <c r="CE7" i="37" s="1"/>
  <c r="CI7" i="37" a="1"/>
  <c r="CI7" i="37" s="1"/>
  <c r="CN7" i="37" a="1"/>
  <c r="CN7" i="37" s="1"/>
  <c r="CH7" i="37" a="1"/>
  <c r="CH7" i="37" s="1"/>
  <c r="CF7" i="37" a="1"/>
  <c r="CF7" i="37" s="1"/>
  <c r="CM7" i="37" a="1"/>
  <c r="CM7" i="37" s="1"/>
  <c r="H8" i="37"/>
  <c r="AV3" i="41"/>
  <c r="AV11" i="41"/>
  <c r="BG3" i="41"/>
  <c r="CT20" i="37"/>
  <c r="BK6" i="42" a="1"/>
  <c r="BK6" i="42" s="1"/>
  <c r="BF6" i="42" a="1"/>
  <c r="BF6" i="42" s="1"/>
  <c r="BJ6" i="42" a="1"/>
  <c r="BJ6" i="42" s="1"/>
  <c r="BI6" i="42" a="1"/>
  <c r="BI6" i="42" s="1"/>
  <c r="BN6" i="42" a="1"/>
  <c r="BN6" i="42" s="1"/>
  <c r="BD6" i="42" a="1"/>
  <c r="BD6" i="42" s="1"/>
  <c r="BG6" i="42" a="1"/>
  <c r="BG6" i="42" s="1"/>
  <c r="BK8" i="42" a="1"/>
  <c r="BK8" i="42" s="1"/>
  <c r="BF8" i="42" a="1"/>
  <c r="BF8" i="42" s="1"/>
  <c r="BI8" i="42" a="1"/>
  <c r="BI8" i="42" s="1"/>
  <c r="BG8" i="42" a="1"/>
  <c r="BG8" i="42" s="1"/>
  <c r="BN8" i="42" a="1"/>
  <c r="BN8" i="42" s="1"/>
  <c r="BD8" i="42" a="1"/>
  <c r="BD8" i="42" s="1"/>
  <c r="BJ8" i="42" a="1"/>
  <c r="BJ8" i="42" s="1"/>
  <c r="AV12" i="41"/>
  <c r="BE12" i="41"/>
  <c r="H6" i="41"/>
  <c r="AW3" i="37"/>
  <c r="H126" i="41"/>
  <c r="CT3" i="37"/>
  <c r="CR3" i="37"/>
  <c r="BG4" i="41"/>
  <c r="AY3" i="37"/>
  <c r="AR7" i="43" a="1"/>
  <c r="AR7" i="43" s="1"/>
  <c r="AO7" i="43" a="1"/>
  <c r="AO7" i="43" s="1"/>
  <c r="AK7" i="43" a="1"/>
  <c r="AK7" i="43" s="1"/>
  <c r="AP7" i="43" a="1"/>
  <c r="AP7" i="43" s="1"/>
  <c r="AJ7" i="43" a="1"/>
  <c r="AJ7" i="43" s="1"/>
  <c r="AN7" i="43" a="1"/>
  <c r="AN7" i="43" s="1"/>
  <c r="AQ7" i="43" a="1"/>
  <c r="AQ7" i="43" s="1"/>
  <c r="AL7" i="43" a="1"/>
  <c r="AL7" i="43" s="1"/>
  <c r="AM7" i="43" a="1"/>
  <c r="AM7" i="43" s="1"/>
  <c r="H6" i="37"/>
  <c r="BE4" i="41"/>
  <c r="AV4" i="41"/>
  <c r="AW4" i="41" s="1"/>
  <c r="AY4" i="41" s="1" a="1"/>
  <c r="AY4" i="41" s="1"/>
  <c r="AM8" i="37" a="1"/>
  <c r="AM8" i="37" s="1"/>
  <c r="AL8" i="37" a="1"/>
  <c r="AL8" i="37" s="1"/>
  <c r="AV8" i="37" a="1"/>
  <c r="AV8" i="37" s="1"/>
  <c r="AS8" i="37" a="1"/>
  <c r="AS8" i="37" s="1"/>
  <c r="AU8" i="37" a="1"/>
  <c r="AU8" i="37" s="1"/>
  <c r="AR8" i="37" a="1"/>
  <c r="AR8" i="37" s="1"/>
  <c r="AJ8" i="37" a="1"/>
  <c r="AJ8" i="37" s="1"/>
  <c r="AP8" i="37" a="1"/>
  <c r="AP8" i="37" s="1"/>
  <c r="AT8" i="37" a="1"/>
  <c r="AT8" i="37" s="1"/>
  <c r="AQ8" i="37" a="1"/>
  <c r="AQ8" i="37" s="1"/>
  <c r="AN8" i="37" a="1"/>
  <c r="AN8" i="37" s="1"/>
  <c r="AK8" i="37" a="1"/>
  <c r="AK8" i="37" s="1"/>
  <c r="AO8" i="37" a="1"/>
  <c r="AO8" i="37" s="1"/>
  <c r="CM4" i="41" a="1"/>
  <c r="CM4" i="41" s="1"/>
  <c r="CE4" i="41" a="1"/>
  <c r="CE4" i="41" s="1"/>
  <c r="CK4" i="41" a="1"/>
  <c r="CK4" i="41" s="1"/>
  <c r="CL4" i="41" a="1"/>
  <c r="CL4" i="41" s="1"/>
  <c r="CJ4" i="41" a="1"/>
  <c r="CJ4" i="41" s="1"/>
  <c r="CF4" i="41" a="1"/>
  <c r="CF4" i="41" s="1"/>
  <c r="CI4" i="41" a="1"/>
  <c r="CI4" i="41" s="1"/>
  <c r="CH4" i="41" a="1"/>
  <c r="CH4" i="41" s="1"/>
  <c r="CN4" i="41" a="1"/>
  <c r="CN4" i="41" s="1"/>
  <c r="CG4" i="41" a="1"/>
  <c r="CG4" i="41" s="1"/>
  <c r="CD4" i="41" a="1"/>
  <c r="CD4" i="41" s="1"/>
  <c r="AK7" i="41" a="1"/>
  <c r="AK7" i="41" s="1"/>
  <c r="AT7" i="41" a="1"/>
  <c r="AT7" i="41" s="1"/>
  <c r="AQ7" i="41" a="1"/>
  <c r="AQ7" i="41" s="1"/>
  <c r="AM7" i="41" a="1"/>
  <c r="AM7" i="41" s="1"/>
  <c r="AN7" i="41" a="1"/>
  <c r="AN7" i="41" s="1"/>
  <c r="AR7" i="41" a="1"/>
  <c r="AR7" i="41" s="1"/>
  <c r="AS7" i="41" a="1"/>
  <c r="AS7" i="41" s="1"/>
  <c r="AL7" i="41" a="1"/>
  <c r="AL7" i="41" s="1"/>
  <c r="AP7" i="41" a="1"/>
  <c r="AP7" i="41" s="1"/>
  <c r="AU7" i="41" a="1"/>
  <c r="AU7" i="41" s="1"/>
  <c r="AO7" i="41" a="1"/>
  <c r="AO7" i="41" s="1"/>
  <c r="CG5" i="41" a="1"/>
  <c r="CG5" i="41" s="1"/>
  <c r="CD5" i="41" a="1"/>
  <c r="CD5" i="41" s="1"/>
  <c r="CM5" i="41" a="1"/>
  <c r="CM5" i="41" s="1"/>
  <c r="CI5" i="41" a="1"/>
  <c r="CI5" i="41" s="1"/>
  <c r="CL5" i="41" a="1"/>
  <c r="CL5" i="41" s="1"/>
  <c r="CF5" i="41" a="1"/>
  <c r="CF5" i="41" s="1"/>
  <c r="CJ5" i="41" a="1"/>
  <c r="CJ5" i="41" s="1"/>
  <c r="CE5" i="41" a="1"/>
  <c r="CE5" i="41" s="1"/>
  <c r="CK5" i="41" a="1"/>
  <c r="CK5" i="41" s="1"/>
  <c r="CH5" i="41" a="1"/>
  <c r="CH5" i="41" s="1"/>
  <c r="CN5" i="41" a="1"/>
  <c r="CN5" i="41" s="1"/>
  <c r="AN6" i="37" a="1"/>
  <c r="AN6" i="37" s="1"/>
  <c r="AM6" i="37" a="1"/>
  <c r="AM6" i="37" s="1"/>
  <c r="AQ6" i="37" a="1"/>
  <c r="AQ6" i="37" s="1"/>
  <c r="AL6" i="37" a="1"/>
  <c r="AL6" i="37" s="1"/>
  <c r="AK6" i="37" a="1"/>
  <c r="AK6" i="37" s="1"/>
  <c r="AR6" i="37" a="1"/>
  <c r="AR6" i="37" s="1"/>
  <c r="AV6" i="37" a="1"/>
  <c r="AV6" i="37" s="1"/>
  <c r="AU6" i="37" a="1"/>
  <c r="AU6" i="37" s="1"/>
  <c r="AO6" i="37" a="1"/>
  <c r="AO6" i="37" s="1"/>
  <c r="AS6" i="37" a="1"/>
  <c r="AS6" i="37" s="1"/>
  <c r="AJ6" i="37" a="1"/>
  <c r="AJ6" i="37" s="1"/>
  <c r="AP6" i="37" a="1"/>
  <c r="AP6" i="37" s="1"/>
  <c r="AT6" i="37" a="1"/>
  <c r="AT6" i="37" s="1"/>
  <c r="AK8" i="41" a="1"/>
  <c r="AK8" i="41" s="1"/>
  <c r="AN8" i="41" a="1"/>
  <c r="AN8" i="41" s="1"/>
  <c r="AU8" i="41" a="1"/>
  <c r="AU8" i="41" s="1"/>
  <c r="AS8" i="41" a="1"/>
  <c r="AS8" i="41" s="1"/>
  <c r="AO8" i="41" a="1"/>
  <c r="AO8" i="41" s="1"/>
  <c r="AL8" i="41" a="1"/>
  <c r="AL8" i="41" s="1"/>
  <c r="AP8" i="41" a="1"/>
  <c r="AP8" i="41" s="1"/>
  <c r="AQ8" i="41" a="1"/>
  <c r="AQ8" i="41" s="1"/>
  <c r="AM8" i="41" a="1"/>
  <c r="AM8" i="41" s="1"/>
  <c r="AT8" i="41" a="1"/>
  <c r="AT8" i="41" s="1"/>
  <c r="AR8" i="41" a="1"/>
  <c r="AR8" i="41" s="1"/>
  <c r="CL6" i="37" a="1"/>
  <c r="CL6" i="37" s="1"/>
  <c r="CH6" i="37" a="1"/>
  <c r="CH6" i="37" s="1"/>
  <c r="CF6" i="37" a="1"/>
  <c r="CF6" i="37" s="1"/>
  <c r="CN6" i="37" a="1"/>
  <c r="CN6" i="37" s="1"/>
  <c r="CP6" i="37" a="1"/>
  <c r="CP6" i="37" s="1"/>
  <c r="CJ6" i="37" a="1"/>
  <c r="CJ6" i="37" s="1"/>
  <c r="CK6" i="37" a="1"/>
  <c r="CK6" i="37" s="1"/>
  <c r="CO6" i="37" a="1"/>
  <c r="CO6" i="37" s="1"/>
  <c r="CI6" i="37" a="1"/>
  <c r="CI6" i="37" s="1"/>
  <c r="CM6" i="37" a="1"/>
  <c r="CM6" i="37" s="1"/>
  <c r="CG6" i="37" a="1"/>
  <c r="CG6" i="37" s="1"/>
  <c r="CQ6" i="37" a="1"/>
  <c r="CQ6" i="37" s="1"/>
  <c r="CE6" i="37" a="1"/>
  <c r="CE6" i="37" s="1"/>
  <c r="H8" i="41"/>
  <c r="CK3" i="41" a="1"/>
  <c r="CK3" i="41" s="1"/>
  <c r="CJ3" i="41" a="1"/>
  <c r="CJ3" i="41" s="1"/>
  <c r="CE3" i="41" a="1"/>
  <c r="CE3" i="41" s="1"/>
  <c r="CN3" i="41" a="1"/>
  <c r="CN3" i="41" s="1"/>
  <c r="CH3" i="41" a="1"/>
  <c r="CH3" i="41" s="1"/>
  <c r="CI3" i="41" a="1"/>
  <c r="CI3" i="41" s="1"/>
  <c r="CM3" i="41" a="1"/>
  <c r="CM3" i="41" s="1"/>
  <c r="CG3" i="41" a="1"/>
  <c r="CG3" i="41" s="1"/>
  <c r="CD3" i="41" a="1"/>
  <c r="CD3" i="41" s="1"/>
  <c r="CL3" i="41" a="1"/>
  <c r="CL3" i="41" s="1"/>
  <c r="CF3" i="41" a="1"/>
  <c r="CF3" i="41" s="1"/>
  <c r="AM6" i="41" a="1"/>
  <c r="AM6" i="41" s="1"/>
  <c r="AU6" i="41" a="1"/>
  <c r="AU6" i="41" s="1"/>
  <c r="AQ6" i="41" a="1"/>
  <c r="AQ6" i="41" s="1"/>
  <c r="AT6" i="41" a="1"/>
  <c r="AT6" i="41" s="1"/>
  <c r="AR6" i="41" a="1"/>
  <c r="AR6" i="41" s="1"/>
  <c r="AK6" i="41" a="1"/>
  <c r="AK6" i="41" s="1"/>
  <c r="AP6" i="41" a="1"/>
  <c r="AP6" i="41" s="1"/>
  <c r="AL6" i="41" a="1"/>
  <c r="AL6" i="41" s="1"/>
  <c r="AO6" i="41" a="1"/>
  <c r="AO6" i="41" s="1"/>
  <c r="AS6" i="41" a="1"/>
  <c r="AS6" i="41" s="1"/>
  <c r="AN6" i="41" a="1"/>
  <c r="AN6" i="41" s="1"/>
  <c r="CF8" i="37" a="1"/>
  <c r="CF8" i="37" s="1"/>
  <c r="CK8" i="37" a="1"/>
  <c r="CK8" i="37" s="1"/>
  <c r="CO8" i="37" a="1"/>
  <c r="CO8" i="37" s="1"/>
  <c r="CQ8" i="37" a="1"/>
  <c r="CQ8" i="37" s="1"/>
  <c r="CI8" i="37" a="1"/>
  <c r="CI8" i="37" s="1"/>
  <c r="CN8" i="37" a="1"/>
  <c r="CN8" i="37" s="1"/>
  <c r="CH8" i="37" a="1"/>
  <c r="CH8" i="37" s="1"/>
  <c r="CM8" i="37" a="1"/>
  <c r="CM8" i="37" s="1"/>
  <c r="CJ8" i="37" a="1"/>
  <c r="CJ8" i="37" s="1"/>
  <c r="CE8" i="37" a="1"/>
  <c r="CE8" i="37" s="1"/>
  <c r="CG8" i="37" a="1"/>
  <c r="CG8" i="37" s="1"/>
  <c r="CL8" i="37" a="1"/>
  <c r="CL8" i="37" s="1"/>
  <c r="CP8" i="37" a="1"/>
  <c r="CP8" i="37" s="1"/>
  <c r="H5" i="41"/>
  <c r="EH5" i="41"/>
  <c r="EH2" i="41"/>
  <c r="EG8" i="41"/>
  <c r="EG3" i="41"/>
  <c r="AV5" i="37" a="1"/>
  <c r="AV5" i="37" s="1"/>
  <c r="AM5" i="37" a="1"/>
  <c r="AM5" i="37" s="1"/>
  <c r="AU5" i="37" a="1"/>
  <c r="AU5" i="37" s="1"/>
  <c r="AL5" i="37" a="1"/>
  <c r="AL5" i="37" s="1"/>
  <c r="AT5" i="37" a="1"/>
  <c r="AT5" i="37" s="1"/>
  <c r="AK5" i="37" a="1"/>
  <c r="AK5" i="37" s="1"/>
  <c r="AS5" i="37" a="1"/>
  <c r="AS5" i="37" s="1"/>
  <c r="AO5" i="37" a="1"/>
  <c r="AO5" i="37" s="1"/>
  <c r="AJ5" i="37" a="1"/>
  <c r="AJ5" i="37" s="1"/>
  <c r="AR5" i="37" a="1"/>
  <c r="AR5" i="37" s="1"/>
  <c r="AQ5" i="37" a="1"/>
  <c r="AQ5" i="37" s="1"/>
  <c r="AP5" i="37" a="1"/>
  <c r="AP5" i="37" s="1"/>
  <c r="AN5" i="37" a="1"/>
  <c r="AN5" i="37" s="1"/>
  <c r="EI2" i="37" a="1"/>
  <c r="EI2" i="37" s="1"/>
  <c r="BA2" i="37" a="1"/>
  <c r="BA2" i="37" s="1"/>
  <c r="EH2" i="37" a="1"/>
  <c r="EH2" i="37" s="1"/>
  <c r="AZ2" i="37" a="1"/>
  <c r="AZ2" i="37" s="1"/>
  <c r="EH6" i="41"/>
  <c r="CK2" i="41" a="1"/>
  <c r="CK2" i="41" s="1"/>
  <c r="CE2" i="41" a="1"/>
  <c r="CE2" i="41" s="1"/>
  <c r="DB2" i="41" a="1"/>
  <c r="DB2" i="41" s="1"/>
  <c r="CJ2" i="41" a="1"/>
  <c r="CJ2" i="41" s="1"/>
  <c r="CD2" i="41" a="1"/>
  <c r="CD2" i="41" s="1"/>
  <c r="DA2" i="41" a="1"/>
  <c r="DA2" i="41" s="1"/>
  <c r="CI2" i="41" a="1"/>
  <c r="CI2" i="41" s="1"/>
  <c r="CN2" i="41" a="1"/>
  <c r="CN2" i="41" s="1"/>
  <c r="CH2" i="41" a="1"/>
  <c r="CH2" i="41" s="1"/>
  <c r="CM2" i="41" a="1"/>
  <c r="CM2" i="41" s="1"/>
  <c r="CG2" i="41" a="1"/>
  <c r="CG2" i="41" s="1"/>
  <c r="CL2" i="41" a="1"/>
  <c r="CL2" i="41" s="1"/>
  <c r="CF2" i="41" a="1"/>
  <c r="CF2" i="41" s="1"/>
  <c r="AS5" i="41" a="1"/>
  <c r="AS5" i="41" s="1"/>
  <c r="AM5" i="41" a="1"/>
  <c r="AM5" i="41" s="1"/>
  <c r="AU5" i="41" a="1"/>
  <c r="AU5" i="41" s="1"/>
  <c r="AN5" i="41" a="1"/>
  <c r="AN5" i="41" s="1"/>
  <c r="AT5" i="41" a="1"/>
  <c r="AT5" i="41" s="1"/>
  <c r="AL5" i="41" a="1"/>
  <c r="AL5" i="41" s="1"/>
  <c r="AR5" i="41" a="1"/>
  <c r="AR5" i="41" s="1"/>
  <c r="AK5" i="41" a="1"/>
  <c r="AK5" i="41" s="1"/>
  <c r="AQ5" i="41" a="1"/>
  <c r="AQ5" i="41" s="1"/>
  <c r="BH2" i="41" a="1"/>
  <c r="BH2" i="41" s="1"/>
  <c r="AO5" i="41" a="1"/>
  <c r="AO5" i="41" s="1"/>
  <c r="AP5" i="41" a="1"/>
  <c r="AP5" i="41" s="1"/>
  <c r="BI2" i="41" a="1"/>
  <c r="H125" i="37"/>
  <c r="CL5" i="37" a="1"/>
  <c r="CL5" i="37" s="1"/>
  <c r="CF5" i="37" a="1"/>
  <c r="CF5" i="37" s="1"/>
  <c r="CQ5" i="37" a="1"/>
  <c r="CQ5" i="37" s="1"/>
  <c r="CK5" i="37" a="1"/>
  <c r="CK5" i="37" s="1"/>
  <c r="CE5" i="37" a="1"/>
  <c r="CE5" i="37" s="1"/>
  <c r="CO5" i="37" a="1"/>
  <c r="CO5" i="37" s="1"/>
  <c r="CI5" i="37" a="1"/>
  <c r="CI5" i="37" s="1"/>
  <c r="CN5" i="37" a="1"/>
  <c r="CN5" i="37" s="1"/>
  <c r="CH5" i="37" a="1"/>
  <c r="CH5" i="37" s="1"/>
  <c r="CJ5" i="37" a="1"/>
  <c r="CJ5" i="37" s="1"/>
  <c r="CM5" i="37" a="1"/>
  <c r="CM5" i="37" s="1"/>
  <c r="CP5" i="37" a="1"/>
  <c r="CP5" i="37" s="1"/>
  <c r="CG5" i="37" a="1"/>
  <c r="CG5" i="37" s="1"/>
  <c r="CU2" i="37" a="1"/>
  <c r="CU2" i="37" s="1"/>
  <c r="CV2" i="37" a="1"/>
  <c r="CV2" i="37" s="1"/>
  <c r="H125" i="41"/>
  <c r="H5" i="37"/>
  <c r="AO2" i="42" a="1"/>
  <c r="AN2" i="42" a="1"/>
  <c r="W8" i="42" l="1" a="1"/>
  <c r="W8" i="42" s="1"/>
  <c r="U8" i="42" a="1"/>
  <c r="U8" i="42" s="1"/>
  <c r="V8" i="42" a="1"/>
  <c r="V8" i="42" s="1"/>
  <c r="AA8" i="42" a="1"/>
  <c r="AA8" i="42" s="1"/>
  <c r="Y8" i="42" a="1"/>
  <c r="Y8" i="42" s="1"/>
  <c r="T8" i="42" a="1"/>
  <c r="T8" i="42" s="1"/>
  <c r="Q8" i="42" a="1"/>
  <c r="Q8" i="42" s="1"/>
  <c r="S8" i="42" a="1"/>
  <c r="S8" i="42" s="1"/>
  <c r="X8" i="42" a="1"/>
  <c r="X8" i="42" s="1"/>
  <c r="Z8" i="42" a="1"/>
  <c r="Z8" i="42" s="1"/>
  <c r="R8" i="42" a="1"/>
  <c r="R8" i="42" s="1"/>
  <c r="CA2" i="42" a="1"/>
  <c r="CT17" i="37"/>
  <c r="BG2" i="41"/>
  <c r="CT12" i="37"/>
  <c r="CR12" i="37"/>
  <c r="CR15" i="37"/>
  <c r="AL78" i="42"/>
  <c r="AM78" i="42"/>
  <c r="BE5" i="42" a="1"/>
  <c r="BE5" i="42" s="1"/>
  <c r="BM5" i="42" a="1"/>
  <c r="BM5" i="42" s="1"/>
  <c r="BH5" i="42" a="1"/>
  <c r="BH5" i="42" s="1"/>
  <c r="BL5" i="42" a="1"/>
  <c r="BL5" i="42" s="1"/>
  <c r="BK5" i="42" a="1"/>
  <c r="BK5" i="42" s="1"/>
  <c r="BJ5" i="42" a="1"/>
  <c r="BJ5" i="42" s="1"/>
  <c r="BG5" i="42" a="1"/>
  <c r="BG5" i="42" s="1"/>
  <c r="BD5" i="42" a="1"/>
  <c r="BD5" i="42" s="1"/>
  <c r="BN5" i="42" a="1"/>
  <c r="BN5" i="42" s="1"/>
  <c r="BI5" i="42" a="1"/>
  <c r="BI5" i="42" s="1"/>
  <c r="BF5" i="42" a="1"/>
  <c r="BF5" i="42" s="1"/>
  <c r="BL2" i="42" a="1"/>
  <c r="BL2" i="42" s="1"/>
  <c r="BM2" i="42" a="1"/>
  <c r="BM2" i="42" s="1"/>
  <c r="BH2" i="42" a="1"/>
  <c r="BH2" i="42" s="1"/>
  <c r="BK2" i="42" a="1"/>
  <c r="BK2" i="42" s="1"/>
  <c r="BF2" i="42" a="1"/>
  <c r="BF2" i="42" s="1"/>
  <c r="BN2" i="42" a="1"/>
  <c r="BN2" i="42" s="1"/>
  <c r="BG2" i="42" a="1"/>
  <c r="BG2" i="42" s="1"/>
  <c r="CB2" i="42" a="1"/>
  <c r="CB2" i="42" s="1"/>
  <c r="BE2" i="42" a="1"/>
  <c r="BE2" i="42" s="1"/>
  <c r="AG72" i="42"/>
  <c r="BL4" i="42" a="1"/>
  <c r="BL4" i="42" s="1"/>
  <c r="BH4" i="42" a="1"/>
  <c r="BH4" i="42" s="1"/>
  <c r="BM4" i="42" a="1"/>
  <c r="BM4" i="42" s="1"/>
  <c r="BE4" i="42" a="1"/>
  <c r="BE4" i="42" s="1"/>
  <c r="BI4" i="42" a="1"/>
  <c r="BI4" i="42" s="1"/>
  <c r="BN4" i="42" a="1"/>
  <c r="BN4" i="42" s="1"/>
  <c r="BD4" i="42" a="1"/>
  <c r="BD4" i="42" s="1"/>
  <c r="BG4" i="42" a="1"/>
  <c r="BG4" i="42" s="1"/>
  <c r="BJ4" i="42" a="1"/>
  <c r="BJ4" i="42" s="1"/>
  <c r="BK4" i="42" a="1"/>
  <c r="BK4" i="42" s="1"/>
  <c r="BF4" i="42" a="1"/>
  <c r="BF4" i="42" s="1"/>
  <c r="BL7" i="42" a="1"/>
  <c r="BL7" i="42" s="1"/>
  <c r="BD7" i="42" a="1"/>
  <c r="BD7" i="42" s="1"/>
  <c r="BG7" i="42" a="1"/>
  <c r="BG7" i="42" s="1"/>
  <c r="BJ7" i="42" a="1"/>
  <c r="BJ7" i="42" s="1"/>
  <c r="BE7" i="42" a="1"/>
  <c r="BE7" i="42" s="1"/>
  <c r="BH7" i="42" a="1"/>
  <c r="BH7" i="42" s="1"/>
  <c r="BN7" i="42" a="1"/>
  <c r="BN7" i="42" s="1"/>
  <c r="BI7" i="42" a="1"/>
  <c r="BI7" i="42" s="1"/>
  <c r="BJ2" i="42" a="1"/>
  <c r="BJ2" i="42" s="1"/>
  <c r="BD2" i="42" a="1"/>
  <c r="BD2" i="42" s="1"/>
  <c r="AJ72" i="42"/>
  <c r="BM7" i="42" a="1"/>
  <c r="BM7" i="42" s="1"/>
  <c r="BK7" i="42" a="1"/>
  <c r="BK7" i="42" s="1"/>
  <c r="BF7" i="42" a="1"/>
  <c r="BF7" i="42" s="1"/>
  <c r="AE72" i="42"/>
  <c r="BI2" i="42" a="1"/>
  <c r="BI2" i="42" s="1"/>
  <c r="AN2" i="42"/>
  <c r="CA2" i="42"/>
  <c r="AO2" i="42"/>
  <c r="AM72" i="42"/>
  <c r="AL72" i="42"/>
  <c r="CT19" i="37"/>
  <c r="CR18" i="37"/>
  <c r="CU6" i="41"/>
  <c r="E22" i="43"/>
  <c r="AL5" i="43" a="1"/>
  <c r="AL5" i="43" s="1"/>
  <c r="AK5" i="43" a="1"/>
  <c r="AK5" i="43" s="1"/>
  <c r="AP5" i="43" a="1"/>
  <c r="AP5" i="43" s="1"/>
  <c r="AN5" i="43" a="1"/>
  <c r="AN5" i="43" s="1"/>
  <c r="AQ5" i="43" a="1"/>
  <c r="AQ5" i="43" s="1"/>
  <c r="AJ5" i="43" a="1"/>
  <c r="AJ5" i="43" s="1"/>
  <c r="AR5" i="43" a="1"/>
  <c r="AR5" i="43" s="1"/>
  <c r="AO5" i="43" a="1"/>
  <c r="AO5" i="43" s="1"/>
  <c r="AM5" i="43" a="1"/>
  <c r="AM5" i="43" s="1"/>
  <c r="AH5" i="43" a="1"/>
  <c r="AH5" i="43" s="1"/>
  <c r="AI5" i="43" a="1"/>
  <c r="AI5" i="43" s="1"/>
  <c r="F22" i="43"/>
  <c r="AK6" i="43" a="1"/>
  <c r="AK6" i="43" s="1"/>
  <c r="AP6" i="43" a="1"/>
  <c r="AP6" i="43" s="1"/>
  <c r="AN6" i="43" a="1"/>
  <c r="AN6" i="43" s="1"/>
  <c r="AJ6" i="43" a="1"/>
  <c r="AJ6" i="43" s="1"/>
  <c r="AQ6" i="43" a="1"/>
  <c r="AQ6" i="43" s="1"/>
  <c r="AR6" i="43" a="1"/>
  <c r="AR6" i="43" s="1"/>
  <c r="AO6" i="43" a="1"/>
  <c r="AO6" i="43" s="1"/>
  <c r="AL6" i="43" a="1"/>
  <c r="AL6" i="43" s="1"/>
  <c r="AM6" i="43" a="1"/>
  <c r="AM6" i="43" s="1"/>
  <c r="AI6" i="43" a="1"/>
  <c r="AI6" i="43" s="1"/>
  <c r="AH6" i="43" a="1"/>
  <c r="AH6" i="43" s="1"/>
  <c r="C22" i="43"/>
  <c r="BF2" i="43" a="1"/>
  <c r="BF2" i="43" s="1"/>
  <c r="AY10" i="37"/>
  <c r="CZ8" i="41"/>
  <c r="CR19" i="37"/>
  <c r="CT15" i="37"/>
  <c r="CZ13" i="41"/>
  <c r="AY2" i="37"/>
  <c r="CZ14" i="41"/>
  <c r="AW2" i="37"/>
  <c r="CT11" i="37"/>
  <c r="CT18" i="37"/>
  <c r="CX14" i="41"/>
  <c r="CZ9" i="41"/>
  <c r="CZ7" i="41"/>
  <c r="CT13" i="37"/>
  <c r="AW10" i="37"/>
  <c r="CZ12" i="41"/>
  <c r="AY4" i="37"/>
  <c r="AW4" i="37"/>
  <c r="CR13" i="37"/>
  <c r="CR2" i="37"/>
  <c r="CR16" i="37"/>
  <c r="AV2" i="41"/>
  <c r="CO14" i="41"/>
  <c r="CO7" i="41"/>
  <c r="CX7" i="41"/>
  <c r="CX6" i="41"/>
  <c r="CV6" i="41"/>
  <c r="CO6" i="41"/>
  <c r="CW6" i="41"/>
  <c r="CT6" i="41"/>
  <c r="CT8" i="41"/>
  <c r="CW8" i="41"/>
  <c r="CV8" i="41"/>
  <c r="CX8" i="41"/>
  <c r="BE9" i="41"/>
  <c r="AV9" i="41"/>
  <c r="BG9" i="41"/>
  <c r="CO9" i="41"/>
  <c r="CV9" i="41"/>
  <c r="CX9" i="41"/>
  <c r="CT9" i="41"/>
  <c r="CW9" i="41"/>
  <c r="CV13" i="41"/>
  <c r="CX13" i="41"/>
  <c r="CT13" i="41"/>
  <c r="CW13" i="41"/>
  <c r="CO12" i="41"/>
  <c r="CV12" i="41"/>
  <c r="CX12" i="41"/>
  <c r="CT12" i="41"/>
  <c r="CW12" i="41"/>
  <c r="H22" i="43"/>
  <c r="AR8" i="43" a="1"/>
  <c r="AR8" i="43" s="1"/>
  <c r="AM8" i="43" a="1"/>
  <c r="AM8" i="43" s="1"/>
  <c r="AQ8" i="43" a="1"/>
  <c r="AQ8" i="43" s="1"/>
  <c r="AI8" i="43" a="1"/>
  <c r="AI8" i="43" s="1"/>
  <c r="AH8" i="43" a="1"/>
  <c r="AH8" i="43" s="1"/>
  <c r="AP8" i="43" a="1"/>
  <c r="AP8" i="43" s="1"/>
  <c r="AN8" i="43" a="1"/>
  <c r="AN8" i="43" s="1"/>
  <c r="AJ8" i="43" a="1"/>
  <c r="AJ8" i="43" s="1"/>
  <c r="AK8" i="43" a="1"/>
  <c r="AK8" i="43" s="1"/>
  <c r="AL8" i="43" a="1"/>
  <c r="AL8" i="43" s="1"/>
  <c r="AO8" i="43" a="1"/>
  <c r="AO8" i="43" s="1"/>
  <c r="BE2" i="41"/>
  <c r="CV10" i="41"/>
  <c r="CX10" i="41"/>
  <c r="CT10" i="41"/>
  <c r="CW10" i="41"/>
  <c r="BE10" i="41"/>
  <c r="AV10" i="41"/>
  <c r="CR11" i="37"/>
  <c r="CT2" i="37"/>
  <c r="CT16" i="37"/>
  <c r="CZ6" i="41"/>
  <c r="CU8" i="41"/>
  <c r="CO8" i="41"/>
  <c r="CO13" i="41"/>
  <c r="BB2" i="43"/>
  <c r="CZ10" i="41"/>
  <c r="CO10" i="41"/>
  <c r="CU10" i="41"/>
  <c r="AM4" i="43" a="1"/>
  <c r="AM4" i="43" s="1"/>
  <c r="AH4" i="43" a="1"/>
  <c r="AH4" i="43" s="1"/>
  <c r="AI4" i="43" a="1"/>
  <c r="AI4" i="43" s="1"/>
  <c r="AK4" i="43" a="1"/>
  <c r="AK4" i="43" s="1"/>
  <c r="AP4" i="43" a="1"/>
  <c r="AP4" i="43" s="1"/>
  <c r="AL4" i="43" a="1"/>
  <c r="AL4" i="43" s="1"/>
  <c r="AN4" i="43" a="1"/>
  <c r="AN4" i="43" s="1"/>
  <c r="AQ4" i="43" a="1"/>
  <c r="AQ4" i="43" s="1"/>
  <c r="AJ4" i="43" a="1"/>
  <c r="AJ4" i="43" s="1"/>
  <c r="AR4" i="43" a="1"/>
  <c r="AR4" i="43" s="1"/>
  <c r="AO4" i="43" a="1"/>
  <c r="AO4" i="43" s="1"/>
  <c r="G22" i="43"/>
  <c r="AH7" i="43" a="1"/>
  <c r="AH7" i="43" s="1"/>
  <c r="AI7" i="43" a="1"/>
  <c r="AI7" i="43" s="1"/>
  <c r="AP3" i="43" a="1"/>
  <c r="AP3" i="43" s="1"/>
  <c r="AQ3" i="43" a="1"/>
  <c r="AQ3" i="43" s="1"/>
  <c r="AI3" i="43" a="1"/>
  <c r="AI3" i="43" s="1"/>
  <c r="AM3" i="43" a="1"/>
  <c r="AM3" i="43" s="1"/>
  <c r="AK3" i="43" a="1"/>
  <c r="AK3" i="43" s="1"/>
  <c r="AH3" i="43" a="1"/>
  <c r="AH3" i="43" s="1"/>
  <c r="AJ3" i="43" a="1"/>
  <c r="AJ3" i="43" s="1"/>
  <c r="AO3" i="43" a="1"/>
  <c r="AO3" i="43" s="1"/>
  <c r="AR3" i="43" a="1"/>
  <c r="AR3" i="43" s="1"/>
  <c r="AN3" i="43" a="1"/>
  <c r="AN3" i="43" s="1"/>
  <c r="AL3" i="43" a="1"/>
  <c r="AL3" i="43" s="1"/>
  <c r="J22" i="43"/>
  <c r="K22" i="43"/>
  <c r="EQ7" i="41"/>
  <c r="EF7" i="41"/>
  <c r="EG7" i="41" s="1"/>
  <c r="EI7" i="41" s="1" a="1"/>
  <c r="EI7" i="41" s="1"/>
  <c r="EL7" i="41" s="1"/>
  <c r="EO7" i="41"/>
  <c r="CV11" i="41"/>
  <c r="CQ11" i="41"/>
  <c r="CS11" i="41" s="1" a="1"/>
  <c r="CS11" i="41" s="1"/>
  <c r="CW11" i="41" s="1"/>
  <c r="CR4" i="37"/>
  <c r="CR14" i="37"/>
  <c r="CT14" i="37"/>
  <c r="CT4" i="37"/>
  <c r="BX4" i="44"/>
  <c r="BX5" i="44"/>
  <c r="BX6" i="44"/>
  <c r="AK4" i="42"/>
  <c r="BV4" i="44"/>
  <c r="AK11" i="42"/>
  <c r="AK5" i="42"/>
  <c r="BM3" i="44"/>
  <c r="BO3" i="44" s="1"/>
  <c r="BQ3" i="44" s="1" a="1"/>
  <c r="BQ3" i="44" s="1"/>
  <c r="BU3" i="44" s="1"/>
  <c r="AB7" i="42"/>
  <c r="AC7" i="42" s="1"/>
  <c r="BM4" i="44"/>
  <c r="AK3" i="42"/>
  <c r="AB6" i="42"/>
  <c r="AK12" i="42"/>
  <c r="BV5" i="44"/>
  <c r="AB10" i="42"/>
  <c r="AC10" i="42" s="1"/>
  <c r="AB4" i="42"/>
  <c r="BV3" i="44"/>
  <c r="AB3" i="42"/>
  <c r="AD3" i="42" s="1"/>
  <c r="AK7" i="42"/>
  <c r="BM6" i="44"/>
  <c r="AB5" i="42"/>
  <c r="AB12" i="42"/>
  <c r="AK10" i="42"/>
  <c r="BX3" i="44"/>
  <c r="AB11" i="42"/>
  <c r="AK6" i="42"/>
  <c r="AB9" i="42"/>
  <c r="AD9" i="42" s="1"/>
  <c r="AK9" i="42"/>
  <c r="BV6" i="44"/>
  <c r="BM5" i="44"/>
  <c r="AB2" i="42"/>
  <c r="AC2" i="42" s="1"/>
  <c r="AK2" i="42"/>
  <c r="EK10" i="41"/>
  <c r="EG10" i="41"/>
  <c r="EI10" i="41" s="1" a="1"/>
  <c r="EI10" i="41" s="1"/>
  <c r="EL10" i="41" s="1"/>
  <c r="EF4" i="41"/>
  <c r="EH4" i="41" s="1"/>
  <c r="EJ4" i="41" s="1" a="1"/>
  <c r="EJ4" i="41" s="1"/>
  <c r="EN4" i="41" s="1"/>
  <c r="EQ4" i="41"/>
  <c r="EO4" i="41"/>
  <c r="EG9" i="41"/>
  <c r="EI9" i="41" s="1" a="1"/>
  <c r="EI9" i="41" s="1"/>
  <c r="EL9" i="41" s="1"/>
  <c r="EK9" i="41"/>
  <c r="CT7" i="37"/>
  <c r="AW7" i="37"/>
  <c r="CR7" i="37"/>
  <c r="AY7" i="37"/>
  <c r="AW11" i="41"/>
  <c r="AY11" i="41" s="1" a="1"/>
  <c r="AY11" i="41" s="1"/>
  <c r="AX11" i="41"/>
  <c r="AZ11" i="41" s="1" a="1"/>
  <c r="AZ11" i="41" s="1"/>
  <c r="AW3" i="41"/>
  <c r="AY3" i="41" s="1" a="1"/>
  <c r="AY3" i="41" s="1"/>
  <c r="AX3" i="41"/>
  <c r="AZ3" i="41" s="1" a="1"/>
  <c r="AZ3" i="41" s="1"/>
  <c r="BZ8" i="42"/>
  <c r="BO8" i="42"/>
  <c r="BQ8" i="42" s="1"/>
  <c r="BX3" i="42"/>
  <c r="AW12" i="41"/>
  <c r="AY12" i="41" s="1" a="1"/>
  <c r="AY12" i="41" s="1"/>
  <c r="AX12" i="41"/>
  <c r="AZ12" i="41" s="1" a="1"/>
  <c r="AZ12" i="41" s="1"/>
  <c r="BX6" i="42"/>
  <c r="BX8" i="42"/>
  <c r="AX4" i="41"/>
  <c r="AZ4" i="41" s="1" a="1"/>
  <c r="AZ4" i="41" s="1"/>
  <c r="BB7" i="43"/>
  <c r="BG8" i="41"/>
  <c r="AW8" i="37"/>
  <c r="CR8" i="37"/>
  <c r="CZ5" i="41"/>
  <c r="AV8" i="41"/>
  <c r="AX8" i="41" s="1"/>
  <c r="AZ8" i="41" s="1" a="1"/>
  <c r="AZ8" i="41" s="1"/>
  <c r="BD8" i="41" s="1"/>
  <c r="BC4" i="41"/>
  <c r="BB4" i="41"/>
  <c r="CT6" i="37"/>
  <c r="AV7" i="41"/>
  <c r="AW7" i="41" s="1"/>
  <c r="AY7" i="41" s="1" a="1"/>
  <c r="AY7" i="41" s="1"/>
  <c r="BB7" i="41" s="1"/>
  <c r="BG6" i="41"/>
  <c r="CZ3" i="41"/>
  <c r="CO4" i="41"/>
  <c r="CQ4" i="41" s="1"/>
  <c r="CS4" i="41" s="1" a="1"/>
  <c r="CS4" i="41" s="1"/>
  <c r="AY8" i="37"/>
  <c r="CT8" i="37"/>
  <c r="CO5" i="41"/>
  <c r="CP5" i="41" s="1"/>
  <c r="CR5" i="41" s="1" a="1"/>
  <c r="CR5" i="41" s="1"/>
  <c r="CU5" i="41" s="1"/>
  <c r="BE7" i="41"/>
  <c r="CZ4" i="41"/>
  <c r="BE6" i="41"/>
  <c r="BE8" i="41"/>
  <c r="BG7" i="41"/>
  <c r="CR6" i="37"/>
  <c r="AW6" i="37"/>
  <c r="CX5" i="41"/>
  <c r="CX3" i="41"/>
  <c r="AY6" i="37"/>
  <c r="AV6" i="41"/>
  <c r="AW6" i="41" s="1"/>
  <c r="AY6" i="41" s="1" a="1"/>
  <c r="AY6" i="41" s="1"/>
  <c r="BC6" i="41" s="1"/>
  <c r="CO3" i="41"/>
  <c r="CP3" i="41" s="1"/>
  <c r="CR3" i="41" s="1" a="1"/>
  <c r="CR3" i="41" s="1"/>
  <c r="CV3" i="41" s="1"/>
  <c r="CX4" i="41"/>
  <c r="BI2" i="41"/>
  <c r="AM11" i="42"/>
  <c r="BG5" i="41"/>
  <c r="AM4" i="42"/>
  <c r="AM2" i="42"/>
  <c r="AM7" i="42"/>
  <c r="AW5" i="37"/>
  <c r="CR5" i="37"/>
  <c r="AM5" i="42"/>
  <c r="AM12" i="42"/>
  <c r="AM9" i="42"/>
  <c r="AV5" i="41"/>
  <c r="AX5" i="41" s="1"/>
  <c r="AZ5" i="41" s="1" a="1"/>
  <c r="AZ5" i="41" s="1"/>
  <c r="AM6" i="42"/>
  <c r="CZ2" i="41"/>
  <c r="AM3" i="42"/>
  <c r="CX2" i="41"/>
  <c r="AM10" i="42"/>
  <c r="AY5" i="37"/>
  <c r="CT5" i="37"/>
  <c r="BE5" i="41"/>
  <c r="CO2" i="41"/>
  <c r="CQ2" i="41" s="1"/>
  <c r="CS2" i="41" s="1" a="1"/>
  <c r="CS2" i="41" s="1"/>
  <c r="AM8" i="42" l="1"/>
  <c r="AB8" i="42"/>
  <c r="AK8" i="42"/>
  <c r="K24" i="43"/>
  <c r="J24" i="43"/>
  <c r="AM73" i="42"/>
  <c r="AL73" i="42"/>
  <c r="J23" i="43"/>
  <c r="K23" i="43"/>
  <c r="J21" i="43"/>
  <c r="K21" i="43"/>
  <c r="BX2" i="42"/>
  <c r="BX4" i="42"/>
  <c r="BX5" i="42"/>
  <c r="BX7" i="42"/>
  <c r="AL75" i="42"/>
  <c r="AM75" i="42"/>
  <c r="AM71" i="42"/>
  <c r="AL71" i="42"/>
  <c r="BB5" i="43"/>
  <c r="BB6" i="43"/>
  <c r="K25" i="43"/>
  <c r="J25" i="43"/>
  <c r="AX2" i="41"/>
  <c r="AZ2" i="41" s="1" a="1"/>
  <c r="AZ2" i="41" s="1"/>
  <c r="AW2" i="41"/>
  <c r="AY2" i="41" s="1" a="1"/>
  <c r="AY2" i="41" s="1"/>
  <c r="CQ7" i="41"/>
  <c r="CS7" i="41" s="1" a="1"/>
  <c r="CS7" i="41" s="1"/>
  <c r="CP7" i="41"/>
  <c r="CR7" i="41" s="1" a="1"/>
  <c r="CR7" i="41" s="1"/>
  <c r="BB8" i="43"/>
  <c r="BB4" i="43"/>
  <c r="CQ14" i="41"/>
  <c r="CS14" i="41" s="1" a="1"/>
  <c r="CS14" i="41" s="1"/>
  <c r="CP14" i="41"/>
  <c r="CR14" i="41" s="1" a="1"/>
  <c r="CR14" i="41" s="1"/>
  <c r="CQ13" i="41"/>
  <c r="CP13" i="41"/>
  <c r="CP6" i="41"/>
  <c r="CQ6" i="41"/>
  <c r="AX9" i="41"/>
  <c r="AZ9" i="41" s="1" a="1"/>
  <c r="AZ9" i="41" s="1"/>
  <c r="AW9" i="41"/>
  <c r="AY9" i="41" s="1" a="1"/>
  <c r="AY9" i="41" s="1"/>
  <c r="CP9" i="41"/>
  <c r="CQ9" i="41"/>
  <c r="CP12" i="41"/>
  <c r="CQ12" i="41"/>
  <c r="AW10" i="41"/>
  <c r="AY10" i="41" s="1" a="1"/>
  <c r="AY10" i="41" s="1"/>
  <c r="AX10" i="41"/>
  <c r="AZ10" i="41" s="1" a="1"/>
  <c r="AZ10" i="41" s="1"/>
  <c r="CQ8" i="41"/>
  <c r="CP8" i="41"/>
  <c r="CQ10" i="41"/>
  <c r="CP10" i="41"/>
  <c r="BB3" i="43"/>
  <c r="EH7" i="41"/>
  <c r="EJ7" i="41" s="1" a="1"/>
  <c r="EJ7" i="41" s="1"/>
  <c r="EK7" i="41" s="1"/>
  <c r="EM7" i="41"/>
  <c r="CT11" i="41"/>
  <c r="AD2" i="42"/>
  <c r="AD7" i="42"/>
  <c r="BN3" i="44"/>
  <c r="BP3" i="44" s="1" a="1"/>
  <c r="BP3" i="44" s="1"/>
  <c r="BR3" i="44"/>
  <c r="AC6" i="42"/>
  <c r="AD6" i="42"/>
  <c r="AC3" i="42"/>
  <c r="BO4" i="44"/>
  <c r="BQ4" i="44" s="1" a="1"/>
  <c r="BQ4" i="44" s="1"/>
  <c r="BN4" i="44"/>
  <c r="BP4" i="44" s="1" a="1"/>
  <c r="BP4" i="44" s="1"/>
  <c r="AC9" i="42"/>
  <c r="BO5" i="44"/>
  <c r="BQ5" i="44" s="1" a="1"/>
  <c r="BQ5" i="44" s="1"/>
  <c r="BN5" i="44"/>
  <c r="BP5" i="44" s="1" a="1"/>
  <c r="BP5" i="44" s="1"/>
  <c r="AC12" i="42"/>
  <c r="AD12" i="42"/>
  <c r="AC5" i="42"/>
  <c r="AD5" i="42"/>
  <c r="BO6" i="44"/>
  <c r="BQ6" i="44" s="1" a="1"/>
  <c r="BQ6" i="44" s="1"/>
  <c r="BN6" i="44"/>
  <c r="BP6" i="44" s="1" a="1"/>
  <c r="BP6" i="44" s="1"/>
  <c r="AD11" i="42"/>
  <c r="AC11" i="42"/>
  <c r="AC4" i="42"/>
  <c r="AD4" i="42"/>
  <c r="AD10" i="42"/>
  <c r="EM10" i="41"/>
  <c r="EG4" i="41"/>
  <c r="EI4" i="41" s="1" a="1"/>
  <c r="EI4" i="41" s="1"/>
  <c r="EL4" i="41" s="1"/>
  <c r="EK4" i="41"/>
  <c r="EM9" i="41"/>
  <c r="BA3" i="41"/>
  <c r="BD3" i="41"/>
  <c r="BC3" i="41"/>
  <c r="BB3" i="41"/>
  <c r="BD11" i="41"/>
  <c r="BA11" i="41"/>
  <c r="BC11" i="41"/>
  <c r="BB11" i="41"/>
  <c r="BS8" i="42" a="1"/>
  <c r="BS8" i="42" s="1"/>
  <c r="BW8" i="42" s="1"/>
  <c r="BP8" i="42"/>
  <c r="BR8" i="42" s="1" a="1"/>
  <c r="BR8" i="42" s="1"/>
  <c r="BD12" i="41"/>
  <c r="BA12" i="41"/>
  <c r="BC12" i="41"/>
  <c r="BB12" i="41"/>
  <c r="BD4" i="41"/>
  <c r="BA4" i="41"/>
  <c r="CQ3" i="41"/>
  <c r="CS3" i="41" s="1" a="1"/>
  <c r="CS3" i="41" s="1"/>
  <c r="CT3" i="41" s="1"/>
  <c r="AW8" i="41"/>
  <c r="AY8" i="41" s="1" a="1"/>
  <c r="AY8" i="41" s="1"/>
  <c r="BB8" i="41" s="1"/>
  <c r="BA8" i="41"/>
  <c r="BC7" i="41"/>
  <c r="CP4" i="41"/>
  <c r="CR4" i="41" s="1" a="1"/>
  <c r="CR4" i="41" s="1"/>
  <c r="BB6" i="41"/>
  <c r="CV5" i="41"/>
  <c r="CQ5" i="41"/>
  <c r="CS5" i="41" s="1" a="1"/>
  <c r="CS5" i="41" s="1"/>
  <c r="CU3" i="41"/>
  <c r="CW4" i="41"/>
  <c r="CT4" i="41"/>
  <c r="AX6" i="41"/>
  <c r="AZ6" i="41" s="1" a="1"/>
  <c r="AZ6" i="41" s="1"/>
  <c r="AX7" i="41"/>
  <c r="AZ7" i="41" s="1" a="1"/>
  <c r="AZ7" i="41" s="1"/>
  <c r="CP2" i="41"/>
  <c r="CR2" i="41" s="1" a="1"/>
  <c r="CR2" i="41" s="1"/>
  <c r="CV2" i="41" s="1"/>
  <c r="BD5" i="41"/>
  <c r="BA5" i="41"/>
  <c r="CW2" i="41"/>
  <c r="CT2" i="41"/>
  <c r="AW5" i="41"/>
  <c r="AY5" i="41" s="1" a="1"/>
  <c r="AY5" i="41" s="1"/>
  <c r="AC8" i="42" l="1"/>
  <c r="AD8" i="42"/>
  <c r="BD2" i="41"/>
  <c r="BA2" i="41"/>
  <c r="BC2" i="41"/>
  <c r="BB2" i="41"/>
  <c r="CT7" i="41"/>
  <c r="CW7" i="41"/>
  <c r="CV7" i="41"/>
  <c r="CU7" i="41"/>
  <c r="CT14" i="41"/>
  <c r="CW14" i="41"/>
  <c r="CV14" i="41"/>
  <c r="CU14" i="41"/>
  <c r="BD9" i="41"/>
  <c r="BA9" i="41"/>
  <c r="BB9" i="41"/>
  <c r="BC9" i="41"/>
  <c r="BC10" i="41"/>
  <c r="BB10" i="41"/>
  <c r="BD10" i="41"/>
  <c r="BA10" i="41"/>
  <c r="EN7" i="41"/>
  <c r="BT3" i="44"/>
  <c r="BS3" i="44"/>
  <c r="BT4" i="44"/>
  <c r="BS4" i="44"/>
  <c r="BU4" i="44"/>
  <c r="BR4" i="44"/>
  <c r="BS6" i="44"/>
  <c r="BT6" i="44"/>
  <c r="BR6" i="44"/>
  <c r="BU6" i="44"/>
  <c r="BS5" i="44"/>
  <c r="BT5" i="44"/>
  <c r="BR5" i="44"/>
  <c r="BU5" i="44"/>
  <c r="EM4" i="41"/>
  <c r="BO7" i="42"/>
  <c r="BZ7" i="42"/>
  <c r="CW3" i="41"/>
  <c r="BC8" i="41"/>
  <c r="BA7" i="41"/>
  <c r="BD7" i="41"/>
  <c r="CT5" i="41"/>
  <c r="CW5" i="41"/>
  <c r="CU4" i="41"/>
  <c r="CV4" i="41"/>
  <c r="BA6" i="41"/>
  <c r="BD6" i="41"/>
  <c r="CU2" i="41"/>
  <c r="BC5" i="41"/>
  <c r="BB5" i="41"/>
  <c r="BQ7" i="42" l="1"/>
  <c r="BP7" i="42"/>
  <c r="BR7" i="42" s="1" a="1"/>
  <c r="BR7" i="42" s="1"/>
  <c r="BS7" i="42" l="1" a="1"/>
  <c r="BS7" i="42" s="1"/>
  <c r="BW7" i="42" s="1"/>
  <c r="BE2" i="43" l="1" a="1"/>
  <c r="BE2" i="43" s="1"/>
  <c r="AS3" i="43"/>
  <c r="AT3" i="43" s="1"/>
  <c r="AV3" i="43" s="1" a="1"/>
  <c r="AV3" i="43" s="1"/>
  <c r="AS8" i="43"/>
  <c r="AU8" i="43" s="1"/>
  <c r="AS5" i="43"/>
  <c r="AT5" i="43" s="1"/>
  <c r="AV5" i="43" s="1" a="1"/>
  <c r="AV5" i="43" s="1"/>
  <c r="AS2" i="43"/>
  <c r="AU2" i="43" s="1"/>
  <c r="AS6" i="43"/>
  <c r="AT6" i="43" s="1"/>
  <c r="AV6" i="43" s="1" a="1"/>
  <c r="AV6" i="43" s="1"/>
  <c r="BD4" i="43"/>
  <c r="AS4" i="43"/>
  <c r="AU4" i="43" s="1"/>
  <c r="BD6" i="43"/>
  <c r="BD2" i="43"/>
  <c r="BD8" i="43"/>
  <c r="BD5" i="43"/>
  <c r="AS7" i="43"/>
  <c r="AT7" i="43" s="1"/>
  <c r="AV7" i="43" s="1" a="1"/>
  <c r="AV7" i="43" s="1"/>
  <c r="BD3" i="43"/>
  <c r="BD7" i="43"/>
  <c r="BD9" i="43"/>
  <c r="AS9" i="43"/>
  <c r="AU9" i="43" s="1"/>
  <c r="AW9" i="43" l="1" a="1"/>
  <c r="AW9" i="43" s="1"/>
  <c r="BA9" i="43" s="1"/>
  <c r="AW4" i="43" a="1"/>
  <c r="AW4" i="43" s="1"/>
  <c r="BA4" i="43" s="1"/>
  <c r="AW8" i="43" a="1"/>
  <c r="AW8" i="43" s="1"/>
  <c r="BA8" i="43" s="1"/>
  <c r="AW2" i="43" a="1"/>
  <c r="AW2" i="43" s="1"/>
  <c r="AU3" i="43"/>
  <c r="AU7" i="43"/>
  <c r="AU6" i="43"/>
  <c r="AT4" i="43"/>
  <c r="AV4" i="43" s="1" a="1"/>
  <c r="AV4" i="43" s="1"/>
  <c r="AU5" i="43"/>
  <c r="AT9" i="43"/>
  <c r="AV9" i="43" s="1" a="1"/>
  <c r="AV9" i="43" s="1"/>
  <c r="AT2" i="43"/>
  <c r="AV2" i="43" s="1" a="1"/>
  <c r="AV2" i="43" s="1"/>
  <c r="AT8" i="43"/>
  <c r="AV8" i="43" s="1" a="1"/>
  <c r="AV8" i="43" s="1"/>
  <c r="AX2" i="43" l="1"/>
  <c r="BA2" i="43"/>
  <c r="AW6" i="43" a="1"/>
  <c r="AW6" i="43" s="1"/>
  <c r="AW7" i="43" a="1"/>
  <c r="AW7" i="43" s="1"/>
  <c r="AW3" i="43" a="1"/>
  <c r="AW3" i="43" s="1"/>
  <c r="AW5" i="43" a="1"/>
  <c r="AW5" i="43" s="1"/>
  <c r="AY2" i="43"/>
  <c r="AZ2" i="43"/>
  <c r="AX9" i="43"/>
  <c r="AX8" i="43"/>
  <c r="AY8" i="43"/>
  <c r="AX4" i="43"/>
  <c r="AX6" i="43" l="1"/>
  <c r="BA6" i="43"/>
  <c r="AX7" i="43"/>
  <c r="BA7" i="43"/>
  <c r="AX5" i="43"/>
  <c r="BA5" i="43"/>
  <c r="AX3" i="43"/>
  <c r="BA3" i="43"/>
  <c r="AY9" i="43"/>
  <c r="AZ9" i="43"/>
  <c r="AZ7" i="43"/>
  <c r="AY7" i="43"/>
  <c r="AZ3" i="43"/>
  <c r="AY3" i="43"/>
  <c r="AZ6" i="43"/>
  <c r="AY6" i="43"/>
  <c r="AZ5" i="43"/>
  <c r="AY5" i="43"/>
  <c r="AY4" i="43"/>
  <c r="AZ4" i="43"/>
  <c r="AZ8" i="43"/>
  <c r="BZ2" i="42"/>
  <c r="BO2" i="42"/>
  <c r="BP2" i="42" s="1"/>
  <c r="BR2" i="42" s="1" a="1"/>
  <c r="BR2" i="42" s="1"/>
  <c r="BQ2" i="42" l="1"/>
  <c r="BO3" i="42"/>
  <c r="BQ3" i="42" s="1"/>
  <c r="BO6" i="42"/>
  <c r="BP6" i="42" s="1"/>
  <c r="BR6" i="42" s="1" a="1"/>
  <c r="BR6" i="42" s="1"/>
  <c r="BO5" i="42"/>
  <c r="BQ5" i="42" s="1"/>
  <c r="BZ6" i="42"/>
  <c r="BZ3" i="42"/>
  <c r="BO4" i="42"/>
  <c r="BQ4" i="42" s="1"/>
  <c r="BZ5" i="42"/>
  <c r="BZ4" i="42"/>
  <c r="BS4" i="42" l="1" a="1"/>
  <c r="BS4" i="42" s="1"/>
  <c r="BW4" i="42" s="1"/>
  <c r="BS5" i="42" a="1"/>
  <c r="BS5" i="42" s="1"/>
  <c r="BW5" i="42" s="1"/>
  <c r="BS3" i="42" a="1"/>
  <c r="BS3" i="42" s="1"/>
  <c r="BW3" i="42" s="1"/>
  <c r="BS2" i="42" a="1"/>
  <c r="BS2" i="42" s="1"/>
  <c r="BW2" i="42" s="1"/>
  <c r="BP4" i="42"/>
  <c r="BR4" i="42" s="1" a="1"/>
  <c r="BR4" i="42" s="1"/>
  <c r="BU4" i="42" s="1"/>
  <c r="BP3" i="42"/>
  <c r="BR3" i="42" s="1" a="1"/>
  <c r="BR3" i="42" s="1"/>
  <c r="BV3" i="42" s="1"/>
  <c r="BQ6" i="42"/>
  <c r="BP5" i="42"/>
  <c r="BR5" i="42" s="1" a="1"/>
  <c r="BR5" i="42" s="1"/>
  <c r="BU5" i="42" s="1"/>
  <c r="BV2" i="42"/>
  <c r="BU2" i="42"/>
  <c r="BV6" i="42"/>
  <c r="BU6" i="42"/>
  <c r="BV7" i="42"/>
  <c r="BU7" i="42"/>
  <c r="BV8" i="42"/>
  <c r="BU8" i="42"/>
  <c r="BS6" i="42" l="1" a="1"/>
  <c r="BS6" i="42" s="1"/>
  <c r="BU3" i="42"/>
  <c r="BV5" i="42"/>
  <c r="BV4" i="42"/>
  <c r="BT2" i="42"/>
  <c r="BT7" i="42"/>
  <c r="BT5" i="42"/>
  <c r="BT8" i="42"/>
  <c r="BT4" i="42"/>
  <c r="BT3" i="42"/>
  <c r="BT6" i="42" l="1"/>
  <c r="BW6" i="42"/>
  <c r="BE2" i="44" l="1" a="1"/>
  <c r="BE2" i="44" s="1"/>
  <c r="BF2" i="44" a="1"/>
  <c r="BF2" i="44" s="1"/>
  <c r="BG2" i="44" a="1"/>
  <c r="BG2" i="44" s="1"/>
  <c r="BH2" i="44" a="1"/>
  <c r="BH2" i="44" s="1"/>
  <c r="BB2" i="44" a="1"/>
  <c r="BB2" i="44" s="1"/>
  <c r="BI2" i="44" a="1"/>
  <c r="BI2" i="44" s="1"/>
  <c r="BJ2" i="44" a="1"/>
  <c r="BJ2" i="44" s="1"/>
  <c r="BL2" i="44" a="1"/>
  <c r="BL2" i="44" s="1"/>
  <c r="BK2" i="44" a="1"/>
  <c r="BK2" i="44" s="1"/>
  <c r="BC2" i="44" a="1"/>
  <c r="BC2" i="44" s="1"/>
  <c r="BZ2" i="44" a="1"/>
  <c r="BZ2" i="44" s="1"/>
  <c r="BD2" i="44" a="1"/>
  <c r="BD2" i="44" s="1"/>
  <c r="BX2" i="44" l="1"/>
  <c r="BM2" i="44"/>
  <c r="BO2" i="44" s="1"/>
  <c r="BQ2" i="44" s="1" a="1"/>
  <c r="BQ2" i="44" s="1"/>
  <c r="BV2" i="44"/>
  <c r="BN2" i="44" l="1"/>
  <c r="BP2" i="44" s="1" a="1"/>
  <c r="BP2" i="44" s="1"/>
  <c r="BT2" i="44" s="1"/>
  <c r="BU2" i="44"/>
  <c r="BR2" i="44"/>
  <c r="BS2" i="44" l="1"/>
  <c r="AJ5" i="42" l="1" a="1"/>
  <c r="AF5" i="42" a="1"/>
  <c r="AF5" i="42"/>
  <c r="AJ8" i="42" a="1"/>
  <c r="AE8" i="42" a="1"/>
  <c r="AH8" i="42"/>
  <c r="AJ10" i="42" a="1"/>
  <c r="AJ10" i="42"/>
  <c r="AJ9" i="42" a="1"/>
  <c r="AE9" i="42" a="1"/>
  <c r="AE9" i="42"/>
  <c r="AJ11" i="42" a="1"/>
  <c r="AF11" i="42" a="1"/>
  <c r="AF11" i="42"/>
  <c r="AJ4" i="42" a="1"/>
  <c r="AE4" i="42" a="1"/>
  <c r="AE4" i="42"/>
  <c r="AE5" i="42" a="1"/>
  <c r="AE5" i="42"/>
  <c r="AE10" i="42" a="1"/>
  <c r="AI10" i="42"/>
  <c r="AH5" i="42"/>
  <c r="AJ2" i="42" a="1"/>
  <c r="AE2" i="42" a="1"/>
  <c r="AI9" i="42"/>
  <c r="AI5" i="42"/>
  <c r="AJ7" i="42" a="1"/>
  <c r="AE7" i="42" a="1"/>
  <c r="AI7" i="42"/>
  <c r="AH7" i="42"/>
  <c r="AH9" i="42"/>
  <c r="AJ3" i="42" a="1"/>
  <c r="AF3" i="42" a="1"/>
  <c r="AF3" i="42"/>
  <c r="AF10" i="42" a="1"/>
  <c r="AF8" i="42" a="1"/>
  <c r="AF8" i="42"/>
  <c r="AF9" i="42" a="1"/>
  <c r="AF9" i="42"/>
  <c r="AJ5" i="42"/>
  <c r="AJ6" i="42" a="1"/>
  <c r="AE6" i="42" a="1"/>
  <c r="AJ12" i="42" a="1"/>
  <c r="AF12" i="42" a="1"/>
  <c r="AG12" i="42"/>
  <c r="AG11" i="42"/>
  <c r="AF2" i="42" a="1"/>
  <c r="AF2" i="42"/>
  <c r="AJ8" i="42"/>
  <c r="AJ9" i="42"/>
  <c r="AI8" i="42"/>
  <c r="AH10" i="42"/>
  <c r="AF10" i="42"/>
  <c r="AG3" i="42"/>
  <c r="AE12" i="42" a="1"/>
  <c r="AH12" i="42"/>
  <c r="AG8" i="42"/>
  <c r="AJ12" i="42"/>
  <c r="AI12" i="42"/>
  <c r="AI4" i="42"/>
  <c r="AE3" i="42" a="1"/>
  <c r="AI3" i="42"/>
  <c r="AJ4" i="42"/>
  <c r="AH3" i="42"/>
  <c r="AF4" i="42" a="1"/>
  <c r="AF4" i="42"/>
  <c r="AE6" i="42"/>
  <c r="AF7" i="42" a="1"/>
  <c r="AF6" i="42" a="1"/>
  <c r="AG5" i="42"/>
  <c r="AE2" i="42"/>
  <c r="AE11" i="42" a="1"/>
  <c r="AE11" i="42"/>
  <c r="AJ11" i="42"/>
  <c r="AH4" i="42"/>
  <c r="AE8" i="42"/>
  <c r="AE10" i="42"/>
  <c r="AG2" i="42"/>
  <c r="AI2" i="42"/>
  <c r="AG7" i="42"/>
  <c r="AE12" i="42"/>
  <c r="AF7" i="42"/>
  <c r="AG6" i="42"/>
  <c r="AG9" i="42"/>
  <c r="AJ2" i="42"/>
  <c r="AE7" i="42"/>
  <c r="AH11" i="42"/>
  <c r="AE3" i="42"/>
  <c r="AI11" i="42"/>
  <c r="AJ7" i="42"/>
  <c r="AF12" i="42"/>
  <c r="AG10" i="42"/>
  <c r="AJ6" i="42"/>
  <c r="AG4" i="42"/>
  <c r="AJ3" i="42"/>
  <c r="AH2" i="42"/>
  <c r="AF6" i="42"/>
  <c r="AH6" i="42"/>
  <c r="AI6" i="4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935B83-9691-4683-8AD0-1538D15BC5ED}" keepAlive="1" name="Abfrage - Fusion" description="Verbindung mit der Abfrage 'Fusion' in der Arbeitsmappe." type="5" refreshedVersion="8" background="1" saveData="1">
    <dbPr connection="Provider=Microsoft.Mashup.OleDb.1;Data Source=$Workbook$;Location=Fusion;Extended Properties=&quot;&quot;" command="SELECT * FROM [Fusion]"/>
  </connection>
  <connection id="2" xr16:uid="{00000000-0015-0000-FFFF-FFFF00000000}" keepAlive="1" name="Abfrage - tab_fusion_cost_total" description="Verbindung mit der Abfrage 'tab_fusion_cost_total' in der Arbeitsmappe." type="5" refreshedVersion="8" background="1" saveData="1">
    <dbPr connection="Provider=Microsoft.Mashup.OleDb.1;Data Source=$Workbook$;Location=tab_fusion_cost_total;Extended Properties=&quot;&quot;" command="SELECT * FROM [tab_fusion_cost_total]"/>
  </connection>
  <connection id="3" xr16:uid="{00000000-0015-0000-FFFF-FFFF01000000}" keepAlive="1" name="Abfrage - tab_fusion_cost_total (2)" description="Verbindung mit der Abfrage 'tab_fusion_cost_total (2)' in der Arbeitsmappe." type="5" refreshedVersion="8" background="1" saveData="1">
    <dbPr connection="Provider=Microsoft.Mashup.OleDb.1;Data Source=$Workbook$;Location=&quot;tab_fusion_cost_total (2)&quot;;Extended Properties=&quot;&quot;" command="SELECT * FROM [tab_fusion_cost_total (2)]"/>
  </connection>
  <connection id="4" xr16:uid="{00000000-0015-0000-FFFF-FFFF02000000}" keepAlive="1" name="Abfrage - tab_fusion_cost_total (3)" description="Verbindung mit der Abfrage 'tab_fusion_cost_total (3)' in der Arbeitsmappe." type="5" refreshedVersion="8" background="1" saveData="1">
    <dbPr connection="Provider=Microsoft.Mashup.OleDb.1;Data Source=$Workbook$;Location=&quot;tab_fusion_cost_total (3)&quot;;Extended Properties=&quot;&quot;" command="SELECT * FROM [tab_fusion_cost_total (3)]"/>
  </connection>
  <connection id="5" xr16:uid="{00000000-0015-0000-FFFF-FFFF03000000}" keepAlive="1" name="Abfrage - tab_fusion_cost_total (4)" description="Verbindung mit der Abfrage 'tab_fusion_cost_total (4)' in der Arbeitsmappe." type="5" refreshedVersion="8" background="1" saveData="1">
    <dbPr connection="Provider=Microsoft.Mashup.OleDb.1;Data Source=$Workbook$;Location=&quot;tab_fusion_cost_total (4)&quot;;Extended Properties=&quot;&quot;" command="SELECT * FROM [tab_fusion_cost_total (4)]"/>
  </connection>
  <connection id="6" xr16:uid="{19890FB8-D445-4E2A-9111-5A1E1BD3C742}" keepAlive="1" name="Abfrage - tab_fusion_cost_total (5)" description="Verbindung mit der Abfrage 'tab_fusion_cost_total (5)' in der Arbeitsmappe." type="5" refreshedVersion="0" background="1">
    <dbPr connection="Provider=Microsoft.Mashup.OleDb.1;Data Source=$Workbook$;Location=&quot;tab_fusion_cost_total (5)&quot;;Extended Properties=&quot;&quot;" command="SELECT * FROM [tab_fusion_cost_total (5)]"/>
  </connection>
  <connection id="7" xr16:uid="{808B2E5D-543E-4705-91D3-0A0D08BDA50C}" keepAlive="1" name="Abfrage - tab_fusion_cost_total (6)" description="Verbindung mit der Abfrage 'tab_fusion_cost_total (6)' in der Arbeitsmappe." type="5" refreshedVersion="8" background="1" saveData="1">
    <dbPr connection="Provider=Microsoft.Mashup.OleDb.1;Data Source=$Workbook$;Location=&quot;tab_fusion_cost_total (6)&quot;;Extended Properties=&quot;&quot;" command="SELECT * FROM [tab_fusion_cost_total (6)]"/>
  </connection>
  <connection id="8" xr16:uid="{EB17709B-1376-4921-A9B5-30B21419EB1F}" keepAlive="1" name="Abfrage - tab_fusion_cost_total (7)" description="Verbindung mit der Abfrage 'tab_fusion_cost_total (7)' in der Arbeitsmappe." type="5" refreshedVersion="8" background="1" saveData="1">
    <dbPr connection="Provider=Microsoft.Mashup.OleDb.1;Data Source=$Workbook$;Location=&quot;tab_fusion_cost_total (7)&quot;;Extended Properties=&quot;&quot;" command="SELECT * FROM [tab_fusion_cost_total (7)]"/>
  </connection>
  <connection id="9" xr16:uid="{00000000-0015-0000-FFFF-FFFF04000000}" keepAlive="1" name="Abfrage - tab_fusion_cost_total__3" description="Verbindung mit der Abfrage 'tab_fusion_cost_total__3' in der Arbeitsmappe." type="5" refreshedVersion="8" background="1" saveData="1">
    <dbPr connection="Provider=Microsoft.Mashup.OleDb.1;Data Source=$Workbook$;Location=tab_fusion_cost_total__3;Extended Properties=&quot;&quot;" command="SELECT * FROM [tab_fusion_cost_total__3]"/>
  </connection>
  <connection id="10" xr16:uid="{C46B8BF7-BEF6-4775-8E15-97E2E268DB4E}" keepAlive="1" name="Abfrage - tab_fusion_cost_total__6" description="Verbindung mit der Abfrage 'tab_fusion_cost_total__6' in der Arbeitsmappe." type="5" refreshedVersion="8" background="1" saveData="1">
    <dbPr connection="Provider=Microsoft.Mashup.OleDb.1;Data Source=$Workbook$;Location=tab_fusion_cost_total__6;Extended Properties=&quot;&quot;" command="SELECT * FROM [tab_fusion_cost_total__6]"/>
  </connection>
  <connection id="11" xr16:uid="{00000000-0015-0000-FFFF-FFFF05000000}" keepAlive="1" name="Abfrage - Tabelle12" description="Verbindung mit der Abfrage 'Tabelle12' in der Arbeitsmappe." type="5" refreshedVersion="8" background="1" saveData="1">
    <dbPr connection="Provider=Microsoft.Mashup.OleDb.1;Data Source=$Workbook$;Location=Tabelle12;Extended Properties=&quot;&quot;" command="SELECT * FROM [Tabelle12]"/>
  </connection>
  <connection id="12" xr16:uid="{00000000-0015-0000-FFFF-FFFF06000000}" keepAlive="1" name="Abfrage - Tabelle6" description="Verbindung mit der Abfrage 'Tabelle6' in der Arbeitsmappe." type="5" refreshedVersion="8" background="1" saveData="1">
    <dbPr connection="Provider=Microsoft.Mashup.OleDb.1;Data Source=$Workbook$;Location=Tabelle6;Extended Properties=&quot;&quot;" command="SELECT * FROM [Tabelle6]"/>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<sst xmlns="http://schemas.openxmlformats.org/spreadsheetml/2006/main" count="39438" uniqueCount="1313">
  <si>
    <t>As found in literature</t>
  </si>
  <si>
    <t>Tritium Plant Capital Cost</t>
  </si>
  <si>
    <t>No.</t>
  </si>
  <si>
    <t>Reactor</t>
  </si>
  <si>
    <t>Confinement Type</t>
  </si>
  <si>
    <t>Reactor Type</t>
  </si>
  <si>
    <t>Capacity [MW]</t>
  </si>
  <si>
    <t>Cost Type</t>
  </si>
  <si>
    <t>Readiness</t>
  </si>
  <si>
    <t>Relative/Absolute</t>
  </si>
  <si>
    <t>Value</t>
  </si>
  <si>
    <t>Unit</t>
  </si>
  <si>
    <t>Year</t>
  </si>
  <si>
    <t>Reference</t>
  </si>
  <si>
    <t>Comment</t>
  </si>
  <si>
    <t>Availability/Capacity Factor/Plasma Duration</t>
  </si>
  <si>
    <t>Operation</t>
  </si>
  <si>
    <t>Initial Tritium</t>
  </si>
  <si>
    <t>Decomissioning Costs/year</t>
  </si>
  <si>
    <t>To be discussed</t>
  </si>
  <si>
    <t>Summary (short)</t>
  </si>
  <si>
    <t>Summary</t>
  </si>
  <si>
    <t>Step by Step Paper Content</t>
  </si>
  <si>
    <t>Most significant cost influences (short)</t>
  </si>
  <si>
    <t>Most significant cost influences</t>
  </si>
  <si>
    <t>Further Cost Parameters &amp; Assumptions (short)</t>
  </si>
  <si>
    <t>Further Cost Parameters &amp; Assumptions</t>
  </si>
  <si>
    <t>Questions &amp; Answers (short)</t>
  </si>
  <si>
    <t>Questions &amp; Answers</t>
  </si>
  <si>
    <t>LIFE1</t>
  </si>
  <si>
    <t>Inertia</t>
  </si>
  <si>
    <t>OCC</t>
  </si>
  <si>
    <t>FOAK</t>
  </si>
  <si>
    <t>Absolute</t>
  </si>
  <si>
    <t>USD</t>
  </si>
  <si>
    <t>Anklam et al. (2011)</t>
  </si>
  <si>
    <t>Lifetime 20 years; Learning rates based on experiences from NIF but not further specified; recirculating power fraction high -&gt; 77%; "envisioned as being operable ten to fifteen years from ignition on the NIF"; replacement of fusion chamber: after 0.9 years</t>
  </si>
  <si>
    <t>Steady-State (possible due to high repetition rate of laser pulses (nearly 15 per second))</t>
  </si>
  <si>
    <t>-</t>
  </si>
  <si>
    <t>•	Argues for commercializing Laser Inertial Fusion Energy (LIFE) by ~2030.
•	Uses system modeling to show benefits: reduced CO₂, nuclear waste, plutonium.
•	Assesses economic competitiveness of LIFE vs. other low-carbon sources.
•	Proposes a commercialization path with a demo plant operational 10–15 years after ignition proof.
Key findings?
•	Need for new power generation since most U.S. power plants to retire by 2060; 400–900 GW replacements needed; Low-carbon baseload capacity is critical.
•	Benefits of early commercialization:
  o	CO₂ avoidance:
  -&gt; Start in 2030 avoids 100–140 Gt CO₂ by 2100; 2040 start reduces this by ~30–35%.
  -&gt; Present value of CO₂ avoided: $300–600 billion (at $100/t CO₂, 5% discount rate).
  o	Nuclear waste reduction and Plutonium reduction
•	LIFE commercialization approach:
  o	Developed at Lawrence Livermore National Lab.
  o	Builds on NIF science/tech with changes for plant-scale operation:
  -&gt; Modular lasers, diode pumping, mass-produced targets, heat management.
  o	Path includes three “Point Designs”:
  -&gt; LIFE.1: Demo plant (400 MW fusion), existing materials, operational ~10–15 years after ignition.
  -&gt; LIFE.2: 1 GWe commercial plant with advanced materials.
  -&gt; LIFE.3: Mature plant with further improvements.
  o	LIFE.1 serves as testbed for qualifying materials/processes in continuous fusion.
  o	Natural scaling benefit: larger plants yield better laser-to-electric efficiency.
•	COE is competitive with other low-carbon baseload and cheaper than fossil fuel if CO₂ cost is $50–100/ton.
  o	Key cost drivers: chamber material (ODS steel), target cost, target gain.
•	Aim: deploy first commercial LIFE plant in the early 2030s or sooner.
  -&gt; Paper Conclusion:
•	LIFE presents a compelling case for accelerated fusion development.
•	A demo plant should be designed/built within 10–15 years after ignition proof.
•	Design minimizes R&amp;D needs by using existing materials/processes.
•	Once operational, the system enables material/process qualification for commercial plants.
•	Despite its pre-conceptual stage, LIFE is economically competitive.
•	A pilot plant is feasible in 10–15 years with integrated R&amp;D and construction.
•	The path is ambitious and carries technical risk, requiring a national effort across industry, labs, government, and academia.
•	The study calls for immediate action and hopes to inspire renewed commitment to fusion demonstration and deployment.</t>
  </si>
  <si>
    <t>**Worüber handelt die Studie?**
Die Studie, mit dem Titel **"LIFE: The Case for Early Commercialization of Fusion Energy"**, stellt den Fall für die frühe Kommerzialisierung von Laser-Trägheitsfusionsenergie (LIFE) dar. Sie quantifiziert die Vorteile der Fusionsenergie in Bezug auf die Vermeidung von Kohlenstoffemissionen, Nuklearabfällen und Plutoniumproduktion durch Systemmodellierungen des US-amerikanischen Stromerzeugungssystems. Die Studie analysiert auch die Sensitivität der erzielten Vorteile in Bezug auf den Zeitpunkt des Markteintritts und zeigt die Bedeutung eines Markteintritts im Zeitraum um 2030 auf. Darüber hinaus werden wirtschaftliche Modellierungsergebnisse präsentiert, die zeigen, dass Fusionsenergie mit anderen kohlenstoffarmen Energiequellen wettbewerbsfähig sein kann. Die Arbeit beschreibt auch den Kommerzialisierungspfad für LIFE, einschließlich des Vorschlags zum Bau einer Demonstrationsanlage, die innerhalb von 10 bis 15 Jahren zu einem kontinuierlichen Fusionsbetrieb fähig ist, um die Prozesse und Materialien für ein kommerzielles Fusionskraftwerk zu qualifizieren.
**Welche Kernaussagen werden in der Studie genannt?**
*   **Bedarf an neuer Stromerzeugung:** Die Welt befindet sich in einer transformatorischen Phase der Stromerzeugung und -nutzung. In den USA wird bis 2060 praktisch die gesamte bestehende Kraftwerksflotte stillgelegt, und bis 2100 müssen etwa 900 neue GW-Klasse-Kraftwerke gebaut werden, selbst ohne Nachfragesteigerung sind es über 400 GW. Ein erheblicher Teil dieses Ersatzbedarfs muss durch kohlenstoffarme Grundlast-Energieerzeugung gedeckt werden.
*   **Vorteile der frühen Kommerzialisierung:**
    *   **CO2-Vermeidung:** Wenn der erste kommerzielle Fusionsbetrieb im Jahr 2030 beginnt, können zwischen 100 und 140 Gigatonnen (GT) CO2 bis 2100 vermieden werden. Bei einem Markteintritt im Jahr 2040 verringert sich die CO2-Vermeidung um 30% bis 35% im Vergleich zu 2030. Der Barwert der vermiedenen Kohlenstoffemissionen liegt zwischen 300 und 600 Milliarden US-Dollar (bei 5% Abzinsung und $100/MT CO2).
    *   **Nuklearabfall-Vermeidung:** Bei einem Betriebsstart im Jahr 2030 können 230.000 bis 360.000 metrische Tonnen hochradioaktiver Nuklearabfälle vermieden werden (entspricht 3,0 bis 4,5 zusätzlichen "Yucca-Mountain-Äquivalenten"). Eine Verzögerung auf 2040 würde die Abfallvermeidung um 85.000 bis 110.000 metrische Tonnen reduzieren.
    *   **Plutonium-Vermeidung:** Wenn die Fusionskraftwerke schnelle Reaktoren mit Wiederaufarbeitung ersetzen, können im Jahr 2100 zwischen 3000 und 4000 metrische Tonnen gelagerten Plutoniums vermieden werden, wenn der erste kommerzielle Betrieb 2030 beginnt. Ein Start im Jahr 2040 statt 2030 würde die Menge an gelagertem Plutonium bis 2100 um über 800.000 kg erhöhen, was die Proliferationsbedenken stark reduziert.
    *   **Marktmöglichkeiten:** Es besteht eine starke Motivation, die Fusionsenergie rechtzeitig zu kommerzialisieren, um an der Rekapitalisierung des Stromnetzes in den kommenden Jahrzehnten teilzuhaben, da die Marktchancen danach begrenzt wären.
*   **Der LIFE-Ansatz zur Kommerzialisierung:**
    *   Der LIFE-Ansatz wird am Lawrence Livermore National Laboratory in Partnerschaft mit anderen Einrichtungen entwickelt.
    *   Er nutzt die Wissenschaft und Technologie der National Ignition Facility (NIF), einschließlich der Lasertechnologie und der Targetphysik, mit Anpassungen für den Kraftwerksbetrieb (kompaktere, modulare Laserarchitektur, aktives Wärmemanagement, Diodenpumpen für Effizienz und massenproduzierbare Fusionstargets).
    *   Der Kommerzialisierungspfad umfasst drei Entwurfspunkte (Point Designs): LIFE.1 (Demonstrationsanlage, 400 MW Fusionsleistung, Einsatz bestehender Materialien, voraussichtlich 10-15 Jahre nach NIF-Zündung betriebsbereit), LIFE.2 (1 GWe kommerzielles Kraftwerk, fortschrittliche Materialien) und LIFE.3 (ausgereifte Technologie mit potenziellen Verbesserungen).
    *   **LIFE.1 dient als Teststand** zur Demonstration der benötigten Betriebsabläufe und zur Qualifizierung von Materialien und Prozessen in einer kontinuierlichen Fusionsumgebung.
    *   Es besteht ein **natürlicher Skaleneffekt** für LIFE, da die Effizienz der Umwandlung von Laserenergie in Fusionsenergie mit der Skalierung der Anlage zu höherer elektrischer Leistung steigt.
*   **Wirtschaftlichkeit:**
    *   Die geschätzten Investitionskosten für alle drei LIFE-Systeme liegen zwischen 4 und 6 Milliarden US-Dollar.
    *   Die **Stromgestehungskosten (Cost of Electricity, COE)** für LIFE sind vergleichbar mit anderen kohlenstoffarmen Grundlast-Energiequellen und liegen unter den Kosten der fossilen Brennstofferzeugung, wenn die Kohlenstoffkosten 50 bis 100 US-Dollar pro Tonne überschreiten.
    *   Die **wichtigsten wirtschaftlichen Parameter** sind das Strukturmaterial der Fusionskammer (oxiddispersionsverstärkter Stahl), die Fusionszielkosten und die Zieleffizienz.
**Was ist das Ziel der Studie?**
Das primäre Ziel der Studie ist es, **den Fall für die frühe Kommerzialisierung von Laser-Trägheitsfusionsenergie (LIFE) darzulegen**. Sie zielt darauf ab, die Vorteile einer Fusionsenergieoption in einem relevanten Zeitrahmen, der die Kapazitätslücke füllen kann, zu bewerten und einen Weg zur Erreichung dieses Ziels mithilfe von LIFE aufzuzeigen. Letztendlich ist es das Ziel, die Entwicklung der Fusionsenergie zu beschleunigen und das Ziel zu setzen, den ersten kommerziellen Betrieb in den 2030er Jahren oder früher zu erreichen.
**Was ist das Fazit der Studie?**
Die Studie kommt zu dem Schluss, dass die **Bewertung der LIFE-Technologie einen überzeugenden Grund liefert, die Entwicklung der Fusionsenergie zu beschleunigen** und sich das Ziel zu setzen, den ersten kommerziellen Betrieb in den 2030er Jahren oder früher zu erreichen. Der vorgeschlagene Ansatz zur Erreichung dieses Ziels ist es, die auf der NIF demonstrierte Wissenschaft und Technologie zu nutzen und innerhalb von zehn bis fünfzehn Jahren nach der NIF-Zündung eine Demonstrationsanlage für Fusionskraft zu entwerfen und zu bauen. Das Design der Demonstrationsanlage maximiert die Nutzung bestehender Materialien und Prozesse, um den Forschungs- und Entwicklungsbedarf zu minimieren. Sobald ein kontinuierliches Fusionssystem in Betrieb ist, ermöglicht dies die Qualifizierung von Materialien und Prozessen, die für die kommerzielle Fusionsenergie erforderlich sind.
Obwohl die ökonomische Bewertung von LIFE auf einem vorkonzeptionellen Niveau basiert, zeigt sie, dass die **Wirtschaftlichkeit von LIFE gut mit anderen kohlenstoffarmen Technologien vergleichbar ist**. Ein Design- und Bauplan zeigt, dass der erste Pilotanlagenbetrieb 10 bis 15 Jahre nach Projektbeginn möglich ist, abhängig von der Integration der unterstützenden F&amp;E-Aktivitäten mit den Design- und Bauplänen. Die Studie erkennt an, dass dieser Ansatz zur Kommerzialisierung der Fusionsenergie **technische Risiken birgt und aggressiv ist**, und betont, dass ein nationales Engagement von Industrie, Laboren, Akademikern, Regierung und internationalen Partnern erforderlich ist. Das Fazit unterstreicht die **Dringlichkeit des Bedarfs und die überzeugenden Vorteile** und hofft, dass diese Studie andere Interessengruppen motivieren wird, die Fusionsenergieoption neu zu bewerten und die notwendigen nächsten Schritte in Richtung Konzeptstudien und Technologiedemonstrationen zu unternehmen.</t>
  </si>
  <si>
    <t>Gerne, hier ist eine Schritt-für-Schritt-Übersicht darüber, was in der Studie "LIFE: The Case for Early Commercialization of Fusion Energy" gemacht und wie vorgegangen wurde:
Die Studie von Anklam et al. (2011) bewertet die Vorteile einer **frühen Kommerzialisierung der Fusionsenergie**, insbesondere der Laser Inertial Fusion Energy (LIFE), und skizziert einen Weg dorthin.
### 1. Ausgangslage und Problembeschreibung
*   **Identifikation des globalen Energiebedarfs**: Die Studie stellt fest, dass die Welt vor einer transformativen Phase in der Stromerzeugung steht. Entwicklungsländer benötigen drastisch mehr Strom, während in entwickelten Ländern wie den USA, Japan und Europa veraltete Kraftwerke in den kommenden Jahrzehnten ersetzt werden müssen.
*   **Kapazitätslücke in den USA**: Für die USA wird ein Szenario skizziert, in dem sich der Strombedarf bis zum Jahrhundertende ungefähr verdoppelt und die gesamte bestehende Kraftwerksflotte bis 2060 stillgelegt sein wird. Dies erfordert den Bau von etwa 900 neuen GW-Klasse-Kraftwerken bis 2100, selbst ohne Nachfragesteigerung sind es noch über 400 GW.
*   **Anforderung an die neue Kapazität**: Ein erheblicher Teil dieses Ersatzbedarfs muss durch **kohlenstoffarme Grundlast-Stromerzeugung** gedeckt werden.
*   **Ziel der Studie**: Die Studie bewertet die Vorteile einer Fusionsenergieoption in einem relevanten Zeitrahmen, um diese Kapazitätslücke zu füllen, und skizziert einen Weg dazu mit Laser Inertial Fusion Energy (LIFE).
### 2. Quantifizierung der Vorteile der frühen Kommerzialisierung der Fusionsenergie
Es wurden **Systemmodellierungen des US-Stromerzeugungssystems** durchgeführt, um die Vorteile der Fusionsenergie zu quantifizieren.
*   **Vermeidung von CO2-Emissionen**:
    *   **Szenarioannahme**: Es wurde angenommen, dass jedes gebaute Fusionskraftwerk ein Kohlekraftwerk ersetzt. Die Wachstumsrate der Fusions-Marktdurchdringung wurde durch die Nachfrage (gemäß Abb. 1) und den Aufbau der Lieferkette (Verdopplung der Baukapazität alle 5 oder 10 Jahre) begrenzt.
    *   **Ergebnisse**: Bei einem Kommerzstarts im Jahr 2030 könnten kumulativ zwischen **100 und 140 Gigatonnen (GT) CO2** bis 2100 vermieden werden. Ein Start 2040 würde zu 30-35 % weniger CO2-Vermeidung führen.
    *   **Kostenbewertung**: Bei angenommenen CO2-Kosten von 100 $/MT (Millionen Tonnen) würde der Barwert des vermiedenen Kohlenstoffs zwischen 300 und 600 Milliarden US-Dollar (mit einem Diskontsatz von 5 %) liegen.
    *   **Erweiterung des Szenarios**: Falls LIFE Kohlekraftwerke mit Kohlenstoffabscheidung und -speicherung (CCS) ersetzen würde, wäre der vermiedene Wert noch größer, da CCS die thermische Effizienz reduziert.
*   **Vermeidung von nuklearem Abfall und Plutoniumproduktion**:
    *   **Szenarioannahme für Abfall**: Wenn LIFE neue Leichtwasserreaktoren mit einmaligem Brennstoffkreislauf ersetzen würde, wäre die Metrik die **Vermeidung von hochradioaktivem Atommüll**.
    *   **Ergebnisse für Abfall**: Ein kommerzieller Start 2030 könnte die Vermeidung von 230.000 bis 360.000 Tonnen hochradioaktiven Atommülls bedeuten (entspricht 3,0 bis 4,5 zusätzlichen "Yucca-Mountain-Äquivalenten"). Ein Start 2040 würde die Abfallvermeidung um 85.000 bis 110.000 Tonnen reduzieren.
    *   **Szenarioannahme für Plutonium**: Wenn LIFE stattdessen schnelle Reaktoren mit Wiederaufbereitung ersetzen würde, wäre die Metrik die **Vermeidung von Plutonium in der Lagerung**.
    *   **Ergebnisse für Plutonium**: Ein kommerzieller Start 2030 könnte die Vermeidung von 3000 bis 4000 Tonnen gelagertem Plutonium bedeuten. Ein Start 2040 würde die Plutoniummenge im Jahr 2100 um über 800.000 kg (100.000 signifikante Mengen) erhöhen. Dies unterstreicht die Bedeutung eines frühen Starts für die **Reduzierung von Proliferationsrisiken**.
*   **Wichtigkeit des Zeitpunkts**: Die Studie betont, dass die frühen 2030er-Jahre von entscheidender Bedeutung sind, da der Stromnetzpark in den nächsten Jahrzehnten rekapitalisiert wird. Nach Abschluss der Rekapitalisierung sind die Marktchancen für die Erfüllung des Bedarfs begrenzt, was die Vorteile der Fusionsenergie erheblich mindern würde.
### 3. Der LIFE-Ansatz zur Kommerzialisierung
Der LIFE-Ansatz wird vom Lawrence Livermore National Laboratory (LLNL) in Partnerschaft mit anderen Einrichtungen entwickelt.
*   **Grundlagen**: Das Konzept nutzt die Wissenschaft und Technologie, die im National Ignition Facility (NIF) demonstriert wird, einschließlich der gleichen grundlegenden Lasertechnologie und Zielphysik (Neodym-dotierte Glas-Gain-Medien, indirekt angetriebene Hot-Spot-Zündung).
*   **Anpassungen für den Kraftwerksbetrieb**: Das Design wird jedoch angepasst für:
    *   Eine **kompaktere, modulare Laserarchitektur** für hohe Verfügbarkeit im Kraftwerksbetrieb.
    *   **Aktives Wärmemanagement** für höhere Wiederholungsraten (10 bis 20 Hz).
    *   **Diodenpumpen anstelle von Blitzlampen** für Kraftwerks-Lasereffizienz (10-20 %).
    *   **Massenproduzierbare Fusionstargets**.
*   **Drei Designpunkte für die Kommerzialisierung** (Table I):
    *   **LIFE.1**:
        *   **Zweck**: Ein Demonstrationseinrichtung, die 400 MW Fusionsleistung erzeugt. Sie soll als **Testbett für kommerzielle Kraftwerksprozesse und zur Qualifizierung von Materialien und Prozessen** in einer kontinuierlichen Fusionsumgebung dienen.
        *   **Technologie**: Maximiert die Nutzung bestehender Materialien und Technologien und soll 10-15 Jahre nach der Zündung auf NIF betriebsbereit sein. Es wird ein beschleunigtes Testschema für Materialien verwendet.
    *   **LIFE.2**:
        *   **Zweck**: Ein 1 GWe kommerzielles Kraftwerk, möglicherweise eine Hochrüstung von LIFE.1.
        *   **Technologie**: Nutzt die gleiche Lasertechnologie wie LIFE.1, aber fortschrittlichere, strahlenresistente Strukturmaterialien (Oxid-Dispersions-gehärteter Stahl, ODS) für höhere Temperaturen und Leistungsdichten. Diese Materialien sollen auf LIFE.1 qualifiziert werden.
    *   **LIFE.3**:
        *   **Zweck**: Zeigt das Potenzial für die Wirtschaftlichkeit einer ausgereiften LIFE-Technologie auf.
        *   **Technologie**: Basiert auf erwarteten Verbesserungen bei der Targeteffizienz, niedrigeren Fusions-Target-Kosten und höheren Betriebstemperaturen.
*   **Skaleneffekte**: LIFE weist eine natürliche Skalenökonomie auf, da die Effizienz der Umwandlung von Laserenergie in Fusionsenergie mit der Skalierung zu größerer elektrischer Leistung zunimmt. Größere Anlagen reduzieren die Kapitalintensität ($/kW).
### 4. Wirtschaftlichkeitsanalyse (LIFE Economics)
Um die Wettbewerbsfähigkeit von LIFE zu bewerten, wurden präkonzeptionelle Schätzungen der Kapitalkosten und Stromgestehungskosten (Cost of Electricity, COE) entwickelt.
*   **Kostenkategorisierung**: Die LIFE-Anlage ist in etwa 50 Kostenstellen unterteilt.
*   **Schätzung der Laser-Systemkosten**: Diese wurden mittels einer **Bottom-up-Methodik** geschätzt, wobei die Einheitskosten aus Lieferantenangeboten und NIF-Projektdaten abgeleitet wurden. Es wurden **Kostensenkungen aufgrund von Fertigungslernkurven** berücksichtigt.
*   **Schätzung weiterer Systemkosten**: Kosten für Fusionsantrieb, Tritiumanlage und Stromwandlungssysteme wurden aus der Literatur übernommen und mittels Standard-Skalierungsbeziehungen an den LIFE-Betriebspunkt angepasst.
*   **Fusions-Target-Kosten**: Die Einheitskosten der Fusionstargets wurden aus einer Target-Fertigungsstudie abgeleitet.
*   **Betriebs- und Wartungskosten (O&amp;M)**: Jährliche Nicht-Brennstoff-Betriebs-, Wartungs- und inkrementelle Kapitalkosten wurden als Prozentsätze der gesamten Anlagenkapitalkosten angenommen, abgeleitet aus der MIT-Publikation "The Future of Nuclear Power" (2009).
*   **Indirekte Kosten**: Multiplikatoren für indirekte Kosten stammen aus den Gen IV-Kostenabschätzung-Richtlinien, und Differenzen bei Kapital- und indirekten Kosten zwischen nuklearen und konventionellen Systemen wurden aus einer General Atomic-Studie übernommen.
*   **Anlagenverfügbarkeit**: Für ein "Zehntes-Anlagen"-Modell wurde eine hohe Verfügbarkeit von 92 % angenommen, ermöglicht durch die modulare Architektur des Anlagendesigns.
*   **Berechnung der Stromgestehungskosten (COE)**: Die COE wurden mithilfe der **Discounted-Cashflow-Methode** berechnet, die ebenfalls im MIT-Bericht von 2009 beschrieben ist.
*   **Kosten für alternative Technologien**: Die Kosten für alternative Stromerzeugungstechnologien wurden aus einer neueren Arbeit von Nicholson (2010) abgeleitet.
*   **Ergebnisse und Vergleich**: Die drei LIFE-Systeme (LIFE.1, LIFE.2, LIFE.3) haben geschätzte Kapitalkosten im Bereich von **4 bis 6 Milliarden US-Dollar**. Die geschätzten COE für LIFE (21,5 bis 36,4 Mills/kWh in 1999 US-Dollar, abgeleitet aus Fig. 4) sind **vergleichbar mit anderen kohlenstoffarmen Grundlast-Energiequellen** und niedriger als die Kosten der fossilen Brennstofferzeugung, wenn die Kohlenstoffkosten 50 bis 100 $/MT übersteigen.
*   **Sensitivitätsanalyse (Monte Carlo)**: Eine Sensitivitätsanalyse der COE zeigte, dass die am stärksten beeinflussenden wirtschaftlichen Parameter das **Strukturmaterial der Fusionskammer**, die **Fusions-Target-Kosten** und die **Target-Effizienz** sind. Dies unterstreicht die Bedeutung der Materialentwicklung (wie ODS-Stahl) und der Target-Entwicklung.
### 5. Kommerzialisierungszeitplan
*   **Indikativer Zeitplan**: Ein Zeitplan wird vorgeschlagen, der den Beginn des **ersten Pilotbetriebs etwa 12 Jahre nach Projektstart** vorsieht.
*   **Grundlagen für den Zeitplan**: Die Dauer für Design und Bau orientiert sich an Erfahrungen aus dem Bau des NIF und anderen Großprojekten.
*   **Integration von Forschung und Entwicklung (R&amp;D)**: Der Zeitplan muss vollständig mit den unterstützenden F&amp;E-Aktivitäten integriert werden.
    *   **Phase 1 (Anfangs-F&amp;E)**: Zielt auf die **Machbarkeitsdemonstration** der einzelnen Technologien ab, um die Grundlage für die Vorplanung der Pilotanlage zu schaffen.
    *   **Phase 2 (Erweiterte F&amp;E)**: Übergang zu Tests von Anlagenkomponenten in Originalgröße, um den Bau und die Beschaffung von Anlagenteilen vorzubereiten.
*   **Technische Risikoreduzierung**: Beispiele für Aktivitäten zur Risikoreduzierung sind die Massenproduktion von Fusionstargets, die Entwicklung von Hochleistungs-Laserkomponenten und Fusions-Engine-Strukturmaterialien.
### 6. Schlussfolgerungen
*   **Dringlichkeit und Vorteile**: Die Studie kommt zu dem Schluss, dass ein zwingender Grund besteht, die Entwicklung der Fusionstechnologie zu beschleunigen und das Ziel zu setzen, den ersten kommerziellen Betrieb in den **2030er Jahren oder früher** zu erreichen. Die Notwendigkeit ist dringend, und die Vorteile sind überzeugend.
*   **Vorgeschlagener Ansatz**: Der Ansatz besteht darin, die auf NIF demonstrierte Wissenschaft und Technologie zu nutzen und innerhalb von 10 bis 15 Jahren nach NIF-Zündung ein Fusionskraftwerk-Demonstrationsanlage zu entwerfen und zu bauen.
*   **Wirtschaftliches Potenzial**: Eine präkonzeptionelle Bewertung der LIFE-Wirtschaftlichkeit zeigt, dass sie sich gut mit anderen kohlenstoffarmen Technologien vergleicht.
*   **Herausforderungen**: Dieser Kommerzialisierungsansatz birgt technische Risiken und ist ambitioniert. Er erfordert ein **nationales Engagement** und ein Team aus Industrie, nationalen Laboren, Wissenschaft, Regierung, Regulierungsbehörden und internationalen Partnern.
*   **Nächste Schritte**: Die nächsten Schritte sind die Durchführung konzeptioneller Designstudien und der Technologiedemonstrationen, die erforderlich sind, um die Fusionskommerzialisierung mit der gebotenen Konzentration und Dringlichkeit voranzutreiben.</t>
  </si>
  <si>
    <r>
      <rPr>
        <b/>
        <sz val="8"/>
        <color theme="1"/>
        <rFont val="Calibri"/>
        <family val="2"/>
        <scheme val="minor"/>
      </rPr>
      <t>Main cost drivers and economic challenges:</t>
    </r>
    <r>
      <rPr>
        <sz val="8"/>
        <color theme="1"/>
        <rFont val="Calibri"/>
        <family val="2"/>
        <scheme val="minor"/>
      </rPr>
      <t xml:space="preserve">
•	Chamber structural material is the most critical cost driver.
→ Emphasizes need for advanced materials like oxide dispersion-strengthened (ODS) steel for high temperatures and radiation resistance.
•	Target cost and efficiency are the next key economic levers.
→ Improvements in target manufacturing and gain are crucial for overall economics.
•	Cost estimate uncertainty due to pre-conceptual design stage.
→ More detailed engineering is required; uncertainty is inherent in early-stage development.
•	Importance of early market entry:
→ Delaying commercialization (e.g., 2040 vs. 2030) significantly reduces:
o	Avoided CO₂ emissions
o	Avoided nuclear waste
o	Avoided plutonium accumulation
</t>
    </r>
    <r>
      <rPr>
        <b/>
        <sz val="8"/>
        <color theme="1"/>
        <rFont val="Calibri"/>
        <family val="2"/>
        <scheme val="minor"/>
      </rPr>
      <t>Cost reduction potencials and economic optimization approaches:
•	Economies of scale:
→ Laser-to-fusion efficiency improves with plant size, reducing $/kW. → Motivates design of larger plants once investor confidence grows.
•	Advanced materials (ODS steel):
→ Enable higher temperatures and power density.
→ LIFE.1 is designed as a testbed to qualify these materials.
•	Higher operating temperatures &amp; thermal-electric efficiency:
→ Efficiency increases from 43% (LIFE.1) to 53% (LIFE.3).
•	Modular architecture &amp; high availability:
→ Later plants (LIFE.2, LIFE.3) assume 92% availability.
→ High availability reduces LCOE by spreading fixed costs over more output.
→ Lasers are redesigned to be compact, modular, and serviceable.
•	Diode pumping for laser efficiency instead of flash lamps:
→ Increases laser efficiency to 10–20%.
→ Reduces internal power use and operational cost.
•	Mass production of fusion targets:
→ Target cost reduction through parallel development and scaling.
→ validated on NIF
•	Leverage of existing tech (NIF):
→ Uses proven NIF laser and target physics.
→ LIFE.1 maximizes reuse of existing materials to minimize R&amp;D burden.
•	Material/process qualification under fusion conditions:
→ LIFE.1 provides continuous fusion environment to qualify and test critical components.
•	Learning curves in laser manufacturing:
→ Cost reductions expected as production scales.
→ Learning rates based on NIF experience.
•	Competitiveness with low-carbon technologies:
→ LIFE’s LCOE is comparable to other baseload low-carbon sources.
→ Becomes cheaper than fossil fuels if carbon costs exceed $50–100/tCO2.
•	Use of non-nuclear-grade systems where possible:
→ General Atomics study used to identify where lower-cost conventional systems can substitute costly nuclear components (costly due to regulations), reducing capital and indirect costs.</t>
    </r>
  </si>
  <si>
    <t>1. Signifikanteste Kostentreiber und ökonomische Herausforderungen laut Studie:
•	Fusionskammer-Strukturmaterial: Der kostentreibendste ökonomische Parameter ist das Strukturmaterial der Fusionskammer. Dies unterstreicht die Bedeutung der laufenden Entwicklung von oxiddispersionsgehärteten Stählen (ODS-Stahl), die hohe Betriebstemperaturen und eine ausgezeichnete Strahlenschädigungsresistenz ermöglichen.
•	Fusions-Targetkosten und Targeteffizienz: Die nächstwichtigsten Hebel für die Wirtschaftlichkeit sind die Kosten der Fusions-Targets und deren Effizienz.
•	Unsicherheit der Kostenabschätzungen: Die aktuellen Kostenabschätzungen basieren auf einem "pre-conceptual design"-Niveau, was bedeutet, dass noch zusätzliche Arbeit und Detailplanung erforderlich sind. Dies stellt eine inhärente Herausforderung in frühen Entwicklungsphasen dar.
•	Wichtigkeit des frühen Markteintritts: Es besteht eine starke Motivation, die Kommerzialisierung rechtzeitig abzuschließen, um am Prozess der Rekapitalisierung des Stromnetzes in den nächsten Jahrzehnten teilzuhaben. Ein späterer Markteintritt (z.B. 2040 statt 2030) würde die vermiedenen CO2-Emissionen, die vermiedene Menge an hochradioaktivem Atommüll und die vermiedene Plutoniummenge erheblich reduzieren. Die Kommerzialisierung erfordert einen "aggressiven" Ansatz und birgt "technische Risiken".
2. Kostenreduktionspotenziale oder wirtschaftliche Optimierungsansätze:
•	Natürliche Skaleneffekte (Economy of Scale): Das LIFE-Konzept weist eine "natürliche Skaleneffizienz" auf. Die Effizienz der Umwandlung von Laserenergie in Fusionsenergie steigt mit zunehmender elektrischer Leistung der Anlage, was zu einer geringeren Kapitalintensität ($/kW) bei größeren Anlagen führt. Dies motiviert den Entwurf größerer Anlagen, sobald Investorenvertrauen gewonnen wurde.
•	Fortschrittliche Materialien (ODS-Stahl): Die Verwendung von strahlungsresistenten Strukturmaterialien wie oxiddispersionsgehärtetem Stahl (ODS) ermöglicht höhere Betriebstemperaturen und höhere Leistungsdichten. Dies ist entscheidend für die Wirtschaftlichkeit und wird als der wichtigste ökonomische Parameter hervorgehoben. LIFE.1 soll als Testbett zur Qualifizierung dieser Materialien dienen.
•	Höhere Betriebstemperaturen und thermisch-elektrische Effizienz: Die Weiterentwicklung zu Designs wie LIFE.3 zielt auf höhere Betriebstemperaturen ab, was die thermisch-elektrische Effizienz von 43% (LIFE.1) auf 53% (LIFE.3) steigert.
•	Modulare Architektur und hohe Verfügbarkeit: Das modulare Design der Anlage ermöglicht eine hohe Verfügbarkeit von 92% für spätere Anlagen (LIFE.2 und LIFE.3). Eine hohe Anlagenverfügbarkeit ist ein direkter Weg zur Reduzierung der Stromgestehungskosten (LCOE), da die Fixkosten über eine größere produzierte Strommenge verteilt werden. Die Lasersysteme werden zudem kompakter und modularer für hohen Verfügbarkeitsbetrieb gestaltet.
•	Diodenpumpung für Lasereffizienz: Die Verwendung von Dioden statt Blitzlampen für das Pumpen der Laser ermöglicht eine höhere Lasereffizienz von 10% bis 20%, was für den Kraftwerksbetrieb unerlässlich ist. Eine höhere Lasereffizienz reduziert den Eigenstromverbrauch und damit die Betriebskosten.
•	Massenproduktion von Fusions-Targets: Die Fähigkeit, Fusions-Targets in Massenproduktion herzustellen, ist ein Ziel, das zu niedrigeren Targetkosten führen soll. Die Targetentwicklung kann parallel zu anderen Aktivitäten erfolgen und auf der NIF validiert werden.
•	Nutzung und Weiterentwicklung bestehender Technologien: Der Kommerzialisierungsansatz nutzt die auf der National Ignition Facility (NIF) demonstrierte Wissenschaft und Technologie. Dies beinhaltet dieselbe grundlegende Lasertechnologie und Targetphysik. LIFE.1 ist darauf ausgelegt, bestehende Materialien und Technologien maximal zu nutzen, um den F&amp;E-Bedarf zu minimieren.
•	Qualifizierung von Materialien und Prozessen: LIFE.1 wird eine Umgebung bieten, um Materialien und Prozesse unter kontinuierlichem Fusionsbetrieb zu qualifizieren. Dies ist entscheidend für die Entwicklung kommerzieller Fusionskraftwerke.
•	Kostenreduktionen durch Fertigungslernkurven: Für Laser-Systemkosten werden Kostenreduktionen aufgrund von Fertigungslernkurven erwartet, da viele Komponenten in großen Mengen produziert werden. Die verwendeten Lernraten basieren auf Erfahrungen mit NIF.
•	Vergleichbare Wirtschaftlichkeit mit anderen kohlenstoffarmen Technologien: Die geschätzten Stromgestehungskosten für LIFE sind vergleichbar mit anderen Grundlast-Energiequellen und niedriger als die Kosten der fossilen Brennstofferzeugung, wenn die CO2-Kosten 50 bis 100 $/MT übersteigen. Dies positioniert LIFE als wettbewerbsfähige Option in einer zukünftigen, kohlenstoffarmen Energielandschaft.
•	Nutzung von Studien zu Nicht-Nukleargrad-Komponenten: Die "General Atomics study" wurde genutzt, um Kapital- und indirekte Kostenunterschiede zwischen nuklearem und konventionellem Industriestandard für Systeme und Strukturen abzuleiten. Dies deutet auf das Potenzial hin, Kosten zu senken, indem wo möglich nicht-nukleare Komponenten verwendet werden, die weniger strengen (und teureren) Anforderungen unterliegen</t>
  </si>
  <si>
    <t>•	Plant Breakdown:
  o	The LIFE plant is divided into ~50 cost centers (not further specified).
•	Laser System Costs:
  o	Estimated using a bottom-up approach but values not further specified.
  o	Unit costs based on vendor quotes and NIF data.
  o	Manufacturing learning curves applied (based on NIF experience), no value given.
  o	Design improvements for power plant use: compact modular lasers, active cooling, diode pumping (10–20% efficiency), high repetition rate (10–20 Hz).
•	Fusion Core, Tritium Systems &amp; Power Conversion:
  o	Costs adapted from literature (e.g. other ICF reactor designs, Nuclear Energy Cost Data Base etc.) using standard scaling laws to match LIFE specifications, formula not specified.
•	Fusion Target (Fuel Pellet) Costs:
  o	Unit costs derived from internal target manufacturing study.
•	O&amp;M and Incremental Capex:
  o	Assumed as fixed percentages of total plant capital cost.
  o	Percentages taken from MIT's 2009 Future of Nuclear Power report.
•	Indirect Cost Factors:
  o	Based on Gen IV Cost Estimating Guidelines.
  o	Adjustments for nuclear vs. conventional structures taken from a General Atomics study.
•	Plant Availability:
  o	For a 10th-of-a-kind plant, 92% availability is assumed and enabled by modular system design.
•	LCOE Calculation:
  o	Uses discounted cash flow (DCF) methodology per MIT 2009 report.
•	LIFE Point Designs (LIFE.1, LIFE.2, LIFE.3):
  o	LCOE reflects differing maturity levels:
	-&gt; LIFE.1 (FOAK): Highest cost, testbed using existing materials.
	-&gt; LIFE.3: Most mature, lowest cost, includes improved target efficiency, cheaper targets, higher operating temps.
  o	Key cost drivers: laser energy, repetition rate, net electric gain, thermal efficiency, first wall lifetime, neutron flux, fusion power.
  o           LCOE also influenced by Carbon costs</t>
  </si>
  <si>
    <t>•	Aufteilung der Anlage: Die gesamte LIFE-Anlage ist in etwa 50 Kostenstellen (cost centers) unterteilt, die nicht weiter spezifiziert werden.
•	Lasersystemkosten:
   o	Diese Kosten werden mit einer Bottom-up-Methodik geschätzt.
   o	Die Stückkosten für Laserkomponenten werden aus Anbieterangeboten (vendor quotes) und Daten des NIF-Projekts (National Ignition Facility) abgeleitet.
  o	Es werden Kostensenkungen aufgrund von Fertigungslernkurven (manufacturing learning) geschätzt, wobei die verwendeten Lernraten durch die Erfahrungen mit NIF beeinflusst wurden. 
  o	Die Lasersysteme von LIFE nutzen die gleiche grundlegende Lasertechnologie wie NIF, aber die Designs wurden für den Kraftwerksbetrieb modifiziert. Dazu gehören eine kompaktere, modulare Architektur, aktives Wärmemanagement für höhere Wiederholungsraten (10 bis 20 Hz) und Diodenpumpen für höhere Effizienz (~10% bis 20%).
•	Kosten für Fusions-"Triebwerk", Tritium-Anlage und Energieumwandlungssysteme:
  o	Diese Kosten werden aus bestehenden Studien in der Literatur entnommen und mittels Standard-Skalierungsbeziehungen an den LIFE-Betriebspunkt angepasst.
•	Kosten für Fusions-Targets (Brennstoffpellets):
  o	Die Stückkosten für die Targets werden aus einer spezifischen internen Target-Herstellungsstudie abgeleitet.
•	Betriebs- und Wartungskosten (O&amp;M-Kosten) und inkrementelle Kapitalkosten:
  o	Es wird angenommen, dass diese jährlichen Kosten als Prozentsätze der gesamten Kapitalkosten der Anlage skalieren.
  o	Die verwendeten Prozentsätze wurden aus der 2009er MIT-Publikation "The Future of Nuclear Power" abgeleitet.
•	Indirekte Kostenfaktoren:
  o	Diese stammen aus den "Gen IV cost estimating guidelines".
  o	Kostenunterschiede zwischen nuklearen und konventionellen Systemen und Strukturen wurden aus einer General Atomic Studie übernommen.
•	Anlagenverfügbarkeit:
  o	Für eine "10th of a kind plant" (also eine weiter entwickelte Anlage nach den ersten Prototypen) wird eine hohe Verfügbarkeit von 92% angenommen. Diese hohe Verfügbarkeit wird durch die modulare Architektur der Anlage ermöglicht.
•	Berechnung der Stromgestehungskosten (LCOE):
  o	Die Berechnung erfolgt mithilfe der Diskontierter-Cashflow-Methode (discounted cash flow methodology), die im MIT-Bericht von 2009 beschrieben ist.
•	Technische Parameter der LIFE-Punkt-Designs (LIFE.1, LIFE.2, LIFE.3):
  o	Die Kosten und die LCOE spiegeln die unterschiedlichen technischen Spezifikationen und Reifegrade dieser drei Designs wider.
  o	LIFE.1 (erste ihrer Art, "first-of-a-kind") liegt am oberen Ende der Kostenbandbreite, da es maximal bestehende Materialien und Technologien nutzt und als Testbett dient.
  o	LIFE.3 (reiferes System) liegt am unteren Ende der Kostenbandbreite und erfasst potenzielle Verbesserungen in der Zieleffizienz, niedrigere Fusionszielkosten und höhere Betriebstemperaturen.
  o	Wichtige technische Parameter, die die Kosten beeinflussen, sind unter anderem die Laserenergie, die Wiederholungsrate, der elektrische Gewinn der Anlage, der thermisch-elektrische Wirkungsgrad, die Lebensdauer der ersten Wand, die Neutronenbelastung und die Fusionsleistung.
•	Sensitivität der Kosten:
  o	Die Kosten des Strukturmaterials der Fusionskammer (insbesondere Oxid-Dispersions-gehärteter Stahl, ODS) sind der am stärksten gehebelte Wirtschaftsparameter.
  o	Die Fusionszielkosten und die Zieleffizienz sind die nächstwichtigsten Parameter.</t>
  </si>
  <si>
    <r>
      <rPr>
        <b/>
        <sz val="8"/>
        <color theme="1"/>
        <rFont val="Calibri"/>
        <family val="2"/>
        <scheme val="minor"/>
      </rPr>
      <t xml:space="preserve">1. Is the modeling approach transparently documented?
-&gt; Yes since:
•	Uses Discounted Cash Flow (DCF) per MIT (2009).
•	~50 cost centers defined.
•	Laser costs: bottom-up (based on vendor quotes, NIF data).
•	Reactor/tritium/conversion costs: literature + scaling.
•	Target unit cost: internal target study.
•	O&amp;M/incremental CapEx: % of total CapEx (based on MIT 2009).
•	Indirect costs: Gen IV guidelines.
•	Nuclear vs. conventional: General Atomics study.
</t>
    </r>
    <r>
      <rPr>
        <sz val="8"/>
        <color theme="1"/>
        <rFont val="Calibri"/>
        <family val="2"/>
        <scheme val="minor"/>
      </rPr>
      <t xml:space="preserve">
</t>
    </r>
    <r>
      <rPr>
        <b/>
        <sz val="8"/>
        <color theme="1"/>
        <rFont val="Calibri"/>
        <family val="2"/>
        <scheme val="minor"/>
      </rPr>
      <t xml:space="preserve">2. Are model and cost assumptions from external sources or internally derived?
•	Mostly external, some adapted:
  o	External:
	-&gt; DCF: MIT (2009)
	-&gt; Reactor/tritium/conversion: literature
	-&gt; Target cost: LLNL target study
	-&gt; O&amp;M %: MIT (2009)
	-&gt; Indirect cost multipliers: Gen IV
	-&gt; Nuclear vs. conventional: GA study
	-&gt; Comparison costs: Nicholson (2010)
  o	Internal/Adjusted:
	-&gt; Laser unit costs (vendor + NIF)
	-&gt; Learning curves (laser)
	-&gt; Scaling of literature costs to LIFE specifications (literature: Nuclear Energy Cost Data Base, General electric report, studies from other icf reactor designs)
</t>
    </r>
    <r>
      <rPr>
        <sz val="8"/>
        <color theme="1"/>
        <rFont val="Calibri"/>
        <family val="2"/>
        <scheme val="minor"/>
      </rPr>
      <t xml:space="preserve">
</t>
    </r>
    <r>
      <rPr>
        <b/>
        <sz val="8"/>
        <color theme="1"/>
        <rFont val="Calibri"/>
        <family val="2"/>
        <scheme val="minor"/>
      </rPr>
      <t xml:space="preserve">3. Were external sources modified?
•	Literature costs scaled to LIFE.
•	Laser costs adjusted via learning curves.
•	O&amp;M % applied to LIFE CapEx (based on MIT).
</t>
    </r>
    <r>
      <rPr>
        <sz val="8"/>
        <color theme="1"/>
        <rFont val="Calibri"/>
        <family val="2"/>
        <scheme val="minor"/>
      </rPr>
      <t xml:space="preserve">
4. Are uncertainties or sensitivities addressed?
•	Pre-conceptual design level → high uncertainty.
•	Monte Carlo sensitivity analysis (LCOE).
•	Sensitivities:
  o	Fusion chamber material (ODS steel)
  o	Target cost and gain
  o	Market entry timing (2030 vs. 2040)
  o	Cost of carbon (external variable)
5. Is the costing approach bottom-up, top-down, or hybrid?
•	Hybrid.
•	Laser system: bottom-up.
•	Reactor, tritium, conversion: scaled top-down from literature.
</t>
    </r>
    <r>
      <rPr>
        <b/>
        <sz val="8"/>
        <color theme="1"/>
        <rFont val="Calibri"/>
        <family val="2"/>
        <scheme val="minor"/>
      </rPr>
      <t xml:space="preserve">6. Are costs based on physical and technical parameters?
•	Defined by:
  o	Laser energy &amp; repetition (14.8 Hz)
  o	Electrical efficiency (43–53%)
  o	Net fusion power
  o	Availability (50% LIFE.1, 92% LIFE.2/3)
  o	Use of RAFMS (LIFE.1), ODS steel (LIFE.2/3)
  o	Diode pumping (10–20% efficiency)
  o	Modular design (enables uptime &amp; cost spread)
  o	Natural scaling: $/kW improves with size
</t>
    </r>
    <r>
      <rPr>
        <sz val="8"/>
        <color theme="1"/>
        <rFont val="Calibri"/>
        <family val="2"/>
        <scheme val="minor"/>
      </rPr>
      <t xml:space="preserve">
7. What technical and economic assumptions are made?
•	Technical:
  o	NIF-based laser &amp; target tech
  o	Diode lasers (10–20% eff.)
  o	Availability: 50–92%
  o	Target mass production
  o	LIFE.1 = testbed
•	Economic:
  o	CO2 cost = $100/ton
  o	Discount rate = 5%
  o	CapEx = $4–6B
  o	O&amp;M = % of CapEx
  o	Learning curves (laser)
  o	Early market entry crucial for benefits
8. Which technical parameters most affect cost?
•	Fusion chamber material (ODS steel)
•	Target cost &amp; efficiency
•	Temperature (→ thermal efficiency)
•	Plant size (→ capital intensity)
•	Laser efficiency (diode-based)
•	Availability (higher = lower LCOE)
•	Repetition rate (fixed at 14.8 Hz)
</t>
    </r>
    <r>
      <rPr>
        <b/>
        <sz val="8"/>
        <color theme="1"/>
        <rFont val="Calibri"/>
        <family val="2"/>
        <scheme val="minor"/>
      </rPr>
      <t xml:space="preserve">9. Is the reactor concept aligned with state of the art?
•	Yes, builds on NIF tech.
•	Improvements for commercial use:
  o	Modular lasers
  o	Active cooling
  o	Diode pumping
  o	Target mass production
  o	ODS steel testing in LIFE.1
•	Requires significant further development.
</t>
    </r>
    <r>
      <rPr>
        <sz val="8"/>
        <color theme="1"/>
        <rFont val="Calibri"/>
        <family val="2"/>
        <scheme val="minor"/>
      </rPr>
      <t xml:space="preserve">
10. Is it a planned or hypothetical concept?
•	Planned.
•	Three-point designs: LIFE.1 (demo), LIFE.2 (1 GWe), LIFE.3 (mature).
•	Pilot operation planned ~12 years from start.
•	Includes staged commercialization roadmap.
11. How current are assumptions?
•	Based on 2007–2010 data.
•	Key sources: MIT (2009), LLNL (2009), Gen IV (2007), GA (1987).
</t>
    </r>
    <r>
      <rPr>
        <b/>
        <sz val="8"/>
        <color theme="1"/>
        <rFont val="Calibri"/>
        <family val="2"/>
        <scheme val="minor"/>
      </rPr>
      <t xml:space="preserve">12. How robust vs. speculative are assumptions?
•	Robust:
  o	NIF-based tech
  o	Vendor-based laser costs
  o	O&amp;M from MIT
  o	Gen IV guidelines
•	Speculative:
  o	Pre-concept design = high uncertainty
  o	Aggressive commercialization strategy
  o	Future gains (ODS, target cost/gain)
  o	92% availability is ambitious
  o	Target mass production not yet realized
</t>
    </r>
    <r>
      <rPr>
        <sz val="8"/>
        <color theme="1"/>
        <rFont val="Calibri"/>
        <family val="2"/>
        <scheme val="minor"/>
      </rPr>
      <t xml:space="preserve">
</t>
    </r>
    <r>
      <rPr>
        <b/>
        <sz val="8"/>
        <color theme="1"/>
        <rFont val="Calibri"/>
        <family val="2"/>
        <scheme val="minor"/>
      </rPr>
      <t xml:space="preserve">13. Are cost components disaggregated?
•	Yes:
  o	CapEx: $4–6B range
  o	Laser: separate bottom-up
  o	Reactor/tritium/conversion: scaled from literature
  o	Targets: separate unit cost
  o	O&amp;M/CapEx: % of total
  o	Indirect costs: separate (Gen IV)
</t>
    </r>
    <r>
      <rPr>
        <sz val="8"/>
        <color theme="1"/>
        <rFont val="Calibri"/>
        <family val="2"/>
        <scheme val="minor"/>
      </rPr>
      <t xml:space="preserve">
</t>
    </r>
    <r>
      <rPr>
        <b/>
        <sz val="8"/>
        <color theme="1"/>
        <rFont val="Calibri"/>
        <family val="2"/>
        <scheme val="minor"/>
      </rPr>
      <t xml:space="preserve">14. Are material and component costs separately stated?
•	Materials:
  o	Chamber structure is key economic driver
  o	RAFMS (LIFE.1), ODS (LIFE.2/3)
•	Components:
  o	Laser costs (vendor + NIF)
  o	Reactor/tritium/conversion: from literature
  o	Targets: separate unit cost
</t>
    </r>
    <r>
      <rPr>
        <sz val="8"/>
        <color theme="1"/>
        <rFont val="Calibri"/>
        <family val="2"/>
        <scheme val="minor"/>
      </rPr>
      <t xml:space="preserve">
15. Strategic, economic, or technical focus?
•	All three, but strategic is dominant.
  o	Quantifies CO2/waste/plutonium savings
  o	Proposes commercialization path
•	Economic: LCOE analysis, cost comparison
•	Technical: NIF-based concept + upgrades needed
</t>
    </r>
    <r>
      <rPr>
        <b/>
        <sz val="8"/>
        <color theme="1"/>
        <rFont val="Calibri"/>
        <family val="2"/>
        <scheme val="minor"/>
      </rPr>
      <t>16. Is the study reactor-focused or energy-system oriented?
•	Energy-system oriented.
  o	Fusion's role in decarbonizing US grid
  o	Avoids carbon/waste/plutonium
  o	Compares LCOE to other technologies
o	Assumes fusion displaces fossil/nuclear plants
o	Places LIFE in broader generation mix</t>
    </r>
  </si>
  <si>
    <t>1.	Ist der Modellierungsansatz transparent dokumentiert? Ja, der Modellierungsansatz ist transparent dokumentiert. Die Studie gibt an, dass die "Cost of electricity" (Stromgestehungskosten) unter Verwendung der Discounted Cash Flow (DCF) Methodik berechnet wurde, die im MIT-Bericht von 2009 beschrieben ist. Das LIFE-Kraftwerk ist in etwa 50 Kostenstellen unterteilt. Die Kosten für das Lasersystem wurden mittels einer Bottom-up-Methodik geschätzt, wobei die Stückkosten aus Lieferantenangeboten und Daten des NIF-Projekts abgeleitet wurden. Kosten für den Fusionsreaktor, die Tritiumanlage und die Stromumwandlungssysteme wurden aus Studien in der Literatur entnommen und unter Verwendung von Standard-Skalierungsbeziehungen auf den LIFE-Betriebspunkt skaliert. Die Stückkosten für Fusions-Targets wurden aus einer Studie zur Targetherstellung abgeleitet. Jährliche Betriebs-, Wartungs- und inkrementelle Kapitalkosten (Nicht-Brennstoff) wurden als Prozentsätze der Gesamtkapitalkosten der Anlage angenommen, wobei diese Prozentsätze aus der MIT-Publikation von 2009 zur Zukunft der Kernkraft stammen. Indirekte Kostenmultiplikatoren stammen aus den Gen IV-Kostenabschätzungsrichtlinien. Unterschiede bei den Kapital- und indirekten Kosten zwischen nuklearen und konventionellen Systemen und Strukturen wurden aus einer General Atomics-Studie entnommen.
2.	Beruhen die Modell- und Kostenannahmen auf externen Quellen oder wurden sie selbst abgeleitet? Die Modell- und Kostenannahmen beruhen überwiegend auf externen Quellen, wurden aber teilweise selbst abgeleitet oder angepasst.
o	Externe Quellen: 
	DCF-Methodik: 2009 MIT-Bericht.
	Kosten für Fusionsreaktor, Tritiumanlage, Stromumwandlungssysteme: Studien aus der Literatur.
	Stückkosten für Fusions-Targets: Studie zur Targetherstellung.
	Prozentsätze für O&amp;M und inkrementelle Kapitalkosten: 2009 MIT-Publikation.
	Indirekte Kostenmultiplikatoren: Gen IV-Kostenabschätzungsrichtlinien.
	Kostenunterschiede nuklear vs. konventionell: General Atomics-Studie.
	Kosten alternativer Technologien für den Vergleich: Eine Studie von Nicholson (2010).
o	Selbst abgeleitet/angepasst: 
	Stückkosten für Lasersysteme: Abgeleitet aus Lieferantenangeboten und NIF-Projektdaten.
	Kostenreduktionen aufgrund von Fertigungslernkurven für Lasersysteme: Geschätzt basierend auf Erfahrungen mit NIF.
	Skalierung von Kosten aus Literaturstudien auf den LIFE-Betriebspunkt: Mit "Standard-Skalierungsbeziehungen" angewendet.
3.	Falls externe Quellen verwendet wurden – wurden diese modifiziert? Ja, die aus externen Quellen stammenden Kosten wurden modifiziert, indem sie auf den spezifischen LIFE-Betriebspunkt skaliert wurden. Für die Kosten des Lasersystems wurden zudem Kostenreduktionen aufgrund von Fertigungslernkurven angewendet, basierend auf Erfahrungen mit NIF. Die Prozentsätze für O&amp;M wurden aus dem MIT-Bericht "abgeleitet" und auf die Gesamtkapitalkosten des LIFE-Kraftwerks angewendet, was eine Anpassung an das spezifische Projekt darstellt.
4.	Werden Unsicherheiten oder Sensitivitäten thematisiert? Ja, Unsicherheiten und Sensitivitäten werden thematisiert.
o	Unsicherheiten: Die Studie weist explizit darauf hin, dass die LIFE-Kostenabschätzungen auf einem "pre-conceptual design level" basieren, was bedeutet, dass zusätzliche Arbeit erforderlich ist. Der gesamte Kommerzialisierungsansatz birgt "technisches Risiko" und wird als "aggressiv" bezeichnet.
o	Sensitivitäten: 
	Eine Monte-Carlo-Sensitivitätsanalyse der Stromgestehungskosten wurde durchgeführt und in Abbildung 5 dargestellt.
	Als der wirtschaftlich am stärksten beeinflussende Parameter wurde das Strukturmaterial der Fusionskammer identifiziert. Dies unterstreicht die Bedeutung der laufenden Entwicklung von oxiddispersionsgehärtetem Stahl (ODS-Stahl).
	Die nächstwichtigsten Parameter sind die Kosten der Fusions-Targets und deren Effizienz.
	Die wirtschaftlichen Vorteile (z.B. vermiedene CO2-Emissionen) werden als sensitiv gegenüber dem Zeitpunkt des Markteintritts dargestellt; ein späterer Eintritt (z.B. 2040 statt 2030) reduziert die Vorteile erheblich.
	Die Kosten der Stromerzeugung werden auch in Bezug auf die Kosten für CO2-Emissionen (Cost of Carbon) verglichen, was eine Sensitivität gegenüber diesem externen Faktor darstellt.
5.	Wird offengelegt, ob die Kostenabschätzung auf einem Bottom-up-, Top-down- oder hybriden Ansatz basiert? Ja, es wird offengelegt, dass ein hybrider Ansatz verwendet wurde.
o	Die Kosten für das Lasersystem wurden mit einer Bottom-up-Methodik geschätzt.
o	Die Kosten für den Fusionsreaktor, die Tritiumanlage und die Stromumwandlungssysteme wurden aus bestehenden Studien in der Literatur entnommen und auf den LIFE-Betriebspunkt skaliert. Dies kann als eine Form der Top-down-Anwendung von externen Daten interpretiert werden.
6.	Beruht die Kostenherleitung auf physikalischen und technologischen Werten? Ja, die Kostenherleitung beruht auf physikalischen und technologischen Werten.
o	Die drei LIFE-Punkt-Designs (LIFE.1, LIFE.2, LIFE.3) sind durch spezifische technische Parameter wie Laserenergie, Wiederholungsrate, thermisch-elektrische Effizienz, Fusionsleistung und Anlagenverfügbarkeit definiert, die direkt die Kosten beeinflussen.
o	Die Verwendung von fortschrittlichen Materialien wie ODS-Stahl ermöglicht höhere Betriebstemperaturen und Leistungsdichten, was als der "wirtschaftlich am stärksten beeinflussende Parameter" hervorgehoben wird.
o	Die Effizienz der Umwandlung von Laserenergie in Fusionsenergie steigt mit zunehmender elektrischer Leistung, was zu einer geringeren Kapitalintensität ($/kW) bei größeren Anlagen führt ("natürliche Skaleneffizienz").
o	Die Notwendigkeit von Diodenpumpen für die Laser (statt Blitzlampen) wird genannt, um die für ein Kraftwerk erforderliche Lasereffizienz von ~10% bis 20% zu erreichen, was sich auf die Gesamteffizienz und die Kosten auswirkt.
o	Targetkosten und Targeteffizienz sind die nächstwichtigsten Hebel für die Wirtschaftlichkeit.
o	Eine hohe Anlagenverfügbarkeit (92% für spätere Designs) ist durch die modulare Architektur der Anlage ermöglicht und verteilt die Fixkosten auf eine größere Strommenge, was die Stromgestehungskosten senkt.
7.	Welche technischen und wirtschaftlichen Annahmen wurden getroffen? Technische Annahmen:
o	Lasertechnologie: Nutzung der grundlegenden Lasertechnologie und Targetphysik der NIF (Neodym-dotierte Glas-Gain-Medien, Multipass-Architektur, räumliche Filterung, indirekt angesteuertes Hot-Spot-Zündungs-Fusionstarget).
o	Laser-Repetitionsrate: Konstante 14,8 Hz für alle LIFE-Konzepte.
o	Laser-Effizienz: Erreichung von 10% bis 20% Effizienz durch Diodenpumpen.
o	Wärme-zu-Strom-Effizienz: 43% (LIFE.1), 48% (LIFE.2), 53% (LIFE.3).
o	Anlagenverfügbarkeit (Kapazitätsfaktor): 50% für LIFE.1, 92% für LIFE.2 und LIFE.3 (als "10th of a kind plant" angenommen).
o	Materialien: Nutzung von RAFMS für LIFE.1 und ODS-Stahl für LIFE.2 und LIFE.3, um höhere Temperaturen und Leistungsdichten zu ermöglichen.
o	Targetproduktion: Fähigkeit zur Massenproduktion von Fusions-Targets.
o	Anlagenskalierung: Natürliche Skaleneffizienz, bei der die Kapitalintensität ($/kW) bei größeren Anlagen sinkt.
o	LIFE.1 als Testbett: Wird Materialien und Prozesse unter kontinuierlichem Fusionsbetrieb qualifizieren. Wirtschaftliche Annahmen:
o	CO2-Kosten: 100 $/MT für die Berechnung des Barwerts der vermiedenen Emissionen.
o	Diskontierungssatz: 5% für die Berechnung des Barwerts der vermiedenen Emissionen.
o	O&amp;M- und inkrementelle Kapitalkosten: Skalieren als Prozentsätze der Gesamtkapitalkosten der Anlage.
o	Lernkurven: Kostenreduktionen aufgrund von Fertigungslernkurven für Lasersysteme.
o	Kapitalkosten-Range: Geschätzte Kapitalkosten für alle drei Systeme im Bereich von 4 bis 6 Milliarden US-Dollar.
o	Markteintritts-Timing: Quantifizierung der Vorteile für einen Markteintritt in den 2030er Jahren im Vergleich zu 2040.
8.	Welche physikalischen und technischen Parameter beeinflussen die Kosten? Die Studie hebt hervor, dass folgende physikalische und technische Parameter die Kosten am stärksten beeinflussen:
o	Strukturmaterial der Fusionskammer: Der wichtigste ökonomische Hebel; insbesondere die Entwicklung von ODS-Stahl für hohe Temperaturen und Strahlungsresistenz.
o	Fusions-Targetkosten und Targeteffizienz: Die zweitwichtigsten Hebel für die Wirtschaftlichkeit.
o	Betriebstemperatur und thermisch-elektrische Effizienz: Höhere Temperaturen (ermöglicht durch ODS-Stahl) führen zu einer Steigerung der thermisch-elektrischen Effizienz und damit zu besseren Kosten.
o	Anlagenleistung/Skalierung: Größere elektrische Leistung führt zu einer besseren Skaleneffizienz und geringeren Kapitalintensität ($/kW).
o	Laser-Effizienz: Eine höhere Lasereffizienz (10-20% mit Diodenpumpen) ist für den Kraftwerksbetrieb unerlässlich und wirkt sich auf die Gesamteffizienz und die Kosten aus.
o	Anlagenverfügbarkeit (Kapazitätsfaktor): Eine hohe Verfügbarkeit (92% für reifere Designs) verteilt die Fixkosten über eine größere Stromproduktion und senkt so die Stromgestehungskosten.
o	Wiederholungsrate: Die konstante Wiederholungsrate von 14,8 Hz ist ein Designparameter, der die Gesamtfusionsleistung beeinflusst.
9.	Ist das technische Reaktorkonzept konsistent mit dem Stand der Technik (state of the art)? Das LIFE-Konzept basiert auf und nutzt die wissenschaftlichen und technologischen Fortschritte, die auf der National Ignition Facility (NIF) demonstriert werden. Es verwendet die gleiche grundlegende Lasertechnologie und Targetphysik wie die NIF. Allerdings werden für den Kraftwerksbetrieb Änderungen an den NIF-Designs als notwendig erachtet, die über den damaligen "state of the art" der NIF hinausgehen, um eine kommerzielle Anlage zu ermöglichen:
o	Ein kompakterer, modularer Laserarchitektur-Aufbau für den Hochverfügbarkeitsbetrieb.
o	Aktives Wärmemanagement für höhere Wiederholungsraten (10 bis 20 Hz).
o	Diodenpumpen statt Blitzlampen für eine Lasereffizienz auf Kraftwerksniveau (~10% bis 20%).
o	Massenproduzierbare Fusions-Targets.
o	Die Qualifizierung von fortschrittlichen, strahlungsresistenten Strukturmaterialien (wie ODS-Stahl) unter kontinuierlichem Fusionsbetrieb ist ein zentraler Zweck von LIFE.1. Zusammenfassend lässt sich sagen, dass das Konzept im Wesentlichen mit dem damaligen Stand der Technik (NIF-Technologie) konsistent ist, jedoch erhebliche Weiterentwicklungen und Qualifizierungen erfordert, um für einen kommerziellen Dauerbetrieb geeignet zu sein.
10.	Handelt es sich um ein geplantes Konzept oder um ein hypothetisches Design? Es handelt sich um ein geplantes Konzept mit einem vorgeschlagenen Kommerzialisierungspfad. Die Studie beschreibt diesen Pfad in Form von drei "Punkt-Designs": LIFE.1, LIFE.2 und LIFE.3.
o	LIFE.1 ist als Demonstrationsanlage konzipiert, die innerhalb von 10 bis 15 Jahren nach der Zündung auf der NIF betriebsbereit sein soll und dazu dient, die für ein kommerzielles Kraftwerk benötigten Prozesse und Materialien zu qualifizieren.
o	LIFE.2 ist als 1 GWe kommerzielles Kraftwerk konzipiert, und LIFE.3 stellt das Potenzial für eine ausgereifte LIFE-Technologie dar.
o	Es wird ein indikativer Zeitplan für Design und Bau präsentiert, der erste Pilotbetriebe in etwa 12 Jahren ab Projektstart vorsieht. Obwohl die Kostenabschätzungen auf einem "pre-conceptual design level" liegen und der Ansatz technische Risiken birgt, ist es klar ein strategischer Plan mit konkreten Phasen für die Entwicklung und den Bau von Fusionskraftwerken.
11.	Wie aktuell sind die technischen und wirtschaftlichen Annahmen? Die Studie wurde im Juli 2011 veröffentlicht. Die technischen und wirtschaftlichen Annahmen basieren größtenteils auf Quellen aus den späten 2000er Jahren (2007-2010):
o	Kosten für alternative Technologien: Nicholson (2010).
o	DCF-Methodik, O&amp;M-Prozentsätze: MIT-Bericht (2009).
o	Target-Fabrikationskosten: LLNL-Bericht (2009).
o	EIA-Prognosen für Energienachfrage (2009).
o	Gen IV Kostenrichtlinien (2007).
o	Einige grundlegende Kostendaten aus Literaturstudien reichen bis in die 1980er und 1990er Jahre zurück. Die "General Atomics study" für Kostenunterschiede zwischen nuklearem und konventionellem Standard stammt von 1987. Daher spiegeln die Annahmen den Stand der Technik und die wirtschaftlichen Bedingungen der frühen 2010er Jahre wider.
12.	Wie belastbar oder spekulativ sind die getroffenen Annahmen? Die getroffenen Annahmen sind eine Mischung aus belastbaren und spekulativen Elementen:
o	Belastbar: Die Studie nutzt die auf der NIF demonstrierte Wissenschaft und Technologie als Grundlage. Die Kosten für Lasersysteme basieren auf Anbieterangeboten und Daten aus dem NIF-Projekt. O&amp;M-Annahmen stammen aus einem etablierten MIT-Bericht zum Thema Kernkraft. Indirekte Kostenmultiplikatoren basieren auf anerkannten Gen IV-Richtlinien. Die Quantifizierung der vermiedenen Emissionen und Abfälle basiert auf klaren Szenarien.
o	Spekulativ: 
	Die Kostenabschätzungen liegen auf einem "pre-conceptual design level", was inhärent einen hohen Grad an Unsicherheit mit sich bringt und "zusätzliche Arbeit" erfordert.
	Der Kommerzialisierungsansatz birgt "technische Risiken" und ist "aggressiv".
	Annahmen für die reiferen Designs (LIFE.2 und LIFE.3) beinhalten erwartete Verbesserungen in Bereichen wie Targeteffizienz, niedrigere Targetkosten und höhere Betriebstemperaturen, sowie die Qualifizierung von fortschrittlichen Materialien (ODS-Stahl), die noch nicht vollständig für den Dauerbetrieb in einem Fusionskraftwerk bewiesen sind.
	Die Annahme einer sehr hohen Verfügbarkeit von 92% für spätere Anlagen ist ein ehrgeiziges Ziel, das die Reife der Technologie und modulare Bauweise voraussetzt.
	Die Massenproduktion von Fusions-Targets wird als zukünftiges Ziel genannt. Zusammenfassend lässt sich sagen, dass die Annahmen dort belastbar sind, wo sie auf bestehenden, experimentell demonstrierten Technologien (NIF) oder etablierten wirtschaftlichen Modellen basieren. Für die kommerziellen Phasen und die zukünftigen Potenziale sind sie jedoch naturgemäß spekulativer und bauen auf erwarteten technologischen Durchbrüchen und Optimierungen auf.
13.	Werden die einzelnen Kostenkomponenten, wie z.B. O&amp;M etc. separat ausgewiesen? Ja, die Hauptkostenkomponenten werden separat berücksichtigt und ausgewiesen, auch wenn keine detaillierte Auflistung aller 50 Kostenstellen in den vorliegenden Auszügen erfolgt.
o	Kapitalkosten: Geschätzt im Bereich von 4 bis 6 Milliarden US-Dollar für alle drei Systeme.
o	Lasersystemkosten: Separat mit einer Bottom-up-Methodik geschätzt.
o	Kosten für Fusionsreaktor, Tritiumanlage und Stromumwandlungssysteme: Separat aus Literaturstudien entnommen und skaliert.
o	Fusions-Target-Stückkosten: Separat aus einer Herstellungsstudie abgeleitet.
o	Jährliche Nicht-Brennstoff-Betriebs-, Wartungs- (O&amp;M) und inkrementelle Kapitalkosten: Als Prozentsätze der Gesamtkapitalkosten angenommen.
o	Indirekte Kostenmultiplikatoren: Separat berücksichtigt.
14.	Werden Materialkosten und Komponentenkosten separat ausgewiesen?
o	Materialkosten: Die Studie nennt das Strukturmaterial der Fusionskammer als den "wirtschaftlich am stärksten beeinflussenden Parameter". Dies unterstreicht die Bedeutung der Materialkosten für die Gesamtwirtschaftlichkeit, auch wenn spezifische absolute Zahlen nicht explizit aufgeführt sind. Es wird die Verwendung von RAFMS (für LIFE.1) und ODS-Stahl (für LIFE.2 und LIFE.3) als First-Wall-Materialien genannt.
o	Komponentenkosten: Ja, Komponentenkosten werden für wichtige Systeme separat behandelt: 
	Lasersystemkosten: Basieren auf Stückkosten aus Anbieterangeboten und NIF-Daten.
	Kosten für Fusionsreaktor, Tritiumanlage und Stromumwandlungssysteme: Werden aus Literaturstudien entnommen.
	Fusions-Target-Stückkosten: Sind ein explizit separater Posten. Die Studie konzentriert sich auf die Aggregation dieser Komponenten zu den Gesamtkapitalkosten und zur Stromgestehungskosten.
15.	Liegt der Fokus der Studie auf technischen, ökonomischen oder strategischen Fragestellungen? Die Studie hat einen starken strategischen Fokus, der durch detaillierte ökonomische Analysen und eine Beschreibung des technischen Konzepts und der erforderlichen Fortschritte untermauert wird.
o	Strategisch: Der Titel "LIFE: The Case for Early Commercialization of Fusion Energy" zeigt den primären Zweck. Es wird der "Nutzen eines Fusionsenergie-Option in einem relevanten Zeitrahmen" bewertet, die Vorteile einer "frühen Kommerzialisierung" (bezüglich CO2-Vermeidung, Atommüll und Plutonium) quantifiziert und ein "Kommerzialisierungspfad" vorgeschlagen. Es wird betont, dass ein "nationales Engagement" erforderlich ist.
o	Ökonomisch: Ein Abschnitt ist explizit den "LIFE Economics" gewidmet. Die Studie schätzt Kapitalkosten und Stromgestehungskosten ab und vergleicht sie mit anderen kohlenstoffarmen Technologien. Es wird eine Sensitivitätsanalyse der Stromgestehungskosten durchgeführt.
o	Technisch: Das LIFE-Konzept selbst wird beschrieben, seine Beziehung zur NIF-Technologie erläutert und die technischen Änderungen und Risikoreduzierungsaktivitäten für den Kraftwerksbetrieb aufgeführt.
16.	Bezieht sich die Studie auf ein Energiesystem (z. B. Integration, Vergleich mit anderen Technologien) oder ist sie rein reaktorbezogen? Die Studie ist nicht rein reaktorbezogen, sondern bezieht sich explizit auf das breitere Energiesystem.
o	Sie bewertet die Vorteile der Fusionsenergie im Kontext des US-Stromerzeugungssystems in Bezug auf die Vermeidung von Kohlenstoffemissionen, Nuklearabfällen und Plutoniumproduktion.
o	Die Notwendigkeit des Baus vieler neuer GW-Klasse-Kraftwerke bis 2100 zur Rekapitalisierung des Stromnetzes wird hervorgehoben.
o	Die Vorteile werden quantifiziert, indem angenommen wird, dass Fusionskraftwerke andere Kraftwerkstypen (z.B. Kohlekraftwerke, Leichtwasserreaktoren, schnelle Reaktoren) verdrängen.
o	Die Stromgestehungskosten von LIFE werden direkt mit denen anderer kohlenstoffarmer Energietechnologien verglichen, was eine systemweite Perspektive einnimmt.</t>
  </si>
  <si>
    <t xml:space="preserve">Generomak - ESECOM </t>
  </si>
  <si>
    <t>Delene et al (1988)</t>
  </si>
  <si>
    <t>Secondary ref Woodruff et al (2016)</t>
  </si>
  <si>
    <t>LIFE2</t>
  </si>
  <si>
    <t>10th-OAK</t>
  </si>
  <si>
    <t>average value between 4 and 6 billion USD; Lifetime 50 years; Learning rates based on experiences from NIF but not further specified; recirculating power fraction: 25%; modular architecture; 5% discount rater; replacement of fusion chamber: after 4.5 years</t>
  </si>
  <si>
    <t>ARIES-1</t>
  </si>
  <si>
    <t>Wittenberg (1991)</t>
  </si>
  <si>
    <t>LIFE3</t>
  </si>
  <si>
    <t>NOAK</t>
  </si>
  <si>
    <t>or advanced 10th-OAK, not specified</t>
  </si>
  <si>
    <t>ESECOM-He/Li2O</t>
  </si>
  <si>
    <t>STARFIRE</t>
  </si>
  <si>
    <t>Magnetic</t>
  </si>
  <si>
    <t>Tokamak</t>
  </si>
  <si>
    <t>Fuel Cost</t>
  </si>
  <si>
    <t>Same as relative value; just deuterium</t>
  </si>
  <si>
    <t>AV: 0.75</t>
  </si>
  <si>
    <t>Steady-State with load-following ability: "Once operating, the reactor has the ability to
load-follow at a rate of 5% of rated power increase or decrease per minute,
although the reactor is designed as a base load unit"</t>
  </si>
  <si>
    <t xml:space="preserve">- Conceptual design study of a steady-state commercial Tokamak reactor.
- Covers design, operation, safety, environment, economics, and maintenance.
- Strong focus on minimizing radioactive waste and tritium emissions, and ensuring maintenance accessibility.
- Technical areas widely covered and analyzed.
- Objective: Design a fusion plant attractive to utilities, meeting criteria for performance, reliability, safety, economics, and environmental compatibility, integrate a closed tritium fuel cycle (self-sufficient after startup) and provide a framework for early safety integration and identification of design risks.
-&gt; Paper Conclusion:
* No uncontrolled accident scenarios found
* Fusion poses significantly lower biological hazard than fission
* Careful material selection reduces long-lived activation
* Decay heat is lower and more spatially distributed than in PWRs -&gt; easier cooling
* Reactor hall inerted with CO₂ for safety and fire protection
* Use of RF heating and limiter impurity control reduces activation in key areas
* Tritium Management: reliable and low environmental release, coolant is main tritium release path
* Steady-state operation lowers power system size and cost
* Maintenance optimized via accessibility and fast component exchange
* Estimated competitive electricity cost vs. plants operating by 1986
* Fuel cost extremely low (~0.04 mills/kWh)
* Radioactive Waste Estimates: 
~1,400 m³: low-recyclability waste (&gt;2.5 mrem/h after 30 years)
~4,500 m³: medium-level waste (mainly LiAlO₂ with ²⁶Al)
~290 m³: ultimate HLW (non-recyclable), from PCA steel
</t>
  </si>
  <si>
    <t>Diese technische Dokumentation befasst sich mit dem Entwurf, der Analyse und den Betriebsaspekten eines kommerziellen Tokamak-Fusionsreaktors, insbesondere des STARFIRE-Designs. Der Text gliedert sich thematisch in Schlüsselbereiche wie die Sicherheit und Umweltauswirkungen von Fusionsanlagen, die Kostenanalyse und Wirtschaftlichkeit des Betriebs sowie die Wartung und Instandhaltung der Reaktorkomponenten. Ein wesentlicher Fokus liegt auf der Minimierung radioaktiver Abfälle und Emissionen, insbesondere von Tritium, sowie auf der Zugänglichkeit des Reaktors für Wartungsarbeiten nach Abschaltung. Ergänzend werden detaillierte technische Spezifikationen und Modellierungen von Systemen wie Magneten, Vakuumsystemen und der Leistungsregelung erläutert, um die Machbarkeit und Effizienz des Designs zu untermauern.
Die Studie "STARFIRE – A COMMERCIAL TOKAMAK FUSION POWER PLANT STUDY" ist eine umfangreiche konzeptuelle Designstudie für ein kommerzielles Tokamak-Fusionskraftwerk.
Die Studie befasst sich mit folgenden Schwerpunkten:
•	Gesamtdesign und -übersicht des Reaktors, einschließlich der Hauptannahmen und des Gleichgewichts der Anlage.
•	Plasma-Engineering, Heiz- und Stromantriebssysteme (insbesondere das Lower-Hybrid-Stromantriebssystem), Plasma-Verunreinigungsregelung und -abfuhr (Limiter/Vakuumsystem).
•	Komponenten wie Magnete, erste Wand/Blanket, Strahlungsabschirmung und Vakuumbegrenzung.
•	Radioaktivität der Komponenten (Aktivierung, Materialrecycling, Nachwärmeentwicklung, atmosphärische Aktivierung im Reaktorraum).
•	Wärmetransport- und Energieumwandlungssysteme.
•	Tritiumsysteme, einschließlich Brennstoffverarbeitung, Tritium in Kühlmitteln und atmosphärischer Tritiumrückgewinnung.
•	Elektrische Speichersysteme und Stromversorgungen.
•	Stützstruktur, Kryogenik sowie Instrumentierung und Steuerung.
•	Wartung und Betrieb der Anlage.
•	Balance of Plant Design (Standortplanung, Gebäudedesign, technische Systeme).
•	Sicherheits- und Umweltanalyse.
•	Wirtschaftlichkeitsanalyse und Anlagenbau.
•	Zusätzlich werden verschiedene Anhänge zu spezifischen Themen wie Nutzerschnittstelle, Vakuumsystemmodellierung, Ressourcenanforderungen, seismische Analyse und Materialdatenbank bereitgestellt.
________________________________________
Die Kernaussagen der Studie sind vielfältig und umfassen Aspekte der Sicherheit, Wirtschaftlichkeit, des Designs und der Betriebsabläufe:
•	Sicherheit und Umweltfreundlichkeit: 
o	Es wurden keine außer Kontrolle geratenen Unfälle identifiziert, die die Öffentlichkeit oder das Anlagenpersonal betreffen würden.
o	Die Fusionsenergie birgt das Potenzial, die negativen Auswirkungen und potenziellen Belastungen für die Umwelt auf ein sehr niedriges Niveau zu reduzieren.
o	Der Grad des biologischen Gefahrenpotenzials (Biological Hazard Potential, BHP) in Fusionssystemen ist erheblich geringer als in Spaltanlagen.
o	Durch die sorgfältige Auswahl von Materialien konnte die Langzeitradioaktivität in allen Komponenten außerhalb des Blankets minimiert werden.
o	Die Nachwärmeentwicklung in STARFIRE ist geringer als in vergleichbaren Druckwasserreaktoren (PWRs) und verteilt sich über ein größeres Volumen, was die Kühlung in Notfällen erleichtert.
o	Die Inertisierung des Reaktorraums mit CO2 ist aus Aktivierungs- und Brandschutzgründen gerechtfertigt.
o	Designmerkmale wie das Lower-Hybrid-RF-System (anstelle von Neutralstrahlheizsystemen) und die Limiter-Verunreinigungsregelung (anstelle von Divertoren) führten zu einer erheblichen Reduzierung der hochradioaktiven Langzeitaktivierungsbestände im Bereich der Hauptdurchführungen.
•	Tritiummanagement: 
o	Ein vorrangiges Ziel war die Schaffung eines vollständig integrierten Tritium-Brennstoffkreislaufs, der im Betrieb unabhängig von externen Quellen ist.
o	Das Referenzdesign von STARFIRE weist ein Gesamtinventar von ~11,225 g Tritium auf, wobei der Großteil (~10,000 g) als "nicht angreifbar" im festen Brutmaterial angesehen wird.
o	Das Kühlmittel ist die Hauptquelle für die Tritiumfreisetzung aus der Anlage.
o	Die Systeme wurden auf minimales Tritiuminventar, minimale Freisetzung in die Umwelt, minimale Arbeitnehmerbelastung, minimale feste Abfälle und maximale Verfügbarkeit und Zuverlässigkeit ausgelegt.
•	Wirtschaftlichkeit und Wartbarkeit: 
o	Der gewählte Dauerbetrieb (Steady State) hat die Eigenschaften und Kosten der elektrischen Speichersysteme und Stromversorgungen erheblich reduziert.
o	Die Wartbarkeit wurde durch verbesserte Zugänglichkeit und schnelle Austauschbarkeit von Komponenten, die voraussichtlich häufig gewartet werden müssen, in das Design integriert.
o	Ein Anlagenverfügbarkeitsziel von 75 % wird als erreichbar angesehen, wenn dem Wartungssystem von Anfang an genügend Aufmerksamkeit geschenkt wird.
o	Die Stromerzeugungskosten werden als wettbewerbsfähig im Vergleich zu anderen Energiequellen eingeschätzt, die 1986 in Betrieb genommen werden sollen.
o	Die Brennstoffkosten für Fusion sind extrem niedrig, mit etwa 0,04 Mills/kWh.
•	Design- und Betriebsmerkmale: 
o	Die Verwendung eines Limiters führt zu einem Tritium-Reflexionskoeffizienten von 0,9 und einem fraktionellen Abbrand von 0,42.
o	Druckwasser wurde als primäres Kühlmittel gewählt, und auf einen Zwischenkühlkreislauf wurde verzichtet.
o	Das ECRH-Breakdown-System zur Plasma-Vorionisierung ist praktikabel und stellt nur minimale Anforderungen an Vakuumsystem und Stromversorgung.
o	Die Stützstruktur wurde als ein komplettes System entworfen und in das Gesamtreaktordesign integriert, um eine strukturell effiziente Lastaufnahme zu ermöglichen.
________________________________________
Das Ziel der Studie war es, ein Tokamak-Fusionskraftwerk zu entwerfen, das attraktiv für Energieversorgungsunternehmen ist.
Dies umfasst spezifische Unterziele:
•	Entwicklung eines Reaktordesigns mit günstigen Sicherheits- und Umweltmerkmalen.
•	Beurteilung, inwieweit die Fusion Kriterien wie Leistung, Zuverlässigkeit, Sicherheit, Umweltauswirkungen und Wirtschaftlichkeit erfüllen kann.
•	Etablierung eines Rahmens zur Identifizierung und Katalogisierung von Sicherheitsproblemen, zur Unterstützung von Design-Abwägungen und zur frühzeitigen Integration von Sicherheitsaspekten.
•	Herstellung eines vollständig integrierten Tritium-Brennstoffkreislaufs, der nach Inbetriebnahme der Anlage unabhängig von externen Tritiumquellen ist.
________________________________________
Das Fazit der Studie ist, dass das STARFIRE-Reaktordesign ein kommerzielles Fusionskraftwerk darstellt, das die gestellten Anforderungen erfüllt und für Energieversorgungsunternehmen attraktiv ist.
Konkret wird festgehalten:
•	Sicherheit: Es wurden keine Unfälle identifiziert, die außer Kontrolle geraten und die öffentliche Sicherheit oder das Anlagenpersonal gefährden könnten.
•	Wirtschaftlichkeit: Die Stromerzeugungskosten sind wettbewerbsfähig im Vergleich zu den prognostizierten Kosten für Kraftwerke, die 1986 in Betrieb gehen sollen.
•	Umwelt: Die Umweltauswirkungen des STARFIRE-Designs werden als sehr gering eingeschätzt. Die berechneten Dosen aus unbeabsichtigten Freisetzungen radioaktiver Strukturmaterialien sind deutlich niedriger als die aktuellen Richtlinien für unbeabsichtigte Freisetzungen.
•	Tritiummanagement: Das Design der Tritiumsysteme zielt auf minimales Inventar, minimale Freisetzung in die Umwelt, minimale Arbeitnehmerbelastung, minimale feste Abfälle und maximale Verfügbarkeit und Zuverlässigkeit ab. Das Kühlmittel ist die Hauptquelle für die Tritiumfreisetzung aus der Anlage.
•	Radioaktive Abfälle: Das STARFIRE-Design erzeugt eine bestimmte Menge an radioaktiven Abfällen verschiedener Kategorien: 
o	~1400 m³ Abfall mit geringem Recyclingpotential (&gt; 2,5 mrem/h nach 30 Jahren).
o	~4500 m³ Abfall mittleren Niveaus (ca. 1 Ci/m³), hauptsächlich LiAlO2, das nur ein Aktivierungsprodukt (26Al) enthält.
o	Der ultimative, nicht recycelbare hochradioaktive Abfall aus 30 Jahren Betrieb beläuft sich auf ~290 m³ und stammt ausschließlich aus den PCA-Stahlstrukturen.
•	Systemleistungen: 
o	Das Vakuumsystem erfüllt alle ursprünglichen Anforderungen, und die verwendeten Scoping-Studien haben sich als effektive Analysemethode erwiesen.
o	Die seismische Analyse unterstreicht die Bedeutung der Berücksichtigung seismischer Effekte im Konzeptdesign.
o	Die ECRH-Plasma-Vorionisierung ist eine attraktive Alternative zur Avalanche-Durchbruchmethode, die zu erheblichen Reduzierungen der OH-Spulengröße und -komplexität führt.</t>
  </si>
  <si>
    <t xml:space="preserve">Main Cost Drivers:
- Capital costs dominate the LCOE, accounting for 85–90% of total costs.
- For a 10th-OAK plant: $2.4 billion (1980 USD) in total capital cost.
- Major cost contributors within capital costs:
* Reactor plant equipment:
 -&gt; Over 50% of direct costs with shielding and magnets showing the highest cost share
 - Shielding: high stainless steel content
- Magnets: dominated by TF coils (mass &amp; energy)
- First wall/blanket: driven by enriched LiAlO2 which is mainly used
- Power supply/switchgear/storage: costly EF coil power systems
- Primary support structure: designed for high loads
- Primary heat transfer system: manifolds are cost driver
- Maintenance equipment: due to fully remote handling
- Fuel handling/tritium recovery: ATRS system for fast tritium recovery
* Buildings and plant facilities:
  -&gt; Total: $346.6 million with reactor building showing a high cost share
- Reactor building: larger than PWR containment; remote maintenance + tritium handling
- Hot cell: for handling large activated components
* Indirect and time-related costs:
- Construction services (10%), engineering (8%), other costs (5%)
-  Includes interest during construction and escalation
- Complex structure quality standards raise costs.
- Fusion-specific technologies (e.g., superconducting coils) are expensive.
- COE is dominated by CAPEX (85–90%).
- 1% drop in availability -&gt; nearly 1 mill/kWh COE increase.
- Long 6-year build adds interest/escalation costs.
Main Cost Reduction Potentials:
- 10th-OAK assumption:
 -&gt; cost reduction potential due to learning curve effects and standardization over prototype costs.
- Steady-state operation eliminates need for ohmic solenoids and large energy storage, also reduced fatique
- Use of Lower-Hybrid RF heating &amp; limiters instead of beam injection &amp; divertors
  -&gt; Simplifies design, lowers cost, improves maintainability
- No intermediate coolant loop (direct water cooling)
- Modular construction reduces on-site labor and costs and build time
- High-efficiency turbine-generator
  → Lower COE than typical PWRs
  → R&amp;D investment potentially reusable for other advanced plants
- Fe-14Mn-2Ni-2Cr (Fel422) selected for shielding – resource-efficient vs. 304/316 steel
- Recycling of first wall, blanket, limiter materials reduces waste &amp; resource use
- Components outside the blanket designed to minimize long-lived activation
- use of Niobium alloys = cost-effective alternative
- Fusion fuel cost is negligible (~0.04 mills/kWh)
- Tritium bred on-site, deuterium is cheap and abundant
-&gt; Significant long-term economic advantage over fission or fossil fuels
- Standardized design lowers engineering costs.
- Larger plant size benefits from scale.
- Higher neutron wall load allows smaller, cheaper reactors.
- 75% availability targeted via modular design and fast maintenance.
</t>
  </si>
  <si>
    <t>Die ökonomische Analyse des STARFIRE-Fusionskraftwerks identifiziert klar die **signifikantesten Kostentreiber** und zeigt gleichzeitig verschiedene **Potenziale zur Kostenreduktion** auf, die im Design berücksichtigt wurden oder für zukünftige Entwicklungen relevant sind.
### Signifikanteste Kostentreiber
Die **Gesamtkapitalkosten** sind der mit Abstand **dominanteste Faktor** für die Stromgestehungskosten (Busbar Energy Cost, COE), da sie **85 bis 90 % der Gesamtkosten** ausmachen [22.8]. Für eine "zehnte Anlage ihrer Art" betragen die Gesamtkapitalkosten in konstanten Preisen von 1980 **2400,27 Millionen US-Dollar** .
Innerhalb der Kapitalkosten sind die größten Treiber:
*   **Reaktoranlagenausrüstung (Account 22):** Dies ist der **teuerste Teil des Gesamtsystems** und macht über **50 % der direkten Gesamtkosten** aus. In konstanten Preisen von 1980 beläuft sich dies auf **968,62 Millionen US-Dollar** [22.5.3, 22-5]. Schlüsselkomponenten hier sind:
    *   **Abschirmung (Account 22.01.02):** **186,07 Millionen US-Dollar** . Die **Edelstähle** stellen hierbei die höchsten Materialkosten dar [22.5.3.2].
    *   **Magnete (Account 22.01.03):** **171,57 Millionen US-Dollar** . Das **TF-Spulensystem** ist aufgrund seiner gespeicherten Energie und Masse der **dominante Kostenfaktor** unter den Magneten [22.5.3.3].
    *   **Erste Wand/Blanket (Account 22.01.01):** **82,36 Millionen US-Dollar** . Das **60 % angereicherte LiAlO₂** ist hier der größte Kostenfaktor [22.5.3.1, 22-26].
    *   **Stromversorgung, Schaltanlagen und Energiespeicher (Account 22.01.07):** **52,90 Millionen US-Dollar** . Die Stromversorgungen für die EF-Spulen sind aufgrund ihrer hohen Leistungsanforderungen besonders teuer [22.5.3.7].
    *   **Primäre Struktur und Unterstützung (Account 22.01.05):** **52,74 Millionen US-Dollar** . Dieses System ist dafür ausgelegt, sehr große Lasten aufzunehmen und zu übertragen [22.5.3.5].
    *   **Haupt-Wärmeübertragungs- und Transportsysteme (Account 22.02):** **69,84 Millionen US-Dollar** . Die Sammler (Manifolds) sind die teuersten Elemente dieses Systems [22.5.3.10].
    *   **Wartungsausrüstung (Account 22.06.01):** **38,3 Millionen US-Dollar** . Die Entscheidung für **vollständig ferngesteuerte Wartung** trägt maßgeblich zu diesem hohen Posten bei, da sie als notwendig für die Zuverlässigkeit und Sicherheit einer kommerziellen Anlage angesehen wird [22.3, 22.5.3.14, 22-37].
    *   **Brennstoffhandhabungs- und Lagersystem (Account 22.05):** **38,6 Millionen US-Dollar** . Insbesondere das **Atmosphärische Tritium-Rückgewinnungssystem (ATRS)** ist hier der teuerste Bestandteil, bedingt durch die Anforderung einer schnellen Tritium-Rückgewinnung im Falle eines Lecks im Reaktorgebäude [22.5.3.13].
*   **Gebäude und Anlagenausrüstung (Account 21):** Die Kosten belaufen sich auf **346,58 Millionen US-Dollar** .
    *   Das **Reaktorgebäude** ist erheblich größer als ein typisches Druckwasserreaktor-Containment und trägt aufgrund der Anforderungen an ferngesteuerte Wartung sowie der Tritium-Handhabung und -Eindämmung wesentlich zu den Kosten bei [22.5.2, 22.5.2.2]. Seine Kosten betragen **157,44 Millionen US-Dollar** [22.5.2.2, 22-11].
    *   Die **Hot Cell (heiße Zelle)** ist ebenfalls ein signifikanter zusätzlicher Kostenfaktor, da sie ein großes Gebäude für die Handhabung großer und zahlreicher radioaktiver Komponenten erfordert [22.5.2.7]. Ihre Kosten liegen bei **53,69 Millionen US-Dollar** [22.5.2.7, 22-15].
*   **Indirekte Kosten und zeitbezogene Kosten:** Zusätzliche indirekte Kosten für Bauanlagen, Ausrüstung und Dienstleistungen (10 % der direkten Gesamtkosten), Ingenieur- und Baumanagementleistungen (8 %) und sonstige Kosten (5 %) sowie Zinsen während der Bauzeit und Kostensteigerungen während der Bauzeit tragen erheblich zu den Gesamtkosten bei [22.2.4, 22.2.5, 22-5].
### Größte Kostenpotenziale
Das STARFIRE-Design wurde bereits unter der Annahme einer **"zehnten Anlage ihrer Art"** entwickelt, was erhebliche Kostenreduktionen durch **Lernkurveneffekte** und **Standardisierung** im Vergleich zu einem Prototypen impliziert [22.2.1, 22.3, 23.2]. Dies ist das grundlegendste und größte Kostenpotenzial, das in der Analyse berücksichtigt wurde. Darüber hinaus gibt es weitere Potenziale:
*   **Designvereinfachung und verbesserte Wartbarkeit:**
    *   Der **stationäre Betrieb** des Reaktors eliminiert die Notwendigkeit großer Ohmscher Heizsolenoide und großer elektrischer Energiespeicher, was zu einer erheblichen Reduzierung der Kosten und Komplexität im Vergleich zu gepulsten Tokamaks führt [15.1, 22.3, 22.5.3.7, A.3.10].
    *   Die Wahl des **RF-Heizungs- und Stromantriebssystems (Lower-Hybrid-System)** anstelle von Neutralstrahlheizsystemen und der **Limiter-Impuritätenkontrolle** anstelle magnetischer Divertoren wurde aufgrund von **Designvereinfachung, verbesserter Wartbarkeit und Leistungssteigerung** getroffen. Dies hatte den zusätzlichen Vorteil, dass diese Systeme **kostengünstiger** sind als die Alternativen [22.3, 22.5.3.4, 22.5.3.8].
    *   Die **Eliminierung eines Zwischenkühlkreislaufs** (aufgrund der Wahl von Wasser als Kühlmittel) und das Fehlen eines thermischen Energiespeichers reduzieren ebenfalls Kosten und Komplexität [22.3, 22.5.3.10, 13.2.1, 13.2.2].
    *   Der Einsatz von **modularer Bauweise** minimiert den Arbeitsaufwand vor Ort und die Kosten [23.2, 22.2.4].
*   **Effizienzsteigerungen:**
    *   Die **hocheffiziente Dampfturbine-Generator-Einheit** (36 % Brutto-Wirkungsgrad) trägt zu niedrigeren Stromgestehungskosten bei, was eine Verbesserung gegenüber typischen Druckwasserreaktoren (34 %) darstellt [22.3, 22.2.1, 20.4.1.3]. Die Forschungs- und Entwicklungskosten für diese Technologie könnten auf zukünftige Fusions- oder fortschrittlichere Spaltanlagen umgelegt werden [22.5.3.10].
*   **Materialauswahl und Recycling:**
    *   Die Auswahl von **Fe-14Mn-2Ni-2Cr (Fel422)** als primäres Abschirmmaterial erfolgte teilweise aufgrund der **Ressourcenverfügbarkeit** und des geringeren Chrombedarfs im Vergleich zu 304/316er Edelstahl.
    *   Das **Recycling von Materialien**, insbesondere in der ersten Wand, im Blanket und im Limiter, ist entscheidend, um die Nachfrage nach begrenzten Ressourcen zu verringern. Es wird angenommen, dass dies innerhalb relativ kurzer Zeit nach der Entnahme aus dem Reaktor möglich ist, wodurch langfristige Lageranforderungen minimiert werden [12.3, 13, 14, 54, C.1].
    *   Gezielte Anstrengungen wurden unternommen, um die **Bildung langlebiger radioaktiver Produkte** in Komponenten außerhalb des Blankets zu minimieren.
    *   Die **Wahl des Limiter-Materials** bietet ebenfalls Kostenpotenzial: Während Tantal sehr teuer ist, ist Kupfer am günstigsten, könnte aber unzureichende Lebensdauer und Materialeigenschaften aufweisen. Niob-Legierungen stellen eine wirtschaftlichere Alternative zu Tantal dar [22.5.3.8].
*   **Geringe Brennstoffkosten:** Fusionsbrennstoffkosten sind im Vergleich zu Spalt- oder Kohlekraftwerken **vernachlässigbar** (etwa **0,04 Mills/kWh**). Tritium wird im Reaktor selbst erzeugt, und Deuterium ist relativ kostengünstig [22.6.4, 22.3]. Dies ist ein erheblicher langfristiger wirtschaftlicher Vorteil.</t>
  </si>
  <si>
    <r>
      <t>Technology Maturity (“Tenth-of-a-Kind”):</t>
    </r>
    <r>
      <rPr>
        <sz val="8"/>
        <color theme="1"/>
        <rFont val="Calibri"/>
        <family val="2"/>
        <scheme val="minor"/>
      </rPr>
      <t xml:space="preserve">
</t>
    </r>
    <r>
      <rPr>
        <b/>
        <sz val="8"/>
        <color theme="1"/>
        <rFont val="Calibri"/>
        <family val="2"/>
        <scheme val="minor"/>
      </rPr>
      <t>- All systems are assumed to be “thoroughly proven.”</t>
    </r>
    <r>
      <rPr>
        <sz val="8"/>
        <color theme="1"/>
        <rFont val="Calibri"/>
        <family val="2"/>
        <scheme val="minor"/>
      </rPr>
      <t xml:space="preserve">
</t>
    </r>
    <r>
      <rPr>
        <b/>
        <sz val="8"/>
        <color theme="1"/>
        <rFont val="Calibri"/>
        <family val="2"/>
        <scheme val="minor"/>
      </rPr>
      <t xml:space="preserve">- No R&amp;D costs are included, </t>
    </r>
    <r>
      <rPr>
        <sz val="8"/>
        <color theme="1"/>
        <rFont val="Calibri"/>
        <family val="2"/>
        <scheme val="minor"/>
      </rPr>
      <t xml:space="preserve">since previous procurements are assumed to have amortized all initial tooling costs.
</t>
    </r>
    <r>
      <rPr>
        <b/>
        <sz val="8"/>
        <color theme="1"/>
        <rFont val="Calibri"/>
        <family val="2"/>
        <scheme val="minor"/>
      </rPr>
      <t xml:space="preserve">- Most balance-of-plant systems are based on current PWR technology.
</t>
    </r>
    <r>
      <rPr>
        <sz val="8"/>
        <color theme="1"/>
        <rFont val="Calibri"/>
        <family val="2"/>
        <scheme val="minor"/>
      </rPr>
      <t xml:space="preserve">
Reference Site:
  - A fictional site in Middletown, based on real labor and material costs from Kansas City, Missouri (1980 USD).
  - Assumptions include a site size of 1,000 acres and land cost of $3,000 per acre.
</t>
    </r>
    <r>
      <rPr>
        <b/>
        <sz val="8"/>
        <color theme="1"/>
        <rFont val="Calibri"/>
        <family val="2"/>
        <scheme val="minor"/>
      </rPr>
      <t>Design Allowances, Contingencies, and Spare Parts</t>
    </r>
    <r>
      <rPr>
        <sz val="8"/>
        <color theme="1"/>
        <rFont val="Calibri"/>
        <family val="2"/>
        <scheme val="minor"/>
      </rPr>
      <t xml:space="preserve">:
- Design Allowance: 10% for buildings and BOP; 20% for reactor plant equipment to compensate for lack of detailed design definition
- Contingency: A flat 15% of total costs is included for unforeseen conditions (e.g. weather, labor, price uncertainty).
- Spare Parts: A percentage-based allowance (e.g. 2% for reactor and turbine systems) plus separately identified expensive components (e.g. spare OH and EF coils, vacuum pumps).
Indirect Cost Allowances:
- Construction Facilities, Equipment &amp; Services: 10% of direct costs, assuming more modular prefabrication and off-site assembly.
- Engineering and Construction Management Services: 8% of direct capital costs, reduced by design standardization, though still higher than typical fission plants.
Miscellaneous Costs: 5% of direct capital for taxes, insurance, training, and plant startup.
Time-Related Costs:
- IDC (Interest During Construction): Based on a 6-year schedule and a nominal capital cost rate of 10% annually (5% real) for an investor-owned utility (53% debt, 47% equity).
- EDC (Escalation During Construction): 5% annual escalation rate is assumed.
</t>
    </r>
    <r>
      <rPr>
        <b/>
        <sz val="8"/>
        <color theme="1"/>
        <rFont val="Calibri"/>
        <family val="2"/>
        <scheme val="minor"/>
      </rPr>
      <t xml:space="preserve">Learning Curves:
-&gt; Cost reductions are expected with production volume.
- 100% learning curve for bulk, common materials (e.g. 304SS, aluminum).
- 98% for materials influencing market demand (e.g. NbTi, B1C).
- 95% for low-labor systems (e.g. power supplies, electronics).
- 85% for labor-intensive systems (e.g. first-wall/blanket modules, tritium systems).
- 90% for magnets, with cost reductions assuming procurement of at least 108 TF coils.
</t>
    </r>
    <r>
      <rPr>
        <sz val="8"/>
        <color theme="1"/>
        <rFont val="Calibri"/>
        <family val="2"/>
        <scheme val="minor"/>
      </rPr>
      <t xml:space="preserve">
Steady-State Operation: Avoids the need for large electrical energy storage typical for pulsed tokamaks, reducing cost.
</t>
    </r>
    <r>
      <rPr>
        <b/>
        <sz val="8"/>
        <color theme="1"/>
        <rFont val="Calibri"/>
        <family val="2"/>
        <scheme val="minor"/>
      </rPr>
      <t>Fully Remote Maintenance:</t>
    </r>
    <r>
      <rPr>
        <sz val="8"/>
        <color theme="1"/>
        <rFont val="Calibri"/>
        <family val="2"/>
        <scheme val="minor"/>
      </rPr>
      <t xml:space="preserve">
- Anticipates future regulatory requirements, influencing the size and cost of buildings and equipment.
</t>
    </r>
    <r>
      <rPr>
        <b/>
        <sz val="8"/>
        <color theme="1"/>
        <rFont val="Calibri"/>
        <family val="2"/>
        <scheme val="minor"/>
      </rPr>
      <t>- Modular design</t>
    </r>
    <r>
      <rPr>
        <sz val="8"/>
        <color theme="1"/>
        <rFont val="Calibri"/>
        <family val="2"/>
        <scheme val="minor"/>
      </rPr>
      <t xml:space="preserve"> allows easier and faster component replacement.
</t>
    </r>
    <r>
      <rPr>
        <b/>
        <sz val="8"/>
        <color theme="1"/>
        <rFont val="Calibri"/>
        <family val="2"/>
        <scheme val="minor"/>
      </rPr>
      <t xml:space="preserve">RF Heating and Current Drive and Limiter/Vacuum Impurity Control:
</t>
    </r>
    <r>
      <rPr>
        <sz val="8"/>
        <color theme="1"/>
        <rFont val="Calibri"/>
        <family val="2"/>
        <scheme val="minor"/>
      </rPr>
      <t xml:space="preserve">- Chosen for design simplicity, better maintainability, and lower costs versus alternatives like NBI or divertors.
</t>
    </r>
    <r>
      <rPr>
        <b/>
        <sz val="8"/>
        <color theme="1"/>
        <rFont val="Calibri"/>
        <family val="2"/>
        <scheme val="minor"/>
      </rPr>
      <t>Stainless Steel Structural Material:</t>
    </r>
    <r>
      <rPr>
        <sz val="8"/>
        <color theme="1"/>
        <rFont val="Calibri"/>
        <family val="2"/>
        <scheme val="minor"/>
      </rPr>
      <t xml:space="preserve">
- PCA (a modified 316 stainless steel) selected for cost reasons for first wall and blanket.
- Neutron wall loading is chosen to balance structural life and replacement frequency.
Pressurized Water Coolant:
- Chosen for pump performance, turbine inlet temperature, and gross efficiency.
Low Fuel Cost:
- Tritium is bred in-reactor and considered a “free” fuel.
- Deuterium must be purchased externally, but cost is negligible compared to fission or coal fuels.
</t>
    </r>
    <r>
      <rPr>
        <b/>
        <sz val="8"/>
        <color theme="1"/>
        <rFont val="Calibri"/>
        <family val="2"/>
        <scheme val="minor"/>
      </rPr>
      <t>Direct capital costs estimated from vendor quotes, historical data, and analog systems (especially PWRs).</t>
    </r>
    <r>
      <rPr>
        <sz val="8"/>
        <color theme="1"/>
        <rFont val="Calibri"/>
        <family val="2"/>
        <scheme val="minor"/>
      </rPr>
      <t xml:space="preserve">
Implicit design allowances are used for immature or undefined subsystems.
</t>
    </r>
    <r>
      <rPr>
        <b/>
        <sz val="8"/>
        <color theme="1"/>
        <rFont val="Calibri"/>
        <family val="2"/>
        <scheme val="minor"/>
      </rPr>
      <t xml:space="preserve">Costs for buildings and systems were calculated by an external firm (The Ralph M. Parsons Company) using vendor bids, quantity takeoffs from design drawings, and local labor costs </t>
    </r>
    <r>
      <rPr>
        <sz val="8"/>
        <color theme="1"/>
        <rFont val="Calibri"/>
        <family val="2"/>
        <scheme val="minor"/>
      </rPr>
      <t>(Kansas City, 1980 USD).
A 50% labor productivity factor is applied.
Inverse approach is used:
- First, the time required for</t>
    </r>
    <r>
      <rPr>
        <b/>
        <sz val="8"/>
        <color theme="1"/>
        <rFont val="Calibri"/>
        <family val="2"/>
        <scheme val="minor"/>
      </rPr>
      <t xml:space="preserve"> component replacement</t>
    </r>
    <r>
      <rPr>
        <sz val="8"/>
        <color theme="1"/>
        <rFont val="Calibri"/>
        <family val="2"/>
        <scheme val="minor"/>
      </rPr>
      <t xml:space="preserve"> is estimated.
- Then, the allowable downtime per subsystem is set.
- Finally, “target failure rates” are defined to achieve the target plant availability of 75%.
- esign goals, not test results.
Assumptions on material life (e.g. first wall and blanket) are based on models and extrapolations, not long-term tests.
PCA swelling is assumed to be one-tenth that of cold-worked 316 stainless.
Modularization and remote maintenance are central to enabling high availability with expected lifetimes and replacement needs.
A lack of information on the fusion materials “back-end” (disposal and recycling) forces designers to exercise judgment in material selection.
</t>
    </r>
  </si>
  <si>
    <t>Die Kosten der STARFIRE-Anlage basieren auf einer **umfassenden Reihe von ökonomischen Richtlinien und Annahmen**, die im Rahmen der Studie festgelegt wurden. Der Ansatz zielt darauf ab, die Kosten eines **ausgereiften Fusionskraftwerks ("Tenth of a Kind of a Specific Design Technology")** zu schätzen, und ist an die Richtlinien des DOE ("Fusion Reactor Design Studies - Standard Accounts for Cost Estimates") angelehnt.
*   **Wirtschaftliche Rahmenbedingungen und Annahmen (Economic Guidelines and Assumptions)**:
    *   **Basisjahr:** Alle Kosten werden in **1980er konstanten US-Dollar** angegeben, sofern nicht anders vermerkt. Es gibt auch Berechnungen in "Then-Current" (1986er) Dollar, die die Inflation während der Bauzeit berücksichtigen.
    *   **Wechselkurse:** Basierend auf den vorherigen Gesprächen wurden **Kaufkraftparitäten-Wechselkurse (PPP exchange rate)** für die Umrechnung verwendet, um die NOAK-Werte zu definieren.
    *   **Anlagengröße:** Die Kosten beziehen sich auf ein Fusionskraftwerk mit einer **Netto-Leistung von 1200 MWe**.
    *   **Eigentümer:** Es wird angenommen, dass der Betreiber ein **investor-owned utility** ist.
    *   **Finanzierung:** Die Kapitalstruktur umfasst 53 % Fremdkapital (8 % nominale Kosten pro Jahr) und 47 % Eigenkapital (14 % nominale Kosten pro Jahr). Der **nominale Kapitalkostensatz beträgt 10 % pro Jahr** (5 % real).
    *   **Annahmen für die Bauzeit:** Eine Bauzeit von **sechs Jahren** wird angenommen.
    *   **Abnutzung/Lebensdauer:** Eine **ökonomische Lebensdauer der Anlage von 30 Jahren** wird angenommen, ohne Restwert. Die **Auslegungslebensdauer (design life) beträgt 40 Jahre**.
*   **Ebenen der Technologie (Level of Technology)**:
    *   **Reife der Technologie:** STARFIRE wird als die **zehnte Einheit (10th of a Kind)** einer standardisierten Anlage betrachtet, was bedeutet, dass viele frühe Probleme durch Betriebs- und Designverbesserungen beseitigt sind.
    *   **Bekannte Technologien:** Viele Gleichgewichtsanlagensysteme (Balance of Plant, BOP) entsprechen der **aktuellen PWR-Technologie** (Druckwasserreaktor-Technologie).
    *   **Neue Technologien:** Kosten wurden für fusionsspezifische Technologien wie supraleitende Magnete, Kryopumpen, ECRH-Systemkomponenten, Kryokühlung, Tritiumverarbeitung und -speicherung sowie spezielle Fernwartungsanlagen berücksichtigt.
    *   **Fernwartung:** Die Anlage ist für eine **vollständig ferngesteuerte Wartung** im Reaktor- und Heißen Zellenbereich ausgelegt, was die Investitionskosten erhöht.
    *   **Modulare Bauweise:** Ein hoher Prozentsatz der Reaktor- und Anlagenausrüstung wird **vormontiert und qualitätsgeprüft in Fabriken** geliefert, was die Installationszeit vor Ort reduziert.
*   **Lernkurven (Learning Curves)**:
    *   Es werden **Lernkurven** angewendet, um Kostenreduktionen durch Erfahrung in der Fertigung zu modellieren. Die Raten variieren je nach Material und Systemkomplexität:
        *   **100 %:** Für große, gebräuchliche Materialkäufe (z.B. 304SS, Aluminium, Graphit).
        *   **98 %:** Für Materialien, die die Marktmengen beeinflussen könnten (z.B. NbTi, Nb3Sn, B4C).
        *   **95 %:** Für Systeme mit geringem Arbeitsaufwand (z.B. Stromversorgungen, Verstärker, Elektronik).
        *   **85 %:** Für arbeitsintensive Systeme (z.B. Erste Wand/Blanket-Module, Turbinen, Tritiumverarbeitungsanlagen).
*   **Kostenkomponenten und Zuschläge (Cost Accounts and Allowances)**:
    *   **Direkte Kosten:** Geschätzt auf der Grundlage von **Lieferantenangeboten, historischen Daten und analogen Systemen**. Beispielsweise wurden die Kosten für die Erste Wand/Blanket auf einer **Kosten-pro-Gewicht-Basis** geschätzt.
    *   **Design Allowance:** Für neuartige Ausrüstung im Reaktorbereich (Account 22) wurden **spezifische Design Allowances** basierend auf der technischen und Produktionsreife jedes Subsystems festgelegt.
    *   **Contingency Allowance:** Ein **Zuschlag von 15 %** auf die geschätzten Gesamtkosten zur Abdeckung unvorhergesehener Kosten und Bedingungen.
    *   **Spare Parts Allowance:** Ein Prozentsatz der direkten Kosten der installierten Ausrüstung (z.B. 2 % für die Kostenkonten 21, 22, 23).
    *   **Indirekte Kosten:**
        *   **Construction Facilities, Equipment and Services (Account 91):** **10 %** der gesamten direkten Kosten.
        *   **Engineering and Construction Management Services (Account 92):** **8 %** der gesamten direkten Kapitalkosten.
        *   **Other Costs (Account 93):** **5 %** der gesamten direkten Kapitalkosten.
    *   **Zeitbezogene Kosten (Time-Related Costs):**
        *   **Interest During Construction (IDC) und Escalation During Construction (EDC):** Diese werden basierend auf der Verteilung der Kapitalausgaben über die Bauzeit und den angenommenen Zinssätzen berechnet.
*   **Wichtige Design-, Leistungs- und Betriebsmerkmale (Key Design, Performance and Operational Features)**:
    *   **Betriebsmodus:** **Dauerbetrieb (Steady State Operation)** der Plasma-Brennphase, was die Kosten der elektrischen Speichersysteme und Stromversorgungen reduziert.
    *   **Heizung und Stromtrieb:** Einsatz von **RF-Heizung und Stromtrieb** anstelle von Neutralstrahlheizung, was zu einer Designvereinfachung, verbesserter Wartbarkeit und geringeren Kosten führt.
    *   **Verunreinigungskontrolle:** Ein **Limiter/Vakuumsystem zur Verunreinigungskontrolle** wird verwendet.
    *   **Erste Wand und Blanket:** Verwendung von **rostfreiem Stahl (PCA SS)** als Strukturmaterial für die erste Wand und das Blanket, mit einer angenommenen **Integralen Wandbelastung von 16 MW-yr/m²** und einer durchschnittlichen **Neutronen-Wandbelastung von 3,6 MW/m²**.
    *   **Kühlmittel:** Wahl von **Druckwasser als primäres Kühlmittel** aufgrund von Wirtschaftlichkeitsfaktoren wie Pumpenleistung und Turbineneintrittstemperatur.
    *   **Anlagenverfügbarkeit:** Eine **Zielverfügbarkeit von 75 %** für die Anlage wird angestrebt.
    *   **Brennstoffkosten:** Annahme von **sehr niedrigen Brennstoffkosten**, da Tritium im Reaktor selbst gezüchtet wird und Deuterium günstig ist (ca. 2000 $/kg).
Die Kostenschätzung ist somit ein Ergebnis detaillierter Annahmen über die Reife der Technologie, die wirtschaftlichen Bedingungen und spezifische Designentscheidungen, die alle in das umfassende Kostenmodell einfließen.</t>
  </si>
  <si>
    <r>
      <rPr>
        <b/>
        <sz val="8"/>
        <color theme="1"/>
        <rFont val="Calibri"/>
        <family val="2"/>
        <scheme val="minor"/>
      </rPr>
      <t xml:space="preserve">1. Is the modeling approach transparently documented?
Yes. Modeling approach, cost assumptions, and methodology are clearly presented.
Uses 1980 constant USD; defines financing assumptions, construction time, plant lifetime.
Follows DOE cost account structure, with STARFIRE-specific modifications.
COE formula is fully disclosed and explained.
2. Are cost assumptions based on external sources or self-derived?
External: DOE cost accounts; BOP and heat systems based on PWRs; costs e.g. for reactor based on vendor quotes and historical data.
Internal: 1980 baseline year; investor-owned utility operator; specified financial structure; STARFIRE-specific design features (steady-state, RF heating, materials for first wall/blanket); custom learning rates by system type.
3. Were external sources modified?
DOE cost format adjusted to fit STARFIRE's systems and design specifications.
Design allowance assessed individually per subsystem instead of fixed %.
Indirect costs (e.g., engineering) set at 8% due to maturity (10th-OAK and BOP based on existing technologies).
Turbine efficiency raised from 34% to 36%.
Magnet repair costs estimated by location, not lumped.
</t>
    </r>
    <r>
      <rPr>
        <sz val="8"/>
        <color theme="1"/>
        <rFont val="Calibri"/>
        <family val="2"/>
        <scheme val="minor"/>
      </rPr>
      <t xml:space="preserve">
4. Are uncertainties and sensitivities addressed?
Yes since:
Recognizes pre-concept design status and incomplete systems.
Material recyclability, tritium permeation, and component life (e.g., blanket) are major uncertainties.
material cost uncertainty (e.g., tantalum).
Limited nuclear data for isotopes noted, but low impact assumed.
I&amp;C evolution considered unpredictable.
Sensitivity studies on tritium inventory and radiation dose.
Riskanalysis uses deterministic methods due to data gaps.
</t>
    </r>
    <r>
      <rPr>
        <b/>
        <sz val="8"/>
        <color theme="1"/>
        <rFont val="Calibri"/>
        <family val="2"/>
        <scheme val="minor"/>
      </rPr>
      <t xml:space="preserve">5. Is the cost estimate bottom-up, top-down, or hybrid?
Hybrid approach:
Bottom-up: Core components like reactor, structures, land based on vendor sources and historical data; costs for first wall/blanket based on costs/weight -&gt; very detailled assumptions
Top-down: Indirect costs and interest rate/escalation as percentage add-ons based on DOE sources with specific modifications.
</t>
    </r>
    <r>
      <rPr>
        <sz val="8"/>
        <color theme="1"/>
        <rFont val="Calibri"/>
        <family val="2"/>
        <scheme val="minor"/>
      </rPr>
      <t xml:space="preserve">
6. Are costs based on physical and technological values?
e.g. Physical values: 3.6 MW/m2 wall load, coolant pressure/temp.
e.g. Technological: Steady-state plasma, RF heating, limiter system, PCA steel, remote maintenance, modular design, TOAK maturity level.
7. What technical and economic assumptions are made?
Technical:
Tokamak, steady-state, RF drive, limiter, PWR coolant, solid breeder (LiAlO2), PCA and Fel422 materials, remote handling, modular construction, 75% availability, 40-year design life.
Economic:
1980 USD, 1200 MWe, investor-owned utility, 10% nominal WACC, 5% escalation, 6-year build, 30-year economic life, very low fuel cost, no tooling cost.
8. Which physical/technical parameters drive costs?
Steady-state reduces fatigue, improves reliability.
RF heating and limiter reduce system complexity and costs.
Larger size benefits from economies of scale.
Higher neutron load reduces reactor size.
Material choices (e.g., PCA steel) impact replacement costs.
PWR coolant chosen for efficiency.
Eliminating intermediate cooling loop lowers cost.
75% availability is key for LCOE.
Remote maintenance raises CAPEX but improves uptime.
Modular/factory-built elements reduce build time.
TOAK design reduces development/engineering costs.
</t>
    </r>
    <r>
      <rPr>
        <b/>
        <sz val="8"/>
        <color theme="1"/>
        <rFont val="Calibri"/>
        <family val="2"/>
        <scheme val="minor"/>
      </rPr>
      <t xml:space="preserve">9. Is the concept state-of-the-art or forward-looking?
Forward-looking.
Assumes STARFIRE is TOAK, with mature tech and operating experience.
BOP based on existing PWRs.
Fusion-specific systems are commercial in other industries but not yet in reactors.
Steady-state and RF heating not fully demonstrated but feasible.
I&amp;C systems project 2020 tech with wireless processors.
</t>
    </r>
    <r>
      <rPr>
        <sz val="8"/>
        <color theme="1"/>
        <rFont val="Calibri"/>
        <family val="2"/>
        <scheme val="minor"/>
      </rPr>
      <t xml:space="preserve">
10. Is it a planned or hypothetical concept?
Hypothetical/conceptual design.
Labeled a “Conceptual Design Study.”
TOAK assumption implies future deployment.
Uses 1980 cost basis and projects first-year operation in ~1986.
Part of DOE standard design study series.
11. How current are the assumptions?
Based on 1980 perspectives.
Technology projections assume readiness by 2010–2020.
Not current, but a forward-looking vision from 1980.
</t>
    </r>
    <r>
      <rPr>
        <b/>
        <sz val="8"/>
        <color theme="1"/>
        <rFont val="Calibri"/>
        <family val="2"/>
        <scheme val="minor"/>
      </rPr>
      <t xml:space="preserve">12. How robust or speculative are the assumptions?
Robust: For conventional BOP systems (well-established in fission).
Speculative: For reactor-specific systems.
TOAK status assumes high reliability and low cost, but unproven.
Material cost and supply (e.g., tantalum) uncertain.
Full remote maintenance assumed but unverified.
No probabilistic risk model due to lack of data.
</t>
    </r>
    <r>
      <rPr>
        <sz val="8"/>
        <color theme="1"/>
        <rFont val="Calibri"/>
        <family val="2"/>
        <scheme val="minor"/>
      </rPr>
      <t xml:space="preserve">
</t>
    </r>
    <r>
      <rPr>
        <b/>
        <sz val="8"/>
        <color theme="1"/>
        <rFont val="Calibri"/>
        <family val="2"/>
        <scheme val="minor"/>
      </rPr>
      <t xml:space="preserve">13. Are cost components shown separately?
Yes:
Follows DOE cost account structure.
Each account and subelement detailed (e.g., land, reactor, turbine, electric systems).
Separate breakdowns for blanket, shielding, magnets, etc.
</t>
    </r>
    <r>
      <rPr>
        <sz val="8"/>
        <color theme="1"/>
        <rFont val="Calibri"/>
        <family val="2"/>
        <scheme val="minor"/>
      </rPr>
      <t xml:space="preserve">
</t>
    </r>
    <r>
      <rPr>
        <b/>
        <sz val="8"/>
        <color theme="1"/>
        <rFont val="Calibri"/>
        <family val="2"/>
        <scheme val="minor"/>
      </rPr>
      <t xml:space="preserve">14. Are material costs listed separately?
Yes:
Based on weight and unit cost per material (e.g., PCA, Be, LiAlO₂).
Shielding materials (B₄C, W, Pb) priced by mass.
Primary structure costs per kg for materials like G-10CR, Nonmagne 30.
Limiter material options (Ta, Nb, Cu) compared.
</t>
    </r>
    <r>
      <rPr>
        <sz val="8"/>
        <color theme="1"/>
        <rFont val="Calibri"/>
        <family val="2"/>
        <scheme val="minor"/>
      </rPr>
      <t xml:space="preserve">
15. Does the study focus on technical, economic, or strategic issues?
All three:
Technical: Detailed subsystem analysis
Economic: Comprehensive cost breakdown (CapEx, O&amp;M, fuel, COE).
Strategic: Assesses fusion viability; includes utility input and licensing/safety factors.
</t>
    </r>
    <r>
      <rPr>
        <b/>
        <sz val="8"/>
        <color theme="1"/>
        <rFont val="Calibri"/>
        <family val="2"/>
        <scheme val="minor"/>
      </rPr>
      <t>16. Does the study address system integration or just the reactor?
Both:
STARFIRE is grid-connected and BOP-integrated.
Utility advisory group involved.
Designed for baseload power.
COE compared with fission and coal.
Safety and environmental factors evaluated against LWRs/FBRs.</t>
    </r>
  </si>
  <si>
    <t>1. Ist der Modellierungsansatz transparent dokumentiert? Ja, der Modellierungsansatz ist transparent dokumentiert [22.1]. Die Studie legt die ökonomischen Richtlinien und Annahmen explizit dar, die für die Kostenschätzung verwendet wurden [22.2]. Dies umfasst die Basis für das Kostenjahr (1980er konstante US-Dollar), Annahmen zur Finanzierung (Kapitalstruktur, Kapitalkostensatz), Bauzeit und Lebensdauer der Anlage [22.2, 22.42-22.44]. Die Studie definiert auch die Kostenkonten (Cost Accounts), die den DOE-Richtlinien ("Fusion Reactor Design Studies - Standard Accounts for Cost Estimates") folgen, um eine einheitliche Bewertung zu gewährleisten, wobei spezifische Modifikationen für STARFIRE vorgenommen wurden [22.4, 22.17, 22.46]. Die Methode zur Berechnung der Busbar-Energiekosten (Cost of Electricity, COE) wird mit einer klaren Formel und der Definition der einzelnen Elemente ebenfalls offengelegt [22.526-22.527].2. Beruhen die Modell- und Kostenannahmen auf externen Quellen oder wurden sie selbst abgeleitet? Die Modell- und Kostenannahmen beruhen auf einer Kombination aus externen Richtlinien und selbst abgeleiteten Annahmen/Daten [22.1].    ◦ Externe Quellen: Die Studie hat die DOE-Richtlinien ("Fusion Reactor Design Studies - Standard Accounts for Cost Estimates") weitestgehend übernommen [22.4, 22.41]. Viele der Balance-of-Plant-Systeme (BOP) und Wärmetransportsysteme basieren auf aktuellen PWR-Systemen (Druckwasserreaktor-Systemen), was die Glaubwürdigkeit der Kosten erhöht [22.17, 22.45]. Kosten für Großanlagen basieren auf Anbieterangeboten und historischen Daten [22.46, 22.69].    ◦ Selbst abgeleitete Annahmen: Die Studie legt spezifische wirtschaftliche Rahmenbedingungen fest, wie das Basisjahr 1980, die Annahme eines investor-owned utility als Betreiber, und eine Kapitalstruktur mit spezifischen Finanzierungskosten [22.2, 22.42-22.43]. Die Design- und Leistungsmerkmale der Fusionsanlage wie Dauerbetrieb, RF-Heizung, Limiter-Vakuumsystem und das Material der ersten Wand/Blanket sind spezifisch für STARFIRE festgelegt [22.13, 22.49-22.50]. Die Lernkurvenraten für verschiedene Systemtypen (z.B. 85% für arbeitsintensive Systeme, 98% für Materialien, die den Markt beeinflussen) werden von der Studie selbst angewendet [22.30-22.31].3. Falls externe Quellen verwendet wurden – wurden diese modifiziert? Ja, externe Quellen wurden modifiziert und angepasst:    ◦ Das Kostenkontenformat der DOE wurde modifiziert, um die einzigartigen Systeme und Designansätze von STARFIRE besser darzustellen [22.4, 22.42].    ◦ Die Design-Allowance (ein Zuschlag für technische Unreife) wurde nicht als fester 10%-Satz angewendet, wie in Ref. 2 vorgeschlagen, sondern jedes Teilsystem wurde individuell hinsichtlich seines technischen und produktionstechnischen Reifegrades analysiert [22.36].    ◦ Die indirekten Kosten für Ingenieur- und Baumanagement-Dienstleistungen (Account 92) wurden auf 8 % der direkten Gesamtkosten festgelegt, was eine Reduzierung gegenüber typischen Annahmen darstellt, da STARFIRE die zehnte ihrer Art ist und BOP-Systeme sich auf bewährte Technologien stützen [22.39-22.40].
    ◦ Die Annahme für die Turbinenzykluseffizienz wurde von 34 % (übliche PWR-Praxis) auf 36 % erhöht, basierend auf erwarteten Verbesserungen (drei statt einer Stufe der Feuchtigkeitsabscheidung) [22.4, 22.59, 22.331].    ◦ Die Kosten für Reparaturen an den Magneten wurden differenziert nach der Lage der Magnete geschätzt, was eine Abweichung von Pauschalannahmen darstellt [19.290].4. Werden Unsicherheiten oder Sensitivitäten thematisiert? Ja, Unsicherheiten und Sensitivitäten werden thematisiert:
    ◦ Die Studie erkennt an, dass es sich um ein Vorkonzept-Design handelt und dass einige Teilsysteme nicht vollständig entwickelt oder definiert sind, wofür implizite Design-Allowances zur Berücksichtigung dieser Lücken in der Kostenkalkulation verwendet wurden [22.16-22.17].    ◦ Die Verfügbarkeit von Daten zur Material-Wiederverwertbarkeit ist ein Problem, das Materialauswahlentscheidungen beeinflusst und weitere Sudien erfordert [12.45].    ◦ Die Permeation von Tritium durch Strukturmaterialien wurde intensiv untersucht, aber es wird betont, dass experimentelle Ergebnisse erforderlich sind, um mildernde Effekte (z.B. Oxidfilme als Permeationsbarriere) zu verifizieren [14.99].    ◦ Die Lebensdauer von Komponenten ist eine Unsicherheit; beispielsweise wird für die Blanket-Sektoren eine Lebensdauer von 16 MW-yr/m² angenommen, was 6 Jahren Betrieb bei 75% Verfügbarkeit entspricht [19.244].    ◦ Die Kosten für Tantal sind aufgrund der Materialverfügbarkeit und wachsenden Nachfrage sehr unsicher [22.95].
    ◦ Es wird erwähnt, dass weitere Studien und Entwicklungen erforderlich sind, um ein angemessenes Gleichgewicht zwischen Ausfallraten und Designanforderungen zu gewährleisten [19.267].    ◦ Die Unsicherheiten bei den Querschnitten für Niob-Isotope werden genannt, aber ihr Einfluss auf die Radioaktivität der Magnete wird als gering eingeschätzt, da diese in einem geringen Strahlungsfeld liegen [12.35].    ◦ Es wird festgestellt, dass die genauen Details des I&amp;C-Systems aufgrund der schnellen Entwicklung der Technologie schwer vorhersehbar sind [18.186].    ◦ Sensitivitätsstudien wurden durchgeführt, um die Abhängigkeit des Tritiuminventars von Plasma-Designparametern (z.B. Tritium-Einschlusszeit) zu bestimmen [14.91-14.92]. Auch die Sensitivität der biologischen Dosisraten gegenüber der Quellvolumengröße wurde untersucht [12.48].    ◦ Im Kontext der Sicherheitsanalyse wird auf das Fehlen ausreichender Designdetails, statistischer Betriebsdaten und physikalischer Modelle für eine quantifizierte probabilistische Risikoabschätzung hingewiesen, weshalb ein deterministischer Ansatz gewählt wurde [21.3, 21.362-21.363].6. Wird offengelegt, ob die Kostenabschätzung auf einem Bottom-up-, Top-down- oder hybriden Ansatz basiert? Die Kostenabschätzung von STARFIRE basiert auf einem hybriden Ansatz:
    ◦ Bottom-up für Hauptkomponenten: Die direkten Kapitalkosten für die Reaktoranlage, Balance-of-Plant-Ausrüstung, Land und alle zugehörigen Strukturen und Standortanlagen wurden basierend auf Lieferantenangeboten, historischen Daten und analogen Systemen geschätzt [22.17]. Beispielsweise wurden die Kosten für die Erste Wand/Blanket auf einer Kosten-pro-Gewicht-Basis ermittelt [22.79-22.80]. Dies deutet auf eine detaillierte, komponentenspezifische Schätzung hin.
    ◦ Top-down/prozentuale Zuschläge für indirekte und zeitbezogene Kosten: Die indirekten Kosten im Zusammenhang mit dem Bau wurden basierend auf DOE-Empfehlungen mit spezifischen Modifikationen für dieses Design berechnet (z.B. 10% der direkten Kosten für Bauinfrastruktur, 8% für Engineering und Construction Management) [22.17-22.18, 22.38-22.41]. Zeitbezogene Kosten (Zinsen und Eskalation während der Bauzeit) wurden als prozentuale Faktoren der gesamten direkten und indirekten Kosten angegeben [22.46, 22.518].
    ◦ Lernkurven: Die Anwendung von Lernkurven [22.30-22.32] zur Reduzierung der "First-of-a-kind"-Kosten hin zu einer "Tenth-of-a-kind"-Anlage ist ein Mechanismus, der auf der Annahme einer zukünftigen Entwicklung und Massenproduktion basiert.
7. Beruht die Kostenherleitung auf physikalischen und technologischen Werten? Ja, die Kostenherleitung beruht stark auf physikalischen und technologischen Werten. Die Studie beschreibt detailliert, wie spezifische Designentscheidungen, Leistungsmerkmale und technologische Annahmen die Kosten beeinflussen [22.3, 22.13, 22.49].
    ◦ Physikalische Werte:
        ▪ Anlagenleistung: 1200 MWe Nettoleistung [22.55].
        ▪ Neutronenwandbelastung: Die Wahl von 3,6 MW/m² beeinflusst die Größe des Reaktors und damit die Kosten [22.56]. Eine höhere Wandbelastung führt zu kleineren Reaktoren und potenziell geringeren Kosten [22.56].
        ▪ Integrale Wandbelastung: 16 MW-yr/m² [22.55].
        ▪ Verfügbarkeit: Ein Ziel von 75 % Verfügbarkeit ist entscheidend für die Busbar-Energiekosten [22.60].
        ▪ Temperaturen/Drücke: Die Kühlmittelparameter (z.B. 320°C Austrittstemperatur, 15,2 MPa Druck für den Primärkreislauf) [13.2-13.3, 13.76-13.77] beeinflussen die Materialwahl und die Effizienz des Energieumwandlungssystems.
    ◦ Technologische Werte:
        ▪ Dauerbetrieb (Steady State): Eliminiert die Notwendigkeit für thermische und elektrische Energiespeicherung, reduziert Ermüdungsprobleme und erhöht die Zuverlässigkeit [22.51-22.52].
        ▪ RF-Heizung und Stromtrieb: Wird als kostengünstiger und wartungsfreundlicher angesehen als Neutralstrahlheizung [22.54].
        ▪ Limiter-Verunreinigungskontrolle: Gilt als einfacher und kostengünstiger als magnetische Divertoren [22.54].
        ▪ Materialien: Die Wahl von PCA-Edelstahl für die erste Wand/Blanket [22.55] und spezifischen Materialien für Schilde und Limiter [22.80, 22.95-22.96] beeinflusst die Herstellungskosten, die Lebensdauer und die Entsorgung. Beispielsweise wurde Fel422 als primäres Schildmaterial gewählt, um den Nb-Ressourcenverbrauch zu reduzieren.
        ▪ Fernwartung: Die Notwendigkeit einer vollständigen Fernwartung (aufgrund von Radioaktivität) erfordert spezielle Ausrüstung und Gebäude, was die Kapitalkosten erhöht, aber die Verfügbarkeit verbessert [22.52-22.53, 19.239].
        ▪ Modulare Bauweise: Reduziert die Bauzeit vor Ort und verbessert die Qualitätssicherung [22.11, 23.2, 23.553].
        ▪ Technologiereife ("Tenth of a Kind"): Die Annahme, dass es sich um die zehnte Anlage eines standardisierten Designs handelt, erlaubt die Anwendung von Lernkurven und die Reduzierung von Entwicklungs- und Engineering-Kosten [22.30, 22.50, 22.116-22.117].
8. Welche technischen und wirtschaftlichen Annahmen wurden getroffen? Die Studie trifft eine Vielzahl von Annahmen:
    ◦ Technische Annahmen:        ▪ Reaktor-Typ: Kommerzieller Tokamak-Fusionsreaktor (STARFIRE).        ▪ Plasma-Modus: Dauerbetrieb (Steady State) des Plasmas durch RF-Stromtrieb [2.2, 22.13, 22.51].        ▪ Impuritätenkontrolle: Limiter-System statt Divertor [3.3, 22.54].
        ▪ Primäres Kühlmittel: Druckwasser [5.4, 22.57].        ▪ Tritium-Brüter: Feststoff-Lithium-Verbindung (LiAlO₂) statt flüssiges Lithium [5.4, 21.8, 22.400].        ▪ Materialien: Verwendung von PCA-Edelstahl für Erste Wand/Blanket [22.55], Fel422 für den Hauptschild, Be als Low-Z-Beschichtung [C.20].        ▪ Modulare Bauweise: Für Reaktor- und Anlagenkomponenten [23.2].        ▪ Fernwartung: Vollständige Fernwartung in radioaktiven Bereichen [19.236].        ▪ Technologiereife: STARFIRE ist die zehnte Anlage eines standardisierten Designs, was eine hohe Vorhersagbarkeit, bewährte Teilsysteme und die Anwendung von Lernkurven ermöglicht [19.236, 22.3].        ▪ Verfügbarkeitsziel: 75 % Anlagenverfügbarkeit [19.234, 22.60].        ▪ Design-Lebensdauer: 40 Jahre [A.3.9].        ▪ Plasma-Start: ECRH-System für den Plasma-Durchbruch [I.1].    ◦ Wirtschaftliche Annahmen:        ▪ Basisjahr der Kosten: 1980 US-Dollar [22.2, 22.42].        ▪ Anlagengröße: 1200 MWe netto [22.55].        ▪ Betreiber: Investor-owned utility [22.2, 22.42].        ▪ Kapitalkostensatz: 10 % nominal, 5 % real [22.44].
        ▪ Inflation/Eskalation: 5 % pro Jahr [22.44].        ▪ Bauzeit: 6 Jahre [22.9].        ▪ Ökonomische Lebensdauer: 30 Jahre [22.44].        ▪ Brennstoffkosten: Sehr niedrig, da Tritium intern gezüchtet und Deuterium günstig ist (ca. 2000 $/kg) [22.61].
        ▪ Keine Werkzeugkosten: Anfangswerkzeuge wurden über frühere Anlagen amortisiert [22.30].9. Welche physikalischen und technischen Parameter beeinflussen die Kosten? Die Studie hebt mehrere physikalische und technische Parameter hervor, die die Kosten maßgeblich beeinflussen:    ◦ Betriebsmodus (Dauerbetrieb vs. gepulst): Dauerbetrieb reduziert Ermüdungsprobleme, erhöht die Zuverlässigkeit und eliminiert die Notwendigkeit für elektrische und thermische Energiespeichersysteme, was die Kosten senkt [22.51-22.52, 15.118].    ◦ Plasma-Heizung und Stromtrieb: Die Wahl von RF-Heizung anstelle von Neutralstrahlheizung wird als Designvereinfachung, verbesserte Wartbarkeit und geringere Kosten genannt [22.54].    ◦ Verunreinigungskontrollsystem (Limiter vs. Divertor): Ein Limiter/Vakuumsystem anstelle eines magnetischen Divertors führt zu Designvereinfachung, verbesserter Wartbarkeit und geringeren Kosten [22.54].    ◦ Anlagengröße (Skaleneffekte): Größere Reaktoren weisen niedrigere Energiekosten pro Einheit auf, da sie Skaleneffekte nutzen [22.54-22.55].    ◦ Neutronen-Wandbelastung: Eine höhere Wandbelastung führt zu einer kleineren Reaktorgröße, höherer Leistungsdichte und potenziell geringeren Kosten [22.56]. Die gewählte Belastung von 3,6 MW/m² ist ein Kompromiss zwischen Lebensdauer und Kosten [22.56-22.57].    ◦ Materialien der ersten Wand und des Blankets: Die Wahl von PCA-Edelstahl und dessen erwartete Lebensdauer (16 MW-yr/m²) beeinflusst die Häufigkeit des Austauschs und damit die Betriebskosten [22.55].
    ◦ Kühlmittel (Druckwasser): Die Wahl von Druckwasser wird durch Wirtschaftlichkeitsfaktoren wie Pumpenleistung und Turbineneintrittstemperatur gerechtfertigt [22.57-22.58].    ◦ Eliminierung von Zwischenkühlkreisläufen und thermischer Energiespeicherung: Diese Designentscheidung führt zu Kosteneinsparungen [22.60].    ◦ Hohe Anlagenverfügbarkeit (75%): Eine höhere Verfügbarkeit reduziert die Energiekosten erheblich, da es sich um eine kapitalintensive Anlage handelt [22.60, A.3.4].
    ◦ Fernwartung: Erfordert spezialisierte und teure Ausrüstung und Gebäude (z.B. heiße Zellen, Roboter), was die Kapitalkosten erhöht, aber für die Realisierung der Verfügbarkeit unter radioaktiven Bedingungen als notwendig erachtet wird [22.52-22.53].
    ◦ Konstruktionstechniken (Modulare Bauweise, Werksmontage): Können die Bauzeit verkürzen und die Qualität verbessern, was sich positiv auf die Kosten auswirken kann [22.11, 23.2].    ◦ Level der Technologie ("Tenth of a Kind"): Die Annahme einer reifen Fusionstechnologie ermöglicht die Anwendung von Lernkurven und reduziert die Engineering- und Entwicklungskosten im Vergleich zu iner "First-of-a-kind"-Anlage [22.3, 22.30, 22.50, 22.116].
10. Ist das technische Reaktorkonzept konsistent mit dem Stand der Technik (state of the art)? Das technische Reaktorkonzept von STARFIRE wird nicht als "State of the Art" der damaligen Zeit (1980) beschrieben, sondern als eine Projektion in eine reife Fusionswirtschaft.
    ◦ Die Studie geht von der Annahme aus, dass STARFIRE die "zehnte Einheit" (Tenth of a Kind) einer standardisierten Anlage ist [22.3, 22.50]. Dies bedeutet, dass viele frühe Probleme durch Betriebs- und Designverbesserungen beseitigt sind und eine hochgradig vorhersagbare Maschine existiert, die auf umfangreichen Forschungs- und Entwicklungsprogrammen sowie Betriebserfahrungen früherer Anlagen beruht [19.236].    ◦ Viele Gleichgewichtsanlagensysteme (Balance of Plant, BOP) entsprechen zwar der aktuellen PWR-Technologie [22.45-22.46].    ◦ Reaktorspezifische Technologien (wie supraleitende Magnete, Kryopumpen, ECRH-Systeme, Tritiumverarbeitung und Fernwartung) sind jedoch als "dritte Ebene der Technologie" klassifiziert, was bedeutet, dass sie zum Zeitpunkt der Studie noch nicht in kommerziellen Kraftwerken demonstriert wurden, aber in anderen Industrien kommerziell gezeigt wurden. Es wird angenommen, dass sie bis zum Bau von STARFIRE kommerziell in Kraftwerken demonstriert sein werden [22.48-22.49].
    ◦ Einige Designmerkmale wie der Dauerbetrieb, RF-Heizung und das Limiter/Vakuumsystem waren zum Zeitpunkt der Studie noch nicht vollständig demonstriert, aber ihre Machbarkeit wurde gezeigt und sie werden als typisch für ein reifes Fusionskraftwerk angesehen [22.51].    ◦ Auch im Bereich der Instrumentierung und Steuerung (I&amp;C) wird eine fortgeschrittene Technologie mit dezentralen Mikroprozessoren und drahtlosen Datenverbindungen angenommen, die über den Stand von 1980 hinausgeht und eine Projektion bis 2020 darstellt [18.2, 18.118]. Kurz gesagt, STARFIRE repräsentiert eine zukünftige, optimierte und reife Fusionskraftwerks-Technologie, die über den damaligen Stand der Technik hinausgeht.11. Handelt es sich um ein geplantes Konzept oder um ein hypothetisches Design? Es handelt sich um ein hypothetisches/konzeptionelles Design, nicht um ein konkret geplantes oder im Bau befindliches Konzept.    ◦ Die Studie wird als "Conceptual Design Study" bezeichnet [22.1, 22.16, 22.18].    ◦ STARFIRE wird explizit als "A Commercial Tokamak Fusion Power Plant Study" im Titel genannt.    ◦ Es wird angenommen, dass STARFIRE die "zehnte Einheit" (Tenth of a Kind) eines standardisierten Designs ist, was eine zukünftige, reife Fusionswirtschaft impliziert und nicht den aktuellen Planungsstand [19.236, 22.3].
    ◦ Die wirtschaftlichen Annahmen beziehen sich auf "1980er konstante US-Dollar" und prognostizieren Kosten für das erste Betriebsjahr in "Then-Current" (1986er) Dollar, was auf eine modellierte Zukunft hinweist [22.18-22.19, 22.46].
    ◦ Die Studie ist Teil einer "Design Studies - Standard Accounts for Cost Estimates"-Reihe, was ihre Natur als Bewertungsrahmen für zukünftige Designs unterstreicht [22.41].12. Wie aktuell sind die technischen und wirtschaftlichen Annahmen? Die technischen und wirtschaftlichen Annahmen sind aus der Perspektive des Jahres 1980 formuliert und spiegeln die damaligen Erwartungen für die Zukunft wider:    ◦ Wirtschaftliche Annahmen: Alle Kosten werden in 1980er konstanten US-Dollar angegeben [22.2, 22.42]. "Then-Current"-Dollar-Analysen beziehen sich auf 1986 [22.18-22.19]. Die Studie wurde im September 1980 veröffentlicht.    ◦ Technologische Annahmen: Die Studie prognostiziert Technologien, die für den Bau von STARFIRE im Zeitraum von 2010 bis 2020 verfügbar sein sollen [A.3.13, 18.2]. Insbesondere für das Instrumentierungs- und Steuerungssystem (I&amp;C) wird eine Technologieentwicklung bis zum Jahr 2020 angenommen [18.2, 18.187]. Viele der "fusion-spezifischen" Technologien wurden als "dritte Ebene der Technologie" betrachtet, die bis zum Bau von STARFIRE kommerziell demonstriert sein würden [22.48-22.49]. Die Annahmen sind also nicht auf dem heutigen Stand der Technik oder Wirtschaftlichkeit, sondern repräsentieren eine Prognose aus dem Jahr 1980 für ein Fusionskraftwerk in einer zukünftigen, reifen Fusionswirtschaft.13. Wie belastbar oder spekulativ sind die getroffenen Annahmen? Die Belastbarkeit der Annahmen ist gemischt, mit einer erheblichen Portion Spekulation, insbesondere für die reaktorspezifischen Teilsysteme:
    ◦ Hohe Belastbarkeit für konventionelle BOP-Systeme: Viele Balance-of-Plant-Systeme (z.B. Dampfturbine, elektrische Ausrüstung, Kühlwasseranlagen) ähneln denen von PWRs. Die Studie gibt an, dass dies die Glaubwürdigkeit der Kosten erhöht, da diese Systeme "ausreichend gut entwickelt in der Spaltungsindustrie und konzeptuell gut genug verstanden sind, um keine Design-Allowance zu erfordern" [22.17, 22.45].
    ◦ Moderate bis hohe Spekulation für reaktorspezifische Systeme:
        ▪ Reife der Fusionstechnologie ("Tenth of a Kind"): Die Annahme, dass STARFIRE die zehnte Anlage ihrer Art ist, ist spekulativ. Sie ermöglicht die Anwendung von Lernkurven [22.30-22.32] und die Annahme einer hohen Zuverlässigkeit und vorhersagbaren Wartungsbedarfs [19.236], was die Kosten senkt und die Verfügbarkeit erhöht. Das Ausmaß dieser Reduktion ist jedoch eine Prognose.
        ▪ Kosten pro Gewicht: Für die Erste Wand/Blanket werden Kosten auf einer Kosten-pro-Gewicht-Basis geschätzt, was bei einem so frühen Designstadium eine plausible Methode ist, aber Details und Realisierungskosten späterer Fertigungsschritte können unzureichend berücksichtigt sein [22.79].
        ▪ Materialverfügbarkeit und -kosten: Die Kosten für Materialien wie Tantal werden als "sehr unsicher" bezeichnet [22.95], und es wird erwähnt, dass Informationen über den "Back-End" des Materialkreislaufs (Abfallentsorgung und Recycling) fehlen, was Designer zu "einem gewissen Ermessen bei der Materialauswahl" zwingt [12.45].
        ▪ Verfügbarkeit von Remote-Maintenance-Technologien: Obwohl Fortschritte in der Automatisierung und Fernwartung prognostiziert werden [19.239-19.240], ist die Annahme einer "vollständigen Fernwartung" als Anforderung des regulatorischen Umfelds zum Zeitpunkt der Studie spekulativ [22.53].
        ▪ Datenmangel für probabilistische Sicherheitsanalysen: Die Studie selbst räumt ein, dass "ein Mangel an ausreichenden Designdetails, statistischen Betriebsdaten und physikalischen Modellen" die Durchführung einer quantifizierten probabilistischen Risikoabschätzung unmöglich machte [21.362-21.363]. Zusammenfassend lässt sich sagen, dass die Annahmen für die etablierten Kraftwerksteile relativ belastbar waren, während die Annahmen für die neuartigen Fusionskomponenten und deren Interaktion in einem kommerziellen Umfeld stark spekulativ waren und auf Optimismus und erwarteten technologischen Durchbrüchen beruhten.
14. Werden die einzelnen Kostenkomponenten separat ausgewiesen? Ja, die einzelnen Kostenkomponenten werden separat und detailliert ausgewiesen.
    ◦ Die Studie verwendet ein standardisiertes Kostenkontenformat (Cost Accounts), das den DOE-Richtlinien entspricht [22.4, 22.17, 22.42, 22.62].
    ◦ In Tabelle 22-4 sind die STARFIRE-Kapitalkostenkonten aufgeführt, die eine Gliederung auf mehreren Ebenen zeigen, z.B. Account 20 (Land und Landrechte), 21 (Strukturen und Standortanlagen), 22 (Reaktoranlagenausrüstung), 23 (Turbinenanlagenausrüstung), 24 (Elektrische Anlagenausrüstung), 25 (Verschiedene Anlagenausrüstung), 26 (Spezialmaterialien) und indirekte Kostenkonten (91, 92, 93) [22.466-22.467].
    ◦ Untergeordnete Konten (Subelements) sind ebenfalls aufgeführt, um den Inhalt jedes Kostenkontos zu klären. Zum Beispiel listet Account 22.01 (Reactor Main Systems) Unterkomponenten wie Blanket und Erste Wand (22.01.01), Abschirmung (22.01.02), Magnete (22.01.03) usw. auf [22.466-22.467].
    ◦ Kapitel 22.5 ("CAPITAL COSTS") geht dann detailliert auf die Kosten für jede dieser Hauptkategorien ein und liefert oft auch Tabellen mit weiteren Untergliederungen der Kosten (z.B. Tabelle 22-26 für Blanket und Erste Wand, Tabelle 22-27 für die Abschirmung) [22.34-22.100].
15. Werden Materialkosten separat ausgewiesen? Ja, Materialkosten werden in den detaillierten Kostenabschätzungen separat ausgewiesen, oft in Bezug auf Gewicht und installierte Kosten pro Kilogramm oder Quadratmeter.
    ◦ Für die Erste Wand und das Blanket werden die Materialkosten basierend auf der Masse des Materials und einem installierten Kosten-pro-Kilogramm-Wert angegeben (z.B. PCA SS, Be, LiAlO₂, C, Zr₅Pb₃) [22.79-22.80, Tabelle 22-26].
    ◦ Ähnlich werden die Kosten für die Abschirmung nach Material (z.B. Nonmagne 30, B₄C, W, Pb) auf einer Kosten-pro-Gewicht-Basis berechnet und separat aufgeführt [22.80-22.81, Tabelle 22-27].
    ◦ Die primäre Struktur und das Unterstützungssystem weisen auch Materialmassen und installierte Kosten pro Kilogramm für Materialien wie Nonmagne 30, G-10CR und Superisolation auf [22.88-22.90, Tabelle 22-31].
    ◦ Auch für den Limiter werden die Materialkosten für verschiedene Kandidatenmaterialien (Tantal, Vanadium, Niob, Kupfer) pro Kilogramm und Gesamtgewicht aufgeführt, um eine Materialwahl zu unterstützen [22.95-22.96].
    ◦ Zusätzlich listet Anhang C ("MATERIALS REQUIREMENTS") detaillierte Materialinventare für die verschiedenen Komponenten des STARFIRE-Reaktors auf, was die Grundlage für die Materialkosten bildet [C.1-C.3, Tabelle C-1, C-2, C-3].
16. Liegt der Fokus der Studie auf technischen, ökonomischen oder strategischen Fragestellungen? Der Fokus der Studie liegt gleichzeitig auf technischen und ökonomischen Fragestellungen, mit einer strategischen Gesamtperspektive für die Etablierung der Fusionsenergie.    ◦ Technische Fragestellungen: Ein erheblicher Teil des Dokuments (Volume I und II, Kapitel 4 bis 21) widmet sich detailliert dem technischen Design und der Analyse der einzelnen Reaktorsysteme (Plasma-Engineering, Heiz- und Stromtriebsysteme, Magnete, Erste Wand/Blanket, Tritiumsysteme, etc.). Dies zeigt einen tiefen technischen Fokus. Auch Fragen der Wartung und Verfügbarkeit sind technische Design-Themen [19.1].
    ◦ Ökonomische Fragestellungen: Ein dediziertes Kapitel 22 ist der ökonomischen Analyse gewidmet, in dem Kapitalkosten, Betriebs- und Wartungskosten, Brennstoffkosten und die Busbar-Energiekosten detailliert geschätzt und analysiert werden [22.1, 22.414-22.418]. Das Ziel ist es, die Wettbewerbsfähigkeit der Fusionsenergie zu bewerten [22.415-22.416].
    ◦ Strategische Fragestellungen:        ▪ Die Studie zielt darauf ab, zu bewerten, "wie gut Fusion diese Kriterien (Leistung, Zuverlässigkeit, Sicherheit, Umweltverträglichkeit, Wirtschaftlichkeit) erfüllen kann" [22.1, 22.414-22.415].        ▪ Die Annahme einer "zehnten Einheit" ("Tenth of a Kind") und die Anwendung von Lernkurven [22.3, 22.30] sind strategische Annahmen, die die langfristige Kommerzialisierung der Fusionsenergie bewerten sollen.       ▪ Die Einbindung einer Utility Advisory Group [A.1] unterstreicht den strategischen Fokus auf die Akzeptanz und die Anforderungen der Energieversorger an eine zukünftige Fusionsanlage, wobei Wirtschaftlichkeit, Zuverlässigkeit und Lizenzierung die wichtigsten Kriterien sind [A.3.1, A.3.2, A.3.3].
        ▪ Sicherheits- und Umweltaspekte werden als entscheidend für die Lizenzierung und die öffentliche Akzeptanz betrachtet, was ebenfalls eine strategische Dimension darstellt [21.1, 21.359-21.360].
17. Der Hauptfokus scheint auf der Integration von technischen Machbarkeiten mit einer umfassenden ökonomischen Bewertung zu liegen, um die strategische Attraktivität der Fusionsenergie für eine kommerzielle Anwendung zu belegen.
18. Bezieht sich die Studie auf ein Energiesystem (z.B. Integration, Vergleich mit anderen Technologien) oder ist sie rein reaktorbezogen? Die Studie ist nicht rein reaktorbezogen, sondern bezieht sich auf die Integration der Fusionsanlage in ein breiteres Energiesystem und beinhaltet Vergleiche mit anderen Energietechnologien.
    ◦ Integration in ein Energiesystem:        ▪ Die Studie bezieht sich auf eine "Commercial Tokamak Fusion Power Plant", die Elektrizität für das Stromnetz erzeugt.        ▪ Das Kapitel "Balance of Plant Design" (Kapitel 20) beschreibt die konventionellen Teile eines Kraftwerks (Dampferzeuger, Turbinen, Kondensatoren, Kühlwassersysteme) und deren Integration mit dem Fusionsreaktor [20.1, 20.306].        ▪ Die "Utility Advisory Group" wurde direkt in den Entscheidungsprozess eingebunden, um sicherzustellen, dass das Design für Energieversorger attraktiv ist und ihre Anforderungen (z.B. Netzkompatibilität, Lastfolgefähigkeit, Anlagenverfügbarkeit) erfüllt [A.1, A.3]. STARFIRE ist beispielsweise als Basislasteinheit konzipiert [A.3.20].        ▪ Die Wirtschaftlichkeit wird in Busbar-Energiekosten (Mills/kWh) ausgedrückt, was ein Standardmaß für den Vergleich von Stromerzeugungsanlagen ist [22.526].    ◦ Vergleich mit anderen Technologien:
        ▪ Kapitel 22.8 ("COMPARISON WITH OTHER TOKAMAK STUDIES") vergleicht die Kosten von STARFIRE mit anderen Tokamak-Konzeptstudien (NUWMAK, UWMAK III) [22.528-22.530].
        ▪ Kapitel 22.9 ("COMPARISON OF FUSION WITH FISSION AND COAL") stellt die geschätzten Kosten der Fusionsenergie von STARFIRE direkt den Projektionen für Spaltungs- und Kohlekraftwerke gegenüber, um die Wettbewerbsfähigkeit zu beurteilen [22.539-22.540, Figure 22-4].        ▪ Umwelt- und Sicherheitsaspekte werden auch im Vergleich zu LWRs und FBRs diskutiert [21.1, 21.360]. Die Studie ist somit klar darauf ausgerichtet, die kommerzielle Relevanz der Fusionsenergie im Kontext des gesamten Energiesystems zu bewerten.
19. Was sind die signifikantesten Kostentreiber und ökonomischen Herausforderungen laut Studie?    ◦ Kapitalkosten, insbesondere die Reaktoranlage: Die Reaktorabteilung der Anlage ist der teuerste Teil des Gesamtsystems und macht über 50 % der direkten Gesamtkosten aus [22.78]. Speziell teuer sind die Blanket- und Erste-Wand-Systeme (£82,36 Mio.) [22.80] sowie die Abschirmung (£108,50 Mio.) [22.81-22.82]. Auch die Magnete sind ein erheblicher Kostenfaktor [22.60].
    ◦ Notwendigkeit der Fernwartung: Obwohl die Fernwartung für die Verfügbarkeit entscheidend ist, erhöht sie die Kapitalkosten aufgrund der Notwendigkeit spezialisierter Ausrüstung (z.B. Krane, Manipulatoren, heiße Zellen) [22.52-22.53]. Die Kosten für Wartungsausrüstung werden unter Account 22.06.01 ausgewiesen [22.61, 22.507].    ◦ Hohe Qualitätskontrolle und komplexe Strukturen: Komponenten wie die Primärstruktur und das Unterstützungssystem (z.B. Dewar-Vakuumgefäße für TF-Spulen) erfordern hohe Qualitätskontrollen, Schweißprüfungen und Dichtheitsprüfungen, was zu hohen Kosten pro Kilogramm führt (z.B. 20 $/kg für Edelstahlstrukturen) [22.87].◦ Investitionen in neuartige Technologien: Obwohl die Studie von einer reifen Technologie ausgeht, sind die Kosten für fusion-spezifische Systeme wie supraleitende Spulen, RF-Leistungsverstärker, Kryopumpen und Tritiumverarbeitung noch erheblich [22.48-22.49].    ◦ Kapitalintensive Natur der Anlage: Die Fusionsanlage ist sehr kapitalintensiv, was bedeutet, dass die Kapitalkosten den Großteil der Busbar-Energiekosten ausmachen (85-90 % der Gesamtkosten) [22.529]. Eine Reduzierung der Anlagenverfügbarkeit um nur 1 % von 75 % auf 74 % erhöht die COE um fast 1 Mill/kWh [22.60].    ◦ Lange Bauzeit: Eine angenommene Bauzeit von sechs Jahren führt zu erheblichen Zinsen und Eskalation während der Bauzeit (IDC und EDC), die die Gesamtkapitalkosten signifikant erhöhen [22.42-22.44, 22.518].20. Die ökonomischen Herausforderungen liegen hauptsächlich darin, diese hohen Kapitalkosten durch Skaleneffekte, Designoptimierungen, Lernkurveneffekte und vor allem eine hohe Anlagenverfügbarkeit wettbewerbsfähig zu gestalten.   Anlagengröße (Skaleneffekte): Die Studie stellt fest, dass Tokamak-Reaktoren Skaleneffekte aufweisen, d.h. größere Kraftwerke haben geringere Energiekosten pro Einheit [22.54]. Die gewählte Leistung von 1200 MWe (netto) liegt im bevorzugten Bereich der Energieversorger [22.55].    ◦ Höhere Neutronen-Wandbelastung: Eine höhere Wandbelastung ermöglicht einen kleineren Reaktor mit höherer Leistungsdichte, was potenziell zu geringeren Kosten führt, obwohl es technische Grenzen gibt [22.56].
    ◦ Auswahl des Kühlmittels und Betriebsbedingungen: Die Wahl von Druckwasser als Kühlmittel und optimierte Betriebsbedingungen beeinflussen die Pumpenleistung und Turbineneintrittstemperatur, was sich direkt auf die Effizienz und damit die Kosten auswirkt [22.57-22.58].    ◦ Eliminierung von Zwischenkreisläufen: Das Design von STARFIRE erlaubt die Eliminierung eines Zwischenkühlkreislaufs (z.B. Lithium-Zwischenkreislauf), was die Systemkomplexität und die Kosten reduziert [22.60].
    ◦ Hocheffiziente Dampfturbine: Die Verwendung von drei Stufen der Feuchtigkeitsabscheidung in der Turbine erhöht die Bruttozykluseffizienz von 34 % auf 36 %, was die COE erheblich senkt [22.59, 20.331-20.332].
    ◦ Hohe Anlagenverfügbarkeit: Eine hohe angestrebte Verfügbarkeit von 75 % ist entscheidend für die Wirtschaftlichkeit einer kapitalintensiven Anlage wie STARFIRE, da jeder Prozentpunkt Verlust an Verfügbarkeit die COE erhöht [22.60, A.3.4]. Dies wird durch Designmerkmale zur schnellen Wartung und Modulwechsel unterstützt [19.233].
◦ Materialauswahl zur Kostenoptimierung: Die Studie zeigt Materialkostenvergleiche für Komponenten wie den Limiter (Tantal ist viel teurer als Niob oder Kupfer) und den Centerpost (G-10CR ist kostengünstiger als Grafit-Epoxy oder Nonmagne 30 Stahl) [22.95-22.96, Tabelle 22-32], was die Bedeutung der Materialwahl für die Kosten unterstreicht. Die Wahl von Fel422 als Schildmaterial statt 304 SS reduziert den Gesamtressourcenbedarf.
    ◦ Modulare Bauweise und Fabrikvorfertigung: Diese Methoden sollen die Bauzeit vor Ort verkürzen, die Produktivität steigern und die Qualität verbessern, was zu Kosteneinsparungen führen kann [22.11, 23.2].
    ◦ Standardisierung des Designs: Als "zehnte Anlage" profitiert STARFIRE von einer Standardisierung des Designs, was die Engineering-Kosten reduziert [22.116].</t>
  </si>
  <si>
    <t>LCOE</t>
  </si>
  <si>
    <t>Relative</t>
  </si>
  <si>
    <t>mills/kWh</t>
  </si>
  <si>
    <t>Detailed information about replacement intervalls of several components; e.g. Periodic wall and blanket replacement: 6 years</t>
  </si>
  <si>
    <t>ITER</t>
  </si>
  <si>
    <t>IAEA (2001)</t>
  </si>
  <si>
    <t>n.a.</t>
  </si>
  <si>
    <t>EUR/kW</t>
  </si>
  <si>
    <t>Bednyagin &amp; Gnansounou (2011)</t>
  </si>
  <si>
    <t>Steady-State</t>
  </si>
  <si>
    <t>Modular Fusion Plant</t>
  </si>
  <si>
    <t>Chuyanov et al. (2017)</t>
  </si>
  <si>
    <t>Study mentions "fuel processing", therefore just proxy</t>
  </si>
  <si>
    <t>EUR/MWh</t>
  </si>
  <si>
    <t>operation (30%); fuel, operation, maintenance and decommission-ing (8%). The electricity cost of four main fusion design concepts considered in European PPCS study was estimated in the range 50–90 h/MWh (Maisonnier et al., 2005). A most recent review of the economics of fusion power was made by Han and Ward (2009). Based on their estimates of capital, fixed O&amp;M and variable O&amp;M costs and assuming 5% interest rate for annuity payments, 40 years lifetime and 80% capacity factor, the future cost of fusion electricity can be estimated in a range 40–50 h/ MWh for mature and early FPPs in basic configuration and from 33 to 40 h/MWh for mature and early FPPs of advanced concept.</t>
  </si>
  <si>
    <t>MARS</t>
  </si>
  <si>
    <t>Magnetic Mirror</t>
  </si>
  <si>
    <t>Berwald et al. (1987)</t>
  </si>
  <si>
    <t>Construction time: 6 years</t>
  </si>
  <si>
    <t>AV: 0.7</t>
  </si>
  <si>
    <t>Fusion</t>
  </si>
  <si>
    <t>Bustreo et al. (2019)</t>
  </si>
  <si>
    <t>60 years lifetime</t>
  </si>
  <si>
    <t>Probably 10-OAK or NOAK since learning curves assumed and parameters from EUROfusion basic commercial power plants assumptions</t>
  </si>
  <si>
    <t>Fusionsenergie nach 2050 zu einem vollständig dekarbonisierten europäischen Strommix mit versch energieszenarien
nutzt comese code um systemkostn zu analysieren</t>
  </si>
  <si>
    <t>CFETR (Full Superconducting Tokamak)</t>
  </si>
  <si>
    <t>Chen et al. (2015)</t>
  </si>
  <si>
    <t>Experimental; "without net electricity for output and needs external power supply"; IDC: 443.2 MUSD</t>
  </si>
  <si>
    <t>Target: &gt; 0.3-0.5 burning time</t>
  </si>
  <si>
    <t>Pulsed</t>
  </si>
  <si>
    <t>CFETR (Water-cooling Cu magnets)</t>
  </si>
  <si>
    <t>Experimental; "without net electricity for output and needs external power supply"</t>
  </si>
  <si>
    <t>Spherical Tokamak</t>
  </si>
  <si>
    <t>COE</t>
  </si>
  <si>
    <t>USD/kWh</t>
  </si>
  <si>
    <t>Modular plant; learning effetcs due to mass prodction for modular parts</t>
  </si>
  <si>
    <t>OCC just total direct capital cost; "For the breeding blanket, the modular plant design uses expensive materials: Beryllium and Lithium enriched"</t>
  </si>
  <si>
    <t>TITAN-I</t>
  </si>
  <si>
    <t>Reversed-Field Pinch</t>
  </si>
  <si>
    <t>ARIES-I</t>
  </si>
  <si>
    <t>Replacement Cost</t>
  </si>
  <si>
    <t>O&amp;M Cost</t>
  </si>
  <si>
    <t>IDC: 512.8 MUSD; Owners Costs: 107 MUSD</t>
  </si>
  <si>
    <t>With Owner' Cost</t>
  </si>
  <si>
    <t>ESECOM GENEROMAK LI/LI/V</t>
  </si>
  <si>
    <t>Conn et al. (1990)</t>
  </si>
  <si>
    <t>6 years construction time</t>
  </si>
  <si>
    <t xml:space="preserve">- </t>
  </si>
  <si>
    <t>ARIES-I is 10-OAK, therefore probably all of them due to comparison study</t>
  </si>
  <si>
    <t>HYLIFE</t>
  </si>
  <si>
    <t>CASCADE</t>
  </si>
  <si>
    <t>ARIES-II</t>
  </si>
  <si>
    <t>"Fuel and scheduled replacement items"</t>
  </si>
  <si>
    <t>USD/MWh</t>
  </si>
  <si>
    <t>Cook et al. (2002)</t>
  </si>
  <si>
    <t>Fig. 2; no proof of derivation; no further data explicitly given</t>
  </si>
  <si>
    <t>Probably higher than FOAK since commercial one but not specified;
Probably tokamak since reference to ITER and ARIES-AT is being made</t>
  </si>
  <si>
    <t>Dieser Text befasst sich mit den Aussichten für die wirtschaftliche Nutzung der Fusionsenergie zur Stromerzeugung und fasst umfangreiche Studien aus der EU und den USA zusammen. Er untersucht die internen Kosten (Bau, Betrieb, Entsorgung) und externen Kosten (Umwelt- und Gesundheitsauswirkungen) von Fusionsstrom im Vergleich zu anderen Energiequellen. Das Papier hebt hervor, dass Fusionsenergie bei moderater Optimierung preislich mit erneuerbaren Energien vergleichbar ist und im Falle fortgeschrittener Materialien den Kosten von fossilen Brennstoffen oder Kernspaltung nahekommt, insbesondere unter Berücksichtigung der geringen externen Kosten. Ziel ist es, Fusionsenergie als eine ökonomisch attraktive und umweltverträgliche Option für die zukünftige Energieversorgung darzustellen, die ab der zweiten Hälfte des Jahrhunderts signifikant zur Stromproduktion beitragen könnte.
Die von Ihnen genannte Studie "Prospects for economic fusion electricity" von I. Cook, R.L. Miller und D.J. Ward befasst sich mit den wirtschaftlichen Aussichten der Fusionsenergie als zukünftige Stromquelle.
*   **Worüber handelt die Studie?**
    Die Studie **fasst umfassende Untersuchungen zur Wirtschaftlichkeit der Fusionsenergie zusammen**, die im letzten Jahrzehnt in der Europäischen Union und den Vereinigten Staaten durchgeführt wurden. Sie beleuchtet die **Aussichten der Fusion, einen wirtschaftlich attraktiven Beitrag zum zukünftigen Energiemix zu leisten**. Im Kern geht es darum, ob und unter welchen Bedingungen Fusionsstrom im Vergleich zu anderen Energiequellen wie fossilen Brennstoffen, Kernspaltung und erneuerbaren Energien wettbewerbsfähig sein kann, unter Berücksichtigung von **internen Kosten** (Bau, Brennstoff, Betrieb, Entsorgung), **externen Kosten** (Umweltschäden, Gesundheitsauswirkungen) und der **Rolle der Fusion in langfristigen Energieszenarien**. Die Studie bestätigt, dass **bedeutende Fortschritte in der Physik und Technologie der Fusion** erzielt wurden, was sie zu einer glaubwürdigen Option für saubere, großflächige Stromerzeugung macht. Es wird betont, dass die **Gesamtmerkmale aller möglichen zukünftigen Stromerzeugungssysteme** (einschließlich finanzieller Leistung, externer Kosten, Emissionsbeschränkungen, Sicherheit, Umweltauswirkungen und sozialer Akzeptanz) die Zielbereiche für die wirtschaftliche und umweltbezogene Leistung von Fusionskraftwerken bestimmen.
*   **Welche Kernaussagen werden in der Studie genannt?**
    Die Studie präsentiert mehrere zentrale Aussagen zur Wirtschaftlichkeit der Fusionsenergie:
    *   **Wettbewerbsfähigkeit bei moderater Optimierung**: Mit **moderater physikalischer Optimierung und erwarteten kurzfristigen Materialien** würden die internen Kosten von Fusionsstrom etwa 50 % teurer sein als Strom aus fossilen Brennstoffen (ohne Berücksichtigung der Kosten für die Umweltverschmutzung) und ungefähr **vergleichbar mit erneuerbaren Energien** (ohne Speicherkosten).
    *   **Wettbewerbsfähigkeit mit fortschrittlicher Technologie**: Der Einsatz von **fortschrittlichen Materialien, Technologien und Physik** führt dazu, dass die internen Kosten von Fusionsstrom den **internen Kosten von Kernspaltung oder fossilen Brennstoffen nahekommen**.
    *   **Geringe externe Kosten**: Fusion weist, ähnlich wie Windenergie, **geringe externe Kosten auf, die etwa eine Größenordnung niedriger sind als die von fossilen Brennstoffen**. Die erweiterten Analysen bestätigen, dass die externen Kosten der Fusion sehr niedrig sind.
    *   **Grundlastfähigkeit**: Im Gegensatz zu vielen erneuerbaren Energien **liefert Fusion gesicherte Leistung** (firm power), was die Notwendigkeit teurer Speicher erübrigt.
    *   **Beitrag zu zukünftigen Energieszenarien**: Energieszenarien zeigen, dass Fusion in der zweiten Hälfte des Jahrhunderts **erheblich zur großflächigen Stromerzeugung beitragen könnte**. Die Modellierung zeigt, dass Fusion in Szenarien, die Kosteneffizienz und Emissionsbeschränkungen berücksichtigen, nicht "erzwungen" wird, sondern **vom Kostenminimierungsmechanismus des Modells "angezogen" wird**.
    *   **Verbesserte wirtschaftliche Leistung**: Als Ergebnis der Fortschritte in der Fusionswissenschaft und der gestiegenen Wertschätzung externer Kosten hat sich die erwartete **wirtschaftliche Leistung der Fusion verbessert, und das erwartete wirtschaftliche Ziel ist weniger aufwändig geworden**; diese überlappen sich nun.
    *   **Kostenvorteil der Entwicklung**: Die Modellierung legt nahe, dass es **billiger ist, die Fusion zu entwickeln und einzusetzen, als sie nicht zu entwickeln**, da die Kosten der Nicht-Entwicklung die Entwicklungskosten der Fusion übersteigen würden.
*   **Was ist das Ziel der Studie?**
    Das primäre Ziel der Studie ist es, die **Aussichten der Fusionsenergie aufzuzeigen, einen wirtschaftlich attraktiven Beitrag zum zukünftigen Energiemix zu leisten**. Dies beinhaltet eine **Zusammenfassung der umfangreichen Studien zur Fusionsökonomie**. Die Studie beabsichtigt, Fusion mit anderen fortgeschrittenen Energiequellen für die **Grundlaststromerzeugung zu vergleichen** und auf die wachsende Notwendigkeit **neuer, umweltfreundlicher, wirtschaftlich tragfähiger und nachhaltiger Energieformen** zu reagieren. Sie zielt darauf ab, die **Fortschritte in der Fusionswissenschaft** hervorzuheben, die dazu geführt haben, dass die **erwartete wirtschaftliche Leistung der Fusion verbessert wurde** und die wirtschaftlichen Ziele weniger anspruchsvoll sind.
*   **Was ist das Fazit der Studie?**
    Das Fazit der Studie ist, dass, obwohl die **bedeutenden Sicherheits- und Umweltvorteile sowie die großen Brennstoffreserven** die Hauptgründe für die Weiterentwicklung der Fusion sind, diese Vorteile in Kraftwerksdesigns mit **akzeptabler oder attraktiver Wirtschaftlichkeit realisiert werden müssen**.
    Die durchgeführten umfangreichen Studien zeigen, dass:
    *   Die **erwartete wirtschaftliche Leistung der Fusion sich verbessert hat**, und die erwarteten wirtschaftlichen Ziele weniger belastend geworden sind, was zu einer **Überlappung der Erwartungen und Ziele** führt.
    *   Die **internen Kosten** von Fusionsstrom bei moderater Optimierung **mit erneuerbaren Energien vergleichbar** sind und bei Verwendung fortschrittlicher Materialien und Physik denen von Kernspaltung oder fossilen Brennstoffen nahekommen.
    *   Fusion **sehr geringe externe Kosten** aufweist, die eine Größenordnung niedriger sind als die von fossilen Brennstoffen.
    *   Fusionsenergie in der zweiten Hälfte des Jahrhunderts **erheblich zur großflächigen Stromerzeugung beitragen könnte**.
    *   Die **Gesamtkosten von Fusionsstrom wahrscheinlich mit denen anderer umweltfreundlicher Stromerzeugungsquellen vergleichbar sein werden**.
    *   Die Entwicklung der Fusion **erhebliche wirtschaftliche Vorteile** mit sich bringen würde.
    Diese Schlussfolgerungen deuten darauf hin, dass Fusion eine **vielversprechende Option für die zukünftige Energieversorgung** darstellt, die sowohl wirtschaftlich wettbewerbsfähig als auch umweltverträglich sein könnte.</t>
  </si>
  <si>
    <r>
      <t xml:space="preserve">Cost drivers and economic challenges:
•	LCOE cost components
•	Technical &amp; timing challenges:
o	High technical complexity
o	Late market entry expected for fusion
•	Cost uncertainty:
o	"Significant uncertainties" in all modeled elements:
	Internal, external, and hidden costs
•	Competitiveness vs. other technologies:
o	With moderate optimization &amp; near-term materials, fusion is ~50% more expensive than fossil fuels (excluding pollution costs)
o	Comparable to renewables (excluding storage); storage needs make renewables less competitive in internal cost terms
o	Initial gap to fossil fuels remains a major barrier
•	Deployment rate limit:
o	limits fusion’s market share, even if fission is constrained
</t>
    </r>
    <r>
      <rPr>
        <b/>
        <sz val="8"/>
        <color theme="1"/>
        <rFont val="Calibri"/>
        <family val="2"/>
        <scheme val="minor"/>
      </rPr>
      <t>Cost reduction potentials and economic optimizations:
•	Physics &amp; materials optimization:
o	Main lever for lowering ICOE
o	Plasma performance 30% better than ITER baseline assumed as best estimate
o	Optimized regimes and advanced materials beyond low-activation steels offer further savings
•	System &amp; maintenance savings:
o	Reduced emergency cooling possible with better materials/physics
o	Maintenance-friendly designs enhance availability → lower LCOE
•	Broader economic positioning:
o	Fusion's competitiveness improved as external costs of other technologies rise
o	Environmental awareness helps fusion close the economic gap
•	Integration potential:
o	Hydrogen co-production and load-following capability could open new markets and improve economic viability</t>
    </r>
  </si>
  <si>
    <t xml:space="preserve"> 2. Was sind die signifikantesten Kostentreiber und ökonomischen Herausforderungen laut Studie?
Laut Studie ergeben sich die internen Kosten der Stromerzeugung (ICOE) für Fusionskraftwerke aus einer Kombination verschiedener Faktoren, die als Kostentreiber und ökonomische Herausforderungen betrachtet werden können:
*   **Komponenten der Internen Kosten**:
    *   Die **Gesamtkapitalkosten** (einschließlich Zinsen während der Bauphase) stellen einen wesentlichen Teil der Kosten dar.
    *   **Geschätzte Ersatzkosten**.
    *   **Andere Betriebskosten**.
    *   **Zahlungen in einen Stilllegungsfonds**.
    *   Die **Verfügbarkeit der Anlage** beeinflusst die Gestehungskosten; eine geringere Verfügbarkeit würde die Kosten pro Kilowattstunde erhöhen.
*   **Technische Komplexität und Einführungszeitpunkt**: Die **technische Komplexität** von Fusionsanlagen und deren voraussichtlich **spätere Einführung** in den Markt stellen Herausforderungen dar, die gegen die Vorteile der Fusion abgewogen werden müssen.
*   **Unsicherheiten in der Kostenquantifizierung**: Es gibt "signifikante Unsicherheiten" bei der Quantifizierung jedes Elements der Modellierung, einschließlich der internen Kosten, externen Kosten und Schattenkosten.
*   **Wettbewerbsfähigkeit mit bestehenden Technologien**:
    *   Mit einer moderaten physikalischen Optimierung und der Verwendung von Materialien, die in naher Zukunft verfügbar sein werden, wären die internen Kosten des Fusionsstroms **etwa 50 % teurer als Strom aus fossilen Brennstoffen**, wenn die Kosten für die Umweltverschmutzung nicht berücksichtigt werden. Dies ist eine erhebliche ökonomische Hürde im Vergleich zu den aktuell etablierten (aber umweltbelastenden) Energiequellen.
    *   Obwohl die Kosten vergleichbar mit erneuerbaren Energien (ohne Speicherkosten) sind, würden viele erneuerbare Quellen **Speicherkosten** benötigen, um eine stabile Stromversorgung zu gewährleisten, was sie in Bezug auf die internen Kosten gegenüber der Fusion unrentabel machen würde. Die initiale Kostenlücke zu fossilen Energien bleibt jedoch eine Herausforderung für Fusion.
*   **Begrenzung der Implementierungsgeschwindigkeit**: Ein zugewiesenes Limit für die Geschwindigkeit, mit der Fusionsenergie eingesetzt werden könnte (entsprechend der Annahme, dass es kein "Crash-Programm" zur Entwicklung gibt), führt dazu, dass Fusion keinen größeren Marktanteil erobern kann, selbst wenn Kernspaltung stark eingeschränkt ist. Dies stellt eine Herausforderung für die schnelle Marktdurchdringung dar.
### 3. Welche Kostenreduktionspotenziale oder wirtschaftlichen Optimierungsansätze werden thematisiert?
Die Studie identifiziert mehrere wesentliche Potenziale zur Kostenreduktion und ökonomische Optimierungsansätze für die Fusionsenergie:
*   **Optimierung von Plasmaphysik und Materialtechnologie**: Dies ist der primäre Hebel zur Kostensenkung. Die internen Stromkosten hängen maßgeblich davon ab, "inwieweit die Plasmaphysik und die Materialtechnologie der Fusion durch weitere Forschung und Entwicklung optimiert werden".
    *   **Fortschritte in der Plasmaphysik**: Das Erreichen einer Leistung, die etwa **30 % besser** ist als die konservative Designbasis für ITER, wird als "Best-Estimate" für die Plasmaphysik angenommen und basiert auf Fortschritten in den ITER-Experimenten und parallelen Arbeiten. Die **Optimierung der Plasmaphysik-Regime** führt zu noch optimistischeren Parametern und Kostenvorteilen.
    *   **Einsatz fortschrittlicher Materialien**: Die Nutzung von "fortschrittlichen Materialien" über die kurzfristig verfügbaren niedrig-aktivierenden martensitischen Stähle hinaus ist ein wichtiger Faktor für Kostensenkungen.
*   **Kosteneinsparungen durch Systemintegration und Wartung**:
    *   **Reduzierung aktiver (Notfall-)Kühlsysteme**: Detaillierte Studien zeigen, dass der Einsatz fortschrittlicher Materialien und optimierter Plasmaphysik-Regime Kosteneinsparungen durch die Reduzierung solcher Systeme ermöglicht.
    *   **Vorteile durch wartungsfreundliche Konzepte**: Allgemeine Vorteile, die aus Wartungsansätzen resultieren, die mit einer hohen Anlagenverfügbarkeit vereinbar sind, tragen ebenfalls zur Kostensenkung bei. Dies unterstreicht, dass eine hohe Verfügbarkeit der Anlage direkt zu niedrigeren Gestehungskosten führt.
*   **Verbesserung des PROCESS-Modells und besseres Verständnis**: Zwischen 1997 und 2000 wurden "viele Verbesserungen an dem [PROCESS-] Modell vorgenommen", was zu einem "verbesserten Verständnis der Rolle der wichtigsten Physik- und Technologiefragen bei der Kostensenkung" führte. Dies zeigt, dass kontinuierliche Forschung und Modellentwicklung entscheidend sind, um weitere Optimierungspotenziale zu identifizieren und zu realisieren.
*   **Gesamtökonomische Verbesserung durch externe Faktoren**: Durch Fortschritte in der Fusionsforschung und ein gestiegenes Bewusstsein für die Bedeutung externer und Schattenkosten hat sich die "erwartete wirtschaftliche Leistung der Fusion verbessert, und das erwartete wirtschaftliche Ziel ist weniger belastend geworden: diese überlappen sich jetzt". Dies deutet darauf hin, dass die wachsende Bedeutung von Umweltkosten und anderen externen Effekten für andere Energiequellen die Fusionsenergie im Vergleich wirtschaftlich attraktiver macht.
*   **Integration in weitere Energiebedarfe**: Die Berücksichtigung der **Koproduktion von Wasserstoff** und der **elektrischen Lastfolge** (load-following) könnte neue potenzielle Abnehmer und Möglichkeiten eröffnen, was die Gesamtwirtschaftlichkeit von Fusionskraftwerken weiter verbessern würde.</t>
  </si>
  <si>
    <t>🔹 Cost Forecast with PROCESS Code:
•	LCOE calculated using the PROCESS model, integrating technical, physical, and economic modeling of fusion power plants without further specifying the data/inputs.
•	Widely used in OECD/IAEA studies; method detailed in Hender et al. (1996)
🔹 Cost Components in PROCESS (but not specified in study):
•	Total capital cost, incl. interest during construction
•	Estimated replacement costs
•	O&amp;M
•	Decommissioning fund contributions
•	Plant availability
🔹 Physics/Technology Assumptions explicit made for study:
•	Parameter ranges: best estimates, pessimistic, optimistic
•	Plasma physics:
o	Best estimates ~30% better than conservative ITER basis
o	Reflect progress expected during ITER and parallel work
•	Materials &amp; components:
o	Best estimates based on near-term materials (e.g. low-activation steels)
•	Optimistic cases:
o	Improved plasma regimes, advanced materials
o	Cost savings via reduced emergency cooling and maintenance concepts compatible with high availability
🔹 Validation &amp; Comparison:
•	Costs were benchmarked against ITER and other published plant studies
•	Results typically within ±10% of comparable estimates</t>
  </si>
  <si>
    <t>Die Kostenprognosen in der Studie basieren auf einer Reihe von Parametern und Annahmen, die hauptsächlich durch das **mathematische Modell PROCESS** und die angewandte **"Levelised Cost" Methodik** bestimmt werden.
Hier sind die wichtigsten Parameter und Annahmen, auf denen die Kosten basieren:
*   **Verwendetes Modell und Methodik:**
    *   Die internen Kosten der Stromerzeugung (ICOE) für Fusionskraftwerke wurden mit dem **mathematischen Modell PROCESS** berechnet, das die technische, physikalische und kostenbezogene Modellierung eines kommerziellen Fusionskraftwerks integriert.
    *   Die Berechnungen erfolgten nach der **standardisierten "Levelised Cost" Methodik**, die auch in OECD- und IAEA-Studien verwendet wird. Detaillierte Informationen zu dieser Methodik sind in Ref. der Studie (T.C. Hender, P.J. Knight, I. Cook, Fusion economics, UKAEA FUS 333 (1996)) zu finden.
    *   Das Modell PROCESS wurde **aktiv von den Autoren der Studie genutzt und zwischen 1997 und 2000 stark verbessert** [19, Konversationshistorie]. Es wurden **zahlreiche Berechnungen** mit dem Modell durchgeführt, um das ICOE von Fusionskraftwerken für verschiedene physikalische und technologische Parameter zu ermitteln.
*   **Berücksichtigte Kostenkomponenten im PROCESS-Modell:**
    *   **Gesamtkapitalkosten** (einschließlich Zinsen während der Bauphase).
    *   **Geschätzte Ersatzkosten**.
    *   **Andere Betriebskosten (other operating costs)**. Es ist jedoch zu beachten, dass die Studie in den vorliegenden Auszügen **keine explizite Unterteilung der O&amp;M-Kosten (Betriebs- und Wartungskosten) in fixe und variable Kosten** angibt [Konversationshistorie].
    *   **Zahlungen in einen Stilllegungsfonds (decommissioning fund)**.
    *   **Verfügbarkeit** der Anlage.
*   **Physik- und Technologieparameter sowie Annahmen:**
    *   Es wurden **verschiedene Parameterbereiche** für die Schlüsselgrößen der Physik und Technologie untersucht, die auf **Best-Estimates** sowie pessimistischeren oder optimistischeren Werten basieren.
    *   Für die **Plasma-Physik-Unsicherheiten** entsprechen die Best-Estimates einer Leistung, die etwa **30 % besser** ist als die konservative Designbasis für ITER, unter der Annahme von Fortschritten während der ITER-Experimente und paralleler Arbeiten.
    *   Für **Unsicherheiten in Bezug auf Materialien und Komponenten** waren die Best-Estimates die erwartete Leistung von **kurzfristig verfügbaren Materialien** (z.B. niedrig aktivierende martensitische Stähle) unter Fusionskraftwerksbedingungen.
    *   **Optimistischere Parameter** berücksichtigten die **Optimierung von Plasma-Physik-Regimen und/oder die Verwendung fortschrittlicher Materialien**. Dies schloss Kosteneinsparungen durch die **Reduzierung aktiver (Notfall-)Kühlsysteme** und generelle Vorteile durch **Wartungsansätze** ein, die mit einer hohen Anlagenverfügbarkeit vereinbar sind.
*   **Währungsbasis:**
    *   Die prognostizierten internen Kosten der Fusionsenergie von **70–130 m$/kW** werden in **1996 Dollar** angegeben.
*   **Validierung und Vergleich:**
    *   Die Kosten wurden gegen die Kosten des vorgeschlagenen großen Fusionsexperiments ITER **validiert** und mit anderen veröffentlichten Kraftwerkskosten verglichen. Die Übereinstimmung war in den meisten vergleichbaren Fällen sehr gut, typischerweise innerhalb von 10 %.</t>
  </si>
  <si>
    <t>1. Is the modeling approach transparently documented?
•	Partially.
•	ICOE calculated using the PROCESS model, integrating physics, engineering, and costing.
•	Based on the Levelised Cost methodology, as used in OECD/IAEA studies.
•	Methods are standardized and externally validated by non-fusion experts.
•	External cost and energy scenario models were developed for non-fusion purposes under EU/IEA guidance.
•	Numerical inputs are not fully listed—only assumption types and parameter ranges are shown.
2. Are modeling and cost assumptions based on external sources or internally derived?
•	Mixed origin:
o	Fusion cost work done by fusion experts.
o	Economic methodology verified by non-fusion experts.
o	PROCESS benchmarked against ITER, with good agreement (within 10%).
o	External costs based on ExternE, developed for EU.
o	Energy scenarios modeled with MARKAL-EUROPE (EU/IEA model).
o	Physics assumptions: ~30% better than ITER baseline (expected progress).
o	Material assumptions: near-term materials like low-activation steels.
3. Were external sources modified?
•	Yes.
o	ExternE adapted for fusion-specific data (e.g. SEAFP study).
o	Updates included conceptual design changes and long-term factors in external cost modeling.
4. Are uncertainties or sensitivities addressed?
•	Yes, comprehensively.
o	Significant uncertainties in all model elements (ICOE, external, shadow costs).
o	Sensitivities analyzed for materials and plasma parameters.
o	Calculations span ranges around best estimates (pessimistic to optimistic).
o	Plasma: uncertainty in performance &amp; regime optimization.
o	Materials: current vs. advanced options assessed.
o	External costs: high uncertainty in dose-response, health impacts, climate costs.
o	ICOE projected range: 70–130 m$/kW (1996 USD).
5. Is the cost estimation bottom-up, top-down, or hybrid?
•	Not explicitly stated.
•	PROCESS suggests a bottom-up-like approach, combining engineering, physics, and cost elements.
6. Is the cost estimation based on physical and technological parameters?
•	Yes.
o	Costs change with assumptions about plasma performance and material capability.
o	Main cost driver: optimization of physics &amp; materials via further R&amp;D.
7. What technical and economic assumptions were made?
Technical:
•	Plasma: ~30% better performance than ITER baseline expected.
•	Materials: "Best estimates" = near-term low-activation steels.
•	Advanced cases: new materials, fewer active cooling systems, higher availability.
Economic:
•	Based on Levelised Cost method.
•	ICOE includes CAPEX, replacements, O&amp;M, decommissioning, and availability.
•	Cost range: 70–130 m$/kW (1996 USD).
•	Fusion ~50% more expensive than fossil (without pollution costs), but comparable to renewables (excluding storage).
•	Assumes no crash program, limiting rollout speed.
8. Which physical/technical parameters impact cost?
•	Plasma performance
•	Material performance (basic vs. advanced)
•	Need for active cooling systems
•	Maintenance strategy and availability, directly affecting ICOE
9. Is the reactor concept consistent with state of the art?
•	Yes, for the late 1990s/early 2000s.
o	Design reflects ITER benchmarking and expected tech progress.
o	Based on real materials tested in high heat flux environments.
10. Is it a planned concept or a hypothetical design?
•	Hypothetical.
o	Described as a "commercial fusion power station" concept.
o	Not linked to an active construction project.
11. How current are the technical and economic assumptions?
•	Outdated.
o	Study published in 2002.
o	PROCESS calculations from 1997–2000.
o	All costs in 1996 USD.
12. How robust or speculative are the assumptions?
Robust:
•	Standard economic methods, validated by agencies.
•	ITER cost benchmarking.
•	External models (ExternE, MARKAL) are well-established.
•	Near-term materials are existing and tested.
Speculative:
•	Future plasma improvements assumed.
•	Optimistic cases assume new materials/regimes.
•	High uncertainty in external health/climate cost modeling.
•	ICOE spans a wide range, showing inherent uncertainty.
13. Are cost components like O&amp;M shown separately?
•	Components listed, but not shown with numerical breakdowns.
o	CAPEX, replacements, O&amp;M, decommissioning, availability all included in ICOE.
14. Are material and component costs shown separately?
•	No.
o	Discussed qualitatively (e.g. cooling system reductions), but no explicit cost breakdown by material/component.
15. Is the study focused on technical, economic, or strategic issues?
•	All three, but mainly economic and strategic:
o	Focus: ICOE, competitiveness vs. fossil/renewables, external costs.
o	Strategic: fusion’s role in the future energy mix, CO₂ reduction, market share.
o	Technical aspects support cost assumptions (e.g. performance/availability).
16. Is the study system-level or reactor-focused?
•	Both.
Reactor-focused:
•	Based on PROCESS model for a commercial fusion reactor.
System-level:
•	Compares fusion with fossil, fission, renewables, clean coal.
•	Uses economic modeling of EU energy scenarios to 2100.
•	Includes external cost comparisons, CO₂ constraints, and hydrogen co-production/load-following features.</t>
  </si>
  <si>
    <t>Gerne, hier sind die Antworten auf Ihre Fragen, basierend auf den bereitgestellten Quellen und unserer bisherigen Konversation:
1.  **Ist der Modellierungsansatz transparent dokumentiert?**
    Der Modellierungsansatz ist **teilweise transparent dokumentiert**, insbesondere in Bezug auf die Methodik. Die internen Kosten der Fusionsenergie (ICOE) wurden mithilfe eines mathematischen Modells namens **PROCESS** berechnet, welches das Engineering, die Physik und die Kosten eines kommerziellen Fusionskraftwerks integriert. Die Kostenherleitung folgt der **"Levelised Cost" Methodik**, die als Standardmethode gilt und beispielsweise in OECD- und IAEA-Studien verwendet wird. Detaillierte Informationen zur Methodik sind in Ref. der Studie zu finden. Die ökonomische Methodik und die Berechnungen wurden als "Standard" beschrieben, wie von mehreren internationalen Agenturen empfohlen, und wurden von nicht-Fusions-Experten verifiziert. Die Methodologien und mathematischen Modelle für externe Kosten und Energieszenarien wurden ursprünglich für Nicht-Fusions-Zwecke unter der Ägide der Europäischen Union und der Internationalen Energieagentur entwickelt. Das bedeutet, die verwendeten Methoden sind etabliert und referenziert. Die spezifischen numerischen Input-Werte für jeden Parameter werden in den Auszügen jedoch nicht vollständig dargelegt, sondern nur die Art der Annahmen und die Bandbreiten der Variation.
2.  **Beruhen die Modell- und Kostenannahmen auf externen Quellen oder wurden sie selbst abgeleitet?**
    Die Modell- und Kostenannahmen beruhen auf einer **Mischung aus internen und externen Quellen sowie Ableitungen**:
    *   Die **Arbeit an den internen Kosten** erforderte ein tiefes Verständnis der Fusionsphysik und -technologie und wurde daher von Fusions-Experten durchgeführt.
    *   Die **ökonomische Methodik und die Berechnungen** waren jedoch "standard" und wurden von nicht-Fusions-Experten verifiziert.
    *   Das PROCESS-Modell wurde gegen die Kosten des geplanten großen Fusionsexperiments **ITER gebenchmarked**, deren Details von internationalen Ingenieurteams validiert wurden, und zeigte eine sehr gute Übereinstimmung (typischerweise innerhalb von 10 %).
    *   Die Methodologien für die **externen Kosten** basierten auf dem **ExternE-System**, das für die Europäische Union entwickelt wurde, und die Arbeit wurde fast vollständig von nicht-Fusions-Experten durchgeführt.
    *   Die **Energieszenarien** wurden mit dem Optimierungsmodell **MARKAL-EUROPE** modelliert, das unter der Ägide der Europäischen Union und der Internationalen Energieagentur entwickelt wurde.
    *   Annahmen zu **"Best-Estimates" für Plasmaphysik** entsprachen einer Leistung, die etwa 30 % besser ist als die konservative Designbasis für ITER, basierend auf erwartetem Fortschritt.
    *   Annahmen für **"Near-term materials"** basierten auf bereits existierenden Materialien wie niedrig-aktivierenden martensitischen Stählen.
3.  **Falls externe Quellen verwendet wurden – wurden diese modifiziert?**
    Ja, es gab Anpassungen und Weiterentwicklungen:
    *   Das ExternE-System wurde zur Bewertung der externen Kosten von Fusionsenergie verwendet, wobei **fusionsspezifische Daten** aus Studien wie SEAFP herangezogen wurden.
    *   Eine **"weitere Entwicklung der Arbeit"** verfeinerte und erweiterte die Bewertung der externen Kosten, indem sie "weitere Entwicklungen im konzeptuellen Design von Fusionskraftwerken" und die Aktualisierung der zugrundeliegenden Annahmen berücksichtigte, insbesondere die Einbeziehung sehr langfristiger Betrachtungen. Dies deutet auf eine Modifikation der Annahmen basierend auf neuen Fusionskonzepten hin.
4.  **Werden Unsicherheiten oder Sensitivitäten thematisiert?**
    **Ja, Unsicherheiten und Sensitivitäten werden umfassend thematisiert**:
    *   Es gibt **"signifikante Unsicherheiten"** bei der Quantifizierung jedes Elements der Modellierung, die in der Studie analysiert wurden.
    *   Die Sensitivität der Kosten gegenüber der Leistung von Materialien und Plasmabedingungen wurde untersucht.
    *   Es wurden **zahlreiche Berechnungen** mit dem Modell durchgeführt, um die ICOE für **Bereiche von variierenden physikalischen und technologischen Schlüsselparametern** zu ermitteln, die um "Best-Estimates" zentriert waren und eine Spanne von pessimistischeren oder optimistischeren Werten umfassten.
    *   Für die Unsicherheiten in der Plasmaphysik wurden "Best-Estimates" und optimistischere Parameter (Optimierung der Plasmaphysik-Regime) betrachtet.
    *   Für Materialunsicherheiten wurden "Best-Estimates" für kurzfristig verfügbare Materialien und optimistischere Parameter für fortschrittliche Materialien untersucht.
    *   Für externe Kosten wurden "signifikante Unsicherheiten" im Zusammenhang mit Dosis-Wirkungs-Beziehungen und der ökonomischen Bewertung von gesundheitlichen Auswirkungen und Todesfällen festgestellt. Auch die externen Kosten des globalen Klimawandels sind "besonders unsicher".
    *   Die Studie zeigt die **relative Wahrscheinlichkeit der internen Kosten der Fusionsenergie** in einem Bereich von 70–130 m$/kW (in 1996er Dollar) [23, Abb. 2].
5.  **Wird offengelegt, ob die Kostenabschätzung auf einem Bottom-up-, Top-down- oder hybriden Ansatz basiert?**
    Die Begriffe "Bottom-up" oder "Top-down" werden in den Quellen nicht explizit verwendet. Die Beschreibung des PROCESS-Modells legt jedoch einen **detaillierten, integrierten ("engineering, physics and costings") oder eher "Bottom-up"-ähnlichen Ansatz** nahe, da es die Gesamtkapitalkosten, Ersatzkosten, Betriebskosten, Stilllegungsfonds und Verfügbarkeit kombiniert, um die ICOE zu erhalten. Dies deutet auf eine detaillierte Summation von Komponenten und Betriebskosten hin, die aus technischen und physikalischen Annahmen abgeleitet werden.
6.  **Beruht die Kostenherleitung auf physikalischen und technologischen Werten?**
    **Ja, die Kostenherleitung beruht maßgeblich auf physikalischen und technologischen Werten**. Das PROCESS-Modell selbst integriert "engineering, physics and costings". Die Studie untersuchte, wie sich die internen Kosten der Fusionsenergie "auf unterschiedliche Annahmen über die Physik- und Technologieleistung" ändern. Dazu gehörten spezifische Annahmen über Plasmaphysik-Unsicherheiten (z.B. Leistung 30 % besser als ITER-Designbasis, Optimierung von Plasmaphysik-Regimen) und Unsicherheiten bei Materialien und Komponenten (z.B. Leistung von kurzfristig verfügbaren Materialien vs. fortschrittliche Materialien). Die Kostenreduktion hängt davon ab, "inwieweit die Plasmaphysik und die Materialtechnologie der Fusion durch weitere Forschung und Entwicklung optimiert werden".
7.  **Welche technischen und wirtschaftlichen Annahmen wurden getroffen?**
    **Technische Annahmen:**
    *   **Plasmaphysik-Leistung:** "Best-Estimates" entsprechen einer Leistung, die etwa 30 % besser ist als die konservative Designbasis für ITER, unter Annahme von Fortschritten in ITER-Experimenten und parallelen Arbeiten. Optimistischere Parameter umfassten die **Optimierung von Plasmaphysik-Regimen**.
    *   **Materialleistung:** "Best-Estimates" basierten auf der erwarteten Leistung von **kurzfristig verfügbaren Materialien** wie niedrig-aktivierenden martensitischen Stählen. Optimistischere Parameter berücksichtigten die **Verwendung fortschrittlicher Materialien**.
    *   **Anlagendesign:** Detaillierte Studien im optimistischen Bereich berücksichtigten **Kosteneinsparungen durch die Reduzierung aktiver (Notfall-)Kühlsysteme**.
    *   **Wartung:** Es wurden "generische Vorteile" berücksichtigt, die sich aus **Wartungsansätzen** ergeben, die mit einer hohen Anlagenverfügbarkeit vereinbar sind.
    **Wirtschaftliche Annahmen:**
    *   **Kostenkalkulation:** Verwendung der **"Levelised Cost" Methodik**. Die ICOE setzt sich zusammen aus Gesamtkapitalkosten (inkl. Zinsen während der Bauphase), geschätzten Ersatzkosten, anderen Betriebskosten, Zahlungen in einen Stilllegungsfonds und der Verfügbarkeit der Anlage.
    *   **Kostenbasis:** Die projizierten internen Kosten der Fusionsenergie liegen im Bereich von **70–130 m$/kW (in 1996er Dollar)**.
    *   **Vergleichsbasis:** Die Kosten wurden verglichen mit fossilen Brennstoffen (etwa 50 % teurer ohne Berücksichtigung der Umweltverschmutzungskosten) und erneuerbaren Energien (ungefähr vergleichbar ohne Speicherkosten).
    *   **Marktdurchdringung:** Eine "zugewiesene Grenze für die Geschwindigkeit, mit der Fusionsenergie eingesetzt werden könnte" wurde angenommen, was der **Annahme des Fehlens eines "Crash-Programms"** für die Fusionsentwicklung gleichkommt.
8.  **Welche physikalischen und technischen Parameter beeinflussen die Kosten?**
    Die Kosten werden primär durch folgende physikalische und technische Parameter beeinflusst:
    *   **Plasmaphysik:** Der Grad der **Optimierung der Plasmaphysik-Regime** und die erreichte Leistung des Plasmas (z.B. im Vergleich zur ITER-Designbasis).
    *   **Materialtechnologie:** Die Leistung und Verfügbarkeit von **Materialien** (z.B. niedrig-aktivierende martensitische Stähle im Vergleich zu fortschrittlicheren Materialien).
    *   **Anlagendesign und Komponenten:** Die Notwendigkeit und der Umfang von Systemen wie **aktiven (Notfall-)Kühlsystemen**.
    *   **Wartbarkeit und Verfügbarkeit:** Die Möglichkeit, **Wartungsansätze** zu implementieren, die eine hohe **Anlagenverfügbarkeit** gewährleisten, da diese direkt die ICOE beeinflusst.
9.  **Ist das technische Reaktorkonzept konsistent mit dem Stand der Technik (state of the art)?**
    Das technische Reaktorkonzept ist **konsistent mit dem Stand der Technik zum Zeitpunkt der Studienverfassung (späte 1990er/frühe 2000er Jahre)**.
    *   Die internen Kosten wurden unter Verwendung des PROCESS-Modells für ein **"kommerzielles Fusionskraftwerk"** berechnet.
    *   Das Modell wurde gegen die Kosten des "vorgeschlagenen großen Fusionsexperiments ITER" gebenchmarked, welches damals den Höhepunkt des Fusionsdesigns darstellte.
    *   "Best-Estimates" für die Plasmaphysik basierten auf einer Leistung, die "etwa 30 % besser" war als die konservative Designbasis für ITER, was auf erwarteten Fortschritten aufbaut.
    *   Für Materialien wurden "Best-Estimates" auf "kurzfristig verfügbaren Materialien wie den bereits existierenden niedrig-aktivierenden martensitischen Stählen" basierend getroffen, die in heutigen Tests von Hochwärmestromkomponenten gut abgeschnitten haben. Die Studie betrachtet also sowohl existierende als auch zukünftige, aber plausible Technologieentwicklungen.
10. **Handelt es sich um ein geplantes Konzept oder um ein hypothetisches Design?**
    Es handelt sich um ein **hypothetisches Design** für ein zukünftiges kommerzielles Fusionskraftwerk. Die Studie spricht von einem "commercial fusion power station" und "fusion power station conceptual design". Obwohl es auf dem Wissen und den Fortschritten realer Experimente wie ITER aufbaut, handelt es sich nicht um ein bereits konkret geplantes oder in Bau befindliches kommerzielles Kraftwerk.
11. **Wie aktuell sind die technischen und wirtschaftlichen Annahmen?**
    Die technischen und wirtschaftlichen Annahmen sind **nicht aktuell**. Die Studie wurde im Jahr **2002** veröffentlicht. Die Berechnungen mit dem PROCESS-Modell wurden im Zeitraum **1997-2000** durchgeführt, wobei in dieser Zeit viele Verbesserungen am Modell vorgenommen wurden. Die internen Kosten werden in **"1996er Dollar"** angegeben.
12. **Wie belastbar oder spekulativ sind die getroffenen Annahmen?**
    Die Annahmen sind eine **Mischung aus belastbaren und spekulativen Elementen**:
    *   **Belastbar/Fundiert:**
        *   Die ökonomische Methodik ist **"Standard"** und wurde von internationalen Agenturen empfohlen und von nicht-Fusions-Experten verifiziert.
        *   Das PROCESS-Modell wurde gegen die Kosten des **ITER-Projekts gebenchmarked**, die von internationalen Expertenteams detailliert validiert wurden, und zeigte eine sehr gute Übereinstimmung.
        *   Die Methodik für externe Kosten (ExternE) und Energieszenarien (MARKAL-EUROPE) sind **etablierte Systeme**, die für nicht-Fusions-Zwecke entwickelt wurden.
        *   Annahmen für "near-term materials" basieren auf **bereits existierenden und getesteten Materialien**.
    *   **Spekulativ/Unsicher:**
        *   Es gibt "signifikante Unsicherheiten" bei der Quantifizierung jedes Elements der Modellierung.
        *   "Best-Estimates" für die Plasmaphysik beruhen auf der **Annahme zukünftiger Fortschritte** in ITER und parallelen Arbeiten.
        *   "Optimistischere Parameter" basieren auf der **Annahme der Optimierung von Plasmaphysik-Regimen und/oder der Verwendung fortschrittlicher Materialien**, die zum Zeitpunkt der Studie noch nicht vollständig realisiert waren.
        *   Die externen Kosten weisen "signifikante Unsicherheiten" auf, insbesondere bei der Bewertung von Gesundheitsfolgen und Todesfällen sowie den Kosten des globalen Klimawandels.
        *   Die projizierten Kosten liegen in einer **Bandbreite von Werten**, was die inhärente Unsicherheit widerspiegelt [23, Abb. 2].
13. **Werden die einzelnen Kostenkomponenten, wie z.B. O&amp;M etc. separat ausgewiesen?**
    Die Studie **nennt die einzelnen Kostenkomponenten**, die in die Berechnung der ICOE eingehen: "Gesamtkapitalkosten (einschließlich Zinsen während der Bauphase), geschätzte Ersatzkosten, andere Betriebskosten und Zahlungen in einen Stilllegungsfonds". Die **Verfügbarkeit** der Anlage wird ebenfalls berücksichtigt. Die vorliegenden Auszüge **weisen diese Komponenten jedoch nicht separat in konkreten Zahlen oder Tabellen aus**, sondern beschreiben, dass sie im PROCESS-Modell zur Ableitung der ICOE kombiniert werden.
14. **Werden Materialkosten und Komponentenkosten separat ausgewiesen?**
    Nein, **Materialkosten und Komponentenkosten werden nicht separat ausgewiesen** in den vorliegenden Auszügen. Die Studie spricht über die "Unsicherheiten bezüglich Materialien und Komponenten" und deren **Leistung** und über "Kosteneinsparungen, die sich aus der Reduzierung aktiver (Notfall-)Kühlsysteme" ergeben. Diese Kostenfaktoren sind implizit in den "Gesamtkapitalkosten" und "geschätzten Ersatzkosten" enthalten, die zur Berechnung der ICOE verwendet werden, aber es gibt keine explizite Aufschlüsselung oder separate Darstellung dieser Posten.
15. **Liegt der Fokus der Studie auf technischen, ökonomischen oder strategischen Fragestellungen?**
    Der Fokus der Studie liegt auf **allen drei Bereichen**, jedoch mit einem **starken Schwerpunkt auf den ökonomischen und strategischen Fragestellungen**, die durch technische Annahmen untermauert werden.
    *   **Ökonomisch:** Der Titel "Prospects for economic fusion electricity" und die zentrale Berechnung der "internen Kosten der Stromerzeugung (ICOE)" verdeutlichen den ökonomischen Fokus. Der Vergleich mit fossilen Brennstoffen und erneuerbaren Energien und die Betrachtung externer Kosten unterstreichen dies.
    *   **Strategisch:** Die Studie befasst sich mit der Frage, wie Fusion "einen ökonomisch attraktiven Beitrag zum zukünftigen Energiemix leisten" kann. Sie analysiert die Rolle der Fusionsenergie in "wirtschaftlich optimalen Energieszenarien" bis zum Ende des Jahrhunderts, einschließlich ihrer Fähigkeit, CO2-Emissionen zu reduzieren und Marktanteile zu gewinnen.
    *   **Technisch:** Obwohl nicht der Hauptfokus, sind die ökonomischen Ergebnisse direkt von technischen Fortschritten abhängig. Das PROCESS-Modell integriert "engineering, physics and costings", und die Studie untersucht die Auswirkung der "Plasmaphysik und Materialtechnologie der Fusion" auf die Kosten.
16. **Bezieht sich die Studie auf ein Energiesystem (z. B. Integration, Vergleich mit anderen Technologien) oder ist sie rein reaktorbezogen?**
    Die Studie ist **sowohl reaktorbezogen als auch systembezogen**:
    *   **Reaktorbezogen:** Sie verwendet ein Modell, das sich auf das "Engineering, die Physik und die Kosten eines kommerziellen Fusionskraftwerks" konzentriert und dessen ICOE berechnet.
    *   **Systembezogen:**
        *   Die Studie bewertet die Aussichten der Fusion, einen Beitrag zum "zukünftigen Energiemix" zu leisten.
        *   Sie vergleicht die Fusionskosten explizit mit denen von "fossilen Brennstoffen", "erneuerbaren Energien", "Kernspaltung" und "sauberer Kohle".
        *   Es werden die "externen Kosten" der Fusionsenergie im Vergleich zu anderen Quellen wie Kohle, Gas, Kernspaltung, Biomasse, Photovoltaik und Wind bewertet.
        *   Die Studie integriert die Fusionsenergie in "selbstkonsistente ökonomische Modellierungen europäischer Energieszenarien" bis zum Jahr 2100, um ihren potenziellen Marktanteil unter verschiedenen CO2- und Kernspaltungsbeschränkungen zu bewerten.
        *   Sie berücksichtigt auch die **Koproduktion von Wasserstoff** und die **elektrische Lastfolge** als neue Möglichkeiten für Fusionskraftwerke, was die Integration in ein breiteres Energiesystem über die reine Stromerzeugung hinaus unterstreicht.</t>
  </si>
  <si>
    <t>V-Li/TOK (level safety assurance = 4)</t>
  </si>
  <si>
    <t>Delene (1991)</t>
  </si>
  <si>
    <t>Plant startup: 2025; Levelization period (lifetime)=30y; WACC = 4.35%; 6 years planing and construction time</t>
  </si>
  <si>
    <t>Probably NOAK since fission plants mentioned as NOAK</t>
  </si>
  <si>
    <t>V-Li/TOK (level safety assurance = 3)</t>
  </si>
  <si>
    <t>V-Li/TOK</t>
  </si>
  <si>
    <t>Including Blanket Replacement Costs</t>
  </si>
  <si>
    <t>Generomak - ESECOM - V-LI/TOK</t>
  </si>
  <si>
    <t>Delene et al. (1988)</t>
  </si>
  <si>
    <t>inkl. Auxiliary Heat added</t>
  </si>
  <si>
    <t>Readiness unsure but might be 10th-OAK or NOAK</t>
  </si>
  <si>
    <t>- Technical report on GENEROMAK, a fusion physics, engineering, and cost model and computer program.
- Developed for economic evaluation of alternative magnetic fusion reactor concepts.
- Used by ESECOM for analyzing ten conceptual fusion power plants, modified/refined for the study.
- Focus: V-Li/TOK (Vanadium structure, lithium coolant/breeding blanket) as reference model, compared with other reactor variations.
- Includes input/output data for ten ESECOM reactor designs.
- Code further modificated in terms of financial and economic assumptions within the study
- Shows detailled breakdown of costs
- Based also on assumptions for nuclear and coal from Nuclear Energy Cost Data Base 
- Method for consistent techno-economic evaluation across fusion concepts is applied.
- Self-consistent, quantitative comparison of reactor designs and cost impacts of design changes.
- Cost methods are more realistic than in previous fusion studies.
- No detailed design study since just approximations, but for assessing trends and trade-offs.
- Identifies conditions where fusion can be economically viable.
- Inputs include physical, technical and economical assumptions such as beta, coil field, net output, efficiency, O&amp;M, replacements.
- O&amp;M costs scale with electric output as P^–0.5, based on fission/coal plant data.
- COE calculated using the Nuclear Energy Cost Data Base (NECDB) methodology.
- Purpose: To document the GENEROMAK model as used in ESECOM evaluations; provide input data + computational outputs for ten fusion plant cases; enable consistent cost comparisons and understand cost impacts of design decisions.
-&gt; Despite simplifications, it shows that economically competitive fusion systems are possible under strict but plausible assumptions.
-&gt; In some cases, designs with full safety features achieved ~25% lower COE than conventional nuclear assumptions.
-&gt; Design changes affect cost changes directionally.</t>
  </si>
  <si>
    <t xml:space="preserve">Dieses Dokument ist ein umfassender technischer Bericht über das Generomak-Modell, ein Computerprogramm, das zur Bewertung der wirtschaftlichen Machbarkeit verschiedener magnetischer Fusionsreaktoren entwickelt wurde. Es betont die Notwendigkeit einer konsistenten Analysemethode für die Wirtschaftlichkeit von Fusionsenergieoptionen im Vergleich zu anderen Stromerzeugungssystemen. Der Bericht beschreibt detailliert das Generomak-Programm, einschließlich seiner physikalischen, technischen und kostenbezogenen Modelle, die ursprünglich vom Senior Committee on Environmental Safety and Economics of Magnetic Fusion Energy (ESECOM) für ihre Analysen übernommen und verfeinert wurden. Er legt die mathematischen und finanziellen Grundlagen dar, die zur Berechnung der nivellierten Stromgestehungskosten (COE) verwendet werden, und berücksichtigt dabei Faktoren wie anfängliche Kapitalinvestitionen, Betriebskosten und Komponentenersatz.
•	Worüber handelt die Studie? Die Studie behandelt ein generisches Fusionsphysik-, -technik- und -wirtschaftlichkeitsmodell namens Generomak. Dieses Modell wurde entwickelt, um eine konsistente Analyse der wirtschaftlichen Rentabilität alternativer magnetischer Fusionsreaktoren durchzuführen. Der vorliegende Bericht beschreibt insbesondere die Generomak-Software in der Form, wie sie vom "Senior Committee on Environmental Safety and Economics of Magnetic Fusion Energy" (ESECOM) verwendet wurde. Er enthält zudem die Eingabedaten und die Computerausgaben für zehn verschiedene ESECOM-Fusionsanlagen. Das Referenzmodell für Fusionskraftwerke ist eine Vanadium-Struktur mit Lithium-Kühlmittel/Brutmantel (V-Li/TOK).
•	Welche Kernaussagen werden in der Studie genannt?
o	Die letztendliche Realisierbarkeit einer Fusionsenergieoption hängt maßgeblich von ihrer wirtschaftlichen Wettbewerbsfähigkeit gegenüber anderen Fusionssystemen und allen verfügbaren Stromerzeugungsoptionen ab.
o	Es ist entscheidend, dass die Methoden zur Bewertung aller Konzepte konsistent sind, um die Ergebnisse nicht zu verfälschen; dies betrifft sowohl die wirtschaftlichen Bewertungsmodelle als auch das Berechnungsmodell für das Fusionssystem.
o	Das Generomak-Modell ist annähernd und nicht für detaillierte Reaktorkonstruktionsberechnungen gedacht, ermöglicht aber einen selbstkonsistenten, quantitativen Vergleich zwischen Alternativen und kann die Richtung der Kostenwirkungen alternativer Designentscheidungen aufzeigen.
o	Die im Generomak-Modell verwendete Kostenmethodik und die Einheitskosten sind im Allgemeinen "strenger" (realistischer) als in früheren Fusionsreaktordesigns. Dennoch können unter diesen strengeren Annahmen Bedingungen identifiziert werden, unter denen Fusion mit alternativen Energiequellen wettbewerbsfähig ist.
o	Die Kosten der Zinsen während der Bauzeit (Interest During Construction, IDC), auch als "Allowance for Funds Used During Construction (AFUDC)" bezeichnet, sind nicht Teil der Übernachtungskosten, sondern werden separat hinzugefügt, um die gesamten kapitalisierten Investitionskosten zu ermitteln [Konversationshistorie, 3.2 (implizit)]. Für die Referenz-Bauzeit von 6 Jahren wird ein Kapitalisierungsfaktor von 1.0856 verwendet, der die Zinsen und Eskalation während des Baus berücksichtigt.
o	Ein Kontingenzfaktor von 15% wird zu den gesamten direkten plus indirekten Kosten hinzugefügt, um die "Total Overnight Costs" zu erhalten.
o	Die Betriebs- und Wartungskosten (O&amp;M) werden auf der Grundlage vergleichbarer Fissions- und Kohlekraftwerke sowie deren Personalbedarf geschätzt. Sie skalieren mit der elektrischen Leistung zur Potenz von -0.5.
o	Kosten für den Austausch von Komponenten wie Blankets, Limitern und Teilen des Stromantriebssystems werden ähnlich wie Brennstoffkosten bei Fissionsreaktoren behandelt, da sie in regelmäßigen Intervallen anfallen und nicht Teil der anfänglichen Investition sind. Eine Ausnahme bildet das Blanket im V-DHe3/TOK-Fall, das aufgrund der geringen Neutronenexposition der ersten Wand nicht während der 30-jährigen Lebensdauer der Anlage ersetzt werden muss und daher in die anfänglichen Kapitalkosten einbezogen wird.
o	Kosten für vollständige Sicherheitsvorkehrungen können zu einer Reduzierung der Stromgestehungskosten (COE) um etwa 25% im Vergleich zu nuklearem Bau ("N" grade construction) führen.
o	Die Methodik zur Berechnung der Stromgestehungskosten basiert auf der "Nuclear Energy Cost Data Base" (NECDB).
o	Der indirekte Kostenfaktor beträgt 0.375 für die 6-jährige Referenz-Bauzeit. Für Abweichungen von der Referenzbauzeit wird die Beziehung find = 1.12 + 0.0425Y verwendet. Die Kosten des Eigentümers ("Owner's cost"), die typischerweise 5-15% der direkten und anderen indirekten Kosten betragen, wurden nicht in den indirekten Kosten berücksichtigt.
•	Was ist das Ziel der Studie? Das Hauptziel der Studie ist die Beschreibung und Dokumentation des Generomak-Codes, wie er für die ESECOM-Analysen verwendet wurde. Dies beinhaltet die Bereitstellung der Eingabedaten und der Computerausgaben für jede der zehn untersuchten Fusionsanlagen, um eine konsistente Analyse der wirtschaftlichen Viabilität und einen quantitativen Vergleich zwischen verschiedenen Magnetfusionsreaktorkonzepten zu ermöglichen. Das Modell soll ein Gefühl für die Richtung und ungefähre Größenordnung der Kostenauswirkungen alternativer Designentscheidungen vermitteln.
•	Was ist das Fazit der Studie? Die Studie kommt zu dem Schluss, dass das Generomak-Modell, obwohl es näherungsweise ist, einen selbstkonsistenten und quantitativen Vergleich zwischen Fusionsenergiealternativen bietet und Aufschluss über die Richtung und die ungefähren Auswirkungen von Kostenänderungen gibt. Trotz der Anwendung einer realistischeren (stringenteren) Kostenbewertung im Vergleich zu früheren Studien, können Bedingungen identifiziert werden, unter denen Fusionsenergie wettbewerbsfähig ist mit anderen Energiequellen. Insbesondere wird hervorgehoben, dass zusätzliche Sicherheitsmaßnahmen zu erheblichen Kosteneinsparungen führen können, wobei die Kosten für volle Sicherheitsvorkehrungen die Stromgestehungskosten um etwa 25% senken können. Die Studie liefert die konkreten Ergebnisse und Ausgaben für die zehn ESECOM-Fälle, die die Anwendbarkeit und die Ergebnisse des Modells demonstrieren [7, 103, Appendix B].
</t>
  </si>
  <si>
    <t>Cost Drivers &amp; Economic Challenges
•	Capital Costs:
  o	Nuclear-grade construction assumed (from STARFIRE, updated to Jan 1986) → high safety standards costs.
  o	Indirect costs &amp; AFUDC: 6-year build → indirect factor = 0.375 added to overnight cost.
  o	Contingency factor: +15% on direct + indirect costs.
  o	Fusion Power Core (FPC): major components: blankets, shields, coils, structures.
  o	Material costs:
	Vanadium (V15Cr5Ti): $400/kg
	RAF steel: $50/kg
	Lithium (nat.): $45/kg
	Beryllium: $500/kg
	Superconducting coils: $90/kg (std), $130/kg (advanced); structures for advanced coils: $60/kg
	SiC blanket: $100/kg
  o	Buildings &amp; systems: e.g. hot cell ($193.9M), turbines ($230.7M), electrical ($121.2M), heat removal ($59.1M)
  o	Scaling: costs scale by FPC volume, thermal/electric output, heat removal → strong cost sensitivity
•	O&amp;M Costs (COM):
  o	Includes staffing (e.g. 457 employees), affected by complexity, safety, regulation
•	Replacement Costs:
  o	Covers periodic replacement of blankets, limiters, current drive system
  o	Driven by neutron wall loading (Iw) &amp; material fluence limit (IwT)
  o	Higher neutron loads → more replacements → higher costs &amp; lower CF
  o	Disposal cost (conservative): 1 mill/kWh(e) (same as fission)
  o	Fuel costs:
	D-T: Low, tritium assumed to be bred in blanket, no price per gram specified
	D-He3: High, assumed $100/g from Moon → major cost driver for advanced designs
•	Capacity Factor (CF):
  o	Base: 65%, lower if more frequent maintenance/replacement
  o	Strong effect on LCOE denominator
Cost Reduction Potentials
•	Safety Assurance Credit Factors:
  o	Switching from nuclear-grade to full safety assurance (non-nuclear grade) may cut LCOE by ~25%
  o	Enabled by:
	Low-activation fuel (e.g. D-He3)
	Low-activation materials (e.g. RAF, SiC)
•	Advanced Concepts &amp; Materials:
  o	He-cooled designs (RAF-He/TOK, SiC-He/TOK, SS-He/HYB): O&amp;M reduced by 1 mill/kWh (~$6.8M/year)
  o	D-He3 concept (V-DHe3/TOK):
	Low activation → lower O&amp;M: $40.5M/year vs $60.7M
	Blanket lasts full 30 years → no replacement cost; included in capital
  o	Direct conversion (V-MHD/TOK, V-DHe3/TOK):
	No turbines needed → higher availability → CF = 75%
  o	Advanced magnets:
	Higher current density &amp; cost, but enable higher B-fields
  o	Cheaper materials: e.g. RAF steel ($50/kg) vs V15Cr5Ti ($400/kg)
•	Operational Improvements:
  o	Lower neutron wall loading or use longer-life materials → less frequent blanket/limiter replacement
  o	More efficient current drive systems (higher Iphi/PCD) → lower power needs &amp; recurring costs
•	Shorter Construction Time:
•	Lower Waste Disposal Costs:
  o	Assumed 1 mill/kWh(e), but actual fusion waste costs expected to be lower than for fission</t>
  </si>
  <si>
    <t>Im GENEROMAK-Modell beeinflussen die **physikalischen und technischen Parameter der Fusionsreaktoren zusammen mit den wirtschaftlichen und finanziellen Annahmen** die Gesamtkosten erheblich und sind somit die primären Kostentreiber. Für die einzelnen Reaktortypen, die im Rahmen der ESECOM-Analyse untersucht wurden, ergeben sich spezifische Kostentreiber und Herausforderungen:
### 1. V-Li/TOK (Referenzfall)
*   **Physikalische/Technische Parameter:** Dieses Modell ist der Ausgangspunkt und repräsentiert eine Extrapolation heutiger Physik und Technologie. Es nimmt ein **hohes Beta (10%)** und eine **verbesserte Spulentechnologie** an. Die thermische Umwandlungseffizienz beträgt 0,404, und der **Referenz-Kapazitätsfaktor liegt bei 65%**. Die **Neutronenwandbelastung beträgt 3,195 MW/m²** bei einer Strahlenlebensdauer von 20 MWyr/m².
*   **Kostenannahmen:** Es verwendet Standard-Kostenannahmen für Komponenten wie Vanadium (V15Cr5Ti) für die Decke ($118/kg), supraleitende Spulen ($90/kg) und den Stromantrieb ($2,25/W). Die Betriebs- und Wartungskosten (O&amp;M) liegen bei etwa **$60,7 Millionen pro Jahr oder 8,9 Mills/kWh**. Da es sich um eine wassergekühlte Decke handelt, sind **keine zusätzlichen Kosten für Zwischenwärmetauscher (IHX)** enthalten.
### 2. RAF-He/TOK
*   **Haupt-Kostentreiber:** Als **heliumgekühlte Variante** erfordert dieses Design **zusätzlichen Gaslagerraum**, was die Gebäudekosten um $1,2 Millionen erhöht. Die Kosten für das Hauptwärmeübertragungs- und Transportsystem sind um $82,1 Millionen höher als beim wassergekühlten Referenzfall.
*   **Kostenreduktion:** Es wird eine **Reduzierung der O&amp;M-Kosten um 1 Mills/kWh** (auf $53,8 Millionen/Jahr) angenommen, da die Wartung bei heliumgekühlten Systemen als einfacher gilt.
*   **Herausforderungen:** Die **geringere Strahlenlebensdauer der ersten Wand (15 MWyr/m²)** im Vergleich zum Referenzfall (20 MWyr/m²) könnte zu häufigeren Austauschen und damit höheren Ersatzkosten führen.
### 3. RAF-LiPb/RFP &amp; 4. V-Li/RFP (RFP-Varianten)
*   **Signifikanteste Kostentreiber/Herausforderungen:**
    *   **Widerstandsbehaftete Kupferspulen:** Im Gegensatz zu Tokamaks werden für RFPs **widerstandsbehaftete Kupferspulen** angenommen. Dies führt zu einem **wesentlich höheren Massenverhältnis von Poloidalfeldspulen (PFC) zu Toroidalfeldspulen (TFC)** (8-fach vs. 0,25-fach für Tokamaks). Die **Spulenkosten betragen $50/kg**.
    *   **Geringere Kosten für den Stromantrieb:** Ein Vorteil ist der **wesentlich geringere Stückpreis für den Stromantrieb ($0,50/W vs. $2,25/W)** aufgrund des angenommenen oszillierenden Theta-Feld-Stromantriebs (Niederfrequenz).
    *   **Hohe Neutronenwandbelastung:** Insbesondere der RAF-LiPb/RFP weist eine **sehr hohe Neutronenwandbelastung von ~16,567 MW/m²** auf. Der V-Li/RFP hat ebenfalls eine hohe Belastung von ~14,558 MW/m². Dies würde bei typischen Strahlenlebensdauern zu sehr häufigen Blanket-Austauschen führen.
    *   **Geringere maximale Magnetfelder:** Die maximalen Felder in den Spulen sind mit 0,69 T (RAF-LiPb/RFP) und 0,66 T (V-Li/RFP) deutlich niedriger als bei Tokamaks.
    *   **Keine IHX** für den selbstgekühlten LiPb-RFP.
### 5. SiC-He/TOK
*   **Haupt-Kostentreiber:** Ähnlich wie der RAF-He/TOK fallen auch hier **Kosten für zusätzlichen Gaslagerraum und erhöhte Wärmeübertragungs- und Transportsystemkosten** an.
*   **Kostenreduktion:** Eine **Reduzierung der O&amp;M-Kosten um 1 Mills/kWh** wird aufgrund der heliumgekühlten Bauweise erwartet.
*   **Spezifische Materialien:** Verwendet wird **Siliziumkarbid (SiC)** als Strukturmaterial, mit einer **Blanket-Einheitskosten von $60/kg**. Dies ist ein „Low-Activation“-Konzept.
*   **Großer Abstand:** Es ist ein **großer Spalt von 0,40 m** zwischen Decke und Abschirmung vorgesehen.
### 6. V-FLiBe/TOK
*   **Signifikantester Kostentreiber:** Als „Pool“-Typ-Tokamak mit geschmolzenem Salz (FLiBe) als Kühlmittel/Brüter wird angenommen, dass er einen **Zwischenwärmetauscher (IHX) benötigt**. Dies führt zu einer **erhöhten Investition von $19,5 Millionen für das Reaktorgebäude und $118,8 Millionen für das Wärmeübertragungs- und Transportsystem**.
*   **Zusätzliche Kühlmittelmenge:** Eine **zusätzliche Menge von 900 m³ FLiBe-Salz** wird für die Kühlmittelinventar-Kosten berücksichtigt.
*   **Dicke Decke:** Die Decke ist mit 1,20 m relativ dick.
*   **Hohe Effizienz:** Es weist mit **0,446 die höchste thermische Umwandlungseffizienz** unter den nicht-direkt konvertierenden Tokamaks auf.
### 7. V-MHD/TOK (fortschrittliche Konversion) &amp; 8. V-DHe3/TOK (fortschrittlicher Brennstoff)
*   **Signifikanteste Kostentreiber/Herausforderungen:**
    *   **Höhere Plasma-Temperaturen und Magnetfelder:** Diese Varianten erfordern **höhere Plasma-Temperaturen (40 keV für V-MHD/TOK, 75 keV für V-DHe3/TOK)** und damit **höhere Magnetfelder (bis zu 16 T für V-DHe3/TOK)**.
    *   **Fortschrittliche Spulentechnologie:** Es wird die **Stromdichte-Option Nr. 3** verwendet, die die neuesten Fortschritte in der Magnettechnologie nutzt. Dies führt zu **höheren Spulen-Einheitskosten ($130/kg für fortschrittliche Spulen, $60/kg für hochfesten Stahl)**.
    *   **V-MHD/TOK:** Das Hauptwärmeübertragungssystem und der MHD-Generator werden als **austauschbare Deckenmodule behandelt und somit als Brennstoffkosten** (Ersatzkosten) verrechnet. Es enthält auch Cadmium und Beryllium in der Decke.
    *   **V-DHe3/TOK (spezifisch):**
        *   **Geringe Neutronenexposition:** Aufgrund der extrem niedrigen Neutronenexposition (Neutronenwandbelastung 0,091 MW/m²) wird angenommen, dass die Decke während der 30-jährigen Anlagenlebensdauer **nicht ersetzt werden muss**; die Kosten sind daher in den ursprünglichen Direktinvestitionskosten enthalten.
        *   **Deutlich niedrigere O&amp;M-Kosten:** Die niedrigeren Neutronenaktivierungsraten führen zu **geringeren Wartungskosten und damit niedrigeren O&amp;M-Kosten ($40,5 Millionen/Jahr)**.
        *   **Höhere Brennstoffkosten:** Die Verwendung von D-He3 als Brennstoff führt zu **erheblich höheren Brennstoffkosten ($100/Gramm Helium-3 von Mond)**, da es nicht in der Decke gezüchtet wird.
        *   **Synchrotron-Mikrowellen-Wellenleiter:** Das Hauptwärmeübertragungssystem besteht aus Wellenleitern für die Synchrotronstrahlung, deren Kosten mit $30 Millionen (P_u/2900)^0.6 berechnet werden.
*   **Vorteile (Kostenreduktion):**
    *   **Keine Turbinen:** Beide Varianten haben keine Turbinen, was zu einem **höheren Kapazitätsfaktor von 75%** führt und somit die levelisierten Stromgestehungskosten pro kWh senkt.
    *   **Sehr geringer Rückführungskreislaufanteil** (0,05 für V-MHD/TOK, 0,027 für V-DHe3/TOK).
    *   **V-DHe3/TOK hat die höchste elektrische Umwandlungseffizienz (0,768)**.
### 9. RAF-Li/HYB &amp; 10. SS-He/HYB (Hybridkonzepte)
*   **Signifikanteste Kostentreiber/Herausforderungen:**
    *   **Zusätzliche Anlagen:** Diese Fusions-Fissions-Hybride erfordern **Dump-Tank-Sicherheitssysteme sowie Anlagen zur Wiederaufbereitung und Neuaufbereitung des Brennstoffs vor Ort**. Diese sind **erhebliche zusätzliche Kapitalkostenpositionen**.
        *   **RAF-Li/HYB:** $200 Millionen für Dump-Tanks, Brennstofftransitlinien und Beryllium-Neuaufbereitung. $65 Millionen für eine Thorium-Metall-Wiederaufbereitungsanlage.
        *   **SS-He/HYB:** $100 Millionen für die Wiederaufbereitungsanlage. $47 Millionen pro Gigawatt Fusionsleistung für Dump-Tanks, Transitlinien und Beryllium-Fertigung.
    *   **Höhere O&amp;M-Kosten:** Aufgrund der zusätzlichen Sicherheitsanforderungen (Wiederaufbereitung) und des Bedarfs an mehr Sicherheitspersonal (Wachpersonal von 44 auf 94 erhöht, vergleichbar mit LWR-Spaltanlagen) sind die **O&amp;M-Kosten höher**.
        *   **RAF-Li/HYB:** $62,9 Millionen/Jahr.
        *   **SS-He/HYB:** $56,1 Millionen/Jahr. (Obwohl es heliumgekühlt ist, überwiegen die Hybrid-Aspekte die Einsparungen durch Heliumkühlung bei den O&amp;M-Kosten.)
    *   **Regelmäßige Brennstoffwiederaufbereitungskosten:** Die jährlichen Betriebskosten umfassen auch die Kosten für die Brennstoffwiederaufbereitung (z.B. $12,5 Millionen/Jahr für RAF-Li/HYB).
*   **Herausforderungen:** Die **geringere Strahlenlebensdauer der ersten Wand** (15 MWyr/m² für RAF-Li/HYB, **7 MWyr/m² für SS-He/HYB**) kann zu sehr häufigen Austauschen führen und den Kapazitätsfaktor beeinflussen.
Zusammenfassend lässt sich festhalten, dass die signifikantesten Kostentreiber für die einzelnen Reaktorkonzepte im GENEROMAK-Modell in der **technologischen Komplexität der Fusionsenergie-Kernkomponenten**, den **Materialkosten**, den **spezifischen Designmerkmalen** (z.B. Kühlmittelsysteme, Spulentypen, Brennstoffzyklus) und den **wirtschaftlichen Parametern** liegen, die sich aus diesen Designentscheidungen ergeben. Hybridkonzepte stellen aufgrund der zusätzlichen Brennstoffzyklus-Infrastruktur und Sicherheitsanforderungen eine eigene Kostendomäne dar, während fortschrittliche Brennstoff- und Konversionskonzepte durch höhere Materialkosten und komplexe Magnettechnologien gekennzeichnet sind, die jedoch durch potenzielle Effizienzgewinne und geringere O&amp;M-Kosten ausgeglichen werden können.</t>
  </si>
  <si>
    <t xml:space="preserve">•	LCOE based on NECDB (Nuclear Energy Cost Data Base).
•	All costs in constant 1986 USD.
•	Lead time: 6 years (design + construction).
•	Indirect cost factor: 0.375 (for 6-year lead time).
•	Contingency factor: 15% on direct + indirect costs.
•	Nominal capacity factor: 65%; 75% for advanced non-turbine cases (V-MHD/TOK, V-DHe3/TOK).
•	Adjusted capacity factor by calculation due to neutron load:
   -&gt; CF = 0.7534 / (1 + 0.1034 * R) for R &gt; 1.54 (R = annual blanket replacement rate).
•	Spare part multipliers: 1.1 for blankets, 1.2 for coils/limiters.
1. Initial Capital Investment:
•	Based on STARFIRE Tokamak (updated to Jan 1986).
•	Includes buildings, reactor systems, turbines, electrical, auxiliary, heat rejection systems.
•	Nuclear-grade construction assumed by default, safety reuirements increase costs of nuclear technologies.
•	Safety assurance credits can reduce LCOE by ~25% e.g. by using D-He3 fuel.
•	Scaling based on First Plasma Chamber volume, thermal/electric power, or heat output.
•	Detailed unit material costs ($/kg) for vanadium, RAF steel, lithium, beryllium, SiC, etc.
•	20% coil redundancy, structure volume = 50% of coil volume (default).
•	Blankets, limiters, parts of power systems excluded from initial capex since recurring costs (except in V-DHe3/TOK where no replacement is needed).
2. Operating &amp; Maintenance (O&amp;M)
•	Based on fission and coal plant practices and staffing.
•	O&amp;M cost scales with electric power P^–0.5.
•	Adjustments:
  o	–1 mill/kWh for He-cooled systems due to simpler maintenance.
  o	Lower O&amp;M for V-DHe3 due to low neutron activation.
3. Replacement Costs
•	Replacement rate R = Iw / IwT (neutron wall load / fluence lifetime).
•	Reference IwT: 10 MWyr/m² (limiters), 20 MWyr/m² (blankets).
•	Waste disposal fee: 1 mill/kWh assumed (same as fission), though fusion likely cheaper.
Model Adjustments
•	RFP variants: Use resistive coils, lower-cost current drive, modified βp (since no need for torodial magnet field).
•	Advanced conversion/fuel (V-MHD, V-DHe3):
o	Direct conversion via synchrotron radiation.
o	High-temperature magnets, alternative J–B curves, higher costs.
</t>
  </si>
  <si>
    <t>Die Kosten basieren auf folgenden Parametern und Annahmen:
*   **Grundlegende wirtschaftliche Methodik:**
    *   Die Methode zur Bestimmung der nivellierten Stromkosten (Levelized Cost of Electricity, LCOE oder "COE") ist vom **Nuclear Energy Cost Data Base (NECDB)** abgeleitet.
    *   Alle Kosten werden in **konstanten 1986er US-Dollar** ausgedrückt.
    *   Die Analyse folgt einem Jahr-für-Jahr-Verfahren für die erforderlichen Versorgungserträge, um einen einzigen äquivalenten Stromgestehungspreis über die wirtschaftliche Lebensdauer der Anlage zu ermitteln.
*   **Referenz-Wirtschaftsparameter (Tabelle 3.1):**
    *   **Anlagenlebensdauer:** 30 Jahre.
    *   **Anlagenvorlaufzeit (Design- und Bauzeit):** 6 Jahre als Referenzwert.
    *   **Indirekter Kostenfaktor:** 0,375 für die 6-Jahres-Vorlaufzeit. Dieser Faktor kann sich bei Abweichungen von der Referenzvorlaufzeit ändern.
    *   **Kontingenzfaktor (Risikozuschlag):** 0,15 (oder 15 %) auf die gesamten direkten und indirekten Kosten.
    *   **Faktor für Eskalation und Zinsen während der Bauphase (AFUDC):** 1,0856 für die Referenzvorlaufzeit von 6 Jahren.
    *   **Nominaler Kapazitätsfaktor:** Standardmäßig **65 %**. Für fortgeschrittene Umwandlungs- und Brennstofffälle (V-MHD/TOK und V-DHe3/TOK) wird ein höherer Wert von **75 %** angenommen, da diese keine Turbinen haben und daher eine höhere Verfügbarkeit aufweisen sollten.
    *   **Anpassung des Kapazitätsfaktors:** Bei hoher Neutronen-Wandbelastung und häufigem Deckenwechsel (Blanket Replacement) wird der Kapazitätsfaktor nach unten angepasst. Eine geplante Wartungszeit von 90 Tagen pro Jahr und 38 zusätzliche Tage für jeden FPC-Austausch werden berücksichtigt. Die Formel lautet: **CF = 0.7534 / (1 + 0.1034 * R)**, wenn die Austauschrate (R) 1,54 pro Jahr übersteigt.
    *   **Ersatzteil-Multiplikatoren:** 1,1 für Decken, 1,2 für Spulen und Limiter.
    *   **Effektiver Kapitalkostensatz ("Effective cost of money"):** 0,09 nominal und **0,0283 in konstanten Dollars**.
    *   **Inflationsrate:** 6 %.
    *   **Effektiver Steuersatz:** 0,4816.
    *   **Steuerliche Abschreibungsdauer:** 10 Jahre für die Gesamtanlage, aber **5 Jahre für austauschbare Decken (Blankets) und ähnliche Komponenten**.
    *   **Fester Gebührensatz (Fixed Charge Rate, FCR):** 0,165 nominal und **0,0844 in konstanten Dollars**. Dieser konstante Dollar-FCR von 0,0844 wird zur Umrechnung der anfänglichen Investitionskosten in die jährlichen Stromerzeugungskosten in der LCOE-Berechnung verwendet.
*   **Kategorien von Kosten:**
    1.  **Anfängliche Kapitalkosten (Initial Capitalized Investment) [3.2, 46]:**
        *   Basieren auf dem STARFIRE-Tokamak-Reaktorstudie, aktualisiert auf Januar 1986.
        *   Umfassen direkte Kosten für Gebäude, Reaktoranlagen, Turbinenanlagen, elektrische Anlagen, diverse Anlagen und das Hauptwärmeableitungssystem.
        *   **Annahmen zur Konstruktion:** Standardmäßig wird eine "nuclear grade construction" mit entsprechender Qualitätssicherung angenommen. Potenzielle Kostensenkungen durch "full safety assurance" oder die Verwendung von D-He3-Brennstoff oder Materialien mit geringer Aktivierung sind über **Sicherheitsgewährleistungs-Gutschriftfaktoren (Safety Assurance Credit Factors)** modelliert, die zu einer Reduzierung der LCOE um etwa 25 % führen können.
        *   Die direkten Kapitalkosten werden basierend auf dem FPC-Volumen, der thermischen Leistung, der elektrischen Leistung oder der abgegebenen Wärmemenge skaliert.
        *   **Materialkosten:** Detaillierte Einheitsmaterialkosten ($/kg) für Vanadium, RAF-Stahl, Lithium, Thorium, Beryllium, SiC usw. sind angegeben.
        *   **Spulen- und Strukturkosten:** Spulenredundanz von 20 % ist enthalten; Strukturvolumen wird im Basisfall als 50 % des Gesamtspulenvolumens angenommen.
        *   **Indirekte Kosten:** Ein indirekter Kostenfaktor für Bau- und Ingenieurdienstleistungen wird zu den direkten Kosten addiert.
        *   **Ausnahmen:** In den anfänglichen Kapitalkosten sind die **Kosten für Decken (Blankets), Limiter und einen Teil des Stromversorgungssystems nicht enthalten**, da diese als wiederkehrende Kosten behandelt werden. Die Ausnahme ist das **V-DHe3/TOK-Modell**, bei dem die Decke aufgrund der sehr geringen Neutronenexposition nicht während der 30-jährigen Lebensdauer ersetzt werden muss und daher in die anfänglichen Kapitalkosten einbezogen wird.
    2.  **Betriebs- und Wartungskosten (Operating &amp; Maintenance, O&amp;M) [3.3, 64]:**
        *   Basieren auf denselben Verfahren wie bei Kernspaltungsreaktoren und Kohlekraftwerken sowie auf geschätzten Personalbedarfen.
        *   Die **O&amp;M-Kosten für den Referenzfall (V-Li/TOK) betragen 8,9 mills/kWh**.
        *   Die Einheits-O&amp;M-Kosten (mills/kWh(e)) werden mit der elektrischen Leistung zur Potenz von -0,5 skaliert.
        *   Spezifische Anpassungen: Für heliumgekühlte Konzepte (RAF-He/TOK, SiC-He/TOK und SS-He/HYB) werden die O&amp;M-Kosten um 1 mills/kWh reduziert, da eine einfachere Wartung angenommen wird. Für den fortgeschrittenen Brennstofffall (V-DHe3/TOK) werden die O&amp;M-Kosten aufgrund der geringeren Neutronenaktivierungsraten weiter reduziert. Bei Hybridanlagen werden erhöhte Sicherheitskosten für Wachpersonal angenommen.
    3.  **Wiederkehrende Austauschkosten (Replacement Costs) [3.4, 65]:**
        *   Diese Kostenkategorie, einschließlich Decken (Blankets), Limiter und eines Teils des Stromeinspeisesystems, wird **ähnlich den Brennstoffkosten von Kernspaltungsreaktoren** behandelt.
        *   Die jährlichen Kosten werden über die individuelle Nutzungsdauer der Komponenten kapitalisiert und amortisiert.
        *   Eine **Vorlaufzeit von 4 Jahren** für den Ersatz von Decken, Limitern und Stromeinspeisekomponenten wird angenommen.
        *   Die Häufigkeit des Austauschs von Decken und Limitern wird dynamisch basierend auf der **Neutronen-Wandbelastung (neutron wall loading, Iw)** und der **Strahlungslebensdauer (fluence lifetime, IwT)** der Materialien berechnet. Die jährliche Austauschrate (R) ist **R = Iw / IwT**.
        *   **Referenz-Fluenz-Lebensdauern:** Limiter (Wärme) **10,0 MWyr/m²**; Decke und zusätzliche Heizung (Neutronen) **20,0 MWyr/m²**.
        *   Kosten für Ersatzteile und Kühlmittelbestand sind ebenfalls enthalten.
        *   **Entsorgungskosten:** Es wird konservativ angenommen, dass die für Kernspaltungsreaktoren erhobene Gebühr von 1 mills/kWh(e) auch für Fusionsreaktoren erhoben wird, obwohl erwartet wird, dass die tatsächlichen Entsorgungskosten für Fusion niedriger sein werden.
        *   **Brennstoffkosten:** Die Kosten für D-T-Brennstoff sind pauschal angesetzt. Für **D-He3-Brennstoff (V-DHe3/TOK)** werden höhere Kosten angenommen, da dieser nicht in der Decke gezüchtet wird und vom Mond importiert werden müsste (angenommene Kosten von **100 $/Gramm**).
*   **Spezifische Modell-Anpassungen [2.2, 4]:**
    *   **RFP-Varianten (Reverse Field Pinch):** Angepasste Annahmen für Spulen (resistiv statt supraleitend), poloidales Beta und Stromeinspeisesysteme mit geringeren Stückkosten.
    *   **Fortgeschrittene Umwandlungs- und Brennstoffvarianten (V-MHD/TOK, V-DHe3/TOK):** Modifikationen für höhere Plasmatemperaturen und direkte Energieumwandlung durch Mikrowellen-Synchrotronstrahlung. Für diese Varianten werden modernste Magnettechnologien mit anderen Stromdichtekurven und höheren Kosten angenommen.
    *   **Hybridkonzepte (Fusions-Brüter):** Zusätzliche Kapitalkosten für Dump-Tanks, Brennstoffaufbereitungs- und -refabrikationsanlagen sowie entsprechende Betriebs- und Wartungskosten.</t>
  </si>
  <si>
    <t>1. Is the modeling approach transparently documented?
•	Yes. Generomak is described as a generic fusion physics, engineering, and costing model.
•	Used for consistent economic feasibility analysis of magnetic fusion reactors.
•	Key sections:
  o	Physical &amp; technical setup of fusion plant models
  o	Economic Methods such as LCOE, CAPEX, O&amp;M, replacements.
  o	Cost assumptions incl. materials.
  o	Generomak Program including Structure, inputs, file menus.
•	Includes detailed tables: CAPEX, material unit costs, sample outputs.
•	Code written in Advanced BASIC, covers 10 reactor models in one framework.
2. Are cost/model assumptions based on external sources or derived internally?
•	External sources:
  o	NECDB-3 (1984) for financial parameters.
  o	STARFIRE study as CAPEX base, updated to Jan. 1986.
  o	Safety credit factors from ICF/magnetic fusion studies.
  o	O&amp;M based on nuclear/coal methodologies.
•	Internal derivations:
  o	Refinements in costing/economics within ESECOM.
  o	10 fusion variants integrated (e.g., RFP, V-DHe3).
  o	Material costs updated internally.
  o	Extra components (e.g., gas tanks, heat exchangers) included.
3. Were external models modified?
•	Generomak extended by Delene; STARFIRE costs updated to 1986.
•	Modified assumptions:
  o	FCR: 6-year build (vs. 8), 30-year amortization (vs. 20).
  o	Indirect costs: Adjusted based on lead time.
  o	Safety credits: Applied selectively (e.g., D-He3 blankets not replaced).
  o	Lower O&amp;M for helium-cooled &amp; D-He3 reactors.
  o	Hybrid concepts include fuel reprocessing costs.
4. Are uncertainties and sensitivities addressed?
•	Yes:
•	Model is approximate, for comparative purposes only.
•	Assumes high beta (10%) and advanced magnets (optimistic).
•	Troyon coefficient 0.04 considered high.
•	Costing stricter than earlier studies.
•	Safety credits (~25% savings) are design-dependent.
•	Indirect cost formula is approximate.
•	Waste cost of 1 mills/kWh deemed conservative.
•	Sensitivities discussed; user-modifiable parameters.
5. Is the cost estimation bottom-up, top-down, or hybrid?
•	Bottom-up: Detailed CAPEX breakdown
  o	Blanket, magnets, structure, shield costed via volume × density × unit cost.
•	Top-down: CAPEX compressed, scaled by FPC volume, power output.
  o	Scaling factors from NECDB.
6. Are costs based on physical/technological values?
•	FPC volume &amp; thermal power derived from plasma/electric parameters.
•	Neutron load (Iw) &amp; lifetime (IwT) → replacement frequency.
•	Blanket/magnet/structure/shield costed via material properties.
•	Coil design affects cost.
•	Current drive efficiency affects power demand.
•	Fuel cycle (Tritium breeding vs. He3 import) alters cost.
7. What technical &amp; economic assumptions are made?
Technical:
•	Steady-state operation; D-T baseline, D-He3 for advanced cases.
•	High β (10%), A=4.0, κ=2.5, Ti = 10–75 keV.
•	Troyon k=0.04, current drive efficiency 0.2 A/W.
•	Advanced magnet options (cost up to 130 $/kg).
•	Thermal efficiency: 40.4% (base) to 76.8% (D-He3).
•	Availabilities: 65% (base), 75% (advanced).
Economic:
•	All costs in constant 1986 USD.
•	30-year life, 6-year build.
•	Indirect cost factor: 0.375; contingency: 15%.
•	Waste: 1 mill/kWh(e).
•	D-He3 at $100/g (from Moon).
8. Which physical/technical parameters affect costs?
•	FPC volume → CAPEX scaling.
•	Iw/IwT → replacement frequency &amp; fuel-like costs.
•	Fuel type: D-He3 much more expensive.
•	Material choices (e.g., SiC, RAF steel) affect safety &amp; CAPEX.
•	Coil mass/current density influences magnet cost.
•	Higher ηth → higher net output → lower LCOE.
•	Complexity → O&amp;M variations.
•	Lower activation → lower disposal &amp; shielding needs.
9. Is the reactor concept state-of-the-art?
•	extrapolation from 1986 technology.
  o	Assumes high β, advanced magnets, optimistic drive efficiency.
  o	Troyon k=0.04 &gt; then-feasible (≤0.035).
•	Model explores potential future tech, not existing designs.
10. Is the design planned or hypothetical?
•	Hypothetical.
•	Not a build-ready design.
•	Described as generic &amp; exploratory.
•	Compares 10 different reactor concepts
•	Not for detailed engineering, but for directional cost insight.
11. How current are the assumptions?
•	Dated (1986).
•	Over 35 years old → not reflective of today’s tech/economy.
12. How robust or speculative are the assumptions?
•	Mixed.
•	Conservative:
  o	Stricter cost methods.
  o	1 mill/kWh(e) for waste (may overstate).
•	Optimistic/speculative:
  o	High β, Troyon k=0.04, drive efficiency 0.2 A/W.
  o	He3 at $100/g (from lunar mining).
  o	Safety credits (~25%) applied cautiously.
  o	Construction cost formulas labeled "approximate."
•	Useful for relative comparisons, not absolute predictions.
13. Are cost components (e.g., O&amp;M) shown separately?
•	Yes.
  o	Initial CAPEX × Fixed Charge Rate.
  o	Fuel + replacements (Blanket, limiter, current drive, disposal).
  o	O&amp;M costs.
14. Are material and component costs shown separately?
•	Materials :
  o	V15Cr5Ti: $400/kg, RAF: $50/kg, Li: $45/kg, Be: $500/kg, SiC: $100/kg.
•	Components:
  o	Reactor, turbine, electric equipment detailed.
•	Blanket/magnet/structure cost = volume × density × material cost.
15. Focus: Technical, economic, or strategic?
•	Primarily economic, embedded in physical/technical modeling.
•	Goal: consistent LCOE comparison of alternative fusion designs.
16. Is it part of a broader energy system context?
•	Mainly reactor-focused and comparison.
  o	Uses NECDB-compatible methodology for comparability.
  o	Waste, O&amp;M framed like in fission studies.
  o	Not a full systems model</t>
  </si>
  <si>
    <t>### 1. Ist der Modellierungsansatz transparent dokumentiert?
**Ja, der Modellierungsansatz ist transparent dokumentiert**. Das Generomak-Modell wird als "generisches Fusionsphysik-, Ingenieurwesen- und Kostenmodell" beschrieben, das für die konsistente Analyse der wirtschaftlichen Machbarkeit verschiedener magnetischer Fusionsreaktoren entwickelt wurde. Der Bericht detailliert die Vorgehensweise und Annahmen der Generomak-Code-Version, die für die ESECOM-Analysen verwendet wurde.
Die Studie gliedert sich in folgende Hauptabschnitte, die den Modellierungsansatz beleuchten:
*   **Fusion Power Plant Model (Abschnitt 2)**: Beschreibt die physikalischen und technischen Modelle des Fusionskraftwerks, einschließlich des Basisfalls (V-Li/TOK) und Abweichungen davon. Eine detaillierte Beschreibung des Generomak-Modells ist an anderer Stelle zu finden.
*   **Economic Methods and Procedures (Abschnitt 3)**: Erläutert die ökonomische Methodik, die Berechnung der Stromgestehungskosten (LCOE), die anfänglichen Kapitalkosten, Betriebs- und Wartungskosten sowie die Ersatzkosten.
*   **Cost Models and Costing Assumptions (Abschnitt 4)**: Legt die verwendeten Kostenmodelle und Annahmen dar, einschließlich der Materialkosten.
*   **Generomak Computer Program (Abschnitt 5)**: Beschreibt die Funktionsweise des Computerprogramms selbst, einschließlich Dateilisten, Menüs und Eingabeparametern.
Das Dokument enthält zudem zahlreiche Tabellen und Abbildungen, die spezifische Parameter, Kostenmodelle und Ausgabedaten für die verschiedenen Fusionsanlagenmodelle auflisten, wie z.B. die detaillierte Kapitalkostenmodell (Tabelle 3.2), Einheitliche Materialkosten (Tabelle 3.5) und Muster-Outputs. Die Transparenz wird auch dadurch erhöht, dass der Computercode in Advanced BASIC (BASICA) für IBM-PC geschrieben und der Zugang zu allen 10 untersuchten Fusionsanlagenmodellen in einem Programm ermöglicht wird.
### 2. Beruhen die Modell- und Kostenannahmen auf externen Quellen oder wurden sie selbst abgeleitet?
**Die Modell- und Kostenannahmen beruhen auf einer Kombination aus externen Quellen und spezifischen Ableitungen bzw. Verfeinerungen innerhalb der ESECOM-Studie**.
*   **Externe Quellen:**
    *   Die grundlegende ökonomische Methodik und die finanziellen Parameter zur Bestimmung der nivellierten Stromkosten wurden aus der **Nuclear Energy Cost Data Base (NECDB)** des Oak Ridge National Laboratory abgeleitet. Die NECDB-3 (1984) Version war die aktuellste bei Beginn der ESECOM-Analysen.
    *   Das Referenz-Kapitalinvestitionskostenmodell stammte aus dem ursprünglichen Generomak-Bericht und basierte im Wesentlichen auf der **STARFIRE-Tokamak-Reaktorstudie**. Diese Kosten wurden von Januar 1983 auf Januar 1986 aktualisiert.
    *   Die Annahmen für die **Sicherheitsgewährleistungs-Gutschriftfaktoren (Safety Assurance Credit Factors)** wurden aus Studien zu Trägheitsfusion (ICF) und magnetisch eingeschlossener Fusion übernommen.
    *   Die O&amp;M-Kosten basieren auf denselben Kostenprozeduren, die zur Schätzung der O&amp;M-Kosten für Kernspaltungs- und Kohlekraftwerke verwendet wurden, und auf den in Ref. 2 geschätzten Personalbedarf.
*   **Selbst abgeleitete/modifizierte Annahmen:**
    *   Während der ESECOM-Analysen wurden **Verfeinerungen am ursprünglichen Generomak-Verfahren** vorgenommen, hauptsächlich in den Bereichen Kosten- und Wirtschaftsmethodik.
    *   Die Studie integrierte **10 verschiedene Fusionsreaktortypen/Blanketkonzepte** in das Gesamtmodell, für die spezifische Anpassungen in Physik und Technik vorgenommen wurden, z.B. für Reverse Field Pinch (RFP) Varianten, fortgeschrittene Umwandlung (V-MHD/TOK) und fortgeschrittenen Brennstoff (V-DHe3/TOK).
    *   Die Material-Einheitskosten wurden durch Aktualisierung alter Kostenschätzungen und Diskussionen innerhalb der ESECOM-Arbeit ermittelt.
    *   Annahmen für Zwischenwärmetauscher bei flüssigmetallgekühlten Systemen oder zusätzliche Gasspeicher bei heliumgekühlten Systemen wurden in die Kostenmodelle integriert.
### 3. Falls externe Quellen verwendet wurden – wurden diese modifiziert?
**Ja, die verwendeten externen Quellen und Modelle wurden im Zuge der ESECOM-Analysen modifiziert und verfeinert**.
*   **Generomak-Modell:** Das ursprüngliche Generomak-Modell von Sheffield und Dory wurde von der ESECOM als Ausgangspunkt verwendet, aber im Laufe der Analysen wurden **Verfeinerungen, hauptsächlich in den Bereichen Kosten- und Wirtschaftsmethodik**, vorgenommen. Der Generomak-Code wurde von J. G. Delene modifiziert und erweitert.
*   **Kostenbasis:** Die Kosten des STARFIRE-Studie wurden von Januar 1983 auf **Januar 1986** aktualisiert.
*   **Feste Kostenrate (FCR):** Die FCR, die zur Berechnung der nivellierten Stromkosten verwendet wird, unterscheidet sich in zwei Punkten vom ursprünglichen Generomak-Modell: Eine **Bauzeit von 6 Jahren** wird anstelle der ursprünglichen 8 Jahre angenommen, und die Anlage wird über die **gesamte Lebensdauer von 30 Jahren** amortisiert, anstatt über die ersten 20 Betriebsjahre.
*   **Indirekte Kosten:** Die Beziehung zur Berechnung des indirekten Kostenfaktors für alternative Vorlaufzeiten wurde **angepasst** und ist jetzt eine Funktion der Blei-Zeit (Y).
*   **Sicherheitsgewährleistungs-Gutschriftfaktoren:** Zwei Sätze von Faktoren aus externen Studien wurden berücksichtigt und auf die Kostenkonten angewendet, um mögliche Kostenreduktionen durch geringere "nuclear grade construction"-Anforderungen zu modellieren.
*   **Spezifische Anpassungen für Reaktorkonzepte:** Für D-He3-Anlagen wurde eine Ausnahme bei den Blanket-Kosten gemacht, da sie aufgrund der geringen Neutronenexposition nicht ausgetauscht werden müssen und daher in die anfänglichen Kapitalkosten einbezogen wurden. Auch wurden die O&amp;M-Kosten für heliumgekühlte Konzepte und D-He3-Anlagen reduziert. Kosten für Brennstoff-Wiederaufbereitungsanlagen wurden für Hybridkonzepte hinzugefügt.
### 4. Werden Unsicherheiten oder Sensitivitäten thematisiert?
**Ja, Unsicherheiten und Sensitivitäten werden thematisiert**.
*   **Modellgenauigkeit:** Es wird explizit erwähnt, dass das Modell **"ungefähr ist und nicht für detaillierte Fusionsreaktor-Designberechnungen verwendet werden sollte"**. Es liefert jedoch einen "selbstkonsistenten, quantitativen Vergleich zwischen Alternativen und kann einen Sinn für die Richtung der Kostenauswirkungen alternativer Maßnahmen vermitteln".
*   **Optimistische Annahmen:** Es wird angemerkt, dass das Basisfall-Generomak-Reaktormodell eine **"Extrapolation der gegenwärtigen Physik und Technologie" darstellt, "insofern als hohe Beta-Werte (10%) und verbesserte Spulentechnologie angenommen werden"**. Der Troyon-Koeffizient (0,04) wird als **"optimistisch"** bezeichnet, da der störungsfreie Betrieb heutiger Tokamak-Designs einen Koeffizienten von 0,035 oder weniger erfordert. Auch die Stromtriebseffizienz von 0,2 A/W wird als **"signifikanter Fortschritt im Vergleich zu den derzeit erreichten Werten"** angesehen.
*   **Kostenmethodik:** Die Kostenmethodik und die Stückkosten im Generomak-Modell werden als **"im Allgemeinen strenger" (generally more severe)** als in früheren Fusionsreaktorstudien beschrieben, was auf eine realistischere, aber auch höhere Kosteneinschätzung hindeutet.
*   **Anwendbarkeit der Reduktionsfaktoren:** Die **Sicherheitsgewährleistungs-Gutschriftfaktoren** (die zu etwa 25% Kostenreduktion führen können) werden als **"designabhängig"** und möglicherweise **"nicht in allen Fällen vollständig anwendbar"** beschrieben und sollten **"mit Vorsicht verwendet werden"**.
*   **Zins- und Bauzeitkalkulationen:** Die Formel für indirekte Kosten in Abhängigkeit von der Bauzeit wird als **"ungefähr"** bezeichnet, und es wird darauf hingewiesen, dass eine detaillierte Ingenieur-/Bauanalyse zur Verfeinerung der Ergebnisse erforderlich ist. Auch andere Bau-Cashflow-Profile können zu **"etwas anderen Kostenkapitalisierungsfaktoren"** führen.
*   **Abfallentsorgungskosten:** Die Annahme von 1 mills/kWh(e) für die Abfallentsorgung wird als **"konservativ"** bezeichnet, und es wird erwartet, dass die tatsächlichen Entsorgungskosten für Fusionsabfälle aufgrund ihrer unterschiedlichen Eigenschaften **geringer sein werden**.
*   **Sensitivitätsberechnungen:** Es wird erwähnt, dass **Sensitivitätsberechnungen** der Generomak-Verfahren und Ergebnisse in den Referenzen 3 und 4 zu finden sind. Das Programm selbst ermöglicht es, die Kosten von Parametern zu schätzen, die nicht von ESECOM berücksichtigt wurden.
### 5. Wird offengelegt, ob die Kostenabschätzung auf einem Bottom-up-, Top-down- oder hybriden Ansatz basiert?
Die Studie verwendet einen **hybriden Ansatz**, der Elemente von Bottom-up-Detaillierung und Top-down-Skalierung kombiniert.
*   **Bottom-up-Elemente (Detaillierte direkte Kosten):** Die anfänglichen Kapitalkosten basieren auf einem **detaillierten Kapitalkostenmodell** (Tabelle 3.2), das 26 Hauptkonten und zahlreiche Unterkonten auflistet, wie z.B. Land, Gebäude, Reaktoranlagenausrüstung, Turbinenanlagenausrüstung usw.. Dies deutet auf eine detaillierte Aufschlüsselung der Komponenten hin.
    *   Kosten für Blanket, Spulen, Struktur und Abschirmung werden aus den jeweiligen Volumina zusammen mit den durchschnittlichen Dichten und Stückkosten für die Regionen berechnet. Einheitliche Materialkosten sind in Tabelle 3.5 angegeben.
*   **Top-down-Elemente (Skalierungsfaktoren):** Obwohl die direkten Kapitalkosten detailliert sind, werden sie für die Berechnung in Generomak auf eine **überschaubarere Größe** komprimiert (Tabelle 3.3) und dann basierend auf dem **FPC-Volumen, der thermischen Leistung, der elektrischen Leistung oder der abgeführten Wärmemenge skaliert**. Die Skalierungsfaktoren sind in Tabelle 3.3 aufgeführt.
    *   Die Skalierungsfaktoren für thermische und elektrische Leistung stammen aus der NECDB, die für die Skalierung von Spaltungsreaktoren empfohlen wurde.
*   **Zusammenfassend:** Das Modell beginnt mit detaillierten Basiskosten, die dann durch physikalische und technische Modellierungen angepasst und über Skalierungsfaktoren an die spezifischen Reaktorparameter angepasst werden, was es zu einem **hybriden Ansatz** macht.
### 6. Beruht die Kostenherleitung auf physikalischen und technologischen Werten?
**Ja, die Kostenherleitung beruht stark auf physikalischen und technologischen Werten**. Der Generomak-Code verbindet Fusionphysik, Ingenieurwesen und Ökonomie miteinander.
*   **Fusionsleistung und Reaktorkonfiguration:** Der Code berechnet FPC-Volumina und thermische Reaktorleistung basierend auf **grundlegenden Plasmaparametern, elektrischer Leistung und anderen technischen Parametern**.
*   **Neutronenwandbelastung (Iw) und Materiallebensdauer (IwT):** Diese physikalischen Parameter bestimmen direkt die Häufigkeit des Austauschs von Blankets und Limitern. Ein höherer Austauschbedarf führt zu höheren Ersatzkosten, die ähnlich wie Brennstoffkosten behandelt werden.
*   **Materialauswahl und Dichte:** Die Kosten für Blanket, Spulen, Struktur und Abschirmung werden unter Verwendung von **Dichten und Stückkosten für die spezifischen Materialien** in diesen Regionen berechnet. Die Materialkosten sind in Tabelle 3.5 aufgeführt (z.B. Vanadium, RAF-Stahl, Lithium, Beryllium, supraleitende Spulen, Siliziumkarbid).
*   **Spulentechnologie und Stromdichte:** Die Kosten und Massen der Spulen hängen von der angenommenen Spulentechnologie und der erreichbaren Stromdichte ab. Für fortgeschrittene Konzepte (V-MHD/TOK, V-DHe3/TOK) wurde beispielsweise Option Nr. 3 der Stromdichtekurve verwendet, die höhere Kosten für fortschrittliche supraleitende Materialien und Stahl beinhaltet.
*   **Current Drive Effizienz:** Die Effizienz des Stromtriebs (Iφ/PCD) beeinflusst die benötigte Leistung und damit die wiederkehrenden Kosten für das Stromtriebsystem.
*   **Brennstoffzyklus:** Die Wahl des Brennstoffs (D-T vs. D-He3) hat direkte Auswirkungen auf die Brennstoffkosten, da Tritium im Blanket gebrütet wird, während He3 extern bezogen werden muss.
### 7. Welche technischen und wirtschaftlichen Annahmen wurden getroffen?
**Technische Annahmen:**
*   **Betriebsmodus:** Steady-State-Reaktorbetrieb.
*   **Brennstoff:** Deuterium-Tritium (D-T) als Basisfall, aber auch D-He3-Brennstoffzyklus für fortgeschrittene Varianten.
*   **Plasma-Parameter (Basisfall V-Li/TOK):**
    *   Hohes Beta (Gesamtplasma-Beta von 10%).
    *   Aspektverhältnis A=4.0, Elongation κ=2.5.
    *   Sicherheitsfaktor qψ = 2.3.
    *   Plasmatemperatur T_i von 10 keV (Basisfall) bis 75 keV (D-He3).
    *   Troyon-Koeffizient von 0.04 (optimistisch).
    *   Current-Drive-Effizienz Iφ/PCD von 0.2 A/W (aggressives Ziel).
    *   Pumped-Limiter-Störstoffkontrolle.
*   **Magnet-Technologie:** Verbesserte Spulentechnologie wird angenommen. Drei Stromdichte-Optionen, Option Nr. 1 als Standard, Option Nr. 3 für fortgeschrittene Konzepte mit neuesten Magnettechnologie-Fortschritten (höhere Materialkosten von 130 $/kg für Spulen und 60 $/kg für Strukturstahl).
*   **Fusionsleistungs-Kern (FPC) Dimensionen (Basisfall):** Blanketdicke 0.71 m, Blanket/Shield-Spalt 0.10 m, Shielddicke 0.83 m.
*   **Materialien:** Vanadium (V15Cr5Ti) als Referenzstrukturmaterial (400 $/kg), mit Optionen für RAF-Stahl (50 $/kg), Siliziumkarbid (100 $/kg). Lithium als Kühlmittel/Brüter (45 $/kg), Li2O, FLiBe, PbLi, Beryllium.
*   **Energieumwandlung:** Thermische Umwandlungseffizienz von 40.4% für Basisfall, bis zu 76.8% für D-He3-Anlagen mit direkter Energieumwandlung.
*   **Neutronen-Wandbelastung (Iw):** Wird berechnet und beeinflusst die Lebensdauer von Komponenten.
*   **Verfügbarkeit/Kapazitätsfaktor:** 65% für Basisfall, 75% für fortgeschrittene Konzepte (ohne Turbinen). Anpassung bei häufigem Blanket-Austausch.
**Wirtschaftliche Annahmen:**
*   **Kostenbasis:** Alle Kosten sind in **konstanten US-Dollar von 1986** ausgedrückt.
*   **Anlagenlebensdauer:** 30 Jahre.
*   **Anlagenvorlaufzeit (Bauzeit):** 6 Jahre.
*   **Indirekte Kostenfaktor:** 0.375 für 6 Jahre Vorlaufzeit.
*   **Risikozuschlag (Contingency Factor):** 15% auf die gesamten direkten und indirekten Kosten.
*   **Zinsen während der Bauphase (AFUDC):** Faktor 1.0856 für 6 Jahre Vorlaufzeit.
*   **Effektive Geldkosten (Constant Dollars):** 2.83%.
*   **Inflationsrate:** 6%.
*   **Effektiver Steuersatz:** 0.4816.
*   **Steuerliche Abschreibungsdauer:** 10 Jahre für die Gesamtanlage, 5 Jahre für austauschbare Blankets.
*   **O&amp;M-Kosten:** 8.9 mills/kWh für Basisfall (V-Li/TOK), mit Reduktionen für heliumgekühlte Konzepte und D-He3-Anlagen.
*   **Ersatzkosten:** Komponenten wie Blankets, Limiter und Teile des Stromtriebsystems werden über ihre individuelle Nutzungsdauer kapitalisiert und amortisiert, ähnlich wie Brennstoffkosten bei Spaltungsreaktoren.
*   **Abfallentsorgung:** Konservativ angenommen 1 mills/kWh(e), wie bei Spaltreaktoren.
*   **Brennstoffkosten:** D-T-Brennstoff ist kostengünstig, da Tritium im Blanket gebrütet wird. D-He3-Brennstoff wird vom Mond zu 100 $/Gramm bezogen.
### 8. Welche physikalischen und technischen Parameter beeinflussen die Kosten?
Die Kosten werden maßgeblich von folgenden physikalischen und technischen Parametern beeinflusst:
*   **Fusionsleistungs-Kern (FPC) Volumen:** Die direkten Kapitalkosten werden basierend auf dem FPC-Volumen skaliert. Das Volumen wiederum hängt von Plasmaradius, Aspektverhältnis, Elongation, Blanket-, Spalt- und Abschirmdicken ab.
*   **Neutronen-Wandbelastung (Iw) und Strahlungslebensdauer (IwT):** Diese bestimmen die Häufigkeit des Austauschs von Blankets und Limitern. Eine höhere Belastung oder kürzere Lebensdauer führt zu häufigerem und somit kostspieligerem Austausch, der als "Brennstoffkosten" behandelt wird. Dies wirkt sich auch auf den Kapazitätsfaktor aus.
*   **Art des Brennstoffs (D-T vs. D-He3):** Der D-He3-Brennstoffzyklus hat aufgrund des externen He3-Bezugs (100 $/Gramm) signifikant höhere Brennstoffkosten als D-T, wo Tritium im Reaktor gebrütet wird.
*   **Materialien für Blanket, Shield, Spulen und Struktur:** Die Kosten dieser Hauptkomponenten werden aus den Materialdichten und den **Einheitsmaterialkosten** (z.B. Vanadium, RAF-Stahl, Siliziumkarbid, supraleitende Materialien) berechnet. Die Wahl von niedrig-aktivierenden Materialien wie SiC oder RAF-Stahl kann die Sicherheitsanforderungen und damit die Baukosten (durch Safety Assurance Credit Factors) senken.
*   **Spulen-Design und Stromdichte (jm):** Die Spulenkosten hängen von der angenommenen Stromdichte und der damit verbundenen Magnettechnologie ab (z.B. Option Nr. 3 mit 130 $/kg für Spulen und 60 $/kg für Strukturstahl). Die Masse der Spulen ist ein direkter Kostenfaktor.
*   **Stromtrieb-Effizienz (Iφ/PCD):** Eine höhere Effizienz reduziert die benötigte Stromtriebsleistung und damit die Kosten für das Stromtriebsystem und den wiederkehrenden Austausch seiner Komponenten.
*   **Wärmeumwandlungseffizienz (ηth):** Eine höhere Effizienz führt zu einer höheren Netto-Leistung bei gleicher thermischer Leistung und beeinflusst somit direkt die LCOE.
*   **Anlagenkomplexität und Wartungsfreundlichkeit:** Dies wirkt sich auf die O&amp;M-Kosten aus. Zum Beispiel wird für heliumgekühlte Konzepte eine einfachere Wartung und damit geringere O&amp;M-Kosten angenommen.
*   **Neutronenaktivierungsraten:** Geringere Aktivierungsraten (z.B. bei D-He3-Fusionsreaktoren) können zu geringeren O&amp;M-Kosten und potenziell zu weniger strengen Baukriterien führen.
### 9. Ist das technische Reaktorkonzept konsistent mit dem Stand der Technik (state of the art)?
Das Generomak-Modell, insbesondere der Basisfall (V-Li/TOK), stellt eine **Extrapolation des damaligen (1986) Stands der Physik und Technologie dar**, und nicht eine Beschreibung des *damaligen* "State of the Art".
*   Es werden **optimistische Annahmen** getroffen, die über die damals erreichten Werte hinausgingen, um zukünftige Möglichkeiten zu untersuchen:
    *   **Hohes Beta (10%):** Eine "Extrapolation der gegenwärtigen Physik und Technologie" ist erforderlich, um dies zu erreichen.
    *   **Verbesserte Spulentechnologie:** Wird angenommen.
    *   **Troyon-Koeffizient von 0.04:** Wird als "optimistisch" bezeichnet, da der damalige störungsfreie Betrieb von Tokamak-Designs einen Koeffizienten von 0.035 oder weniger erforderte.
    *   **Stromtrieb-Effizienz von 0.2 A/W:** Wird als "signifikanter Fortschritt" im Vergleich zu den damals "derzeit erreichten Werten" für typische Reaktorparameter angesehen.
*   Die Studie dient dazu, **alternative, näher an der Realität liegende Annahmen zu untersuchen**, ist aber selbst keine detaillierte Designberechnung.
Es handelt sich also um ein **vorausschauendes, extrapoliertes Konzept**, das auf dem Verständnis des Standes der Technik von 1986 aufbaut und zukünftige technologische Fortschritte annimmt, um die Machbarkeit von Fusionskraftwerken zu bewerten.
### 10. Handelt es sich um ein geplantes Konzept oder um ein hypothetisches Design?
Die Studie befasst sich mit **hypothetischen bzw. generischen Designs und Modellvarianten**, die als "Extrapolationen" zukünftiger Fusionskraftwerke dienen. Es handelt sich **nicht um ein konkret geplantes Konzept** für den Bau.
*   Der Titel des Berichts selbst verweist auf ein "GENerisches Fusionsphysik-, Ingenieurwesen- und Kostenmodell" (GENEROMAK).
*   Das Modell wurde entwickelt, um eine **"konsistente Analyse der wirtschaftlichen Machbarkeit alternativer magnetischer Fusionsreaktoren"** zu ermöglichen und einen "selbstkonsistenten, quantitativen Vergleich zwischen Alternativen" zu bieten.
*   Es wird explizit darauf hingewiesen, dass das Modell "annähernd ist und nicht für detaillierte Fusionsreaktor-Designberechnungen verwendet werden sollte". Stattdessen dient es dazu, "Informationen über die Richtung und die ungefähren Größenordnungen der Auswirkungen alternativer Designentscheidungen" zu vermitteln.
*   Die Studie untersucht **zehn verschiedene Fusionsanlagenmodelle** (Tabelle 1.1), die verschiedene Kombinationen von Reaktortypen, Blanket-Konzepten, Materialien und Energieumwandlungsmethoden repräsentieren, anstatt sich auf ein einzelnes spezifisches Bauprojekt zu konzentrieren.
### 11. Wie aktuell sind die technischen und wirtschaftlichen Annahmen?
**Die technischen und wirtschaftlichen Annahmen der Studie sind aus dem Jahr 1986.**
*   Der Bericht wurde im **Juni 1988** veröffentlicht und basiert auf Daten und Annahmen, die für die Analysen des "Senior Committee on Environmental Safety and Economics of Magnetic Fusion Energy (ESECOM)" verwendet wurden.
*   Alle Kosten werden in **konstanten US-Dollar von 1986** ausgedrückt.
*   Die ökonomische Methodik und die finanziellen Parameter basieren auf der **NECDB-3 (1984) Version**, die zum Zeitpunkt des Beginns der ESECOM-Analysen die aktuellste veröffentlichte Ausgabe war.
*   Das Kapitalkostenmodell wurde von Januar 1983 auf die **Kostenbasis vom Januar 1986** aktualisiert.
Daher sind die in der Studie getroffenen Annahmen und die abgeleiteten Kostenwerte über 35 Jahre alt und spiegeln nicht den aktuellen Stand der Technik oder die aktuellen wirtschaftlichen Bedingungen wider.
### 12. Wie belastbar oder spekulativ sind die getroffenen Annahmen?
Die Annahmen in der Studie sind eine **Mischung aus konservativen, optimistischen und spekulativen Elementen**, wobei die Studie selbst auf die Grenzen und die spekulative Natur bestimmter Annahmen hinweist.
*   **Konservativ/Strenger:**
    *   Die **Kostenmethodik und die Stückkosten** in Generomak werden als **"im Allgemeinen strenger" (generally more severe)** als in früheren Fusionsreaktorstudien beschrieben.
    *   Die **Entsorgungskosten** für radioaktive Abfälle werden **konservativ** mit 1 mills/kWh(e) angesetzt, was der Gebühr für Kernspaltungsreaktoren entspricht, obwohl erwartet wird, dass sie für Fusion niedriger sein werden.
    *   Die **Verfügbarkeit von 65%** für die meisten D-T-Anlagen ist ein Referenzwert.
*   **Optimistisch/Fortschrittlich/Spekulativ:**
    *   Die Annahmen für **hohes Beta (10%) und verbesserte Spulentechnologie** werden als "Extrapolation der gegenwärtigen Physik und Technologie" bezeichnet.
    *   Der **Troyon-Koeffizient von 0.04** wird als **"optimistisch"** eingestuft, da er über den damaligen Werten für störungsfreien Betrieb lag.
    *   Die angenommene **Stromtrieb-Effizienz von 0.2 A/W** wird als **"signifikanter Fortschritt"** im Vergleich zu den damals erreichten Werten beschrieben.
    *   Die **D-He3-Brennstoffkosten von 100 $/Gramm** basieren auf der Annahme, dass He3 vom Mond bezogen wird. Dies ist eine hochspekulative Annahme.
    *   Die **Sicherheitsgewährleistungs-Gutschriftfaktoren** können die Kosten erheblich senken (um ca. 25%), aber ihre **Anwendbarkeit wird als designabhängig und potenziell nicht in allen Fällen vollständig anwendbar** beschrieben, weshalb sie **"mit Vorsicht verwendet werden sollten"**. Dies zeigt eine Anerkennung der Unsicherheit bei diesen potenziellen Kostensenkungen.
    *   Die Annahmen für die **Verkürzung der Bauzeit und die Auswirkungen auf die indirekten Kosten** werden als "ungefähr" bezeichnet und erfordern detailliertere Analysen.
*   **Belastbarkeit:** Die Studie betont, dass das Modell einen **"selbstkonsistenten, quantitativen Vergleich zwischen Alternativen"** bietet und einen **"Sinn für die Richtung der Kostenauswirkungen alternativer Maßnahmen"** vermitteln kann, obwohl es nicht für detaillierte Designberechnungen gedacht ist. Die Belastbarkeit liegt also eher im **relativen Vergleich zwischen den untersuchten Konzepten** unter den gleichen methodischen und annahmenbasierten Rahmenbedingungen als in absoluten Kostenvorhersagen.
### 13. Werden die einzelnen Kostenkomponenten, wie z.B. O&amp;M etc. separat ausgewiesen?
**Ja, die einzelnen Kostenkomponenten werden separat ausgewiesen**.
Die **Stromgestehungskosten (COE)** werden nach der Formel **COE = (I x FCR + Cf + COM) / (Pe x 8760 x CF)** berechnet, wobei jeder Term eine separate Kostenkomponente darstellt:
*   **I x FCR:** Anteil der **anfänglichen Kapitalkosten** (Initial Capitalized Investment, I) multipliziert mit der Festkostenrate (Fixed Charge Rate, FCR). Diese Komponente ist weiter aufgeschlüsselt in detaillierten Kapitalkostenmodellen (Tabelle 3.2, 3.3).
*   **Cf:** **Jährliche Brennstoffkosten** (annual fuel cost) und **geplante Ersatzkosten** (scheduled replacement). Diese umfassen:
    *   Blankets.
    *   Limiter.
    *   Teil des Stromtriebsystems (auxiliary heat / current drive).
    *   Andere Brennstoffkosten (other fuel).
    *   Abfallentsorgung (waste disposal).
*   **COM:** **Jährliche Betriebs- und Wartungskosten** (annual O&amp;M cost). Eine detaillierte Aufschlüsselung der Nicht-Brennstoff-O&amp;M-Kosten ist in Tabelle 3.6 und der Personalbedarf in Tabelle 3.7 aufgeführt.
Die Ausgabe für jeden Fall (z.B. V-Li/TOK Basisfall in Fig. 5.1 oder Appendix B) zeigt eine klare Aufschlüsselung der jährlichen Kosten für Kapitalkosten, O&amp;M und Brennstoffkosten (inkl. detaillierter Unterpunkte für Blankets, Limiter, Auxiliary Heat, Other Fuel, Waste Disposal) sowie die entsprechenden nivellierten Stückkosten in mills/kWh.
### 14. Werden Materialkosten und Komponentenkosten separat ausgewiesen?
**Ja, Materialkosten und Komponentenkosten werden separat ausgewiesen und zueinander in Beziehung gesetzt.**
*   **Materialkosten:** Die Studie listet **Einheitsmaterialkosten** in Tabelle 3.5 in $/kg auf. Beispiele sind:
    *   V15Cr5Ti: 400 $/kg.
    *   RAF (ferritischer Stahl): 50 $/kg.
    *   Lithium: 45 $/kg.
    *   Supraleitende Spulen: 90 $/kg (Standard), 130 $/kg (fortschrittliche).
    *   Beryllium: 500 $/kg.
    *   Siliziumkarbid (SiC) Blanket: 100 $/kg.
*   **Komponentenkosten:** Die **direkten Kapitalkosten** sind in Tabelle 3.2 (detailliert) und Tabelle 3.3 (komprimiert für Generomak) nach Komponenten aufgeschlüsselt. Beispiele für Komponenten sind:
    *   Reactor Plant Equipment (umfasst Blanket, First Wall, Shield, Magnets, Current Drive).
    *   Heat Transfer and Transport System.
    *   Turbine Plant Equipment.
    *   Electric Plant Equipment.
Die Verbindung wird hergestellt, indem die **Kosten für Blanket, Spulen, Struktur und Shield aus den jeweiligen Volumina zusammen mit den durchschnittlichen Dichten und den in Tabelle 3.5 aufgeführten Material-Einheitskosten berechnet werden**. Das bedeutet, dass die Materialkosten die Grundlage für die Berechnung der Komponentenkosten bilden, die wiederum Teil der gesamten anfänglichen Kapitalkosten sind. Die Ausgabedaten (z.B. Fig. 5.1, Appendix B) zeigen auch die Kosten für die einzelnen FPC-Komponenten (Blanket, Shield, P. Coil, S. Coil, Structure) separat an.
### 15. Liegt der Fokus der Studie auf technischen, ökonomischen oder strategischen Fragestellungen?
Der **Fokus der Studie liegt primär auf ökonomischen Fragestellungen**, die jedoch **tiefgreifend in technische und physikalische Aspekte eingebettet sind**. Strategische Fragestellungen im Sinne von Implementierungsplänen oder Roadmap-Entwicklungen sind weniger prominent.
*   **Ökonomischer Fokus:**
    *   Der Abstract und die Einleitung betonen die "wirtschaftliche Machbarkeit" (economic viability) von Fusionsreaktoren als entscheidenden Faktor für deren zukünftige Lebensfähigkeit.
    *   Das Hauptziel des Generomak-Modells ist es, eine "konsistente Analyse der wirtschaftlichen Machbarkeit alternativer magnetischer Fusionsreaktoren" durchzuführen.
    *   Die "Kostenbewertung eines generischen magnetischen Fusionsreaktors" ist die Grundlage.
    *   Die Studie stellt detaillierte "wirtschaftliche Methoden und Verfahren" sowie "Kostenmodelle und Kostenannahmen" vor.
    *   Das Endziel ist die Berechnung der Stromgestehungskosten (LCOE) und deren Sensitivität gegenüber verschiedenen Parametern.
*   **Technische Einbettung:**
    *   Das "Generomak"-Modell ist ein "Fusion Physics, Engineering and Costing Model", was die Integration technischer und physikalischer Parameter in die Kostenanalyse verdeutlicht.
    *   Die Studie beschreibt detailliert die "Fusion Power Plant Model" mit seinen physikalischen und ingenieurtechnischen Parametern (z.B. Beta, Neutronenwandbelastung, Spulentechnologie, Energieumwandlung).
    *   Die Kostenherleitung basiert direkt auf diesen technischen und physikalischen Werten, wie z.B. Materialauswahl, Dimensionen und Leistungsdichten.
*   **Strategischer Kontext:**
    *   Die Studie soll einen "selbstkonsistenten, quantitativen Vergleich zwischen Alternativen" bieten und "einen Sinn für die Richtung der Kostenauswirkungen alternativer Maßnahmen vermitteln". Dies unterstützt indirekt strategische Entscheidungen über Forschungs- und Entwicklungsprioritäten, indem es die wirtschaftlichen Auswirkungen verschiedener Designentscheidungen aufzeigt.
    *   Das Modell wurde für die Analysen des ESECOM-Komitees entwickelt, das sich mit Umwelt-, Sicherheits- und Wirtschaftsfragen der magnetischen Fusionsenergie befasst. Dies deutet auf einen Beitrag zu einer breiteren strategischen Bewertung der Fusion hin, aber der Bericht selbst konzentriert sich auf die Modellierung und Kostenanalyse.
### 16. Bezieht sich die Studie auf ein Energiesystem (z.B. Integration, Vergleich mit anderen Technologien) oder ist sie rein reaktorbezogen?
Die Studie ist **primär reaktorbezogen**, wurde aber mit dem Ziel konzipiert, **Vergleiche mit anderen Energietechnologien zu ermöglichen und in einen breiteren Energiesystemkontext integrierbar zu sein.**
*   **Reaktorbezogen:** Der Kern der Studie ist die detaillierte Modellierung und Kostenanalyse von **"alternativen magnetischen Fusionsreaktoren"**. Es werden zehn spezifische Fusionsanlagenmodelle untersucht, die verschiedene Konfigurationen und Technologien repräsentieren (z.B. Tokamak, RFP, verschiedene Blanket-Materialien und Kühlmittel, Hybridanlagen). Die Analyse konzentriert sich auf die Kosten des Fusionskraftwerks selbst, einschließlich seines Fusionskerns, der Bilanz der Anlage (BOP) und der damit verbundenen Betriebs- und Brennstoffkosten.
*   **Systemvergleich/Integration:** Obwohl sie reaktorzentriert ist, wurde die Studie explizit darauf ausgelegt, Vergleiche zu ermöglichen:
    *   Es wird betont, dass die Bewertungsmethoden **"konsistent sein sollten, um die Ergebnisse nicht zu verfälschen"**, insbesondere im Hinblick auf den "Vergleich mit anderen Fusionsenergiesystemen und allen verfügbaren Optionen zur Stromerzeugung im Allgemeinen".
    *   Die verwendete ökonomische Methodik und die finanziellen Parameter wurden aus der **Nuclear Energy Cost Data Base (NECDB)** abgeleitet, die eigens für "vergleichende Kostenanalysen der Stromerzeugung zwischen Kernspaltungs- und Kohlekraftwerken sowie alternativen Energiequellen" entwickelt wurde. Dies stellt sicher, dass die Fusionskosten in einem Format präsentiert werden, das direkte Vergleiche mit etablierten Technologien ermöglicht.
    *   Die Annahme von Entsorgungskosten, die denen von Kernspaltungsreaktoren entsprechen, ist ein weiteres Beispiel für den Bezug zu bestehenden Energiesystemen.
    *   Die Reduzierung der O&amp;M-Kosten für bestimmte Konzepte basiert teilweise auf der Annahme einer einfacheren Wartung im Vergleich zu anderen Kraftwerkstypen.
    *   Die hybriden Fusions-Spaltungs-Konzepte (RAF-Li/HYB, SS-He/HYB) stellen eine direkte Verbindung zu Spaltungstechnologien dar und werden in der Studie berücksichtigt.
Somit liefert die Studie die notwendigen reaktorbezogenen Daten, um eine breitere Systemanalyse und einen Vergleich mit anderen Energiequellen zu unterstützen.</t>
  </si>
  <si>
    <t>Point of departure tokamak with vanadium structure and liquid lithium as coolant/breeder; No owner's costs given</t>
  </si>
  <si>
    <t>Mentioned as "other fuel"; contains charge for fuel
and miscellaneous scheduled replacements</t>
  </si>
  <si>
    <t>Fuel costs unsure if it can be used since not just fuel included</t>
  </si>
  <si>
    <t>For a power plant onsidered below the total necessary initial amount of tritium is 4 kg. If all the modules will be started at the same time the cost f this tritium _x0002_140 M$. (&lt;4% of the direct capital cost of a power lant considered below). This cost must be added to the capital cost f the plant.</t>
  </si>
  <si>
    <t>O&amp;M splitted in variable and fixed</t>
  </si>
  <si>
    <t>Chuyanov</t>
  </si>
  <si>
    <t>At initial plant startup, •&gt;» 10 kg of tritium will be supplied from off-
site. This tritium will later be recovered from the breeder blanket</t>
  </si>
  <si>
    <t>Generomak - ESECOM - RAF-He/TOK</t>
  </si>
  <si>
    <t>starfire</t>
  </si>
  <si>
    <t xml:space="preserve">Estimates of tritium inventories in the fusion cases were based on the BCSS (Ref. 13) and on subsequent design studies, and included tritium in structure, coolant, breeder, and neutron-multiplier materials. In addition, kilogram quantities of tritium (at 10 MCI/kg) ordinarily would be kept In vault storage as an operational reserve or for subsequent transfer to start up new reactors. </t>
  </si>
  <si>
    <t>holdren</t>
  </si>
  <si>
    <t>Helium-cooled variant with reduced activation ferritic-steel (RAF) structure and H2O solid breeder; Lifetime: 30 years; Construction time: 6 years</t>
  </si>
  <si>
    <t>Generomak - ESECOM - RAF-LiPb/RFP</t>
  </si>
  <si>
    <t>High-power-density, reverse-field pinch (RFP) with RAF structure, self-cooled lithium-lead breeder, and water-cooled first wall and limiter; Construction time: 6 years; Lifetime: 30 years</t>
  </si>
  <si>
    <t>Generomak - ESECOM - V-Li/RFP</t>
  </si>
  <si>
    <t>High-power-density RFP with a V/Ll/Li blanket minimally modified from that of the point of departure tokamak; Construction time: 6 years; Lifetime: 30 years</t>
  </si>
  <si>
    <t>Generomak - ESECOM - SiC-He/TOK</t>
  </si>
  <si>
    <t>Low-activation tokamak with silicon carbide (SiC) structure, helium coolant, and Li20 breeder; Construction time: 6 years; Lifetime: 30 years</t>
  </si>
  <si>
    <t>Generomak - ESECOM - V-FLiBe/TOK</t>
  </si>
  <si>
    <t>"pool" type tokamak with vanadium structure and molten-salt (FLlBe) coolant/breeder; Construction time: 6 years; Lifetime: 30 years</t>
  </si>
  <si>
    <t xml:space="preserve"> Generomak - ESECOM - V-MHD/TOK</t>
  </si>
  <si>
    <t>No turbines, therefore higher CF; Advanced-conversion variant of the point-of-depar-ture tokamak with synchrotron-radiation enhanced mag-netohydrodynamic (MHD) conversion; Construction time: 6 years; Lifetime: 30 years</t>
  </si>
  <si>
    <t>Generomak - ESECOM -  V-DHe3/TOK</t>
  </si>
  <si>
    <t>Fuel: D-He3; no turbines, therefore higher CF; Advanced-fuel fusion reactor based on the D-He3 fuel cycle with direct conversion of microwave synchrotron radiation; Construction time: 6 years; Lifetime: 30 years</t>
  </si>
  <si>
    <t>Generomak - ESECOM - V-MHD/TOK</t>
  </si>
  <si>
    <t>Generomak - ESECOM - V-DHe3/TOK</t>
  </si>
  <si>
    <t>Inkl. Auxiliary Heat added</t>
  </si>
  <si>
    <t>Fuel: D-He3; Mentioned as "other fuel"; contains charge for fuel
and miscellaneous scheduled replacements</t>
  </si>
  <si>
    <t>Construction time: 6 years; Lifetime: 30 years; FCR: 0.0844</t>
  </si>
  <si>
    <t>Generomak - ESECOM - V-Li/TOK</t>
  </si>
  <si>
    <t>ARIES-ST</t>
  </si>
  <si>
    <t>USD/kW</t>
  </si>
  <si>
    <t>Total O&amp;M = 9 mills/kWh</t>
  </si>
  <si>
    <t>Diese Veröffentlichung des Oak Ridge National Laboratory aus dem Jahr 2000 bewertet die potenziellen Kosten der Stromerzeugung aus verschiedenen Energiequellen in der Mitte des 21. Jahrhunderts, mit besonderem Fokus auf die Wirtschaftlichkeit der Kernfusion. Die Studie prognostiziert, dass die Stromgestehungskosten für alternative Technologien wie Kohle, Erdgas, Kernspaltung und erneuerbare Energien voraussichtlich zwischen 30 und 53 Mills/kWh (1999er Dollar) liegen werden, wobei die Kosten bei der Notwendigkeit der Kohlenstoffabscheidung auf bis zu 83 Mills/kWh steigen könnten. Im Vergleich dazu wurden die geschätzten Kosten für Fusionsenergie auf 65 bis 102 Mills/kWh beziffert, was die Notwendigkeit von Kostenreduzierungen und alternativen Konzepten für die Fusionsenergie hervorhebt, um in Zukunft wettbewerbsfähig zu sein. Der Bericht analysiert detailliert die Bestandteile der Stromgestehungskosten (Kapital, Betriebs- und Wartung, Brennstoff, Stilllegung und Emissionsminderung) für jede Technologie, um eine umfassende Vergleichsgrundlage zu schaffen.
Die Studie **"An Assessment of the Economics of Future Electric Power Generation Options and the Implications for Fusion—Revision 1"** (ORNL/TM-1999/243/R1) wurde unter der Projektleitung von **J. G. Delene** und den Mitautoren J. Sheffield, K. A. Williams, R. L. Reid und S. Hadley erstellt und im **Februar 2000** veröffentlicht. Es handelt sich um einen Bericht des Oak Ridge National Laboratory (ORNL), das von Lockheed Martin Energy Research Corp. für das U.S. Department of Energy (DOE) verwaltet wird.
### Worüber handelt die Studie?
Die Studie **untersucht die potenziellen Stromerzeugungskosten (Cost of Electricity – COE)** für zukünftige Hauptalternativen zur Fusionsstromerzeugung. Sie bietet eine Perspektive auf die Kostenniveaus, die die Fusion erreichen muss, um wettbewerbsfähig zu sein. Die betrachteten alternativen Technologien umfassen Kohleverbrennung, Kohlevergasung, Erdgas, Kernspaltung und erneuerbare Energien (repräsentiert durch Windkraft). Alle Kosten wurden auf das **konstante Preisniveau des Jahres 1999** angepasst, um einen konsistenten Vergleich zu ermöglichen. Die Berechnungen basieren auf einem nominalen Anlagenstartdatum im Jahr **2050**.
Die Studie verwendet die Methodik und Kostenfaktoren des Oak Ridge National Laboratory (ORNL), wie sie in der "Nuclear Energy Cost Data Base" (NECDB) und den "Cost Estimate Guidelines for Advanced Nuclear Power Technologies" (CEG) dargelegt sind, um eine konsistente Vergleichsbasis zu schaffen. Die Kostenmodelle umfassen Investitionskosten, Betriebs- und Wartungskosten (O&amp;M), Brennstoffkosten, CO2-Sequestrierung und Stilllegungskosten.
### Welche Kernaussagen werden in der Studie genannt?
Die wichtigsten Kernaussagen der Studie sind:
*   **Vergleich der COE verschiedener Technologien**:
    *   Die COE für die **Alternativen zur Fusion** sollten im Bereich von **30–53 Mills/kWh** (in 1999er-Dollar) liegen, wenn keine Kohlenstoffabscheidung erforderlich ist.
    *   Wenn **Kohlenstoffabscheidung (carbon sequestration)** erforderlich ist, erhöht sich dieser Bereich auf **30–61 Mills/kWh** bei Referenzparametern, oder sogar auf **bis zu 83 Mills/kWh** im Worst-Case-Szenario der Kostenunsicherheit.
    *   Der **Referenz-COE-Bereich für Fusionskraftwerke** wurde auf **65–102 Mills/kWh** für 1- bis 1,3-GW(e)-Kraftwerke geschätzt.
*   **Einfluss der Kohlenstoffabscheidung**:
    *   Die Notwendigkeit, CO2 aus Rauchgasen abzuscheiden und dauerhaft zu entsorgen, kann die COE für fossile Kraftwerke erheblich erhöhen. Die Referenz-COE steigen durch Kohlenstoffabscheidung um etwa **9–19 Mills/kWh**. Die Kosten sind für die Erdgasverbrennung geringer und für die Kohleverbrennung am größten.
    *   Es werden Energieverluste durch CO2-Abscheidung angenommen: 15% für Kohlekraftwerke (PC-FGD und PFBC) und 10% für GCC- und CCCT-Anlagen. Zusätzliche Kosten von 10 $/Tonne CO2 für Transport und Lagerung werden angenommen.
*   **Kostenstruktur**:
    *   Der **kapitalbezogene Anteil der COE ist die größte Komponente** für fast alle Technologien, **außer für erdgasbefeuerte CCCT-Anlagen**, wo die Brennstoffkosten dominieren.
    *   Die Kapitalkosten für Fusionsanlagen sind in **Tabelle 7** aufgeschlüsselt, mit **3120 $/kW(e)** für ARIES-RS und **3440 $/kW(e)** für ARIES-ST bei 1000-MW(e)-Anlagen in 1999er-Dollar.
    *   Die **Betriebs- und Wartungskosten (O&amp;M) für Fusionsanlagen werden als ähnlich denen von fortgeschrittenen Spaltungsanlagen angenommen**, angepasst an die Anlagengröße. In Tabelle 9 werden für Fusion 60,0 $/kW(e) pro Jahr (fix) und 0,4 Mills/kWh (variabel) angegeben.
*   **Einfluss der Anlagengröße und Kapazitätsfaktor**:
    *   Für Fusionsanlagen führt eine Erhöhung der Anlagengröße von 1000 MW(e) auf 1300 MW(e) zu einer **Reduzierung der COE um etwa 11 Mills/kWh**.
    *   Die Unsicherheitsspanne für Fusionsanlagen (65–102 Mills/kWh) umfasst einen Kapazitätsfaktorbereich von 70% (Hochpreis-Szenario) bis 90% (Niedrigpreis-Szenario) und eine Anlagengröße von 1000 MW(e) (Hochpreis) bis 1300 MW(e) (Niedrigpreis).
    *   Der **Kapitalaufwand ist der Hauptkostentreiber für die Fusion**, und die Fusionsinsel ist eine große Kostenkomponente, deren Kosten relativ unempfindlich gegenüber der Anlagengröße sind. Daher verbessern sich die Fusionsökonomie erheblich bei größeren Anlagen.
*   **Lernkurven und NOAK-Kosten**:
    *   Die Kostenschätzungen für Kernspaltungsanlagen (ALWR und ALMR) basieren auf **"Nth-of-a-kind" (NOAK)-Anlagen**. Eine NOAK-Anlage ist eine kommerzielle Anlage im Gleichgewichtszustand, die auf den Erfahrungen früherer Anlagen oder einer "Lernkurve" basiert, die zu dieser NOAK-Anlage führt.
    *   Obwohl die Studie keine spezifischen Lernfaktoren für die PPCS-Anlagen von Han und Ward (2009) angibt (die auf EFDA (2005) basieren), wird das Konzept der Kostenreduzierung durch Lerneffekte im Kontext der NOAK-Kosten für Kernspaltungsanlagen angewendet. In unserer Konversation wurde besprochen, dass für Fusionsanlagen ein Lernfaktor von 0,5 auf fusionsspezifische Kosten angewendet wird, was zu einer Gesamtkostenreduktion von 36% (oder Kosten von 64% im Vergleich zu einer "First of a kind"-Anlage) führt.
### Was ist das Ziel der Studie?
Das **primäre Ziel der Studie ist es, den potenziellen Bereich der Stromkosten für einige wichtige Alternativen zur Fusionsstromerzeugung zu untersuchen**, die voraussichtlich Mitte des 21. Jahrhunderts zum Einsatz kommen werden. Dadurch soll eine **Perspektive auf die Kostenniveaus gegeben werden, die die Fusion erreichen muss, um wettbewerbsfähig zu sein**. Die Studie zielt darauf ab, die Kosten verschiedener Stromerzeugungstechnologien auf einer konsistenten Basis zu vergleichen, indem sie ein nominales Anlagenstartdatum von 2050 und konstante US-Dollar von 1999 verwendet.
### Was ist das Fazit der Studie?
Das Fazit der Studie lautet:
*   **Notwendigkeit der Kostenreduktion für Fusion**: Wenn Fusion in Zukunft ein tragfähiger Stromversorger werden soll, müssen Wege gefunden werden, ihre Kosten zu senken. Die Kosten für die Fusion liegen im Allgemeinen über dem Bereich der Alternativen, außer am oberen Ende der Unsicherheitsspanne der Alternativen.
*   **Wettbewerbsumfeld**: Die Technologien, mit denen die Fusion konkurrieren wird, werden voraussichtlich durch technologische Fortschritte und Kostenreduktionen gekennzeichnet sein. Die Kosten für fossile Brennstoffe sinken (entgegen früheren Prognosen), und die COE aus erneuerbaren Energiequellen wie Wind werden ebenfalls reduziert.
*   **Potenzial für Fusion**: Glücklicherweise gibt es Wege, um das Ziel der Wettbewerbsfähigkeit zu erreichen. Jüngste Ergebnisse aus Fusionsexperimenten sowie Entwicklungen in Technologie und Ingenieurwesen deuten darauf hin, dass niedrigere Stromkosten für Fusionskraftwerke selbst auf dem 1-GW(e)-Niveau möglich sind (dies wird als unveröffentlichte Information aus dem ARIES-Programm zitiert). Ein weiterer allgemeiner Weg zur Kostensenkung bei der Fusion ist der **Bau größerer Anlagen (Multi-Gigawatt-Größe)**.
*   **Rolle der Alternativen**: Die COE der Alternativen zur Fusion für eine Anlage, die im Jahr 2050 in Betrieb geht, liegen im Bereich von **30 bis 53 Mills/kWh**, wenn keine CO2-Abscheidung erforderlich ist. Wenn die Kohlenstoffsequestrierung erforderlich ist, steigt dieser Bereich auf etwa **30 bis 60 Mills/kWh**, oder bis zu 83 Mills/kWh, wenn die gesamte Bandbreite der Kostenparameterunsicherheiten berücksichtigt wird.
*   **Balance der Energiequellen**: Angesichts des großen Bedarfs an neuen Anlagen und Ersatz für stillgelegte Anlagen wird keine einzelne Technologie den gesamten Bedarf decken können, was eine ausgewogene Mischung von Energiequellen nahelegt.</t>
  </si>
  <si>
    <t>Die Studie "An Assessment of the Economics of Future Electric Power Generation Options and the Implications for Fusion – Revision 1" untersucht umfassend die potenziellen Stromgestehungskosten (Cost of Electricity, COE) verschiedener Energieerzeugungsoptionen, um eine Perspektive zu bieten, welche Kostenniveaus die Fusionsenergie erreichen muss, um wettbewerbsfähig zu sein, wenn sie Mitte des 21. Jahrhunderts verfügbar wird.
Die Untersuchung wurde Schritt für Schritt wie folgt durchgeführt:
1.  **Zielsetzung und Zeitrahmen der Studie**:
    *   **Hauptziel**: Die Studie analysiert die potenziellen Stromkosten für wichtige Alternativen zur Fusionsenergie, die voraussichtlich Mitte des 21. Jahrhunderts zum Einsatz kommen werden. Dies soll aufzeigen, welche Kostenniveaus die Fusionsenergie erreichen muss, um konkurrenzfähig zu sein.
    *   **Referenzzeitpunkt**: Für die Inbetriebnahme der Anlagen wurde ein nominaler Starttermin im Jahr 2050 gewählt.
2.  **Auswahl der zu untersuchenden Anlagentypen**:
    *   Es wurden verschiedene zukünftige fortschrittliche Energieerzeugungstechnologien berücksichtigt, die mit der Fusionsenergie konkurrieren könnten. Dazu gehören:
        *   **Kohlekraftwerke**: Fortschrittliche Kohlekraftwerke (Pulverized Coal with Flue Gas Desulfurization – PC-FGD und Pressurized Fluidized-Bed Combustion Plant – PFBC).
        *   **Kohlevergasungsanlagen**: Kohlevergasungs-Kombikraftwerke (Coal Gasification Combined Cycle – GCC).
        *   **Erdgasanlagen**: Erdgasbefeuerte Kombi-Dampfturbinen (Combined Cycle Natural Gas-Fired Combustion Turbine – CCCT).
        *   **Kernspaltungsanlagen**: Fortschrittliche Leichtwasserreaktoren (Advanced Light-Water Reactors – ALWR) und Fortschrittliche Flüssigmetallreaktoren (Advanced Liquid-Metal Reactors – ALMR).
        *   **Erneuerbare Energien**: Eine Windkraftanlage wurde als Stellvertreter für erneuerbare Energiequellen herangezogen.
        *   **Fusionskraftwerke**: Zwei Designs für magnetische Fusionsenergie (Magnetic Fusion Energy – MFE) aus den ARIES-Studien (ARIES-RS und ARIES-ST) wurden explizit untersucht.
3.  **Analyseverfahren und Datenkonsistenz**:
    *   **Datengrundlage**: Die grundlegenden Daten für die Anlagenkosten wurden aus veröffentlichten Informationen und Industriequellen bezogen.
    *   **Anpassung der Daten**: Diese Daten wurden an die Methodologien und Kostenfaktoren des Oak Ridge National Laboratory (ORNL) angepasst, die im "Nuclear Energy Cost Data Base" (NECDB) und den "Cost Estimate Guidelines for Advanced Nuclear Power Technologies" (CEG) dargelegt sind. Die NECDB-Methodik, ursprünglich für Spaltungsreaktorstudien entwickelt, dient hier als Grundlage für konsistente Vergleiche zwischen Fusion und Alternativen.
    *   **Währungskonsistenz**: Alle Kosten wurden auf den Stand von konstanten 1999 US-Dollar umgerechnet, um eine konsistente Vergleichbarkeit zu gewährleisten. Die resultierenden Stromgestehungskosten (COE) werden ebenfalls in Mills pro Kilowattstunde in konstanten 1999 US-Dollar angegeben.
    *   **Vergleichsmetriken**: Die Bottom-Line-Kapitalinvestitionskosten und die COE pro Einheit wurden für alle berücksichtigten Anlagentypen verglichen.
4.  **Entwicklung und Anwendung von Kostenmodellen**:
    *   Die Kostenmodelle umfassten mehrere Komponenten:
        *   **Finanzierungskosten (Finance Costs)**: Annahme einer 30-jährigen Amortisationsperiode für die Anlage, ein Referenzkostenjahr 1999 und ein Anlagenstart im Jahr 2050. Finanzparameter wie der durchschnittliche Inflationssatz (3 %) und die Kapitalkostenfaktoren wurden berücksichtigt.
        *   **Kapitalinvestitionskosten (Capital Investment Costs)**: Diese basierten für fossile Anlagen auf EPRI-TAG™-Kostenmodellen, die auf 1999 US-Dollar hochgerechnet und an die Anlagengrößen angepasst wurden. Für Kernspaltungsanlagen wurden NOAK-Kosten (Nth-of-a-kind, d.h. ausgereifte, serielle Anlagen) verwendet. Die Kosten für Fusionsanlagen wurden aus den ARIES-Studien bezogen. Es wurde festgestellt, dass die Kosten der "Fusionsinsel" nur schwach von der Anlagengröße abhängen, was größere Fusionsanlagen potenziell wirtschaftlicher macht.
        *   **Betriebs- und Wartungskosten (O&amp;M Costs)**: Diese wurden in feste und variable Kosten unterteilt. Für Fusionsanlagen wurden O&amp;M-Kosten angenommen, die denen von passiv sicheren ALWRs ähneln, angepasst an die Anlagengröße.
        *   **Brennstoffkosten (Fuel Costs)**: Annahmen für Brennstoffpreise im Jahr 2050 wurden getroffen, einschließlich der Unsicherheiten für fossile Brennstoffe (Kohle, Erdgas) und Kernbrennstoffe (Uranium, Anreicherung, Wiederaufbereitung). Für Fusion beinhalten die "Brennstoffkosten" auch den "Decken"-Ersatz (blanket replacement).
        *   **Stilllegungskosten (Decommissioning Costs)**: Für die meisten Anlagen wurden diese als vernachlässigbar angenommen, außer für Kernspaltung und Fusion. Für Fusionsanlagen wurden die Stilllegungskosten als identisch mit denen eines ALWR angenommen und an die Anlagengröße angepasst.
        *   **Emissionsminderungskosten (Emissions Abatement Costs)**: Diese bezogen sich hauptsächlich auf die CO2-Abscheidung und -Speicherung (Carbon Sequestration) bei fossilen Kraftwerken, die mit erheblichen zusätzlichen Kosten und Energieverlusten verbunden ist. Für Fusionsanlagen wurden keine Emissionsminderungskosten im Sinne von CO2-Abscheidung und -Speicherung berücksichtigt, da sie keine CO2-Emissionen verursachen [62a, frühere Konversation].
5.  **Behandlung von Unsicherheiten**:
    *   Für jede Technologie wurde eine Unsicherheitsspanne für die Kapitalkosten angegeben, die die Reife des Konzepts widerspiegelt.
    *   Die Spannbreite der COE wurde berechnet, indem die pessimistischsten und optimistischsten Annahmen für jeden Kostenfaktor berücksichtigt wurden.
    *   Für Fusionsanlagen wurde die Unsicherheitsspanne der COE hauptsächlich durch die Bandbreite des Kapazitätsfaktors (70 % bis 90 %) und der Anlagengröße (1000 MW(e) bis 1300 MW(e)) abgeleitet.
Durch diese detaillierte Vorgehensweise konnte die Studie die voraussichtlichen Kosten von Fusionsreaktoren mit denen anderer wichtiger Stromerzeugungsoptionen vergleichen und die wirtschaftlichen Herausforderungen für die Fusionsenergie im Wettbewerb mit alternativen Technologien aufzeigen.</t>
  </si>
  <si>
    <t>•	Capital cost is the main cost driver for fusion; COE is dominated by capital, unlike gas plants where fuel dominates.
•	High investment costs:
o	ARIES-RS: $5,153M ($5,153/kWe)
o	ARIES-ST: $5,680M ($5,680/kWe)
o	7–10× higher than gas plants.
•	Fusion island cost:
o	Large and nearly size-independent → limited economies of scale.
•	High recirculating power:
o	Increases required gross capacity → raises capital costs per net kWh.
•	Competitiveness:
o	Fusion COE (2050): 65–102 mills/kWh
o	Alternatives: 30–53 mills (no CCS), up to 83 mills (worst case with CCS)
o	→ Fusion not cost-competitive without further reductions.
🔹 Cost Reduction Potentials &amp; Optimization Strategies
•	Scaling plant size:
o	Increasing from 1000 MW(e) to 1300 MW(e) may reduce COE by ~11 mills/kWh.
o	Fusion island costs weakly scale with size → higher output lowers specific COE.
•	Technological advances:
o	Progress in fusion R&amp;D suggests lower costs may be feasible, even at 1 GW(e).
o	New reactor concepts may offer further potential.
•	Higher capacity factor:
o	COE is sensitive to CF → range used: 70–90%
o	Higher CF = lower cost per kWh.
•	Uncertainty management:
o	Uncertainty only modeled for CF and size
o	Reducing other uncertainties (e.g. design) is important for more robust estimates.
•	Long-term outlook:
o	Commercial fusion expected ~2050</t>
  </si>
  <si>
    <t>Basierend auf der Studie "An Assessment of the Economics of Future Electric Power Generation Options and the Implications for Fusion—Revision 1":
### 2. Was sind die signifikantesten Kostentreiber und ökonomischen Herausforderungen laut Studie?
Laut der Studie ist der **Kapitalaufwand der Hauptkostentreiber** für Fusionskraftwerke. Die Studie zeigt, dass der kapitalbezogene Anteil der Stromgestehungskosten (COE) für Fusionsanlagen der größte Kostenfaktor ist, im Vergleich zu anderen Technologien, bei denen oft die Brennstoffkosten dominieren (z.B. Erdgaskraftwerke).
Spezifische ökonomische Herausforderungen und Kostentreiber sind:
*   **Hoher Kapitalaufwand (Investitionskosten)**: Die Kapitalinvestitionskosten sind die größte Komponente der Gesamtkosten für Fusionskraftwerke. Für eine 1000-MW(e)-Anlage betragen die gesamten kapitalisierten Kosten für ARIES-RS beispielsweise 5153 Millionen USD (5153 $/kW(e)) und für ARIES-ST 5680 Millionen USD (5680 $/kW(e)). Im Vergleich dazu sind die Kapitalinvestitionskosten das Sieben- bis Zehnfache derer von Erdgasanlagen.
*   **Große "Fusionsinsel" als Kostenkomponente**: Die "Fusionsinsel" ist ein großer Kostenbestandteil, dessen Kosten **relativ unempfindlich gegenüber der Anlagengröße** sind. Dies bedeutet, dass eine Verdoppelung der Leistung nicht unbedingt eine Halbierung der spezifischen Kosten pro kW(e) mit sich bringt, wie es bei anderen Anlagen der Fall sein könnte.
*   **Hoher Eigenverbrauch der Anlage (Recirculating Power Needs)**: Der **große Eigenverbrauch für den Anlagenbetrieb** treibt ebenfalls die Kapitalkosten in die Höhe, da die Anlage größer dimensioniert werden muss, um mehr Energie zu produzieren, als sie tatsächlich verkauft. Auch fossile Anlagen mit CO2-Abscheidung haben einen hohen Eigenverbrauch, aber da ihre Kosten geringer sind als die von Fusionsanlagen, ist der Effekt auf die COE weniger gravierend.
*   **Wettbewerbsfähigkeit im Vergleich zu Alternativen**: Die Studie kommt zu dem Schluss, dass die **Kosten für Fusion im Allgemeinen über dem Bereich der Alternativen liegen**. Für einen Anlagenstart im Jahr 2050 wird der Referenz-COE-Bereich für Fusion auf 65–102 Mills/kWh geschätzt, während die Alternativen (ohne CO2-Abscheidung) in einem Bereich von 30–53 Mills/kWh liegen könnten. Mit CO2-Abscheidung steigt dieser Bereich für Alternativen auf 30–61 Mills/kWh oder bis zu 83 Mills/kWh im Worst-Case-Szenario für Kostenunsicherheit. Um wettbewerbsfähig zu sein, müssen die Fusionskosten gesenkt und/oder alternative Konzepte entwickelt werden.
### 3. Welche Kostenreduktionspotenziale oder wirtschaftlichen Optimierungsansätze werden thematisiert?
Die Studie identifiziert mehrere potenzielle Wege zur Kostenreduzierung und wirtschaftlichen Optimierung für Fusionskraftwerke, um deren Wettbewerbsfähigkeit zu verbessern:
*   **Skalierung der Anlagengröße**: Eine der wichtigsten Routen zur Kostensenkung ist die **Vergrößerung der Anlagengröße**. Da die Kosten der "Fusionsinsel" nur schwach von der Anlagengröße abhängen, führt eine Erhöhung der Anlagengröße (z.B. von 1000 MW(e) auf 1300 MW(e)) zu einer **erheblichen Senkung der Stromgestehungskosten (COE)**, da die festen Kosten auf eine größere Leistung verteilt werden. Die Studie schätzt, dass eine Erhöhung der Anlagengröße auf 1300 MW(e) die COE um etwa 11 Mills/kWh reduzieren könnte. • Die "Fusionsinsel ist eine große Kostenkomponente, deren Kosten relativ unempfindlich gegenüber der Anlagengröße sind; daher verbessert sich die Fusionsökonomie erheblich bei größeren Anlagen".
• Die hohen Eigenbedarfsanteile der Fusion treiben ebenfalls den Kapitalaufwand in die Höhe, da die Anlage größer dimensioniert werden muss, um mehr Strom zu erzeugen, als tatsächlich verkauft wird, was die Kosten pro verkauftem Kilowatt beeinflusst.
Die Erkenntnis, dass die Fusionsinselkosten eine "schwache Funktion der Anlagengröße" sind, stammt – wie bereits erwähnt – aus den referenzierten ARIES-Studien. Diese Studien hätten interne Modelle und Analysen verwendet, um diese spezifischen Skalierungsbeziehungen für die Fusionsinselkomponenten zu bestimmen. Die vorliegende Studie greift auf diese Ergebnisse zurück, um die gesamtwirtschaftlichen Auswirkungen der Skalierung auf die COE von Fusionskraftwerken zu bewerten
*   **Technologische Fortschritte und Designoptimierungen**: Die Studie erwähnt, dass **jüngste Ergebnisse aus Fusionsexperimenten und Entwicklungen in Technologie und Ingenieurwesen darauf hindeuten, dass niedrigere Stromkosten möglich sind**, selbst bei einer Größe von 1 GW(e). Auch die Entwicklung **alternativer Konzepte** könnte zur Senkung der Kosten beitragen.
*   **Verbesserter Kapazitätsfaktor**: Der Kapazitätsfaktor beeinflusst direkt die COE, da er die Auslastung der Investition über die Lebensdauer der Anlage bestimmt. Die Studie berücksichtigt einen **Kapazitätsfaktor-Bereich von 70% bis 90%** für Fusionsanlagen, wobei ein höherer Kapazitätsfaktor die Kosten pro kWh senkt.
*   **Reduzierung der Unsicherheiten in den Schätzungen**: Obwohl Unsicherheitsbereiche für die Fusionskosten nur für den Kapazitätsfaktor und die Anlagengröße angewendet wurden, wird die Notwendigkeit impliziert, weitere Unsicherheiten, die für andere Technologien galten (z.B. Designunsicherheiten), zu reduzieren.
*   **Längerfristige Perspektive**: Da Fusionskraftwerke erst Mitte des 21. Jahrhunderts als wettbewerbsfähige Stromversorger zur Verfügung stehen könnten, gibt es noch **Potenzial für weitere technologische Fortschritte und Kostensenkungen** in der Entwicklung bis dahin.</t>
  </si>
  <si>
    <t>1. Methodology &amp; Financial Parameters
•	Cost Base Year: All costs in constant 1999 USD, shown in mills/kWh.
•	Commercial Start Year: 2050 assumed for fusion plants to become competitive.
•	Methodology: Based on Oak Ridge National Lab (ORNL) procedures (NECDB &amp; CEG), ensuring consistent cross-tech comparisons.
•	Amortization Period: 30 years for capital levelization.
•	Inflation Rate: Average of 3% over the study horizon.
•	Financing: Weighted nominal discount rate of 8.18%, includes cost of debt, equity, taxes (federal + state = 38.9%).
•	Construction Interest (AFUDC): Modeled with “chopped cosine” spending pattern.
2. Fusion Design &amp; Technical Assumptions
•	Fusion Concepts: Magnetic fusion only (Tokamaks ARIES-RS, ARIES-ST); IFE mentioned as future competitor.
•	Plant Size: Reference size is 1000 MW(e).
•	Economies of Scale: Fusion island cost assumed size-invariant; increasing to 1300 MW(e) lowers COE.
•	Capacity Factor:
o	Reference: 80%
o	Range: 70–90% for sensitivity
•	Construction Time: 6 years assumed, shorter than historical but aligned with improved practices.
3. Cost Models &amp; Assumptions (Fusion-Specific)
3.1. Capital Costs
•	Base Capital Cost (1000 MW(e)):
o	ARIES-RS: $3121.5M ($3120/kWe)
o	ARIES-ST: $3440.8M ($3440/kWe)
•	Indirect Costs: Assumed same % of direct costs as for ALWRs.
•	Contingency: 20%, covering only design uncertainties (excludes major risks).
•	Total Capitalized Cost:
o	ARIES-RS: $5153M ($5153/kWe)
o	ARIES-ST: $5680M ($5680/kWe)
•	Scaling Impact: COE reduces significantly from 1000 → 1300 MW(e).
3.2. O&amp;M Costs
•	Based on advanced fission plants with passive safety.
•	Adjusted for plant size.
•	Fixed: $60/kWe/year
•	Variable: 0.4 mills/kWh
•	Total O&amp;M: ~9.0 mills/kWh
3.3. Fuel Costs
•	Fusion has no conventional fuel costs.
•	“Fuel” category includes blanket replacement:
o	ARIES-RS: 5.4 mills/kWh
o	ARIES-ST: 3.8 mills/kWh
3.4. Decommissioning
•	Based on ALWR benchmark: $300M (1999 USD).
•	Scaled by plant size:
o	ARIES-RS: 0.8 mills/kWh
o	ARIES-ST: 1.5 mills/kWh
3.5. Emissions Costs
•	Zero CO₂ emissions for fusion → no CCS costs.
•	Competitive advantage over fossil plants under carbon constraints.
4. Treatment of Uncertainty
•	COE Ranges provided using pessimistic–optimistic bounds.
•	Main variables for fusion:
o	Capacity factor (70–90%)
o	Plant size (1000–1300 MW(e))
•	Other uncertainties (tech risk, regulation) not explicitly modeled for fusion, but captured in cost range.</t>
  </si>
  <si>
    <t xml:space="preserve">Die Kostenbewertungen für Fusionskraftwerke in der Studie "An Assessment of the Economics of Future Electric Power Generation Options and the Implications for Fusion—Revision 1" (Delene et al. 2000) basieren auf einer Reihe spezifischer Parameter und Annahmen, die darauf abzielen, eine vergleichbare Basis für die Stromerzeugungskosten (COE) mit anderen Technologien zu schaffen.
Hier sind die wichtigsten Parameter und Annahmen, die den Kosten der Fusionskraftwerke zugrunde liegen:
### 1. Allgemeine Methodik und Finanzparameter
*   **Referenzkostenjahr**: Alle Kosten wurden auf **konstante Preise von 1999** angepasst und in Mills pro Kilowattstunde (kWh) angegeben.
*   **Anlagen-Inbetriebnahmejahr**: Ein nominales Inbetriebnahmedatum von **2050** wurde gewählt, da erwartet wird, dass Fusionskraftwerke zu diesem Zeitpunkt als Wettbewerber zur Stromversorgung zur Verfügung stehen könnten.
*   **Methodik**: Die Studie verwendet die Methodik und Kostenfaktoren des Oak Ridge National Laboratory (ORNL), wie sie in der "Nuclear Energy Cost Data Base" (NECDB) und den "Cost Estimate Guidelines for Advanced Nuclear Power Technologies" (CEG) dargelegt sind. Dies gewährleistet konsistente Vergleiche zwischen Fusions- und alternativen Technologien.
*   **Amortisationszeit (Levelization Period)**: Eine **30-jährige Amortisationszeit** für die Anlagenkosten wird angenommen.
*   **Durchschnittliche Inflationsrate**: Eine durchschnittliche allgemeine Inflationsrate von **3 %** über den Studienzeitraum wird angenommen.
*   **Finanzkennzahlen**: Spezifische nominale und reale Kostenfaktoren für Fremdkapital (Debt), Vorzugsaktien (Preferred Stock) und Eigenkapital (Common Equity) sowie ein effektiver Kapitalkostensatz (Diskontsatz) von 8,18 % (nominal).
*   **Steuersätze**: Kombinierte Einkommenssteuersätze von **38,9 %** (35 % Bund, 6 % Staat) werden angenommen.
*   **Kosten des Kapitals während der Bauphase (AFUDC)**: Die Berechnung der Zinsen während der Bauzeit basiert auf einem "chopped cosine spending pattern".
### 2. Anlagendesigns und technische Parameter (spezifisch für Fusion)
*   **Fusionskonzepte**: Die Studie konzentriert sich auf **Magnetische Fusionsenergie (MFE)**-Reaktorkonzepte, insbesondere die Tokamak-Anlagen **ARIES-RS** und **ARIES-ST** aus den Advanced Reactor Innovation and Evaluation Studies (ARIES). Inertiale Fusionsenergie (IFE) Kraftwerke sind nicht explizit enthalten, werden aber als zukünftige Wettbewerber erwähnt.
*   **Nominale Anlagenkapazität**: Die Referenzkosten für Fusionsanlagen basieren auf einer Größe von **1000 MW(e)**.
*   **Skaleneffekte**: Es wird angenommen, dass die **Fusionsinselkosten (Fusion Island Costs) relativ unempfindlich gegenüber der Anlagengröße** sind. Dies bedeutet, dass eine Erhöhung der Anlagengröße (z.B. auf **1300 MW(e)**) zu einer **erheblichen Reduzierung der COE** führt und somit die Wettbewerbsfähigkeit verbessert.
*   **Kapazitätsfaktor**:
    *   Ein **Referenzwert von 80%** wird für Fusionsanlagen verwendet.
    *   Für die COE-Bandbreite wird ein **Bereich von 70% bis 90%** des Kapazitätsfaktors berücksichtigt.
*   **Planungs- und Bauzeiten**: Eine Bauzeit von **6 Jahren** wird angenommen, was kürzer ist als historische Erfahrungen, aber konsistent mit ausländischen Erfahrungen und verbesserten Regulierungspraktiken.
### 3. Kostenmodelle und spezifische Annahmen (spezifisch für Fusion)
#### 3.1. Investitionskosten (Kapitalkosten)
*   **Basiskonstruktionskosten**: Detaillierte Aufschlüsselungen für ARIES-RS und ARIES-ST werden in Tabelle 7 aufgeführt. Für eine 1000-MW(e)-Anlage betragen die Basisbaukosten für ARIES-RS 3121,5 Mio. USD (3120 $/kW(e)) und für ARIES-ST 3440,8 Mio. USD (3440 $/kW(e)).
*   **Indirekte Kosten**: Die indirekten Kosten (Bauleistungen, Ingenieurkosten, Eigentümer-Kosten) für Fusionsanlagen wurden als **gleicher Prozentsatz der direkten Kosten wie für fortschrittliche Leichtwasserreaktoren (ALWR)** angenommen.
*   **Kontingenzfaktor**: Ein Kontingenzfaktor von **20%** auf die Summe aller anderen Kosten wird angewendet. Dieser Faktor spiegelt **ausschließlich Designunsicherheiten** wider und schließt keine potenziellen größeren technologischen Schwierigkeiten oder Bauverzögerungen ein.
*   **Gesamtkapitalisierte Kosten**: Für ARIES-RS betragen die gesamten kapitalisierten Kosten 5153 Millionen USD (5153 $/kW(e)), und für ARIES-ST 5680 Millionen USD (5680 $/kW(e)) bei einer Größe von 1000 MW(e).
*   **Kostenbereich**: Der Kostenbereich für Fusionsanlagen im Hinblick auf die Investitionskosten ergibt sich hauptsächlich aus der **Skalierung der Anlagengröße von 1000 MW(e) auf 1300 MW(e)**. Eine größere Anlagengröße senkt die Kosten pro kW(e).
#### 3.2. Betriebs- und Wartungskosten (O&amp;M)
*   Die O&amp;M-Kosten für Fusionsanlagen wurden als **ähnlich denen von fortgeschrittenen Kernspaltungsanlagen** mit dem gleichen Sicherheitsniveau angenommen.
*   Spezifisch wurden sie als **gleich denen eines passiv sicheren ALWR** angenommen, angepasst an die Anlagengröße.
*   Die Referenz-O&amp;M-Kosten betragen **60,0 $/kW(e) pro Jahr (fix) und 0,4 Mill/kWh (variabel)**, was zu Gesamtkosten von **9,0 Mill/kWh** führt.
#### 3.3. Brennstoffkosten
*   Fusionsanlagen haben keine Brennstoffkosten im traditionellen Sinne wie fossile oder Spaltungsanlagen, die Uran oder Gas verbrauchen.
*   Die Kostenposition "Fuel" in der Studie für Fusionsanlagen (5,4 Mill/kWh für ARIES-RS, 3,8 Mill/kWh für ARIES-ST) **beinhaltet den Austausch des Blankets** ("includes blanket replacement").
#### 3.4. Kosten für die Stilllegung (Decommissioning)
*   Die Stilllegungskosten für Fusionsanlagen wurden als **gleich denen von ALWRs** angenommen, skaliert nach der Anlagengröße.
*   Für ALWRs werden die Stilllegungskosten auf 300 Millionen US-Dollar (1999) geschätzt.
*   In der COE-Berechnung werden diese Kosten für ARIES-RS mit 0,8 Mill/kWh und für ARIES-ST mit 1,5 Mill/kWh angegeben.
#### 3.5. Emissionsminderungskosten
*   Fusionskraftwerke erzeugen **keine CO2-Emissionen**. Daher fallen für sie keine Kosten für CO2-Abscheidung und -Speicherung an. Dies ist ein Vorteil gegenüber fossilen Technologien, die solche Kosten tragen müssen, wenn CO2-Minderung erforderlich ist.
### 4. Umgang mit Unsicherheiten
*   Die Studie quantifiziert die **Unsicherheit in den COE-Schätzungen**, indem sie sowohl Referenzwerte als auch Bereiche für pessimistische und optimistische Parameter angibt.
*   Für **Fusionsanlagen** basiert die angegebene COE-Bandbreite (z.B. 65–102 Mill/kWh für ARIES-RS) hauptsächlich auf dem **Kapazitätsfaktor-Bereich (70–90%)** und dem **Anlagengrößen-Bereich (1000–1300 MW(e))**.
*   Andere Unsicherheitsbereiche (die für andere Technologien angewendet wurden) wurden nicht explizit auf die Fusionskosten angewendet, aber die Bandbreite soll die Gesamtunsicherheit abdecken.
Zusammenfassend lässt sich sagen, dass die Studie ein **umfassendes Rahmenwerk von technischen und finanziellen Annahmen** verwendet, um zukünftige Stromerzeugungskosten von Fusionskraftwerken zu projizieren und ihre wirtschaftliche Wettbewerbsfähigkeit Mitte des 21. Jahrhunderts zu bewerten. Die Haupterkenntnis ist, dass Fusionskosten im Allgemeinen über dem Bereich der Alternativen liegen und Anstrengungen unternommen werden müssen, um sie zu senken.
</t>
  </si>
  <si>
    <t>1. Is the modeling approach transparently documented?
•	Yes. Analysis procedures and cost models are detailed.
•	Based on published/industry data, adapted to ORNL methods (NECDB, CEG).
•	Covers financing, capital, O&amp;M, fuel, decommissioning, emission control costs.
2. Are cost assumptions based on external sources or derived internally?
•	Mostly external sources, adjusted for consistency:
o	Fossil: EPRI-TAG™
o	Nuclear: USCEA (1992) for ALWR, reported ALMR data
o	Wind: EPRI/DOE Renewable Energy Study
o	Fusion: ARIES-RS, ARIES-ST (costing consistent with others)
o	O&amp;M: ORNL OMCOST for fission/fossil, scaled for fusion; TC doc for wind
o	Fuel: DOE-EIA projections and market data
3. Were external sources modified?
•	Yes, for comparability:
o	Adjusted to constant 1999 USD
o	Scaled to plant sizes
o	Wind costs reduced 5% for scale
o	Fusion indirect costs set as % of direct (same as ALWR)
o	Decommissioning costs for fusion = scaled ALWR values
o	DOE fuel prices extrapolated to 2050
4. Are uncertainties and sensitivities addressed?
•	Yes, extensively:
o	Capital cost ranges based on DOE goals and tech maturity
o	Fuel prices labeled "highly uncertain"
o	Capacity factor ranges included (fusion/fission 70–90%, wind 25–45%)
o	Fusion: major uncertainty in size and capacity factor
o	Institutional/major tech risks excluded
o	COE ranges shown for multiple scenarios (e.g., with/without CCS)
5. Is the cost approach explicitly bottom-up, top-down, or hybrid?
•	Not labeled, but clearly bottom-up:
o	Cost breakdown by components (e.g., turbines, reactors)
o	O&amp;M, fuel, decommissioning costs detailed
6. Are costs based on physical/technical parameters?
•	Yes:
o	Plant size, capacity factor, efficiency (heat rate), recirculating power
o	Fusion island cost weakly size-dependent
o	CCS energy penalties considered
7. What technical and financial assumptions are made?
•	Technical:
o	Start year: 2050
o	Capacity factor: 80% (wind 35%)
o	Build time: Fusion/ALWR 6 yrs, CCCT 2.75 yrs
o	Heat rates and CCS penalties (coal 15%, gas 10%)
•	Financial:
o	Base year: 1999 USD
o	Levelization: 30 years
o	Inflation: 3%
o	Financing: debt/equity mix, construction interest
o	Tax rates, owner costs, contingencies (fusion 20%, wind 10%)
o	Fuel: coal $1/MBtu, gas $3.85/MBtu, uranium $25/lb U₃O₈
o	CO₂: $10/ton for capture/storage
o	Decommissioning: ALWR $300M, ALMR $680M
8. Which physical/technical parameters drive COE?
•	Capital costs
•	Plant size: e.g. fusion from 1000 → 1300 MW cuts COE by ~11 mills/kWh
•	Capacity factor: higher = lower COE
•	Recirculating power: lowers net output, raises capital cost per kWh
•	Efficiency: better heat rates lower fossil fuel costs
•	Fusion island: large share, weakly size-sensitive
•	CCS: increases capital cost per sold kWh due to energy penalty
9. Are the reactor concepts aligned with state-of-the-art?
•	Yes, focus is on advanced designs for mid-21st century (2050)
o	Includes advanced fossil, nuclear, wind, and fusion (ARIES)
o	NOAK plants assumed: optimized designs with learning effects
o	Recent fusion R&amp;D suggests future COE reductions
10. Are these planned or hypothetical designs?
•	Hypothetical, advanced concepts for ~2050
o	Based on future NOAK cost assumptions
o	Designs not realized at time of study
11. How current are the assumptions?
•	Study: Jan/Feb 2000 (update of 1999 report)
•	All costs in 1999 USD
•	Fuel projections based on DOE-EIA to 2020, extrapolated to 2050
•	Reactor designs from 1990s studies (e.g., ARIES, EPRI-TAG™ 1993)
12. How robust or speculative are the assumptions?
•	Acknowledged high uncertainty:
o	Fuel prices and fusion COE labeled “very uncertain”
o	Cost ranges cover optimistic/pessimistic scenarios
o	NOAK assumptions add robustness, but capital costs remain speculative
o	Worst-case scenarios mentioned
13. Are cost components (O&amp;M, etc.) shown separately?
•	Yes:
o	Financing, capital investment (broken down), O&amp;M (fixed/variable)
o	Fuel, decommissioning, CO₂ mitigation
14. Are material/component costs shown separately?
•	Yes, within capital accounts (e.g., steam generator, turbine, reactor)
o	Raw material costs not itemized, but embedded in component costs
15. What is the study's focus: technical, economic, or strategic?
•	Mainly economic:
o	Goal: identify fusion cost targets for competitiveness
•	Technical support:
o	Detailed plant designs and efficiency factors included
•	Strategic:
o	Emphasizes need for a balanced energy mix and fusion viability
16. Does the study address the broader energy system or just reactors?
•	Yes, addresses system-level aspects:
o	Tech comparisons across energy types
o	Wind backup needs and grid integration discussed
o	Emphasizes no single tech can dominate → system-level perspective</t>
  </si>
  <si>
    <t>Die Studie "An Assessment of the Economics of Future Electric Power Generation Options and the Implications for Fusion—Revision 1" bietet umfassende Einblicke in ihre Methodik, Annahmen und den Fokus.
Hier sind die Antworten auf Ihre Fragen, basierend auf den vorliegenden Quellen:
1.  **Ist der Modellierungsansatz transparent dokumentiert?**
    Ja, der Modellierungsansatz ist transparent dokumentiert. Die Studie beschreibt die **"Analysis Procedures" (Analyseverfahren)** und **"Cost Models" (Kostenmodelle)** detailliert. Es wird angegeben, dass die grundlegenden Daten aus **veröffentlichten Informationen und Industriequellen** stammen und **an die ORNL-Methoden und Kostenfaktoren angepasst** wurden, wie sie in der "Nuclear Energy Cost Data Base" (NECDB) und den "Cost Estimate Guidelines for Advanced Nuclear Power Technologies" (CEG) dargelegt sind. Diese Anpassungen gewährleisten eine **konsistente Vergleichsbasis** zwischen den verschiedenen Technologien. Einzelne Kostenkomponenten wie Finanzierungskosten, Kapitalkosten, Betriebs- und Wartungskosten (O&amp;M), Brennstoffkosten, Stilllegungskosten und Emissionsminderungskosten werden separat behandelt.
2.  **Beruhen die Modell- und Kostenannahmen auf externen Quellen oder wurden sie selbst abgeleitet?**
    Die Modell- und Kostenannahmen **beruhen überwiegend auf externen Quellen**, die für Konsistenz angepasst wurden.
    *   **Fossile Anlagen:** Basieren auf Kostenmodellen aus dem **EPRI-TAG™-Dokument**.
    *   **Kernspaltungsanlagen (ALWR, ALMR):** Abgeleitet aus **nuklearen Industrie-Quellen**, insbesondere einer **USCEA-Studie von 1992** für ALWR und gemeldeten Informationen für ALMR.
    *   **Windkraftanlagen:** Basieren auf Informationen aus dem **EPRI/DOE Renewable Energy Characterization TC Study**.
    *   **Fusionsanlagen (MFE):** Die Referenzkosten stammen aus den **ARIES-Studien (ARIES-RS und ARIES-ST)**, die eine mit den anderen Kosten in dieser Studie konsistente Kostenmethodik verwenden.
    *   **O&amp;M-Kosten:** Für Kernspaltungs- und fossile Anlagen basieren sie auf Berechnungen mit einer aktualisierten Version des **ORNL O&amp;M-Kosten-Codes, OMCOST**. Für Windkraftanlagen stammen sie aus dem TC-Dokument. Für Fusionsanlagen wurden sie als ähnlich zu passiv sicheren ALWRs angenommen und an die Anlagengröße angepasst.
    *   **Brennstoffkosten:** Annahmen für fossile Brennstoffe basieren auf **DOE-EIA-Projektionen**. Nukleare Brennstoffpreise basieren auf aktuellen Marktpreisen und Annahmen für zukünftige Entwicklungen.
3.  **Falls externe Quellen verwendet wurden – wurden diese modifiziert?**
    Ja, die externen Quellen **wurden modifiziert und angepasst**, um eine konsistente Vergleichsgrundlage zu schaffen.
    *   Alle Kosten wurden **auf konstante 1999 US-Dollar angepasst**.
    *   Die Daten wurden für **Konsistenz mit ORNL-Methoden und Kostenfaktoren** angepasst.
    *   Kostenmodelle wurden **auf die betrachteten Anlagengrößen skaliert**.
    *   Windturbinenkosten wurden für die betrachtete Anlagengröße (100 MW(e)) um 5% reduziert, da es Skaleneffekte gibt.
    *   Indirekte Kosten für Fusionsanlagen (Bau- und Ingenieurdienstleistungen) wurden **als gleicher Prozentsatz der direkten Kosten wie für ALWR angenommen**. Es wird in der Studie nicht explizit "bewiesen", dass dieser Prozentsatz für die Fusion exakt identisch wäre. Vielmehr ist es eine methodologische Annahme, die getroffen wurde, um Vergleichbarkeit und Konsistenz innerhalb der Studie zu gewährleisten, da umfassende, spezifische Kostendaten für Fusionsanlagen zum Zeitpunkt der Studie noch nicht vollständig verfügbar waren und man sich auf etablierte Methoden für ähnliche, kapitalintensive Großanlagen stützte
    *   Stilllegungskosten für Fusionsanlagen wurden **als dieselben wie für ALWRs, skaliert nach Anlagengröße, angenommen**.
    *   Brennstoffpreisprognosen der DOE-EIA wurden **bis 2050 extrapoliert**.
4.  **Werden Unsicherheiten oder Sensitivitäten thematisiert?**
    Ja, **Unsicherheiten und Sensitivitäten werden ausführlich thematisiert** und in Form von **Kostenbereichen** (Ranges) dargestellt.
    *   Die Studie gibt **Unsicherheitsbereiche für Kapitalkosten** an, die DOE-Kostenziele und Schätzungen der Reife des Konzepts widerspiegeln.
    *   **Brennstoffpreise** werden als "sehr unsicher" bezeichnet und mit entsprechenden Bereichen versehen.
    *   Der **Kapazitätsfaktor** wird mit einem Bereich (z.B. 70-90% für Kernkraftwerke und Fusion, 25-45% für Wind) in die Analyse einbezogen.
    *   Für Fusionskosten wurden Unsicherheitsbereiche **hauptsächlich für den Kapazitätsfaktor und die Anlagengröße** angewendet. Es wird jedoch erwähnt, dass "weitere Designs und Designannahmen zu niedrigeren Kosten führen könnten".
    *   Es wird explizit erwähnt, dass die betrachteten Unsicherheitsbereiche **keine potenziellen institutionellen Probleme** (die die Nuklearoption ganz aufheben könnten) oder **große Technologieprobleme/-fortschritte** oder **große Bauverzögerungen** widerspiegeln.
    *   Die Studie vergleicht die **Bandbreite der COE** (Cost of Electricity) für verschiedene Szenarien, z.B. mit und ohne CO2-Abscheidung.
5.  **Wird offengelegt, ob die Kostenabschätzung auf einem Bottom-up-, Top-down- oder hybriden Ansatz basiert?**
    Die Studie legt keinen expliziten Begriff wie "Bottom-up" oder "Top-down" offen, aber die detaillierte Darstellung der Kostenmodelle und -komponenten **deutet stark auf einen Bottom-up-Ansatz hin**. Die Gesamtkosten werden durch die **Summe einzelner, detaillierter Kostenbestandteile** wie Kapitalinvestitionskosten (aufgeschlüsselt nach Konten wie Bauwerke, Reaktoranlagen, Turbinenanlagen, elektrische Anlagen etc.), O&amp;M-Kosten (Fix- und Variablenkosten), Brennstoffkosten und Stilllegungskosten ermittelt. Dies erfordert die Aggregation von Kosten auf Komponentenebene.
6.  **Beruht die Kostenherleitung auf physikalischen und technologischen Werten?**
    Ja, die Kostenherleitung beruht auf physikalischen und technologischen Werten.
    *   **Anlagengröße (MW(e))**: Kosten werden pro Kilowatt elektrischer Leistung angegeben und die Auswirkungen der Skalierung (z.B. von 1000 MW(e) auf 1300 MW(e) für Fusion) werden analysiert.
    *   **Kapazitätsfaktor**: Beeinflusst direkt die Kapitalkosten pro produzierter Kilowattstunde.
    *   **Wärmeraten (Effizienz)**: Für fossile Anlagen werden spezifische Wärmeraten (Btu/kWh) und deren Unsicherheitsbereiche angegeben, die die Brennstoffeffizienz beeinflussen.
    *   **Eigennutzung der Anlage (Recirculating Power Needs)**: Wird als wichtiger Kostentreiber für Fusion identifiziert, da die Anlage größer dimensioniert werden muss, um Energie für den Eigenverbrauch zu produzieren.
    *   **Fusionsinsel-Kosten**: Die Studie hebt hervor, dass die Kosten der "Fusionsinsel" nur schwach von der Anlagengröße abhängen, was technologisch bedingt ist und Auswirkungen auf die Skaleneffekte hat.
    *   **CO2-Abscheidung**: Energieverluste (Energy Penalty) durch CO2-Abscheidung sind direkte technische Parameter, die die Nettoleistung und somit die spezifischen Kosten beeinflussen.
7.  **Welche technischen und wirtschaftlichen Annahmen wurden getroffen?**
    **Technische Annahmen:**
    *   **Anlagenstart:** Nominal 2050 für alle Optionen.
    *   **Kapazitätsfaktor:** 80% für die meisten Anlagen (Ausnahme Wind 35%), mit einer Spanne von 70-90% (Wind 25-45%).
    *   **Design- und Bauzeit:** Spezifische Zeiten für jeden Anlagentyp (z.B. 6 Jahre für ALWR und Fusion, 2,75 Jahre für CCCT).
    *   **Wärmeraten:** Für fossile Anlagen.
    *   **CO2-Abscheidung:** Spezifische Energieverluste für Kohle- (15%) und Gas- (10%) Anlagen.
    **Wirtschaftliche/Finanzielle Annahmen:**
    *   **Referenzjahr:** 1999 US-Dollar.
    *   **Amortisationszeit (Levelization Period):** 30 Jahre.
    *   **Inflationsrate:** Durchschnittlich 3%.
    *   **Geldkostenfaktoren:** Aufschlüsselung nach Fremdkapital, Vorzugsaktien, Stammkapital und Kosten des Geldes während des Baus.
    *   **Einkommensteuersätze:** Bundes- und Landessteuersätze.
    *   **Eigentümerkosten und Eventualitäten:** Basierend auf Schätzungen der Befürworter und EPRI-TAG™-Informationen. Eventualitäten hängen vom Entwicklungsstand der Technologie ab (z.B. 20% für Fusionsanlagen, 10% für Windturbinen).
    *   **Brennstoffkosten:** Spezifische Annahmen für Kohle ($1.00/MBtu), Erdgas ($3.85/MBtu), Uran ($25/lb U3O8), sowie weitere Komponenten des nuklearen Brennstoffkreislaufs und Entsorgung.
    *   **CO2-Kosten:** $10/Tonne CO2 für Abscheidung, Transport und Lagerung.
    *   **Stilllegungskosten:** Annahmen für Kernkraftwerke (ALWR $300M, ALMR $680M), vernachlässigbar für andere.
8.  **Welche physikalischen und technischen Parameter beeinflussen die Kosten?**
    Die **signifikantesten physikalischen und technischen Parameter**, die die Stromgestehungskosten (COE) beeinflussen, sind:
    *   **Kapitalinvestitionskosten (Capital Investment Costs)**.
    *   **Anlagengröße:** Eine Erhöhung der Anlagengröße, insbesondere bei Fusion, führt zu einer signifikanten Reduzierung der COE, da die Fixkosten auf eine größere Leistung verteilt werden können (z.B. von 1000 MW(e) auf 1300 MW(e) für Fusion kann die COE um ca. 11 Mills/kWh senken).
    *   **Kapazitätsfaktor:** Bestimmt, wie gut die Kapitalinvestition über die Lebensdauer der Anlage ausgelastet wird, und ist invers proportional zum COE.
    *   **Eigennutzung der Anlage (Recirculating Power Needs)**: Hoher Eigenverbrauch der Anlage treibt die Kapitalkosten in die Höhe, da mehr Leistung produziert werden muss, als verkauft wird.
    *   **Effizienz (Heat Rates)**: Für fossile Anlagen wirken sich verbesserte Wärmeraten direkt auf die Brennstoffkosten und damit auf die COE aus.
    *   **Fusionsinsel-Kosten**: Sind ein großer Kostenbestandteil und nur schwach von der Anlagengröße abhängig.
    *   **Notwendigkeit der CO2-Abscheidung**: Führt zu einem **Energieverlust (Energy Penalty)**, der die Nettoleistung reduziert und somit die Kapitalkosten pro verkaufter kWh erhöht.
9.  **Ist das technische Reaktorkonzept konsistent mit dem Stand der Technik (state of the art)?**
    Die Studie betrachtet **fortschrittliche Designs** und **zukünftige Optionen** für die Stromerzeugung, die voraussichtlich Mitte des 21. Jahrhunderts verfügbar sein werden, und nicht die zum Zeitpunkt der Veröffentlichung des Berichts (2000) aktuellen, im Betrieb befindlichen Anlagen.
    *   Es werden **"advanced design" fossile Anlagen**, **"advanced fission" Reaktoren** (ALWR, ALMR, MHR), **Windkraftanlagen** mit erwarteten Verbesserungen und **Fusionsreaktorkonzepte** aus den ARIES-Studien betrachtet.
    *   Die Kosten basieren auf **"Nth-of-a-kind (NOAK)"-Anlagen**, was "Gleichgewichts-Handelsanlagen" von identischem Design impliziert, die die Erfahrung früherer Anlagen oder eine "Lernkurve" widerspiegeln. Dies bedeutet, dass es sich um ausgereifte, optimierte Designs handelt, die den **zukünftigen Stand der Technik** für eine Markteinführung im Jahr 2050 repräsentieren sollen.
    *   Es wird erwähnt, dass "jüngste Ergebnisse aus Fusionsexperimenten und Entwicklungen in Technologie und Ingenieurwesen darauf hindeuten, dass niedrigere Stromkosten möglich sind".
10. **Handelt es sich um ein geplantes Konzept oder um ein hypothetisches Design?**
    Es handelt sich um **geplante Konzepte und hypothetische Designs** für die **Mitte des 21. Jahrhunderts**, genauer gesagt für einen **nominalen Anlagenstart im Jahr 2050**. Die Studie verwendet existierende Designstudien und Projektionen für zukünftige Anlagen. Obwohl sie auf "Nth-of-a-kind (NOAK)"-Kosten basieren, die ausgereifte kommerzielle Anlagen annehmen, sind diese zum Zeitpunkt der Veröffentlichung der Studie (2000) **noch nicht realisiert** und stellen Projektionen für die Zukunft dar.
11. **Wie aktuell sind die technischen und wirtschaftlichen Annahmen?**
    Die Studie wurde im **Januar/Februar 2000 veröffentlicht** und ist eine Überarbeitung einer Publikation vom September 1999. Alle Kosten wurden auf **konstante 1999 US-Dollar** angepasst.
    *   Die **Brennstoffpreisprognosen** (Kohle, Erdgas) basieren auf DOE-EIA-Projektionen, die bis 2020 reichten und dann **bis 2050 extrapoliert** wurden.
    *   Uranpreise spiegeln den Marktstand von 1999 wider und beinhalten Projektionen für 2050.
    *   Die **technischen Parameter und Anlagendesigns** basieren auf dem Wissensstand und den Studien, die bis Ende der 1990er Jahre verfügbar waren (z.B. EPRI-TAG™ 1993, ARIES-Studien bis 1997).
    Die Annahmen sind also **aktuell für den Berichtszeitraum (Ende der 1990er Jahre)**, aber **projektiv für den Anlagenstart 2050**.
12. **Wie belastbar oder spekulativ sind die getroffenen Annahmen?**
    Die Studie räumt ein, dass die Annahmen **einen erheblichen Grad an Unsicherheit und Spekulation** beinhalten, insbesondere bei den langfristigen Projektionen bis 2050.
    *   Es wird explizit darauf hingewiesen, dass "zukünftige fossile Brennstoff- und nukleare Brennstoffpreise **sehr unsicher** sind".
    *   Für Fusionskosten wird gesagt, dass "es **natürlich eine große Unsicherheit** gibt, und die gezeigten Zahlen mit Vorsicht verwendet werden sollten".
    *   Die Studie versucht, dies durch die **Angabe von Unsicherheitsbereichen (Ranges)** für die meisten Parameter zu adressieren, die sowohl optimistische als auch pessimistische Szenarien abdecken.
    *   Die Verwendung von **"Nth-of-a-kind (NOAK)"-Kosten** für Kernkraftwerke soll zwar eine gewisse Belastbarkeit durch Annahme von Lernerfahrung und Reife schaffen, aber selbst hier wird "erhebliche Unsicherheit" in den Kapitalkosten eingeräumt.
    *   Die Studie nennt einen "Worst-Case-Szenario" für Kostenunsicherheit, was die Akzeptanz einer gewissen Spekulationsbreite zeigt.
    Insgesamt sind die Annahmen **belastbar im Rahmen der zum Zeitpunkt der Studie verfügbaren Daten und Methoden für zukünftige Projektionen**, aber die Natur der Langzeitprognose macht sie **inhärent spekulativ**, was die Studie auch selbst betont.
13. **Werden die einzelnen Kostenkomponenten, wie z.B. O&amp;M etc. separat ausgewiesen?**
    Ja, **alle wesentlichen Kostenkomponenten werden separat ausgewiesen** und detailliert in den Kostenmodellen beschrieben.
    *   **Finanzierungskosten**
    *   **Kapitalinvestitionskosten** (aufgeschlüsselt in Basiskonstruktionskosten, Eigentümerkosten, Eventualitäten und Zinsen während des Baus (AFUDC)).
    *   **Betriebs- und Wartungskosten (O&amp;M)** (aufgeschlüsselt in fixe und variable Kosten).
    *   **Brennstoffkosten**.
    *   **Stilllegungskosten**.
    *   **Emissionsminderungskosten** (für CO2-Abscheidung und -Entsorgung).
    Tabelle 11 fasst diese levelisierten COE-Komponenten für jede Technologie zusammen.
14. **Werden Materialkosten und Komponentenkosten separat ausgewiesen?**
    Ja, **Komponentenkosten werden in den Kapitalinvestitionskosten separat ausgewiesen**. Die Basiskonstruktionskosten (Tabellen 2, 3, 4, 5, 6, 7) sind nach **Konten** (Accounts) aufgeschlüsselt, die große Anlagenteile und Komponentengruppen darstellen. Beispiele hierfür sind:
    *   "Steam generator" (Dampfgenerator)
    *   "Turbine generator" (Turbinengenerator)
    *   "Reactor plant equipment" (Reaktoranlagenausrüstung)
    *   "Rotor assembly" (Rotorensemble)
    *   "Electrical plant equipment" (Elektrische Anlagenausrüstung)
    *   "Special materials" (Spezialmaterialien)
    Explizite "Materialkosten" im Sinne von Rohstoffen werden auf dieser aggregierten Ebene üblicherweise nicht separat aufgeführt, sind aber implizit in diesen Komponentenkosten enthalten.
15. **Liegt der Fokus der Studie auf technischen, ökonomischen oder strategischen Fragestellungen?**
    Der **Fokus der Studie liegt klar auf ökonomischen Fragestellungen**, mit einer starken Unterstützung durch technische Analysen und einer Diskussion strategischer Implikationen.
    *   **Ökonomisch:** Das Hauptziel ist die **Bewertung der Stromerzeugungskosten (COE)** verschiedener Optionen und die Feststellung, welche Kosten Fusion erreichen muss, um **wettbewerbsfähig** zu sein. Der Titel und die gesamte Ergebnisdiskussion drehen sich um Kostenvergleiche.
    *   **Technisch:** Technische Details zu Anlagendesigns, Wärmeraten und spezifische Eigenheiten wie der Eigenverbrauch von Fusionsanlagen werden diskutiert, um die Kostenschätzungen zu untermauern.
    *   **Strategisch:** Die Studie beleuchtet die **ultimative Realisierbarkeit der Fusionsoption**, die Notwendigkeit einer **ausgewogenen Mischung von Energiequellen** und die Auswirkungen von Umwelt- und Sicherheitsbedenken (z.B. CO2-Emissionen, passive Sicherheit von Kernreaktoren) auf die Akzeptanz und Kosten. Die Schlussfolgerung betont die strategische Notwendigkeit für Fusion, Kosten zu senken, um wettbewerbsfähig zu werden.
16. **Bezieht sich die Studie auf ein Energiesystem (z. B. Integration, Vergleich mit anderen Technologien) oder ist sie rein reaktorbezogen?**
    Die Studie **bezieht sich auf das breitere Energiesystem**, indem sie einen **direkten Vergleich von Fusion mit anderen großen Alternativen der Stromerzeugung** vornimmt. Sie ist **nicht rein reaktorbezogen**.
    *   **Vergleich mit anderen Technologien:** Die Kernaufgabe der Studie ist der Kostenvergleich zwischen Fusion und Kohle, Kohlevergasung, Erdgas, Kernspaltung und Windkraft.
    *   **Systemintegration:** Obwohl nicht im Detail ein umfassendes Energiesystemmodell vorliegt, werden Aspekte der **Integration im Energiesystem** berücksichtigt. Beispielsweise wird bei Windkraft die Notwendigkeit von **Backup-Kapazitäten** (z.B. Gaskraftwerke) oder **Speicherlösungen** thematisiert, um die Intermittenz auszugleichen und einen hohen Kapazitätsfaktor auf Systemebene zu erreichen. Es wird auch erwähnt, dass "keine einzelne Technologie den gesamten Bedarf decken wird" und eine "ausgewogene Mischung von Energiequellen" die beste Politik sei. Die Auswirkungen großer Anlagengrößen auf Stromnetze werden ebenfalls kurz angesprochen.</t>
  </si>
  <si>
    <t>Including Replacement Costs</t>
  </si>
  <si>
    <t>ARIES-RS</t>
  </si>
  <si>
    <t>ARIES-RS_max</t>
  </si>
  <si>
    <t>Variation in Capacity leads to different LCOE; interest: 5%</t>
  </si>
  <si>
    <t>ARIES-ST_min</t>
  </si>
  <si>
    <t>ARIES-ST_max</t>
  </si>
  <si>
    <t>ARIES-RS_min</t>
  </si>
  <si>
    <t>Construction time: 6 years; lifetime: 30 years</t>
  </si>
  <si>
    <t>New ARIES</t>
  </si>
  <si>
    <t>Drakojlovic et al. (2010)</t>
  </si>
  <si>
    <t>Probably NOAK oder minimum 10th-OAK</t>
  </si>
  <si>
    <t>FCR: 9.65%; 6 years Construction time; cost of money: 4.35%</t>
  </si>
  <si>
    <t>PPCS-A</t>
  </si>
  <si>
    <t>Steady-State with possibility for load-following by decrasing el. Output up to 50% ("Both from the plasma physics and technology viewpoints, it would be feasible to reduce the electrical output by about fifty percent.")</t>
  </si>
  <si>
    <t>PPCS-B</t>
  </si>
  <si>
    <t>PPCS-C</t>
  </si>
  <si>
    <t>PPCS-D</t>
  </si>
  <si>
    <t>Divertor every 2 years; Blanket every 5 years</t>
  </si>
  <si>
    <t>Capital Cost</t>
  </si>
  <si>
    <t>6% discount rate; 40 years lifetime; Abgelesen; Fusion power: 5 GW;  10th of a kind plant with a corresponding cost reduction factor of 0.65 for fusion specific items;   based on conventional superconducting technology, Nb3Sn for the toroidal field and NbTi for the poloidal field. Advances in superconductors, to lower cost materials and to high temperature superconductors are expected to reduce these costs but this is an uncertain issue; Divertor every 2 years; Blanket every 5 years replacement</t>
  </si>
  <si>
    <t>6% discount rate; 40 years lifetime; Abgelesen; Fusion power: 3.6 GW;  10th of a kind plant with a corresponding cost reduction factor of 0.65 for fusion specific items;  based on conventional superconducting technology, Nb3Sn for the toroidal field and NbTi for the poloidal field. Advances in superconductors, to lower cost materials and to high temperature superconductors are expected to reduce these costs but this is an uncertain issue.; Divertor every 2 years; Blanket every 5 years replacement</t>
  </si>
  <si>
    <t>6% discount rate; 40 years lifetime; Abgelesen; Fusion power: 3.41 GW;  10th of a kind plant with a corresponding cost reduction factor of 0.65 for fusion specific items;  based on conventional superconducting technology, Nb3Sn for the toroidal field and NbTi for the poloidal field. Advances in superconductors, to lower cost materials and to high temperature superconductors are expected to reduce these costs but this is an uncertain issue.; Divertor every 2 years; Blanket every 5 years replacement</t>
  </si>
  <si>
    <t>6% discount rate; 40 years lifetime; Abgelesen; Fusion power: 2.53 GW;  10th of a kind plant with a corresponding cost reduction factor of 0.65 for fusion specific items;  It is assumed that the advances in superconducting technology are such as to allow the same magnetic field strength to be achieved but with magnets that are half the cost of today's technology; Divertor every 2 years; Blanket every 5 years replacement</t>
  </si>
  <si>
    <t>DEMO2</t>
  </si>
  <si>
    <t>Entler et al. (2018)</t>
  </si>
  <si>
    <t>"Heat and neutron loading of the nuclear components will be so high that the expected lifetime of specific nuclear components (from 4.5 to 10.5 years) will be much shorter than the plant lifetime (40 years)"</t>
  </si>
  <si>
    <t>40 years lifetime; discount rate: 7%; 10 years construction time</t>
  </si>
  <si>
    <t>Conventional R&amp;D</t>
  </si>
  <si>
    <t>Gi et al. (2020)</t>
  </si>
  <si>
    <t>"Fuel and back-end costs"</t>
  </si>
  <si>
    <t>Advanced R&amp;D</t>
  </si>
  <si>
    <t>TCC</t>
  </si>
  <si>
    <t>Lifetime 40 years; 5% interest rate</t>
  </si>
  <si>
    <t>ARIES-AT</t>
  </si>
  <si>
    <t>Han and Ward (2009)</t>
  </si>
  <si>
    <t>in O&amp;M fixed</t>
  </si>
  <si>
    <t>Fusion basic early</t>
  </si>
  <si>
    <t>learning factors (applied to the fusion costs only) are 0.5 for 10th-OAK and 0.25 for 100th-OAK; decomissioning costs included</t>
  </si>
  <si>
    <t>Fusion basic early mature</t>
  </si>
  <si>
    <t>100th-OAK according to paper</t>
  </si>
  <si>
    <t>Fusion Advanced early</t>
  </si>
  <si>
    <t>Fusion Advanced mature</t>
  </si>
  <si>
    <t>learning factors (applied to the fusion costs only) are 0.5 for 10th-OAK and 0.25 for 100th-OAK</t>
  </si>
  <si>
    <t>in 2050; Similar to PCCS-C; learning factors (applied to the fusion costs only) are 0.5 for 10th-OAK and 0.25 for 100th-OAK</t>
  </si>
  <si>
    <t>in 2060; Similar to PCCS-C; learning factors (applied to the fusion costs only) are 0.5 for 10th-OAK and 0.25 for 100th-OAK</t>
  </si>
  <si>
    <t>in 2070; similar to PCCS-D or ARIES-AT; learning factors (applied to the fusion costs only) are 0.5 for 10th-OAK and 0.25 for 100th-OAK</t>
  </si>
  <si>
    <t>in 2080; similar to PCCS-D or ARIES-AT; learning factors (applied to the fusion costs only) are 0.5 for 10th-OAK and 0.25 for 100th-OAK</t>
  </si>
  <si>
    <t>Derived from EFDA (2005); 10th of a kind plant with a corresponding cost reduction factor of 0.65 for fusion specific items</t>
  </si>
  <si>
    <t>Heavy Ion Fusion</t>
  </si>
  <si>
    <t>Helsley and Burke (2014)</t>
  </si>
  <si>
    <t>Hender et al. (1996)</t>
  </si>
  <si>
    <t>Abgelesen; Learning rates: "cost savings are assumed to apply only to the fusion specific equipment and published values vary from a conservative 20% to a more ambitious 50% cost reduction. A 50% reduction for a lOth-of-a-kind corresponds to a 20% cost reduction for each doubling of production and this is actually the median value observed over a wide range of industries.[...] 30% as reference value for fission[...]"; interest rate: 8%; blanket replacement frequency: 10 months</t>
  </si>
  <si>
    <t>Stellarator</t>
  </si>
  <si>
    <t>Abgelesen; Learning rates: "cost savings are assumed to apply only to the fusion specific equipment and published values vary from a conservative 20%4 to a more ambitious 50%5 cost reduction. A 50% reduction for a lOth-of-a-kind corresponds to a 20% cost reduction for each doubling of production and this is actually the median value observed over a wide range of industries.[...] 30% as reference value for fission[...]"; interest rate: 8%; blanket replacement frequency: 10 months</t>
  </si>
  <si>
    <t>CREST</t>
  </si>
  <si>
    <t>USD/MW</t>
  </si>
  <si>
    <t>9.3 MUSD in absolute</t>
  </si>
  <si>
    <t>Learning effect: 15 % (for fusion island part) "We expect that LR for manufacture cost for a tokamak FPP would be as high as 15% of the coal and natural gas power plant, because the coal and natural gas power plant is considered as well matured technology, whereas the tokamak FPP is done as a new one and the effect of learning experience for a tokamak FPP is supposed to be larger than the coal and natural gas power plant."[...] "50% cost reduction of TF coils by advancement of manufacture according to EU proposal "</t>
  </si>
  <si>
    <t>500 MWfus</t>
  </si>
  <si>
    <t>Initial estimates; Management and support 477 MUSD &amp; R&amp;D during construction 60-80 MUSD with 70 R&amp;D as average included as indirect costs; Lifetime 20 years; Construction time: 10 years; "inductively driven pulse has a nominal burn duration of 400 s, with a pulse repetition period as short as 1800 s."</t>
  </si>
  <si>
    <t>Initial estimates; Approximation and hypothetical since no market given</t>
  </si>
  <si>
    <t>Initial estimates; divertor high heat flux components (possibly five times during the plant life time); Fuel excluded; 500 MWfusion = 150 MWe as being assumed in Woodruff et al. (2017)</t>
  </si>
  <si>
    <t>With/Without Central Solenoid</t>
  </si>
  <si>
    <t>Jo et al. (2021)</t>
  </si>
  <si>
    <t>Fuel Cost included</t>
  </si>
  <si>
    <t>With Central Solenoid min</t>
  </si>
  <si>
    <t>With Central Solenoid max</t>
  </si>
  <si>
    <t>Direct Capital Cost</t>
  </si>
  <si>
    <t>w/o Contingency</t>
  </si>
  <si>
    <t>Construction time: 6 years; Lifetime 40 years; FCR 10%</t>
  </si>
  <si>
    <t>ACT1</t>
  </si>
  <si>
    <t>Advanced Physics/ Advanced Technology; service lifetimes for ACT1 of 5 full-power years (FPY) for the first wall, blanket, and divertor, 20 FPY for the structural ring, and 40 FPY for outer components were based on radiation damage considerations</t>
  </si>
  <si>
    <t>ACT2</t>
  </si>
  <si>
    <t>Conservative Physics/ Conservative Technology; service lifetimes for ACT2 of 8 full-power years (FPY) for the first wall, blanket, and divertor, 20 FPY for the structural ring, and 40 FPY for outer components were based on radiation damage considerations</t>
  </si>
  <si>
    <t>ACT3</t>
  </si>
  <si>
    <t>AdvancedPhysics/ Conservative Technology; 40 FPY</t>
  </si>
  <si>
    <t>ACT4</t>
  </si>
  <si>
    <t>Conservative Physics/Advanced Technology; 40 FPY</t>
  </si>
  <si>
    <t>NLHD-D1 Scaling Heliotron</t>
  </si>
  <si>
    <t>Heliotron</t>
  </si>
  <si>
    <t>Dolan et al. (2005)</t>
  </si>
  <si>
    <t>Beta: 4%; FCR: 9.66%; 6 years construction time</t>
  </si>
  <si>
    <t>Base Case Heliotron</t>
  </si>
  <si>
    <t>Blanket and Divertor Replacement Frequency: 6.7 years</t>
  </si>
  <si>
    <t>ARIES-SPSS</t>
  </si>
  <si>
    <t>Modular; Beta: 5%; FCR: 9.66%; 6 years construction time</t>
  </si>
  <si>
    <t>Beta-value 3%;  beta value is below the experimentally attained value of 4%; FCR: 9.66%; 6 years construction time</t>
  </si>
  <si>
    <t>Large Helical Device</t>
  </si>
  <si>
    <t>Kozaki et al. (2009)</t>
  </si>
  <si>
    <t>D-T</t>
  </si>
  <si>
    <t>Kessel et al. (2015)</t>
  </si>
  <si>
    <t>Differences in physical parameters in ß and gamma lead to differences in magnet costs (as largest cost share), fusion power, plasma radius and volume</t>
  </si>
  <si>
    <t xml:space="preserve">- Magnets (70% winding and superconduting strands thereof)
- Blanket and Shield (increases prooptional to reactor wall surface </t>
  </si>
  <si>
    <t>FCR: 5,78%; Lifetime: 40 years; Discount rate: 3%</t>
  </si>
  <si>
    <t>PULSAR-I</t>
  </si>
  <si>
    <t>Krakowski (1995)</t>
  </si>
  <si>
    <t>Approximation, derived from fig. 4; COE in terms of FPC mass power density (MPD) [in kilowatt(electric) per tonne] and the engineering gain QE; 40 years; Constant-dollar cost of money: 5%</t>
  </si>
  <si>
    <t>Compact Spheromak Reactor</t>
  </si>
  <si>
    <t>Spheromak</t>
  </si>
  <si>
    <t>HELIAC</t>
  </si>
  <si>
    <t>High-field Stellarator Reactor</t>
  </si>
  <si>
    <t>TITAN-II</t>
  </si>
  <si>
    <t>ARIES-III</t>
  </si>
  <si>
    <t>ARIES-II*</t>
  </si>
  <si>
    <t>Approximation, derived from fig. 4; COE in terms of FPC mass power density (MPD) [in kilowatt(electric) per tonne] and the engineering gain QE; 40 years; Constant-dollar cost of money: 5%; increasing the SSR confinement efficiency ß</t>
  </si>
  <si>
    <t>ARIES-IV</t>
  </si>
  <si>
    <t>Lifetime 40 years; Constant-dollar cost of money: 5%; with level of safety assurance = 4; Lifetime: 40 years</t>
  </si>
  <si>
    <t>Lunar; D-He3</t>
  </si>
  <si>
    <t>Without fuel</t>
  </si>
  <si>
    <t>Construction Cost</t>
  </si>
  <si>
    <t>Kramer (2023)</t>
  </si>
  <si>
    <t>when starting in 2035; adjustements after years of postponed project timeline, more pessimistic contingency; construction issues etc.</t>
  </si>
  <si>
    <t>Lako &amp; Seebregts (1998)</t>
  </si>
  <si>
    <t>Table A2; in 2050; CF: 70% in 2040, 72.5% in 2050, 75% in 2070; lifetime 30 years; O&amp;M cost for 2050; 377 EUR/kW in 2040; 430 EUR/kW in 2030</t>
  </si>
  <si>
    <t>Commercial Twin Reactor</t>
  </si>
  <si>
    <t>in 2100; Construction time: 6.25 years; based on Gilli &amp; Kurz (1998)</t>
  </si>
  <si>
    <t>in 2070; Construction time: 6.25 years; based on Gilli &amp; Kurz (1998)</t>
  </si>
  <si>
    <t>Commercial Single Reactor</t>
  </si>
  <si>
    <t>in 2050; Construction time: 6.25 years; based on Gilli &amp; Kurz (1998)</t>
  </si>
  <si>
    <t>DEMO</t>
  </si>
  <si>
    <t>in 2020; Construction time: 7 years; ITER-type; based on Gilli &amp; Kurz (1998)</t>
  </si>
  <si>
    <t>in 2020; Construction time: 6.25 years</t>
  </si>
  <si>
    <t>in 2030; Construction time: 6.25 years</t>
  </si>
  <si>
    <t>in 2040; Construction time: 6.25 years</t>
  </si>
  <si>
    <t>in 2070; Construction time: 6.25 years</t>
  </si>
  <si>
    <t>in 2100; Construction time: 6.25 years</t>
  </si>
  <si>
    <t>Commercial breeder</t>
  </si>
  <si>
    <t>Tandem Mirror</t>
  </si>
  <si>
    <t>Lee (1987)</t>
  </si>
  <si>
    <t>Blanket replacement after 3.5 years</t>
  </si>
  <si>
    <t>Selling excess electricity and fissile material to commercial markets while producing tritium and plutonium; 5% interest rate for 30 years</t>
  </si>
  <si>
    <t>ARC-2035</t>
  </si>
  <si>
    <t>Lerede et al. (2023)</t>
  </si>
  <si>
    <t xml:space="preserve"> Lifetime: 40 years; start of operation: 2035; construction time: 5 years; ARC-like commercial reactor</t>
  </si>
  <si>
    <t>(Quasi)-Continous</t>
  </si>
  <si>
    <t xml:space="preserve"> Lifetime: 40 years; start of operation: 2035; construction time: 5 years; ARC-like commercial reactors</t>
  </si>
  <si>
    <t>ARC-2050</t>
  </si>
  <si>
    <t xml:space="preserve"> Lifetime: 40 years; start of operation: 2050; construction time: 5 years; ARC-like commercial reactors</t>
  </si>
  <si>
    <t>EU-DEMO</t>
  </si>
  <si>
    <t xml:space="preserve"> Lifetime: 40 years; start of operation: 2060; construction time: 10 years</t>
  </si>
  <si>
    <t xml:space="preserve"> Lifetime: 40 years; start of operation: 2080; construction time: 10 years</t>
  </si>
  <si>
    <t>EU-DEMO Advanced</t>
  </si>
  <si>
    <t xml:space="preserve"> Lifetime: 40 years; construction time: 10 years</t>
  </si>
  <si>
    <t>Asian-DEMO</t>
  </si>
  <si>
    <t>Early large</t>
  </si>
  <si>
    <t>Lindley et al. (2023)</t>
  </si>
  <si>
    <t xml:space="preserve">"Based on energy sector data and similar to previous estimates (Han and Ward, 2009), we use a production learning rate of 10%. This has the effect of a 30% capital cost reduction for the 10th unit. For the small design with its larger numbers (75 units) to provide the same level of power capacity as the larger design the cost reduction is 48%";
Replacement every two years
</t>
  </si>
  <si>
    <t>"The first standardized commercial unit is called the Next of a Kind (NOAK). It does not have the one-off design, development, and regulatory costs of the FOAK plant. Production learning is important in reducing the effect of the initially very high capital costs. This is particularly the case for small fusion reactors where costs will initially be inevitably higher. Both the higher volumes for the same power capacity and the greater ability to use series factory manufacturing for the smaller components will have the most significant effects. "; 
Replacement every two years</t>
  </si>
  <si>
    <t>Advanced Large</t>
  </si>
  <si>
    <t>Small</t>
  </si>
  <si>
    <t>4-5 years construction time: "Smaller units can compensate for their diseconomies of scale through increased modularization and production learning and from their potentially shorter build schedule (which would reduce financing costs) (Lloyd et al., 2021), (Mignacca et al., 2020a)."</t>
  </si>
  <si>
    <t>Continuous</t>
  </si>
  <si>
    <t>75th-OAK</t>
  </si>
  <si>
    <t>5% discount rate</t>
  </si>
  <si>
    <t>7% discount rate</t>
  </si>
  <si>
    <t>9% discount rate</t>
  </si>
  <si>
    <t>Magaud et al. (2004)</t>
  </si>
  <si>
    <t>Mentioning of assumptions and calculations of other sources but not further mentioned; "million Dollar kwh" not realistic, therefore should be excluded</t>
  </si>
  <si>
    <t>PPCS Model A Min</t>
  </si>
  <si>
    <t>Maisonnier et al. (2007)</t>
  </si>
  <si>
    <t>PPCS Model A Max</t>
  </si>
  <si>
    <t>PPCS Model AB Min</t>
  </si>
  <si>
    <t>PPCS Model AB Max</t>
  </si>
  <si>
    <t>PPCS Model B Min</t>
  </si>
  <si>
    <t>PPCS Model B Max</t>
  </si>
  <si>
    <t>PPCS Model C Min</t>
  </si>
  <si>
    <t>PPCS Model C Max</t>
  </si>
  <si>
    <t>PPCS Model D Min</t>
  </si>
  <si>
    <t>Mature concept</t>
  </si>
  <si>
    <t>PPCS Model D Max</t>
  </si>
  <si>
    <t>Miller et al. (1991)</t>
  </si>
  <si>
    <t>"Decomissioning allowance"; 6 years construction time; 30 years lifetime; "Favorable learning-curve and mass-production cost credits, with reductions as of much as a factor of two, based on general industrial experience, can be anticipated as the novel technologies of fusion are commercialized" from learning curves in manufacturing</t>
  </si>
  <si>
    <t>Baseload</t>
  </si>
  <si>
    <t>Blanket/First-wall</t>
  </si>
  <si>
    <t>Deuterium</t>
  </si>
  <si>
    <t>Indirect Costs "Includes 903 M$ of Launching costs, which would not apply to tenth-of-a-kind systems."</t>
  </si>
  <si>
    <t>8 years construction time; 30 years lifetime</t>
  </si>
  <si>
    <t>interest rate: 4.35%</t>
  </si>
  <si>
    <t>TMPR</t>
  </si>
  <si>
    <t>400 Mwfus</t>
  </si>
  <si>
    <t>Moir (1986)</t>
  </si>
  <si>
    <t>Reactor+Li-A1 process plant; potentially be used as a producer for uranium and tritium for other plants without focusing on electricity production =&gt; no electricity production</t>
  </si>
  <si>
    <t>Tritium Production Cost</t>
  </si>
  <si>
    <t>USD/g</t>
  </si>
  <si>
    <t>with Electricity used at 28 mill/kWh; potentially be used to be sold to other plants; =&gt; no electricity production</t>
  </si>
  <si>
    <t>Fusion plant focusing on producing special nuclear (fusion and fission) materials rather than electricity due to high energy consumption: "two modes of operation--TMODE and
PMODE--for a fusion power of 427 MW. TMODE
produces a net tritium product of 10:8 kg/year,
whereas PMODE produces a net weapons-grade
plutonium product of 995 kg/year. " &amp; "power conversion and balance of plant sys- tems run on cold water and do not employ any electricity-generation equipment"
=&gt; no electricity production</t>
  </si>
  <si>
    <t>Generic Magnetic Fusion Reactor</t>
  </si>
  <si>
    <t>Moir (1992)</t>
  </si>
  <si>
    <t>HYLIFE-II</t>
  </si>
  <si>
    <t>Inertial</t>
  </si>
  <si>
    <t>30 years lifetime</t>
  </si>
  <si>
    <t>"about twice that of future coal and light-water-reactor nuclear power"</t>
  </si>
  <si>
    <t xml:space="preserve">O&amp;M Cost </t>
  </si>
  <si>
    <t>FPP_min</t>
  </si>
  <si>
    <t>Müller et al. (2019)</t>
  </si>
  <si>
    <t>cancel out since no essential data given</t>
  </si>
  <si>
    <t>FPP_mid</t>
  </si>
  <si>
    <t>FPP_max</t>
  </si>
  <si>
    <t>Najmabadi et al. (1998)</t>
  </si>
  <si>
    <t>Option 1-Reactor - Greenfield</t>
  </si>
  <si>
    <t>Famà et al. (2023)</t>
  </si>
  <si>
    <t>No Replacement Costs given: "we assume no replacement of the plasma-facing components and of other equipment subject to radiation damage required over the plant lifetime; new fusion power plant, based on a supercritical CO2 Brayton-Rankine triple pressure Combined Cycle with reheating to maximize the power plant efficiency"</t>
  </si>
  <si>
    <t>Option 2-Reactor - Greenfield</t>
  </si>
  <si>
    <t>Option 3-Reactor - Greenfield</t>
  </si>
  <si>
    <t>Option 4-Reactor - Greenfield</t>
  </si>
  <si>
    <t>Option 1-Reactor - restructured</t>
  </si>
  <si>
    <t>Option 2-Reactor - restructured</t>
  </si>
  <si>
    <t>Option 3-Reactor - restructured</t>
  </si>
  <si>
    <t>Option 4-Reactor - restructured</t>
  </si>
  <si>
    <t>interest rate 6%; Greenfield reference plant where everything has been built from zero/wihout restructuring</t>
  </si>
  <si>
    <t>Interest rate 2.7%; Greenfield reference plant where everything has been built from zero/wihout restructuring</t>
  </si>
  <si>
    <t>interest rate 2.7%; Greenfield reference plant where everything has been built from zero/wihout restructuring</t>
  </si>
  <si>
    <t>Interest rate 6%; Greenfield reference plant where everything has been built from zero/wihout restructuring</t>
  </si>
  <si>
    <t>interest rate 6%; based on ARIES calculations; 30 years lifetime; applies only to the retrofit of PWR plant and completely reuses the existing systems, including the electrical, heat rejection, and miscellaneous components, and the whole saturated steam-Rankine cycle, as they are (see Fig. 3(a)). A re-designed steam generator cou-ples the reactor cooling loop with the existing power conversion system. As a consequence, the pressure, the temperature, and the flow rate of the steam produced by the steam generator must match with the turbine design parameters. Since we reuse the existing PCS, the plant delivers the same gross electrical power and no update of the electric plant is needed. However, the fusion reactor self-consumption (power supplies for the magnets, pumping, cryogenic, and tritium plants) reduces the useful power compared to the original power plant.</t>
  </si>
  <si>
    <t>interest rate 2.7%; based on ARIES calculations; 30 years lifetime; applies only to the retrofit of PWR plant and completely reuses the existing systems, including the electrical, heat rejection, and miscellaneous components, and the whole saturated steam-Rankine cycle, as they are (see Fig. 3(a)). A re-designed steam generator cou-ples the reactor cooling loop with the existing power conversion system. As a consequence, the pressure, the temperature, and the flow rate of the steam produced by the steam generator must match with the turbine design parameters. Since we reuse the existing PCS, the plant delivers the same gross electrical power and no update of the electric plant is needed. However, the fusion reactor self-consumption (power supplies for the magnets, pumping, cryogenic, and tritium plants) reduces the useful power compared to the original power plant.</t>
  </si>
  <si>
    <t>interest rate 2.7%; based on ARIES calculations; 30 years lifetime; updates the existing steam turbines of the PWR plant by adding higher pressure stages. This allows the use of a new steam generator that produces super-heated steam at 180 bar and 420◦C (see Fig. 3(b)). As a consequence, the output electrical power from the PCS increases. To cover such a surplus electricity, the electrical, the miscellaneous system, as well as the buildings that house them and the turbine are updated.</t>
  </si>
  <si>
    <t>interest rate 6%; based on ARIES calculations; 30 years lifetime; updates the existing steam turbines of the PWR plant by adding higher pressure stages. This allows the use of a new steam generator that produces super-heated steam at 180 bar and 420◦C (see Fig. 3(b)). As a consequence, the output electrical power from the PCS increases. To cover such a surplus electricity, the electrical, the miscellaneous system, as well as the buildings that house them and the turbine are updated.</t>
  </si>
  <si>
    <t>interest rate 2.7%; based on ARIES calculations;  30 years lifetime; Option 3 updates the PWR plant by using a topping closed-loop Gas Turbine (GT) to re-power the existing saturated steam-Rankine cycle [62]. The GT uses supercritical CO2 as working fluid with the aim of converting the existing low-performance PCS to an high efficiency gas–steam combined cycle (CC, see Fig. 3c) and [54] for more details). A dedicated Heat Recovery Steam Generator (HRSG) uses the waste heat of the GT to produce steam at the same conditions of the mass flow, temperature, and pressure with respect to the original PCS. Notably, we include a single pressure HRSG without reheater (RH). Similarly to op-tion 2, we need to update the electrical, the miscellaneous, and the buildings to equip the larger size power plant due to the inclusion of the s-CO2 gas turbine.</t>
  </si>
  <si>
    <t>interest rate 6%; based on ARIES calculations;  30 years lifetime; Retrofit of a supercritical coal fired power plant, both currently operating and close to decommissioning towards a stellarator; reuse completely the electrical, heat rejection, and miscellaneous equipment, and the super-heated and supercritical steam-Rankine cycle without any update</t>
  </si>
  <si>
    <t>interest rate 6%; based on ARIES calculations;  30 years lifetime; Option 3 updates the PWR plant by using a topping closed-loop Gas Turbine (GT) to re-power the existing saturated steam-Rankine cycle [62]. The GT uses supercritical CO2 as working fluid with the aim of converting the existing low-performance PCS to an high efficiency gas–steam combined cycle (CC, see Fig. 3c) and [54] for more details). A dedicated Heat Recovery Steam Generator (HRSG) uses the waste heat of the GT to produce steam at the same conditions of the mass flow, temperature, and pressure with respect to the original PCS. Notably, we include a single pressure HRSG without reheater (RH). Similarly to op-tion 2, we need to update the electrical, the miscellaneous, and the buildings to equip the larger size power plant due to the inclusion of the s-CO2 gas turbine.</t>
  </si>
  <si>
    <t>interest rate 2.7%; based on ARIES calculations;  30 years lifetime; Retrofit of a supercritical coal fired power plant, both currently operating and close to decommissioning towards a stellarator; reuse completely the electrical, heat rejection, and miscellaneous equipment, and the super-heated and supercritical steam-Rankine cycle without any update</t>
  </si>
  <si>
    <t>Najmabadi et al. (2006)</t>
  </si>
  <si>
    <t>Advanced Tokamak</t>
  </si>
  <si>
    <t>ARIES-I (High-Field)</t>
  </si>
  <si>
    <t>ARIES-CS</t>
  </si>
  <si>
    <t>Najmabadi et al. (2008)</t>
  </si>
  <si>
    <t>assumes 85 % availability</t>
  </si>
  <si>
    <t>SSTR-like DEMO</t>
  </si>
  <si>
    <t>Oishi et al. (2012)</t>
  </si>
  <si>
    <t>Sheffield et al. (1986)</t>
  </si>
  <si>
    <t>Tritium bred but delivery still necessary during operation</t>
  </si>
  <si>
    <t>Steady-state</t>
  </si>
  <si>
    <t>"factory fabrication and modular construction"; 30 year lifetime; 9% interest rate</t>
  </si>
  <si>
    <t>"factory fabrication and modular construction"; 30 year lifetime; 9% interest rate; replacement every 2 years</t>
  </si>
  <si>
    <t>Takeda et al. (2020)</t>
  </si>
  <si>
    <t>1 GW class (t=50)</t>
  </si>
  <si>
    <t>Tokimatsu et al. (2002)</t>
  </si>
  <si>
    <t xml:space="preserve">5% discount rate; after 25 years; The two annual COE reduction rates (2.3% year−1 for the first 25 years, 0.25% year−1 for the subsequent 25 years) are set according to these cost reduction factors. </t>
  </si>
  <si>
    <t>1 GW class (t=25)</t>
  </si>
  <si>
    <t>1 GW class (t=0)</t>
  </si>
  <si>
    <t xml:space="preserve">5% discount rate; total capital cost reduction of 20% by plant construction technological learning; "We assume the presence of three cost reduction factors over the 25 years following fusion plant introduction based on reactor operation experiences and technological development. A plant Capacity utilization ratio of 78% (18% increase from the introduction year) and 2% operation cost fraction (2% reduction) are assumed for the reactor operation experiences. A total capital cost reduction of 20% by plant construction technological learning is assumed. A plant Capacity utilization ratio increment (up to 83%) is only assumed for the subsequent 25 years (from 25 to 50 years after the introduction year). The two annual COE reduction rates (2.3% year−1 for the first 25 years, 0.25% year−1 for the subsequent 25 years) are set according to these cost reduction factors. This treatment of nuclear fusion is comparative to those of other costly renewable technologies"
</t>
  </si>
  <si>
    <t>Tokimatsu et al. (2003)</t>
  </si>
  <si>
    <t>Low</t>
  </si>
  <si>
    <t>High</t>
  </si>
  <si>
    <t>UWMAK-III</t>
  </si>
  <si>
    <t>Tsoulfanidis (1981)</t>
  </si>
  <si>
    <t>Fusion power reactor</t>
  </si>
  <si>
    <t>Vaillancourt et al. (2008)</t>
  </si>
  <si>
    <t>Larger FOAK</t>
  </si>
  <si>
    <t>10th-OAK reactor</t>
  </si>
  <si>
    <t>ITER-like FPP (max)</t>
  </si>
  <si>
    <t>€/MWh</t>
  </si>
  <si>
    <t>Ward et al. (2005)</t>
  </si>
  <si>
    <t>ITER-like FPP (min)</t>
  </si>
  <si>
    <t>ARIES-1 (incl. Breeder)</t>
  </si>
  <si>
    <t>ARIES-1 (Non-Breeder)</t>
  </si>
  <si>
    <t>ESECOM-HE/Li (Breeder)</t>
  </si>
  <si>
    <t>ESECOM-HE/Li (Non-Breeder)</t>
  </si>
  <si>
    <t>ESECOM-V/Li (Breeder)</t>
  </si>
  <si>
    <t>ESECOM-V/Li (Non-Breeder)</t>
  </si>
  <si>
    <t>Reactor based on Najmadadi et al. (1990); Blanket Replacement; lifetime 3 years (modificated)</t>
  </si>
  <si>
    <t>ESECOM-He/LiO</t>
  </si>
  <si>
    <t>Reactor based on Holdren et al. (1987); Blanket Replacement; lifetime 3 years (modificated)</t>
  </si>
  <si>
    <t>ESECOM-V/Li</t>
  </si>
  <si>
    <t>Tritium production costs incorporate cosntruction &amp; operational costs (=material costs higher than steel) plus loss of revenue due to lower energy multiplicator compared to steel</t>
  </si>
  <si>
    <t>Tritium production costs incorporate cosntruction &amp; operational costs (=material costs lower than steel) plus loss of revenue due to lower energy multiplicator compared to steel</t>
  </si>
  <si>
    <t>ARIES-I (Non-Breeder)</t>
  </si>
  <si>
    <t>IDC: 5% over 30 years; Different capacity due to energy multiplication of steel</t>
  </si>
  <si>
    <t>IDC: 5% over 30 years</t>
  </si>
  <si>
    <t>ARIES-I (Breeder)</t>
  </si>
  <si>
    <t>"FPP"_min</t>
  </si>
  <si>
    <t>Magneto-Inertial</t>
  </si>
  <si>
    <t>Stabilized Liner Compressor / Plasma Jet Driven Magneto-Inertial Fusion / Staged Z-Pinch / Sheared Flow Stabilized Z-Pinch</t>
  </si>
  <si>
    <t>Woodruff et al. (2017)</t>
  </si>
  <si>
    <t>Four different fusion technologies: Stablized Liner Compressor, Plansa Jet Driven Magneto-Intertial Fusion, Staged Z-Pinch, Sheared Flow Stabilized Z-Pinch;  Fusion Power Core is 10th-of-a-kind and the BOP is nth-of-a-kind; 6 years construction time</t>
  </si>
  <si>
    <t>pulsed reactor operation with tendency to steady-state fusion plant since PCS is operating in steady-state: "coolant temperature fluctuations must be equilibrated in the hot leg of the primary coolant piping to provide steady operation of the steam generator and turbine generator equipment" (fungiert der Kühlkreislauf (insbesondere die Hauptwärmeübertragungs- und Transportsysteme) als ein thermischer Puffer. Er nimmt die gepulste Wärmeenergie des Fusionskerns auf und liefert sie in einem stetigen Strom an den Dampfgenerator, der wiederum die Turbine und den Generator antreibt, um eine konstante Stromabgabe an das Netz zu gewährleisten.)</t>
  </si>
  <si>
    <t>TFTR</t>
  </si>
  <si>
    <t>9.3 MWfus</t>
  </si>
  <si>
    <t>Perry et al. (2003)</t>
  </si>
  <si>
    <t>Test reactor not constructed/operated for electric output; Capacity as cited by Woodruff et al. (2017)</t>
  </si>
  <si>
    <t>Generomak - ESECOM</t>
  </si>
  <si>
    <t>Delene et al. (1988) as cited by Woodruff et al. (2017)</t>
  </si>
  <si>
    <t>"FPP"_average</t>
  </si>
  <si>
    <t>Four different fusion technologies: Stabilized Liner Compressor, Plansa Jet Driven Magneto-Intertial Fusion, Staged Z-Pinch, Sheared Flow Stabilized Z-Pinch;  Fusion Power Core is 10th-of-a-kind and the BOP is nth-of-a-kind; 6 years construction time</t>
  </si>
  <si>
    <t>"FPP"_max</t>
  </si>
  <si>
    <t>USD/gram</t>
  </si>
  <si>
    <t>Tritium cost min; 200 gram needed; cost of deuterium has neglibible impact on operating costs</t>
  </si>
  <si>
    <t>Hsu et al. (2020)</t>
  </si>
  <si>
    <t xml:space="preserve"> contingency costs are omitted for this study on the basis that we are considering an nth of a kind power plant, one in which the contingency ought to be close to zero.</t>
  </si>
  <si>
    <t>FPP_low</t>
  </si>
  <si>
    <t>Four different fusion technologies: Stabilized Liner Compressor, Plansa Jet Driven Magneto-Intertial Fusion, Staged Z-Pinch, Sheared Flow Stabilized Z-Pinch; 6 years construction time</t>
  </si>
  <si>
    <t>Decontamination and Decommissioning</t>
  </si>
  <si>
    <t>IDC: 37.9 MUSD</t>
  </si>
  <si>
    <t>FPP_high</t>
  </si>
  <si>
    <t>Decommissioning Cost</t>
  </si>
  <si>
    <t>IDC: 66.8 MUSD</t>
  </si>
  <si>
    <t>Der Wert "COE2" in Tabelle 4 "erfasst Lernkurven-Gutschriften für CAS22". CAS22 bezieht sich auf "Reactor Plant Equip." und umfasst alle Geräte, die zur Dampfversorgung der Turbinen benötigt werden, einschließlich des Fusionsleistungskerns und seiner Komponenten</t>
  </si>
  <si>
    <t>Four different fusion technologies: Stabilized Liner Compressor, Plansa Jet Driven Magneto-Intertial Fusion, Staged Z-Pinch, Sheared Flow Stabilized Z-Pinch; 3 years construction time</t>
  </si>
  <si>
    <t>Tokamak Reactor-1</t>
  </si>
  <si>
    <t>Yamazaki and Dolan (2006)</t>
  </si>
  <si>
    <t>USD per Yen: 0.006804 in 2003 (from https://abokiforex.app/world/converter?rate=2003&amp;from=jpy&amp;to=usd)</t>
  </si>
  <si>
    <t>Tokamak Reactor-2</t>
  </si>
  <si>
    <t>Helical Reactor-1</t>
  </si>
  <si>
    <t>Helical Reactor-2</t>
  </si>
  <si>
    <t>Yamazaki et al. (2009)</t>
  </si>
  <si>
    <t>Lifetime 30 years</t>
  </si>
  <si>
    <t>Spherical Reactor-1</t>
  </si>
  <si>
    <t>Tokamak (Fusion-Fission Hybrid)</t>
  </si>
  <si>
    <t>Yamazaki et al. (2011)</t>
  </si>
  <si>
    <t>Tokamak (D-3He)</t>
  </si>
  <si>
    <t>Lifetime 30 years; uran oxide in blanket wall</t>
  </si>
  <si>
    <t>Wall lifetime 13.3 years</t>
  </si>
  <si>
    <t>Lifetime 30 years; lunar helium, larger plasma radius and power requirements: "GHG emission of a D–3He reactor using lunar helium is higher than that of DT reactors because of a larger plasma major radius Rp and higher power current-drive requirements, as well as lunar helium 3 fuel processing and transportation (300$/g-3He, 180 kt-CO2/t-3He)"</t>
  </si>
  <si>
    <t>IFE (with FLIBE Breeder)</t>
  </si>
  <si>
    <t>Tokamak Reactor (DT)</t>
  </si>
  <si>
    <t>Spherical Tokamak (DT)</t>
  </si>
  <si>
    <t>Helical Reactor (DT)</t>
  </si>
  <si>
    <t>From</t>
  </si>
  <si>
    <t>To</t>
  </si>
  <si>
    <t>MCF</t>
  </si>
  <si>
    <t>ICF</t>
  </si>
  <si>
    <t>MIF</t>
  </si>
  <si>
    <t>Helical</t>
  </si>
  <si>
    <t>Mirror</t>
  </si>
  <si>
    <t>RFP</t>
  </si>
  <si>
    <t>ConfTop</t>
  </si>
  <si>
    <t>Stage</t>
  </si>
  <si>
    <t>Max</t>
  </si>
  <si>
    <t>Mean</t>
  </si>
  <si>
    <t>Median</t>
  </si>
  <si>
    <t>P97.5</t>
  </si>
  <si>
    <t>MaxΔ</t>
  </si>
  <si>
    <t>Number of Data</t>
  </si>
  <si>
    <t>ICF_FOAK</t>
  </si>
  <si>
    <t>ICF_NOAK</t>
  </si>
  <si>
    <t>ICF_10th-OAK</t>
  </si>
  <si>
    <t>MCF_FOAK</t>
  </si>
  <si>
    <t>MCF_NOAK</t>
  </si>
  <si>
    <t>MCF_10th-OAK</t>
  </si>
  <si>
    <t>MIF_FOAK</t>
  </si>
  <si>
    <t>MIF_NOAK</t>
  </si>
  <si>
    <t>MIF_10th-OAK</t>
  </si>
  <si>
    <t>Xpos</t>
  </si>
  <si>
    <t>Tokamak_FOAK</t>
  </si>
  <si>
    <t>Tokamak_NOAK</t>
  </si>
  <si>
    <t>Tokamak_10th-OAK</t>
  </si>
  <si>
    <t>Helical_FOAK</t>
  </si>
  <si>
    <t>Helical_NOAK</t>
  </si>
  <si>
    <t>Helical_10th-OAK</t>
  </si>
  <si>
    <t>RFP_FOAK</t>
  </si>
  <si>
    <t>RFP_NOAK</t>
  </si>
  <si>
    <t>RFP_10th-OAK</t>
  </si>
  <si>
    <t>Mirror_FOAK</t>
  </si>
  <si>
    <t>Mirror_NOAK</t>
  </si>
  <si>
    <t>Mirror_10th-OAK</t>
  </si>
  <si>
    <t>Specific OCC Cost [USD/kW, 2018]</t>
  </si>
  <si>
    <t>Hilfsspalten --&gt;</t>
  </si>
  <si>
    <t>ReactorFamily</t>
  </si>
  <si>
    <t>Ref</t>
  </si>
  <si>
    <t>Link</t>
  </si>
  <si>
    <t>Publication Year</t>
  </si>
  <si>
    <t>https://doi.org/10.13182/FST10-329</t>
  </si>
  <si>
    <t>https://doi.org/10.1016/j.enpol.2010.09.019</t>
  </si>
  <si>
    <t>10.13182/fst87-a25051 </t>
  </si>
  <si>
    <t>https://doi.org/10.1016/j.fusengdes.2019.03.150</t>
  </si>
  <si>
    <t>10.1007/s10894-014-9770-x</t>
  </si>
  <si>
    <t>https://doi.org/10.1016/j.fusengdes.2017.07.017</t>
  </si>
  <si>
    <t>https://doi.org/10.1016/S0920-3796(02)00286-7</t>
  </si>
  <si>
    <t>https://www.tandfonline.com/doi/full/10.13182/FST91-A29443</t>
  </si>
  <si>
    <t>https://www.osti.gov/servlets/purl/6933413</t>
  </si>
  <si>
    <t>https://www.researchgate.net/publication/238109136_An_Assessment_of_the_Economics_of_Future_Electric_Power_Generation_Options_and_the_Implications_for_Fusion_-_Revision_1</t>
  </si>
  <si>
    <t>Dragojlovic et al (2010)</t>
  </si>
  <si>
    <t>https://linkinghub.elsevier.com/retrieve/pii/S0920379610000414</t>
  </si>
  <si>
    <t>https://linkinghub.elsevier.com/retrieve/pii/S0360544218305395</t>
  </si>
  <si>
    <t>https://doi.org/10.1016/j.esr.2019.100432</t>
  </si>
  <si>
    <t>doi:10.1016/j.fusengdes.2008.12.104</t>
  </si>
  <si>
    <t>http://dx.doi.org/10.1016/j.nima.2013.05.095</t>
  </si>
  <si>
    <t>https://doi.org/10.13182/FST96-A11963181</t>
  </si>
  <si>
    <t>https://www.jstage.jst.go.jp/article/pfr/14/0/14_1305047/_pdf/-char/en</t>
  </si>
  <si>
    <t>https://www-pub.iaea.org/MTCD/Publications/PDF/ITER-EDA-DS-22.pdf</t>
  </si>
  <si>
    <t>https://doi.org/10.3390/en14206817</t>
  </si>
  <si>
    <t>https://www.osti.gov/servlets/purl/1178069</t>
  </si>
  <si>
    <t>10.1088/0029-5515/49/11/115011</t>
  </si>
  <si>
    <t>https://www.tandfonline.com/doi/full/10.13182/FST95-A30370</t>
  </si>
  <si>
    <t>https://doi.org/10.1063/PT.3.5287</t>
  </si>
  <si>
    <t>https://www.semanticscholar.org/paper/CHARACTERISATION-OF-POWER-GENERATION-OPTIONS-FOR-21-Seebregts/8153954fe81c174fadc5c78f121e1f8e71f7d15c</t>
  </si>
  <si>
    <t>http://link.springer.com/10.1007/BF01053331</t>
  </si>
  <si>
    <t>10.1016/j.esr.2023.101144</t>
  </si>
  <si>
    <t>https://doi.org/10.1016/j.enpol.2023.113511</t>
  </si>
  <si>
    <t>https://doi.org/10.1016/B0-12-176480-X/00305-3</t>
  </si>
  <si>
    <t>http://dx.doi.org/10.1088/0029-5515/47/11/014</t>
  </si>
  <si>
    <t>Meschini et al. (2023)</t>
  </si>
  <si>
    <t>https://www.frontiersin.org/articles/10.3389/fenrg.2023.1157394/full</t>
  </si>
  <si>
    <t>https://doi.org/10.13182/FST91-A29444</t>
  </si>
  <si>
    <t>https://www.osti.gov/servlets/purl/6086979</t>
  </si>
  <si>
    <t>https://doi.org/10.1007/BF01051015</t>
  </si>
  <si>
    <t>https://cds.cern.ch/record/1054761/files/p467.pdf</t>
  </si>
  <si>
    <t>10.1016/j.fusengdes.2019.03.043</t>
  </si>
  <si>
    <t>Najmabadi et al. (1991)</t>
  </si>
  <si>
    <t>https://www.sciencedirect.com/science/article/abs/pii/B9780444885081500335?via%3Dihub</t>
  </si>
  <si>
    <t>https://doi.org/10.1016/S0920-3796(97)00153-1</t>
  </si>
  <si>
    <t>https://doi.org/10.1016/j.fusengdes.2005.11.003</t>
  </si>
  <si>
    <t>DOI: 10.13182/FST54-655</t>
  </si>
  <si>
    <t>https://www.jspf.or.jp/PFR/PDF/pfr2012_07-2405115.pdf</t>
  </si>
  <si>
    <t>Roulstone (2021)</t>
  </si>
  <si>
    <t>http://link.springer.com/10.1007/s10894-020-00230-z</t>
  </si>
  <si>
    <t>https://iopscience.iop.org/article/10.1088/0029-5515/42/11/301/pdf</t>
  </si>
  <si>
    <t>https://doi.org/10.13182/FST81-A19927</t>
  </si>
  <si>
    <t>doi.org/10.1016/j.enpol.2008.01.015</t>
  </si>
  <si>
    <t>http://large.stanford.edu/courses/2011/ph240/kumar2/docs/tritium.pdf</t>
  </si>
  <si>
    <t>http://rgdoi.net/10.13140/RG.2.2.24116.55688</t>
  </si>
  <si>
    <t>https://www.osti.gov/servlets/purl/1820946</t>
  </si>
  <si>
    <t>doi:10.1016/j.fusengdes.2005.09.038</t>
  </si>
  <si>
    <t>http://dx.doi.org/10.1088/0029-5515/49/5/055017</t>
  </si>
  <si>
    <t>https://conferences.iaea.org/event/304/contributions/24735/attachments/12924/19891/Woodruff-IAEA-2022.pdf</t>
  </si>
  <si>
    <t>http://dx.doi.org/10.1088/0029-5515/51/10/103004</t>
  </si>
  <si>
    <t>10.13182/FST05-A599 </t>
  </si>
  <si>
    <t>Famà et al. (2024)</t>
  </si>
  <si>
    <t>https://doi.org/10.1016/j.ecmx.2024.100668</t>
  </si>
  <si>
    <t>https://www.researchgate.net/publication/4141582_Decommissioning_of_the_Tokamak_Fusion_Test_Reactor</t>
  </si>
  <si>
    <t>US_CPI</t>
  </si>
  <si>
    <t>USD_per_EUR</t>
  </si>
  <si>
    <t>DEM_per_USD</t>
  </si>
  <si>
    <t>USD_per_EUR_full</t>
  </si>
  <si>
    <t>USD_to_2018_Factor</t>
  </si>
  <si>
    <t>EUR_to_USD_2018_factor</t>
  </si>
  <si>
    <r>
      <rPr>
        <b/>
        <sz val="10"/>
        <color theme="1"/>
        <rFont val="Calibri"/>
        <family val="2"/>
        <scheme val="minor"/>
      </rPr>
      <t>Formulas and Values:</t>
    </r>
    <r>
      <rPr>
        <sz val="10"/>
        <color theme="1"/>
        <rFont val="Calibri"/>
        <family val="2"/>
        <scheme val="minor"/>
      </rPr>
      <t xml:space="preserve">
- 1 EUR = 1.95583 DM or equivalent DEM per EUR = 1.95583
- USD Inflation factor for year x to year 2018: USD_to_2018_factor in table 
   = USD_to_2018_factor (year x) = USD CPI (2018)/ US CPI (year x)
- yearly average USD per EUR (year ≥ 1999) = USD_per_EUR in table 
- yearly average DEM per USD (year &lt; 1999) = DEM_per_USD in table
- yearly average USD per EUR (year &lt; 1999) = USD_per_EUR_full in table 
   = [1/DEM per USD (year x)] * DEM per EUR = [1/DEM_per_USD (year x)] * 1.95583
</t>
    </r>
    <r>
      <rPr>
        <u/>
        <sz val="10"/>
        <color theme="1"/>
        <rFont val="Calibri"/>
        <family val="2"/>
        <scheme val="minor"/>
      </rPr>
      <t>USD 2018 values:</t>
    </r>
    <r>
      <rPr>
        <sz val="10"/>
        <color theme="1"/>
        <rFont val="Calibri"/>
        <family val="2"/>
        <scheme val="minor"/>
      </rPr>
      <t xml:space="preserve">
- USD value in year x to year 2018: not in table but directly taken by formula
   = USD value (year x) * USD_to_2018_factor (year x)
- EUR value in year x ≥ 1999 to year 2018: EUR_to_USD_2018_factor in table
   =  EUR_to_USD_2018_factor (year x) = USD_per_EUR (year x) * USD_to_2018_factor (year x)
- EUR value in year x &lt; 1999 to year 2018: EUR_to_USD_2018_factor in table
   =  EUR_to_USD_2018_factor (year x) = [[1/DEM per USD (year x)] * 1.95583] * USD_to_2018_factor (year x)</t>
    </r>
  </si>
  <si>
    <t>Taken from https://data.bls.gov/pdq/SurveyOutputServlet
Series CUUR0000SA0</t>
  </si>
  <si>
    <t>Taken from https://fred.stlouisfed.org/series/DEXUSEU#</t>
  </si>
  <si>
    <t>Taken from https://www.bundesbank.de/en/statistics/time-series-databases/data-basket/748932!submitdataBasket?mode=its&amp;databasketActionDownload=Go+to+download&amp;its_from=1978-01&amp;its_to=2018-12&amp;its_fileFormat=csv&amp;its_csvFormat=de&amp;its_currency=hypothetical&amp;its_dateFormat=default&amp;tsId=BBEX3.A.USD.DEM.AA.AC.A04&amp;tsIdToAdd=</t>
  </si>
  <si>
    <t>Min</t>
  </si>
  <si>
    <t>https://www.sciencedirect.com/science/article/pii/S0301421502001271#APPA</t>
  </si>
  <si>
    <t>High; experimental reactor in 2010, succeeded by a demonstration reactor in 2030, in order to begin using a power reactor in 2050; based on Cost assessment of several reactor designs of tokamak-type (Kikuchi (1991), Kikuchi (1996); Okano, 1998; Miller, 1997).</t>
  </si>
  <si>
    <t>Low; experimental reactor in 2010, succeeded by a demonstration reactor in 2030, in order to begin using a power reactor in 2050; based on Cost assessment of several reactor designs of tokamak-type (Kikuchi (1991), Kikuchi (1996); Okano, 1998; Miller, 1997).</t>
  </si>
  <si>
    <t>Kikuchi et al. (1996)</t>
  </si>
  <si>
    <t>https://doi.org/10.13182/FST96-A11963184</t>
  </si>
  <si>
    <t>A-SSTR</t>
  </si>
  <si>
    <t>SSTR</t>
  </si>
  <si>
    <t>IDC: 24.06% of 3.41 billion USD ; DEMO reactor</t>
  </si>
  <si>
    <t>Low; FCR 16%;  ◦ Blankets:
        ▪ Für den 30-jährigen Betrieb des Fusionsreaktors wird eine Lithiummenge von insgesamt 304 Tonnen geschätzt.
        ▪ Davon sind 230 Tonnen für "austauschbare Blankets" vorgesehen. Dies ergibt sich aus "23 Tonnen mal 10", was bedeutet, dass diese austauschbaren Blankets voraussichtlich 10 Mal über die Lebensdauer des Reaktors ersetzt werden. Es gibt auch "permanente Blankets", für die 74 Tonnen Lithium anfallen, aber der Austauschfokus liegt auf den "austauschbaren Blankets".
        ▪ Für den Fall, dass Vanadium-Legierungen in den Blankets verwendet werden, wird angenommen, dass alle 3 Jahre 200 Tonnen dieser Legierungen ersetzt werden müssen. Ein Reaktor würde initial 600 Tonnen Vanadium-Legierungen im Blanket verwenden.</t>
  </si>
  <si>
    <t>High; FCR 16%;  ◦ Blankets:
        ▪ Für den 30-jährigen Betrieb des Fusionsreaktors wird eine Lithiummenge von insgesamt 304 Tonnen geschätzt.
        ▪ Davon sind 230 Tonnen für "austauschbare Blankets" vorgesehen. Dies ergibt sich aus "23 Tonnen mal 10", was bedeutet, dass diese austauschbaren Blankets voraussichtlich 10 Mal über die Lebensdauer des Reaktors ersetzt werden. Es gibt auch "permanente Blankets", für die 74 Tonnen Lithium anfallen, aber der Austauschfokus liegt auf den "austauschbaren Blankets".
        ▪ Für den Fall, dass Vanadium-Legierungen in den Blankets verwendet werden, wird angenommen, dass alle 3 Jahre 200 Tonnen dieser Legierungen ersetzt werden müssen. Ein Reaktor würde initial 600 Tonnen Vanadium-Legierungen im Blanket verwenden.</t>
  </si>
  <si>
    <t>inkl. replacement; Scheduled maintenance (incl. replacements) 61 days (Nov. and Dec.)/2 years; Service time before plasma restart 10 days</t>
  </si>
  <si>
    <t>Reactor based on Najmadadi et al. (1990); Breeder replaced with RAF steel</t>
  </si>
  <si>
    <t>Reactor based on Holdren et al. (1987); Helium cooled, Li2O breeder</t>
  </si>
  <si>
    <t>Reactor based on Holdren et al. (1987); Different capacity due to energy multiplication of steel; Breeder replaced with RAF steel</t>
  </si>
  <si>
    <t>Reactor based on Holdren et al. (1987); Liquid lithium breeder and coolant in vanadium structure</t>
  </si>
  <si>
    <t>Reactor based on Najmadadi et al. (1990); idc = 671.69; escalation during construction: 402.63; high temperature breeder Li2ZrO3 and beryllium used as multiplier</t>
  </si>
  <si>
    <t>Q1</t>
  </si>
  <si>
    <t>Q3</t>
  </si>
  <si>
    <t>Design of mature commercial FPP based on improved ITER parameters (costs projected for FOAK deployment stage); Für ein FOAK-Szenario (z.B. eine ITER-ähnliche Anlage zu Beginn) wird ein Lernfaktor von 1 angenommen</t>
  </si>
  <si>
    <t>Q1_minus_MIN</t>
  </si>
  <si>
    <t>Null</t>
  </si>
  <si>
    <t>Max_minus_Q3</t>
  </si>
  <si>
    <t>Confinement Type_Readiness</t>
  </si>
  <si>
    <t>Observations</t>
  </si>
  <si>
    <t>97.5th percentile</t>
  </si>
  <si>
    <t>Low Base</t>
  </si>
  <si>
    <t>High Base</t>
  </si>
  <si>
    <t>25th percentile</t>
  </si>
  <si>
    <t>75th percentile</t>
  </si>
  <si>
    <t>Whisker low</t>
  </si>
  <si>
    <t>Whisker high</t>
  </si>
  <si>
    <t>97.5 percentile for FOAK</t>
  </si>
  <si>
    <t>97.5 percentile for NOAK</t>
  </si>
  <si>
    <t>97.5 percentile for 1Oth-OAK</t>
  </si>
  <si>
    <t>97.5 percentile for 75th-OAK</t>
  </si>
  <si>
    <t>every 4 years for some blanket modules</t>
  </si>
  <si>
    <t>Direct cost estimate without contingency or complexity markup; Nb3Sn magnets</t>
  </si>
  <si>
    <t>Direct Cost</t>
  </si>
  <si>
    <t>installation in 2060s; "The cost of the future nuclear fusion power plant was also estimated as Table 2 with system code FUSAC [9]. It has to be noted that FUSAC estimates the costs based on Generomak"; no explicit year given but "It has to be noted that FUSAC estimates the costs based on Generomak; as a result, some costs may seem underestimated in comparison to the latest estimations.", therefroe year of GENEROAK model is assumed as being year of costs</t>
  </si>
  <si>
    <t>O&amp;M Fixed</t>
  </si>
  <si>
    <t>O&amp;M Variable</t>
  </si>
  <si>
    <t>USD/GJ</t>
  </si>
  <si>
    <t>Minimum; differences in costs due to regional variations</t>
  </si>
  <si>
    <t>Maximum; differences in costs due to regional variations</t>
  </si>
  <si>
    <t>Fusion power plant</t>
  </si>
  <si>
    <t>https://fire.pppl.gov/eu_ppcs_full_2005.pdf</t>
  </si>
  <si>
    <t>97.5th percentil</t>
  </si>
  <si>
    <t>Inertial_FOAK</t>
  </si>
  <si>
    <t>Inertial_NOAK</t>
  </si>
  <si>
    <t>Inertial_10th-OAK</t>
  </si>
  <si>
    <t>Specific Fusion Technologies --&gt;</t>
  </si>
  <si>
    <t>Magneto-Inertial_FOAK</t>
  </si>
  <si>
    <t>Magneto-Inertial_NOAK</t>
  </si>
  <si>
    <t>Magneto-Inertial_10th-OAK</t>
  </si>
  <si>
    <t>Reactor Types_Readiness</t>
  </si>
  <si>
    <t xml:space="preserve"> as cited by Lindley et al. (2023) and Roulstone (2021)</t>
  </si>
  <si>
    <t>No Central Solenoid min</t>
  </si>
  <si>
    <t>No Central Solenoid max</t>
  </si>
  <si>
    <t xml:space="preserve">No Central Solenoid min </t>
  </si>
  <si>
    <t>The reference waste disposal cost conservatively assumes that the
1 mills/kW(e)h fee now being assessed for fission reactors will also be
«M&gt;
assessed on fusion reactors. The waste streams from fusion plants, however,
are very different than those from a fission plant and it is expected
that waste disposal costs for fusion will be less than that for
fission. The actual waste cost will vary, depending on the blanket and
shield material used.</t>
  </si>
  <si>
    <t>Waste Disposal Cost</t>
  </si>
  <si>
    <t>Fuel Costs= "the blanket, limiter, and a portion of the current-drive system (e.g., antennae or window), as well as blanket coolant inventory and makeup, waste disposal, and a charge for fuel and miscellaneous scheduled replacements"; fuel costs and waste disposal cost have been excluded</t>
  </si>
  <si>
    <t>Referenced</t>
  </si>
  <si>
    <t>Moir (1986) as cited by Woodruff et al. (2017)</t>
  </si>
  <si>
    <t>Generomak-ESECOM</t>
  </si>
  <si>
    <t>Reactor based on ARIES Code</t>
  </si>
  <si>
    <t>Reactor based on SCAN Code</t>
  </si>
  <si>
    <t xml:space="preserve">"Fuel burnup is estimated at 530 grams/day for T or D. Considering a small amount of leakage (5%) and the plant availability of 75%, a prorated daily D. usage would be 420 g and the annual cost would be $333,000"; </t>
  </si>
  <si>
    <t>"At initial plant startup, •&gt;» 10 kg of tritium will be supplied from offsite."</t>
  </si>
  <si>
    <t>required start-up tritium quantity would be 150 grams for the 500 MWfusion ITER FPP. The introduction of the initial tritium quantity would kick start the D-T process. (based on Woodruff 2017)</t>
  </si>
  <si>
    <t>no safety-assurance cost credits [37] have been taken, which may be expected to result from the use of low-activation materials. These credits lower the reported COE by 20% to 25%</t>
  </si>
  <si>
    <t>conceptual 1000-MWe ITER extrapolation (A ~ 3) using nearer-term 14-T TF coils</t>
  </si>
  <si>
    <t>100th-OAK</t>
  </si>
  <si>
    <t>97.5 percentile for 100th-OAK</t>
  </si>
  <si>
    <t>Same as PWR or IPWR (fission reactor)</t>
  </si>
  <si>
    <t>advanced technology: "ARIES-AT design uses the same physics basis as ARIES-RS, a reversed-shear pla distinct difference between ARIES-RS and ARIES-AT plasmas is the higher plasma elongation of ARIES-AT (κx = 2.2) which is the result of a “thinner” blanket leading to a large increase in plasmaβ to 9.2% (compared to 5% for ARIES-RS) with only a slightly higherβN."; HTS magnest primarly;  unit direct cost: 1521 $/kWe; unit overnight cost: 2441 $/kWe; 40 years lifetime; IDC: 403.2 MUSD</t>
  </si>
  <si>
    <t>CF: 0.8</t>
  </si>
  <si>
    <t>CF. 0.95</t>
  </si>
  <si>
    <t>CF: 0.75</t>
  </si>
  <si>
    <t>CF: 0.65</t>
  </si>
  <si>
    <t>CF: 0.7</t>
  </si>
  <si>
    <t>CF: 0.685</t>
  </si>
  <si>
    <t>CF: 0.56</t>
  </si>
  <si>
    <t>CF: 0.85</t>
  </si>
  <si>
    <t>CF: 0.76</t>
  </si>
  <si>
    <t>CF: 0.9</t>
  </si>
  <si>
    <t>CF: 0.675</t>
  </si>
  <si>
    <t>The required start-up tritium quantity would be 150 grams for the 500 MWfusion ITER FPP. The introduction of the initial tritium quantity would kick start the D-T process. During the introduction of start-up tritium fuel into the fusion reactor, some tritium would end up in permeable spaces in the blanket. Therefore, a quantity of 200 grams of start-up tritium is recommended for a standard 150 MWe FPP.
Due to its scarcity, tritium costs $109,570 to $169,570 per gram in 2016 USD [Reference 64]. Therefore, the one-time start-up tritium cost ranges from $22 M to $34 M (2016 USD) for a standard 150 MWe FPP.</t>
  </si>
  <si>
    <t>Contingency</t>
  </si>
  <si>
    <t>Specific OCC Cost [USD/kW, 2018] with Contingency</t>
  </si>
  <si>
    <t>Blanket replacement; 5 year replacement frequency for blankets; =&gt; no electricity production</t>
  </si>
  <si>
    <t>Comment2</t>
  </si>
  <si>
    <t>Cost [USD/kW, 2018]</t>
  </si>
  <si>
    <t>Trennung von Heavy Ion Fusion und Laser ICF:</t>
  </si>
  <si>
    <t xml:space="preserve"> 14 MUSD per year; Lifetime: 40 years; start of operation: 2050; construction time: 5 years; ARC-like commercial reactors</t>
  </si>
  <si>
    <t>23 MUSD per year; Lifetime: 40 years; start of operation: 2060; construction time: 10 years</t>
  </si>
  <si>
    <t>17 MUSD per year; Lifetime: 40 years; start of operation: 2080; construction time: 10 years</t>
  </si>
  <si>
    <t>10.13140/RG.2.2.20014.64324</t>
  </si>
  <si>
    <t>Four different fusion technologies: Stabilized Liner Compressor, Plansa Jet Driven Magneto-Intertial Fusion, Staged Z-Pinch, Sheared Flow Stabilized Z-Pinch</t>
  </si>
  <si>
    <t>im vergleich dazu noak occ von anderen technologien zum vergleich welchen wert man erreichen müsste ? Also als zielvorgabe</t>
  </si>
  <si>
    <t>Van den Berg (2016) as cited by Lindley et al (2023) and Roulstone (2021)</t>
  </si>
  <si>
    <t>Van den Berg (2016) as cited by Roulstone (2021)</t>
  </si>
  <si>
    <t>Sheffield and Milora (2016)</t>
  </si>
  <si>
    <t>calculated based on given formula; Construction time 7 years</t>
  </si>
  <si>
    <t>calculated based on given formula; Construction time 6 years</t>
  </si>
  <si>
    <t>European Model C Reactor</t>
  </si>
  <si>
    <t>ARIES-AT Advanced</t>
  </si>
  <si>
    <t xml:space="preserve">ARIES-AT </t>
  </si>
  <si>
    <t>ITER-like</t>
  </si>
  <si>
    <t>calculated based on given formula; Construction time 10 years</t>
  </si>
  <si>
    <t>Steady-State or repetitive pulsed ("Here, we look at the underlying costs of steady-state, or repetitively pulsed toroidal, cylindrical, and spherical reactor chamber reactors, with a fixed fusion power and average neutron wall loading.")</t>
  </si>
  <si>
    <t>Generic Toroidal Reactor</t>
  </si>
  <si>
    <t>Construction time 7 years, FCR: 0.1</t>
  </si>
  <si>
    <t>Construction time 6 years, FCR: 0.1</t>
  </si>
  <si>
    <t>Construction time 6 years, FCR: 0.1; lifetime 40 years</t>
  </si>
  <si>
    <t>calculated based on given formula; Construction time 6 years; 40 years lifetime; learning rateassumptions: "the learning factor and, using it, calculates the possibility of much lower COEs 60% of the tenth of a kind for a very large number of plants, e.g., as the production is increased from 10 to 100 to 1000. Learning curves13 have the form C(y) where C(y) A y Ayb , cost to build the y’th unit f irst unit cost cumulative unit number (A.3) and b (log r)/(log2), where r is the learning rate that allows for the effect of doubling. TABLE A.IV Contribution to COE Comparison for FCRO 0.075 Contributor Ref. 5 FCRO 0.075 Capital cost Blanket, first wall, diverter Crucial to applying the formula is the assumption about the value of r. Annex 11 of Ref. 5 mentions r 0.82 as being typical of, for example, wind power....learning curves are very specific to the type of unit being consid-ered; it is likely unwise to read too much into data from, say, the wind power industry, and certainly not from the semiconductor industry, when considering limited pro-duction nuclear facilities."</t>
  </si>
  <si>
    <t>Contingency as multplicator of direct costs (1.15); calculated based on given formula; Construction time 6 years; 30 years lifetime</t>
  </si>
  <si>
    <t>Four different fusion technologies: Stablized Liner Compressor, Plansa Jet Driven Magneto-Intertial Fusion, Staged Z-Pinch, Sheared Flow Stabilized Z-Pinch;  Fusion Power Core is 10th-of-a-kind and the BOP is nth-of-a-kind; 6 years construction time; highly uncertain and pre-conceptual level</t>
  </si>
  <si>
    <t>Pessimistic scenario A; " rather conservative 10% learning rate"; 2-4% interest rate; 40 years litetime; in 2050</t>
  </si>
  <si>
    <t>Scenario B; " rather conservative 10% learning rate"; 2-4% interest rate; 40 years litetime; in 2050</t>
  </si>
  <si>
    <t>Optimistic scenario C; " rather conservative 10% learning rate"; 2-4% interest rate; 40 years litetim; in 2050</t>
  </si>
  <si>
    <t>Pessimistic scenario A; " rather conservative 10% learning rate"; 5-7% interest rate; 40 years lifetime; in 2070</t>
  </si>
  <si>
    <t>Scenario B; " rather conservative 10% learning rate"; 5-7% interest rate; 40 years lifetime; in 2070</t>
  </si>
  <si>
    <t>Optimistic scenario C; " rather conservative 10% learning rate"; 5-7% interest rate; 40 years lifetime; in 2070</t>
  </si>
  <si>
    <t>Advanced NOAK</t>
  </si>
  <si>
    <t>Highly Advanced NOAK</t>
  </si>
  <si>
    <t>Pessimistic scenario A; " rather conservative 10% learning rate"; 5-7% interest rate; 40 years litetime; in 2060</t>
  </si>
  <si>
    <t>Scenario B; " rather conservative 10% learning rate"; 5-7% interest rate; 40 years litetim; in 2060</t>
  </si>
  <si>
    <t>Optimistic scenario C; " rather conservative 10% learning rate"; 5-7% interest rate; 40 years litetim; in 2060</t>
  </si>
  <si>
    <t>Pessimistic scenario A; " rather conservative 10% learning rate"; 5-7% interest rate; 40 years litetime; in 2080</t>
  </si>
  <si>
    <t>Scenario B; " rather conservative 10% learning rate"; 5-7% interest rate; 40 years litetim; in 2080</t>
  </si>
  <si>
    <t>Optimistic scenario C; " rather conservative 10% learning rate"; 5-7% interest rate; 40 years litetim; in 2080</t>
  </si>
  <si>
    <t>Pessimistic scenario A; " rather conservative 10% learning rate"; 5-7% interest rate; 40 years litetime; in 2090</t>
  </si>
  <si>
    <t>Scenario B; " rather conservative 10% learning rate"; 5-7% interest rate; 40 years litetim; in 2090</t>
  </si>
  <si>
    <t>Optimistic scenario C; " rather conservative 10% learning rate"; 5-7% interest rate; 40 years litetim; in 2090</t>
  </si>
  <si>
    <t>Pessimistic scenario A; " rather conservative 10% learning rate"; 5-7% interest rate; 40 years litetime; in 2100</t>
  </si>
  <si>
    <t>Scenario B; " rather conservative 10% learning rate"; 5-7% interest rate; 40 years litetim; in 2100</t>
  </si>
  <si>
    <t>Optimistic scenario C; " rather conservative 10% learning rate"; 5-7% interest rate; 40 years litetim; in 2100</t>
  </si>
  <si>
    <t>Pessimistic scenario A; " rather conservative 10% learning rate"; 5-7% interest rate; 40 years lifetime; 2090-2100</t>
  </si>
  <si>
    <t>Scenario B; " rather conservative 10% learning rate"; 5-7% interest rate; 40 years litetim; 2090-2100</t>
  </si>
  <si>
    <t>Optimistic scenario C; " rather conservative 10% learning rate"; 5-7% interest rate; 40 years litetim; 2090-2100</t>
  </si>
  <si>
    <t>Pessimistic scenario A; " rather conservative 10% learning rate"; 5-7% interest rate; 40 years lifetime; 2060-2070</t>
  </si>
  <si>
    <t>Scenario B; " rather conservative 10% learning rate"; 5-7% interest rate; 40 years litetim; 2060-2070</t>
  </si>
  <si>
    <t>Optimistic scenario C; " rather conservative 10% learning rate"; 5-7% interest rate; 40 years litetim; 2060-2070</t>
  </si>
  <si>
    <t>Pessimistic scenario A; " rather conservative 10% learning rate"; 5-7% interest rate; 40 years lifetime; 2080-2090</t>
  </si>
  <si>
    <t>Scenario B; " rather conservative 10% learning rate"; 5-7% interest rate; 40 years litetim; 2080-2090</t>
  </si>
  <si>
    <t>Optimistic scenario C; " rather conservative 10% learning rate"; 5-7% interest rate; 40 years litetim; 2080-2090</t>
  </si>
  <si>
    <t>Pessimistic scenario A; " rather conservative 10% learning rate"; 2-4% interest rate; 40 years litetime; 2050-2060</t>
  </si>
  <si>
    <t>Scenario B; " rather conservative 10% learning rate"; 2-4% interest rate; 40 years litetim; 2050-2060</t>
  </si>
  <si>
    <t>Optimistic scenario C; " rather conservative 10% learning rate"; 2-4% interest rate; 40 years litetim; 2050-2060</t>
  </si>
  <si>
    <t>Pessimistic scenario A; " rather conservative 10% learning rate"; 5-7% interest rate; 40 years litetime; 2070-2080</t>
  </si>
  <si>
    <t>Scenario B; " rather conservative 10% learning rate"; 5-7% interest rate; 40 years litetime; 2070-2080</t>
  </si>
  <si>
    <t>Optimistic scenario C; " rather conservative 10% learning rate"; 5-7% interest rate; 40 years litetim; 2070-2080</t>
  </si>
  <si>
    <t>advanced noak since woodrfu is stating 10th-oak for reactor and hsu is advancement of woodruf paper</t>
  </si>
  <si>
    <t>occ in x achse und lcoe in y achse</t>
  </si>
  <si>
    <t>fazit eer in ee heute investieren als fusion</t>
  </si>
  <si>
    <t>drei szenarien für lcoe pro readiness</t>
  </si>
  <si>
    <t>https://doi.org/10.1016/j.rser.2021.110836</t>
  </si>
  <si>
    <t>Or 9.21 mills/kWh; "plant where modularization is used extensively and the design is standardized with module size and support methods fully defined. "; Lernkurven: Es werden Lernkurven auf Kostenschätzungen angewendet, z.B. eine 90%-Lernkurve für die supraleitenden TF-Magnete, was zu Blockdurchschnittskosten führt, die etwa die Hälfte der Kosten der ersten Einheit betragen</t>
  </si>
  <si>
    <t>Deuterium; "Fuel burnup is estimated at 530 grams/day for T or D. Considering a small amount of leakage (5%) and the plant availability of 75%, a prorated daily D. usage would be 420 g and the annual cost would be $333,000"; Die Deuteriumkosten werden auf ca. 2000 $/kg geschätzt. Tritium wird als "no cost item" betrachtet, da es von der Anlage selbst gebrütet wird</t>
  </si>
  <si>
    <t>Questions &amp; Answers to Assumptions</t>
  </si>
  <si>
    <t>Cost of capital: 5%; Construction time: 6 years; Lifetime: 30 years; IDC 10% of direct + indirect costs</t>
  </si>
  <si>
    <t>1. Welche Modellannahmen werden getroffen?
Die LIFE-Studie trifft mehrere Modellannahmen, die darauf abzielen, ein kommerziell attraktives und reifes Fusionskraftwerk zu konzipieren:
• Konzept und Technologiebasis: Das LIFE-Konzept konzentriert sich ausschließlich auf die reine Fusion und nutzt dabei die Wissenschaft und Technologie der National Ignition Facility (NIF). Dies umfasst die grundlegende Lasertechnologie (Neodym-dotierte Glas-Gain-Medien, Multipass-Architektur mit Spatial Filtering) und die Target-Physik (indirekt angetriebene Hot-Spot-Zündung).
• Laserdesign und Betrieb: Das Laserdesign wird für den Kraftwerksbetrieb modifiziert, um eine kompaktere, modulare Laserarchitektur für hohe Verfügbarkeit, aktives thermisches Management für höhere Wiederholungsraten (10 bis 20 Hz) und Diodenpumpen für eine höhere Lasereffizienz (~10 % bis 20 %) zu ermöglichen.
• Fusionsziele (Targets): Es wird angenommen, dass massenhaft herstellbare Fusionsziele verfügbar sind.
• Phasen des Kommerzialisierungspfads: Der Pfad wird durch drei "Point Designs" beschrieben:
    ◦ LIFE.1: Soll 400 MW Fusionsleistung produzieren und ist darauf ausgelegt, bestehende Materialien und Technologien maximal zu nutzen. Es wird als Testbett dienen, um die erforderlichen Betriebsverfahren für ein kommerzielles Kraftwerk zu demonstrieren und Materialien sowie Prozesse in einer kontinuierlichen Fusionsumgebung zu qualifizieren. Die Inbetriebnahme wird innerhalb von 10 bis 15 Jahren nach NIF-Zündung angestrebt. Materialien werden mittels eines beschleunigten Testschemas mit höherer Strahlenschädigungsrate getestet.
    ◦ LIFE.2: Ein 1 GWe kommerzielles Kraftwerk, das entweder eine Neuanlage oder eine Leistungssteigerung von LIFE.1 sein könnte. Es nutzt die gleiche Lasertechnologie wie LIFE.1, jedoch fortschrittlichere, strahlungsbeständige Strukturmaterialien (Oxid-Dispersions-gehärteter Stahl – ODS-Stahl), um höhere Temperaturen und Leistungsdichten zu ermöglichen.
    ◦ LIFE.3: Repräsentiert eine reife LIFE-Technologie mit weiteren Verbesserungen in der Zieleffizienz, niedrigeren Fusionszielkosten und höheren Betriebstemperaturen.
• Betriebsparameter (Tabelle I): Detaillierte Annahmen für die drei Point Designs umfassen:
    ◦ Laserenergie (1.3 MJ bis 2.4 MJ)
    ◦ Wiederholungsrate (konstant 14.8 Hz)
    ◦ Elektrischer Nettogewinn der Anlage (1.3 bis 7.0)
    ◦ Eigenstrombedarf (House Power Fraction: 0.77 bis 0.16)
    ◦ Thermodynamischer Wirkungsgrad (Thermal to Electric Efficiency: 43% bis 53%)
    ◦ Erste Wand-Material und Radius (LIFE.1: RAFMS, 3.7 m; LIFE.2/3: ODS-Stahl, 5.6 m / 6.2 m)
    ◦ Erste Wand-Neutronenlast und Lebensdauer (LIFE.1: 1.9 MW/m², 0.9 Jahre; LIFE.2/3: 4.5 MW/m², 4.5 Jahre)
    ◦ Fusionsausbeute und Target-Gewinn (27 MJ / Gain 21 bis 180 MJ / Gain 94)
    ◦ Fusionsleistung (400 MW bis 2660 MW)
    ◦ Verfügbarkeitsallokation (LIFE.1: 50%; LIFE.2/3: 92%).
• Regulierungsrahmen: LIFE.1 und LIFE.2 werden voraussichtlich NRC-lizenziert sein, wobei LIFE.1 optional unter einer DOE-Autorisierungsbasis betrieben werden könnte.
• Markteinführungszeitpunkt: Es besteht eine starke Motivation, die Kommerzialisierung bis 2030 oder früher zu erreichen, um am Ersatz veralteter Kraftwerke teilzuhaben.
2. Welche Modell- und Kostenannahmen basieren auf tatsächlichen Erfahrungswerten und welche nur Schätzungen oder Prognosen? Welche Annahmen stammen woher?
Die Annahmen in der LIFE-Studie sind eine Mischung aus der Nutzung bestehender Erfahrungen und notwendigen Prognosen für eine zukünftige, noch zu entwickelnde Technologie:
Modellannahmen:
Basierend auf Erfahrungswerten und bestehenden Daten:
• NIF-Technologie: Das Konzept nutzt die Wissenschaft und Technologie, die an der National Ignition Facility (NIF) demonstriert wird. Dies umfasst die Lasertechnologie und Target-Physik. Die NIF dient als Referenzpunkt für die Machbarkeit der grundlegenden Laser- und Fusionsprozesse.
• Planung und Zeitpläne: Die Dauern für Design und Bau sind durch "previous experience in building the NIF and other large capital projects" informiert.
• Marktwachstum und Anlagenlebensdauer: Die Nachfrageentwicklung in den USA wird durch Extrapolation der EIA-Prognosen bis 2100 (mit 50 % Elektrifizierung des Transportsektors bis 2050) berechnet [3, Ref. 1]. Die Annahmen für die Lebensdauer bestehender Kraftwerke (80 Jahre für Kohle/Nuklear, 60 Jahre für Erdgas) basieren ebenfalls auf Erfahrungswerten.
Schätzungen oder Prognosen:
• "Tenth-of-a-Kind"-Anlage: Die Annahme einer 92%igen Verfügbarkeit für eine "10th of a kind plant" (zehnte Anlage dieser Art) ist eine Prognose für den Reifegrad der modularen Architektur. Für LIFE.1 ist eine geringere Verfügbarkeit von 50% angesetzt, was dem Charakter einer Demonstrationsanlage entspricht.
• Materialqualifizierung: Die Qualifizierung von ODS-Stahl (Oxid-Dispersions-gehärteter Stahl) für höhere Temperaturen und Strahlungsbeständigkeit in LIFE.1 ist eine Prognose, die durch das Testbett in LIFE.1 erreicht werden soll.
• Zukünftige Effizienzsteigerungen: Für LIFE.3 werden "additional improvements in target efficiency, lower fusion target costs and higher operating temperatures" projiziert.
• Marktdurchdringung: Die Rate der Marktdurchdringung von Fusion ist eine Prognose, die durch die Nachfrage und den Hochlauf der Lieferkette (Verdoppelung der Kapazität alle 5 oder 10 Jahre) begrenzt wird.
• Vorteile der Frühkommerzialisierung: Die Quantifizierung von vermiedenen CO2-Emissionen (100-140 GT), hochradioaktivem Atommüll (230.000-360.000 MT) und Plutonium (3000-4000 MT) bis 2100 sind Prognosen basierend auf spezifischen Szenarien, in denen Fusion Kohle- oder Spaltanlagen ersetzt.
• Kommerzialisierungszeitplan: Der Zeitplan von "roughly 12 years from project start" bis zur ersten Pilotanlage ist eine Prognose.
Kostenannahmen:
Basierend auf Erfahrungswerten und bestehenden Daten:
• Lasersystemkosten: Werden mit einer Bottom-up-Methodik geschätzt, wobei die Einheitskosten aus Lieferantenangeboten und Daten des NIF-Projekts abgeleitet werden.
• Kosten für Fusionsreaktor, Tritiumanlage und Energieumwandlungssysteme: Werden aus Studien in der Literatur entnommen (Refs. 6-10) und auf den LIFE-Betriebspunkt skaliert.
    ◦ Referenz 6: "Nuclear Energy Cost Data Base" für Kern- und Kohlekraftwerke.
    ◦ Referenz 7: "US Advanced Liquid Metal Reactor Program - Actinide Recycle Systems: 1994 Capital and Busbar Cost Estimates".
    ◦ Referenzen 8, 9, 10: IFE-Kraftwerksdesign-Studien (Osiris, Sombrero, Prometheus).
• Kosten für Fusionsziele: Abgeleitet aus einer Studie zur Zielherstellung (Ref. 11: R. Miles, "LIFE Target Fabrication Costs," LLNL report LLNL-TR-416932 (2009)).
• Indirekte Kostenfaktoren: Stammen aus den Gen IV-Kostenabschätzungsrichtlinien (Ref. 13: OECD report GIF/EMWG/2007/004 (2007)).
• Kapital- und indirekte Kostendifferenziale (nukleare vs. konventionelle Systeme): Stammen aus einer General Atomic-Studie (Ref. 14: R. M. Bourque, "Fusion Reactor Cost Reductions by Employing Non-Nuclear Grade Components," 1987).
• Stromgestehungskosten (COE): Berechnet unter Verwendung der Discounted Cash Flow-Methodik, wie im MIT-Bericht von 2009 beschrieben (Ref. 12: J. Deutch, "Update of the 2003 MIT Future of Nuclear Power").
• Kosten für alternative Erzeugungstechnologien: Abgeleitet aus einem aktuellen Artikel von Nicholson (Ref. 15: M. Nicholson, "How carbon pricing changes the relative competitiveness of low-carbon baseload generating technologies," 2010).
Schätzungen oder Prognosen:
• Gesamtkapitalkosten: Der geschätzte Bereich von $4 Mrd. bis $6 Mrd. ist eine pre-konzeptionelle Designschätzung.
• Kostenreduktionen durch Lernkurven: Prognosen für Kostenreduktionen aufgrund von "manufacturing learning" für Lasersystemkomponenten, basierend auf NIF-Erfahrungen.
• Nicht-Brennstoff-Betriebs-, Wartungs- und inkrementelle Kapitalkosten (O&amp;M): Werden als Prozentsätze der gesamten Anlagenkapitalkosten angenommen und aus dem 2009 MIT-Bericht zur Zukunft der Kernkraft abgeleitet [19, Ref. 12].
• Kosten für CO2-Emissionen: Ein zugewiesener Wert von $100/MT ist ein Wert, der in politischen Diskussionen üblich ist.
• Sensitivitätsparameter: Die Identifizierung von Fusionskammer-Strukturmaterial, Fusionszielkosten und Zieleffizienz als die "most highly leveraged economic parameters" basiert auf einer Monte-Carlo-Sensitivitätsanalyse, die wiederum auf Schätzungen beruht.
3. Falls externe Quellen für die Modell- und Kostenannahmen verwendet wurden – wurden diese modifiziert? Falls ja, wie?
Ja, externe Quellen und Empfehlungen wurden modifiziert, skaliert oder angepasst:
• LIFE-Konzept: Die Literatur beschreibt sowohl ein reines Fusions-LIFE-Konzept als auch eine Fusions-Spaltungs-Variante. Dieses Paper "deals exclusively with the pure fusion concept". Dies ist eine Modifikation/Auswahl des Anwendungsbereichs.
• Lasersystemkosten: Die Lasersystemkosten werden zwar aus Lieferantenangeboten und NIF-Daten abgeleitet, es werden aber "cost reductions due to manufacturing learning" angewendet. Dies ist eine Anpassung der Rohdaten.
• Kosten für Fusionsreaktor, Tritiumanlage und Energieumwandlungssysteme: Diese Kosten werden aus Literaturstudien entnommen und "scaled to the LIFE operating point using standard scaling relations". Dies ist eine direkte Modifikation durch Skalierung.
• Nicht-Brennstoff-O&amp;M und inkrementelle Kapitalkosten: Werden als Prozentsätze der gesamten Anlagenkapitalkosten angenommen, wobei diese Prozentsätze aus dem MIT-Bericht abgeleitet wurden. Hier wird die Methode der prozentualen Skalierung aus einer externen Quelle angewendet.
4. Wie lautet die Annahme zu Lernraten?
Die Studie geht davon aus, dass es für die Komponenten des Lasersystems Kostenreduktionen aufgrund von "manufacturing learning" geben wird. Die verwendeten Lernraten wurden durch "experience with NIF" informiert. Spezifische prozentuale Lernraten werden in diesem Dokument jedoch nicht angegeben.
5. Wie wurden die Annahmen zu den Lernraten hergeleitet bzw. von wo stammen diese Annahmen?
Die Annahmen zu den Lernraten wurden aus Erfahrungen mit dem NIF-Projekt hergeleitet. Der Kontext ist, dass viele der Lasersystemkomponenten in großen Mengen produziert werden, was die Anwendung von Lernkurven zur Schätzung von Kostenreduktionen rechtfertigt. Die Studie geht implizit davon aus, dass eine Industrie aufgebaut wird, die von Skaleneffekten und Lernkurven profitiert.
6. Wird offengelegt, ob die Kostenabschätzung auf einem Bottom-up-, Top-down- oder hybriden Ansatz basiert?
Ja, es wird offengelegt, dass ein hybrider Ansatz verwendet wird:
• Die Lasersystemkosten werden explizit "using a bottom up methodology" geschätzt.
• Die Kosten für den Fusionsreaktor, die Tritiumanlage und die Energieumwandlungssysteme werden "from studies in the literature and scaled to the LIFE operating point using standard scaling relations" entnommen. Dies ist eher ein Top-down- oder analoger Skalierungsansatz.
• Insgesamt ist es also eine Kombination aus Bottom-up (Laser) und Top-down/Analog-Skalierung (andere Systeme).
7. Beruht die Kostenherleitung auf physikalischen und technologischen Werten?
Ja, die Kostenherleitung beruht maßgeblich auf physikalischen und technologischen Werten:
• Lasersystemkosten: Basieren auf Lieferantenangeboten und NIF-Projektdaten, die die spezifische Lasertechnologie widerspiegeln.
• Skalierung der Fusionssysteme: Die Kosten für den Fusionsreaktor, die Tritiumanlage und die Energieumwandlungssysteme werden auf den "LIFE operating point" skaliert. Dieser Betriebspunkt ist durch physikalische und technologische Parameter definiert, wie Laserenergie, Wiederholungsrate, Fusionsausbeute, Target-Gewinn, Fusionsleistung, Wirkungsgrade, Material der ersten Wand und Neutronenlast.
• Fusionszielkosten: Stammen aus einer Studie zur Zielherstellung [19, Ref. 11], die die Technologie und den Prozess der Fusionszielproduktion bewertet.
• Anlagenverfügbarkeit: Die hohe Verfügbarkeit (92 %) wird durch die modulare Architektur des Anlagendesigns ermöglicht. Dies ist eine technologische Entscheidung mit direkter wirtschaftlicher Auswirkung.
• Wichtige Kostentreiber: Die Monte-Carlo-Sensitivitätsanalyse identifiziert das Fusionskammer-Strukturmaterial, die Fusionszielkosten und die Zieleffizienz als die wirtschaftlich wichtigsten Parameter. Dies sind alles direkte physikalische und technologische Eigenschaften und Leistungen des LIFE-Systems.
8. Werden Materialkosten und Komponentenkosten separat ausgewiesen?
In der vorliegenden Quelle werden Materialkosten und Komponentenkosten nicht in detaillierten Tabellen separat ausgewiesen, wie es beispielsweise in einigen anderen Studien (z.B. STARFIRE aus unserer früheren Konversation) der Fall ist.
Die Studie erwähnt:
• "Laser system costs are estimated using a bottom up methodology. Unit costs are derived from vendor quotes and data from the NIF project". Hier sind die "Unit costs" wahrscheinlich integrierte Komponentenkosten.
• Das Fusionskammer-Strukturmaterial wird als wichtigster wirtschaftlicher Parameter genannt, was auf Materialkosten hindeutet.
• Die Fusionszielkosten werden als weitere wichtige Parameter genannt, was die Kosten des verbrauchten "Materials" oder der "Komponente" (des Targets) darstellt.
Es gibt keine detaillierten Aufschlüsselungen nach Masse, Kosten pro kg oder Materialtyp in dieser Quelle.
9. Bezieht sich die Studie auf ein Energiesystem (z. B. Integration, Vergleich mit anderen Technologien) oder ist sie rein bezogen auf die Kosten des Kraftwerks und des Reaktors?
Die Studie bezieht sich eindeutig auf ein umfassendes Energiesystem und geht weit über eine reine Kostenanalyse des Kraftwerks und des Reaktors hinaus.
• Quantifizierung der Vorteile: Die Studie quantifiziert die Vorteile von Fusionsenergie im Hinblick auf die Vermeidung von Kohlenstoffemissionen, Atommüll und Plutoniumproduktion innerhalb des US-Stromerzeugungssystems.
• Relevanz für den Energiemarkt: Sie adressiert den Bedarf an kohlenstoffarmer Grundlaststromerzeugung, der durch das Alter der bestehenden Kraftwerke und den steigenden Strombedarf entsteht.
• Wirtschaftliche Wettbewerbsfähigkeit: Die Studie bewertet, ob Fusionsenergie "competitive with other low-carbon energy sources" sein kann. Sie vergleicht die Stromgestehungskosten (COE) von LIFE mit anderen Grundlast-Energiequellen und fossilen Brennstoffen (unter Berücksichtigung von Kohlenstoffkosten).
• Marktdurchdringung: Es wird die Rate der Marktdurchdringung von Fusion analysiert, die durch Nachfrage und den Aufbau der Lieferkette begrenzt ist.
• Politische Implikationen: Es wird ein Wert von $100/MT für CO2-Emissionen angenommen, der in politischen Diskussionen relevant ist. Die Studie diskutiert auch Proliferationsbedenken im Zusammenhang mit Plutoniumlagerung.
• Gesamtwirtschaftliche Bedeutung: Die Studie bewertet die "Benefits of Early Commercialization of Fusion Energy" und die "Implications for national and global security and environment".
10. Welche Kostenreduktionspotenziale oder wirtschaftlichen Optimierungsansätze werden thematisiert?
Die Studie thematisiert mehrere Kostenreduktionspotenziale und wirtschaftliche Optimierungsansätze:
• Economies of Scale: Es gibt eine natürliche Größenvorteil (economy of scale) bei LIFE, da die Effizienz der Umwandlung von Laserenergie in Fusionsenergie steigt, wenn das Kraftwerk auf eine größere elektrische Leistung skaliert wird. Dies führt zu einer reduzierten Kapitalintensität ($/kW) für größere Anlagen. Dies motiviert das Design größerer Anlagen.
• Verbesserungen der Zieleffizienz: Es wird erwartet, dass es "additional improvements in target efficiency" geben wird, die zur Kostenreduktion beitragen.
• Niedrigere Fusionszielkosten: Die Prognose von "lower fusion target costs" ist ein weiteres Potenzial zur Kostenreduktion.
• Höhere Betriebstemperaturen: Projekte von "higher operating temperatures" werden als Kostenoptimierung und Effizienzsteigerung gesehen.
• Fertigungslernen (Manufacturing Learning): Es werden Kostenreduktionen aufgrund von Fertigungslernen für Lasersystemkomponenten erwartet, da diese in großen Mengen produziert werden.
• Modulare Architektur: Die modulare Architektur der Anlage ermöglicht eine hohe Verfügbarkeit (92 %), was ein Schlüsselfaktor für niedrige Stromgestehungskosten ist.
• Entwicklung fortschrittlicher Materialien: Die Entwicklung und Qualifizierung von Oxid-Dispersions-gehärtetem Stahl (ODS-Stahl) ermöglicht höhere Temperaturen und Leistungsdichten, was die Wirtschaftlichkeit verbessert.
• Parallele Entwicklung: Die Target-Entwicklung kann parallel zu anderen Entwicklungsaktivitäten durchgeführt werden, wobei Fortschritte durch Tests an der NIF validiert werden können. Dies beschleunigt die Entwicklung und reduziert Risiken.
• Maximale Nutzung bestehender Technologie: Für die Demonstrationsanlage LIFE.1 wird die maximale Nutzung bestehender Materialien und Prozesse vorgeschlagen, um den F&amp;E-Bedarf zu minimieren.
11. Was sind die signifikantesten Kostentreiber und ökonomischen Herausforderungen laut Studie?
Die Studie identifiziert die folgenden signifikantesten Kostentreiber und ökonomischen Herausforderungen, insbesondere durch ihre Sensitivitätsanalyse:
• Fusionskammer-Strukturmaterial: Dies ist der "most highly leveraged economic parameter" (der am stärksten wirkende Wirtschaftsparameter). Dies unterstreicht die Herausforderung und die Bedeutung der laufenden Entwicklungen bei Materialien wie ODS-Stahl, um höhere Temperaturen und Strahlungsbeständigkeit zu erreichen.
• Fusionszielkosten und Zieleffizienz: Diese beiden sind die "next two most highly leveraged parameters". Die Kosten für die Herstellung der Fusionsziele und deren Effizienz bei der Energieerzeugung sind entscheidend für die Wirtschaftlichkeit.
• Pre-konzeptionelles Designniveau: Die aktuellen Kostenschätzungen basieren auf einem "pre-conceptual design level", was bedeutet, dass noch "additional work is needed". Dies impliziert, dass Unsicherheiten und potenzielle Kostensteigerungen im weiteren Designprozess bestehen.
• Technisches Risiko und aggressiver Zeitplan: Der vorgeschlagene Kommerzialisierungsansatz birgt "technical risk and is aggressive". Dies stellt eine Herausforderung dar, die einen nationalen Konsens und die Zusammenarbeit von Industrie, Forschungseinrichtungen, Regierung und Aufsichtsbehörden erfordert.
• Kapazitätsaufbau der Lieferkette: Die Rate der Marktdurchdringung von Fusion wird durch den "ramp up of the supply chain needed to build fusion plants" begrenzt, was eine logistische und wirtschaftliche Herausforderung darstellt.
• Verpasste Marktopportunitäten: Die Studie betont die Dringlichkeit der Frühkommerzialisierung. Wenn die Recapitalisierung des Stromnetzes ohne Fusion abgeschlossen ist, sind die Marktchancen auf die Deckung des steigenden Strombedarfs begrenzt, was die potenziellen Vorteile der Fusion erheblich verringert. Dies ist eine ökonomische Herausforderung im Hinblick auf den "Window of Opportunity".</t>
  </si>
  <si>
    <t xml:space="preserve">opportunitätskosten falls nur fusion enwtickelt statt ee, fusion mit heutzigen lcoe vergleichen </t>
  </si>
  <si>
    <t>Lifetime 50 years; Learning rates based on experiences from NIF but not further specified; very low recirculating power fraction (Anteil des erzeugten Stroms für Stromeigenbedarf des Laser): 16%; modular architecture; 5% discount rate; replacement of fusion chamber: after 4.5 years; high availability is enabled by the modular architecture of the plant design</t>
  </si>
  <si>
    <t>Prometheus-L</t>
  </si>
  <si>
    <t>Direct Drive</t>
  </si>
  <si>
    <t>Prometheus-H</t>
  </si>
  <si>
    <t>Indirect Drive</t>
  </si>
  <si>
    <t>Waganer et al. (1992)</t>
  </si>
  <si>
    <t>https://doi.org/10.2172/10172807</t>
  </si>
  <si>
    <t xml:space="preserve">Austausch der ersten Wandmodule (Lebensdauer 5 Jahre) und der Blanket-Module (Lebensdauer 10 Jahre) </t>
  </si>
  <si>
    <t>Stilllegungszulage von $200M in 1991$ für eine Anlage mit dem höchsten Sicherheitsniveau (LSA=1) aus. Dies entspricht $4,56M pro Jahr</t>
  </si>
  <si>
    <t>Laser Driver</t>
  </si>
  <si>
    <t>FCR: 16,38%; 5% interest rate; Construction time 6 years; IDC: 575.66 MUSD; LSA=1; Das Lasersystem verwendet 960 elektrische Entladungslaser in einer Non-Linear Optical (NLO)-Architektur mit Raman-Akkumulatoren und Stimulated Brillouin Scattering (SBS)-Zellen zur Strahlkombination und Pulskompression.
    ◦ Target-Technologie: Direct-Drive (DD), symmetrisch beleuchtete Targets mit 60 Strahlen. Die Targets bestehen aus einer Kohlenwasserstoff (CH)-Hülle, die innen mit gefrorenem Deuterium-Tritium (DT) gefüllt ist.; Nennpulsrate von 5,65 Hertz ; Zündung 5,65 Mal pro Sekunde erfolgt.</t>
  </si>
  <si>
    <t>FCR 16,38%; 5% interest rate; Construction time 6 years; IDC: 514.42 MUSD; LSA=1; Treibertechnologie: Schwerionen-Linearbeschleuniger (LINAC). Der gewählte Ansatz ist ein Einzelstrahl-LINAC mit Zwischenspeicherringen (Storage Rings). Es werden 18 Strahlen (12 Haupt- und 6 Vorpulshalbstrahlen) verwendet, die Blei-Ionen mit einer Ladungszahl von +2 und einer Endenergie von 4,0 GeV beschleunigen.
    ◦ Target-Technologie: Indirect-Drive (ID), zweiseitig beleuchtete Targets. Die Targets umfassen eine DT-Kapsel, die in einem Strahlungsgehäuse (Radiation Case) mit energiereichen Konverterregionen an den Enden eingeschlossen ist.; Nennpulsrate 3,54 Hertz</t>
  </si>
  <si>
    <t>Deuerium; Self-breeding &amp; target manufacturing in taregt factory; Diese Fabrik ist für die Herstellung von jährlich 180 Millionen Targets vorgesehen; 1. Tritium-Produktion durch die Fusionsreaktion: Im Blanket des Reaktors (sowohl Prometheus-L als auch Prometheus-H) wird Tritium durch die Wechselwirkung von Neutronen aus der Fusionsreaktion mit dem Brutmaterial Lithiumoxid (Li2O)-Kieseln erzeugt. Die Designs sind auf ein Tritium Breeding Ratio (TBR) von 1,20 ausgelegt, was eine Tritium-Selbstversorgung während des Betriebs gewährleistet.
2. Extraktion und Verarbeitung: Das im Blanket erzeugte Tritium wird durch ein Helium-Spülgas ("helium purge") entzogen und in einem separaten Tritium-Verarbeitungsgebäude ("Tritium Processing Building") auf dem Gelände aufbereitet.
3. Verwendung für die Target-Herstellung: Die auf dem Gelände befindliche Target Factory (Target-Fabrik), die Targets für den Reaktor herstellt, bezieht ihr Tritium aus diesem selbstversorgenden ("self-contained on-site fuel cycle") Brennstoffkreislauf. Die Targets (CH-Schalen gefüllt mit gefrorenem Deuterium-Tritium) werden in dieser Fabrik produziert.; 1. Blanket als Brutzone: Das Tritium wird in einem Li2O Pebble Bed Breeding Zone (Brutzone aus Lithiumoxid-Kügelchen) innerhalb des Blankets erzeugt. Das Blanket selbst ist ein Bereich hinter der ersten Wand der Reaktorkavität.
2. Fusionsreaktion und Neutronen: Die Fusionsreaktionen im Zentrum der Reaktorkavität erzeugen Neutronen. Diese Neutronen interagieren dann mit dem Lithium im Brutmaterial (Li2O-Kügelchen) im Blanket</t>
  </si>
  <si>
    <t>inkl. tritium production O&amp;M</t>
  </si>
  <si>
    <t xml:space="preserve">1. Welche Modellannahmen werden getroffen?
Es werden zahlreiche Modellannahmen getroffen, die STARFIRE als ein kommerziell attraktives und ausgereiftes Kraftwerk positionieren [22.3]:
•	Reaktortyp und Betriebsart: STARFIRE ist ein konzeptionelles Tokamak-Fusionskraftwerk, das für den Dauerbetrieb (steady-state) ausgelegt ist. Dies eliminiert die Notwendigkeit großer thermischer und elektrischer Energiespeichersysteme und reduziert Ermüdungsprobleme der Komponenten [5.2, 22.3].
•	Tritium-Brennstoffkreislauf: Der Tritium-Brennstoffkreislauf ist vollständig integriert, um die Anlage unabhängig von externen Tritiumquellen zu machen. Ziele sind ein minimaler Tritiumbestand, minimierte Umweltauswirkungen, reduzierte Arbeiterexposition und minimierte Tritiumabfälle. Das Tritium wird vom Reaktor selbst gezüchtet und als "no cost item" betrachtet [14.1, 22.3].
•	Neutronenwandlast und Betriebszeit: Der Reaktor ist für einen Betrieb von fünf vollen Jahren bei einer Neutronenwandlast von 3,6 MW/m² ausgelegt, was einer integralen Wandlast von 18 MW-Jahre/m² vor der Reaktorabschaltung entspricht [12.2, 26].
•	Plasma-Management: Ein Limiter-Konzept wird zur Verunreinigungsregulierung verwendet, anstatt eines magnetischen Divertors [5.3, 24]. Für die Plasma-Breakdown-Phase wird ein Elektronen-Zyklotron-Resonanz-Heizsystem (ECRH) und für die Plasmaheizung und den Stromantrieb ein Lower-Hybrid-Radiofrequenz-System (RF) genutzt [5.3, 24].
•	Kühlmittel: Druckwasser ist das bevorzugte Kühlmittel für die erste Wand/Blanket und den Limiter. Es sind zwei unabhängige primäre Kühlkreisläufe vorgesehen [5.4, 53]. Eine Zwischenkühlmittelschleife ist nicht nötig [13.2.1].
•	Strukturelle Materialien: PCA-Stahl (Primary Candidate Alloy, vergleichbar mit Typ 316 Edelstahl) ist das Referenz-Strukturmaterial für die erste Wand/Blanket [10.1]. Zr5Pb3 oder Beryllium dienen als Neutronenmultiplikator [10.1, 41], und LiAlO2 als Tritium-Brutmaterial [10.1, 19]. Nonmagne 30 wird für die tragende Struktur [16.2.2], G-10 CR für thermische Isolationsstreben [16.3.1].
•	Materialrecycling: Eine wichtige Strategie ist es, die Erzeugung großer Inventare an hochradioaktiver, langlebiger Aktivierung zu vermeiden, sodass ein Großteil der Reaktorkonstruktionsmaterialien innerhalb einer vernünftigen kurzen Zeitspanne (z.B. 30 Jahre) recycelt werden könnte [12.3, 37].
•	Wartung: Ein Ansatz der vollständig ferngesteuerten Wartung (total remote facility) wurde entwickelt, um die Strahlenexposition der Arbeiter zu minimieren [19.3.1, 22.3]. Eine modulare Bauweise ermöglicht den schnellen Austausch von Komponenten [19.3.2, 23.2]. Personalzutritt zum Reaktorraum soll innerhalb von 24 Stunden nach Abschaltung möglich sein, wenn alle Abschirmungen vorhanden sind, um einige Wartungsarbeiten im Kontakt- oder Semi-Remote-Modus zu ermöglichen.
•	Kraftwerksverfügbarkeit und Lebensdauer: Ein Ziel von 75% Anlagenverfügbarkeit wurde festgelegt [A.3.4, 147]. Die wirtschaftliche Lebensdauer der Anlage beträgt 30 Jahre, die Auslegungslebensdauer 40 Jahre [A.3.6, 391].
•	Anlagenstandort und Design: Der Referenzstandort ist eine fiktive Stadt im Mittleren Westen ("North River") [22.2.2]. Das Reaktorgebäude ist eine rechteckige Stahlbetonstruktur ("Ribbed Box") [20.2.1.2, 187]. Der Reaktorraum wird mit CO2 als Schutzgas betrieben, was aus Aktivierungs- und Brandschutzsicht gerechtfertigt ist.
•	Seismische Anforderungen: Die Anlage ist nach den Anforderungen der UBC Zone 2 ausgelegt [20.2.1.3, 22.2.2, D.2, 439].
•	Technologiereife: STARFIRE wird als das zehnte Kraftwerk seiner Art angesehen, was eine ausgereifte Fusionstechnologie und technische Auslegung widerspiegelt, bei der alle Aspekte in früheren Kraftwerken demonstriert wurden [22.2.1, 22.3, 306].
•	Sekundärsystem: Die Komponenten des Sekundärsystems (z.B. Dampferzeuger, Turbine-Generator) sind von konventionellem Design und sollen die anwendbaren Kriterien eines PWR-Kraftwerks erfüllen [20.4.1.1, 190]. Der thermische Gesamtwirkungsgrad wird auf ca. 36% geschätzt [20.4.1.2, 192].
3. Welche Modell- und Kostenannahmen basieren auf tatsächlichen Erfahrungswerten und welche nur Schätzungen oder Prognosen? Welche Annahmen stammen woher?
Die Modell- und Kostenannahmen für STARFIRE sind eine Mischung aus Erfahrungswerten aus bestehenden Technologien und notwendigen Schätzungen/Prognosen aufgrund des neuartigen Charakters der Fusionstechnologie.
Modellannahmen:
Basierend auf Erfahrungswerten und bestehenden Daten:
•	Sekundärsystem (Balance of Plant - BOP): Die Komponenten des Sekundärsystems sind von konventionellem Design und sollen die anwendbaren Kriterien eines Druckwasserreaktor-Kraftwerks (PWR) erfüllen [20.4.1.1, 190].
•	Materialauswahl und Eigenschaften: Die Auswahl von Materialien wie PCA-Stahl und die Annahmen über ihre physikalischen/mechanischen Eigenschaften basieren auf bestehenden Datenbanken wie dem Nuclear Systems Materials Handbook und früheren Forschungsberichten [10.1, E.I.1, E.I.3, 9].
•	Radioaktivitätsberechnung: Der RACC (Radioactivity Analysis Code) wurde mit den Aktivierungsdatenbibliotheken RACCXLIB und RACCDLIB verwendet. Die Theorie des Codes ist separat dokumentiert (J. Jung, ANL/FPP/TM-122) [12.2, 15, 6].
•	Tritium-Systeme: Das Design integriert Informationen aus früheren Studien (UWMAK-II und UWMAK-III) und Entwicklungen der Tritium Systems Test Assembly (TSTA) [14.1, 69, 80]. Permeationsberechnungen stützen sich auf Studien vom Argonne National Laboratory und Oak Ridge National Laboratory [14.4, 72]. Das Computermodell TSOAK-M1 wurde zur Analyse der Tritiumfreisetzung verwendet [14.5, 77, 83].
•	ECRH-Plasma-Breakdown-Modell: Ein null-dimensionales Plasmamodell wurde validiert und mit experimentellen Daten des ISX-B-Tokamaks verglichen [I.4, 587, 590]. Es wurde eine empirische Confinement-Skalierung entwickelt, die besser mit den ISX-Ergebnissen übereinstimmt [I.2, 579].
•	Korrosionsprodukttransportmodell: Nutzt Materialdaten für Korrosions- und Freisetzungsraten, die aus PWR-Erfahrungen stammen [21.7, 498, 499, G.1, G.5, 514].
•	Seismische Analyse: Verwendete etablierte Codes wie NASTRAN und ICES-STRUDL DYNAL [16.4.3, 119, D.3, 449]. Die Designrichtlinien basieren auf UBC Zone 2 und NRC-Empfehlungen [D.2, 439, 443].
•	Fernwartung: Entwicklungen in großen nuklearen Einrichtungen wurden geprüft und genutzt, wobei der Konzeptansatz dem Culham-Design und den Empfehlungen der Fusion Reactor Remote Maintenance Study ähnelte [19.3.2, 155].
Schätzungen oder Prognosen:
•	Technologiereife ("Tenth-of-a-Kind"): Dies ist eine grundlegende Prognose für den Reifegrad der Technologie. Es wird angenommen, dass alle Systeme erprobt und ausgereift sind, wodurch keine F&amp;E-Kosten anfallen [22.2.1, 260].
•	Anlagenverfügbarkeit und Lebensdauer: Ein Ziel von 75% Anlagenverfügbarkeit ist eine Prognose, die als erreichbar gilt [A.3.4, 406]. Die wirtschaftliche Lebensdauer (30 Jahre) ist eine Annahme [A.3.6, 391].
•	Materialrecycling: Es gibt "derzeit keine Informationen" über den "Back-End" des Fusionsmaterialkreislaufs, um den Wert des Recyclings zu belegen [12.3, 30]. Das Recycling von LiAlO2 muss in zukünftigen Studien detailliert behandelt werden [12.4, 21].
•	Vakuumsystem: Obwohl die meisten Elemente kommerziell verfügbar sind, "bedürfen nur wenige Elemente einer Entwicklung für den Einsatz in einem Fusionskraftwerk" [22.5.3.11, 335]. Die Kostenschätzungen basieren auf "sehr skizzenhaften Informationen" und sind "nur als Richtwerte" zu verstehen [22.5.3.11, 335].
•	Instrumentierung und Steuerung (I&amp;C): Das Design basiert auf einer "Technologieprojektion" bis zum Jahr 2020 und der Annahme einer "wirklich ausgereiften Fusionstechnologie" [18.2, 127]. Die Annahme von 50.000 Signalen ist eine Größenordnungserhöhung gegenüber modernen Kraftwerken [18.3.1, 129]. Es wird eine vierfache Redundanz angenommen [18.3.1, 134].
•	LiAlO2-Aktivierung: Die Aktivierung ist "etwas unsicher aufgrund der Unsicherheit im 27Al(n,2n) Verzweigungsverhältnis". Es werden "etwas willkürliche Werte" aus der Literatur angenommen, und für die Analyse wird eine gleiche Wahrscheinlichkeit für beide Reaktionspfade angenommen [12.2, 19, 20].
•	Seismische Analyse-Limitationen: Es wurden vereinfachende Annahmen gemacht, deren Auswirkungen "unbekannt sind und durch detailliertere dynamische Analysen bewertet werden sollten" [D.4.4, 462].
Kostenannahmen:
Basierend auf Erfahrungswerten und bestehenden Daten:
•	Kostenbasis und Richtlinien: Alle Kosten in konstanten US-Dollar von 1980. Die Studie folgte den DOE-Richtlinien "Standard Accounts for Cost Estimates" [22.2, 255, 256].
•	BOP-Kosten (Konten 21, 23, 24, 25): Die Kostenschätzungen für Gebäude, Turbinenanlagen etc. wurden von The Ralph M. Parsons Company erstellt und basieren auf Lieferantenangeboten oder historischen Daten für ähnliche Ausrüstung (konventionelle Kraftwerkskomponenten, z.B. für PWRs) [22.5.2, 297, 298]. Arbeitsraten und Produktivitätsfaktoren (50%) basieren auf Gewerkschaftslöhnen und Erfahrungen in Kernkraftwerksbaustellen in der Region Kansas City, MO [22.5.2, 299, 301].
•	Indirekte Kosten (Konten 91, 92, 93): Diese basieren auf DOE-Empfehlungen als Prozentsätze der direkten Kosten [22.2.4, 268, 270, 271].
•	Personalbedarf (O&amp;M Konto 40): Der Personalplan (163 Mitarbeiter) folgt den Richtlinien von Ref. 10 (NUS 531), die für LWR-Anlagen verwendet wurden. Gehälter basieren auf Ref. 2, Appendix F [22.6.2, 353, 375].
•	Deuteriumkosten: Basieren auf externen Referenzen (Ref. 2) bei ca. $2000/kg [22.3, 288]. Tritium ist ein "no cost item" [22.3, 289].
•	Finanzielle Parameter: Kapitalstruktur, Kapitalkosten, Bauzeit und Inflationsrate sind standardisiert für den Vergleich mit anderen Fusionsstudien [22.2.5, 273, 274].
•	Turbinen-Generator: Die Kosten basieren größtenteils auf Angeboten von Herstellern, die speziell für die STARFIRE-Spezifikationen eingeholt wurden [22.5.4.1, 341].
Schätzungen oder Prognosen:
•	"Zehnte Anlage ihrer Art": Diese Annahme führt dazu, dass keine Werkzeugkosten in den Kostenschätzungen enthalten sind, da diese über die Produktion früherer Fusionskraftwerke amortisiert wurden [22.2.1, 260].
•	Design Allowance: Für die Reaktoranlagenausrüstung (Konto 22), die "hauptsächlich neue Ausrüstung" umfasst, wurde eine individuelle "Design Allowance" veranschlagt, da das Design in einigen Bereichen noch nicht vollständig definiert ist [22.2.3, 265].
•	Contingency Allowance (Notfallrücklage): Eine Schätzung von 15% der Gesamtkosten wird hinzugefügt, um "unbekannte Kosten und Bedingungen" abzudecken [22.2.3, 302].
•	Spare Parts Allowance (Ersatzteilrücklage): Ein Prozentsatz der direkten Kosten (z.B. 2% für Konten 21, 22, 23) [22.2.3, 266].
•	Lernkurven: Die Anwendung von Lernkurven (85%, 90%, 95%, 98%, 100%) auf Kostenschätzungen ist eine Prognose der Kostenreduzierung durch Erfahrung in einer zukünftigen, ausgereiften Fusionsindustrie und basiert nicht auf direkten historischen Daten für Fusionsanlagen [22.2.1, 261, 262].
•	Reaktoranlagenausrüstung (Konto 22): Die Kosten für diese Systeme, die "einzigartig für die Fusionsanwendung konzipiert oder angepasst" sind [22.5.3, 306], enthalten "implizite Designzuschläge" aufgrund der mangelnden vollständigen Definition [22.1, 250]. 
o	Blanket und Erste Wand: Kosten basieren auf "Kosten pro Gewicht", was dem Grad der Designdefinition entspricht. 60% angereichertes LiAlO2 ist der größte Kostenfaktor [22.5.3.1, 309].
o	Magnete: Die Einheitskosten basieren auf der Annahme einer reifen Industrie für supraleitende Magnete [22.5.3.3, 313].
o	Vakuumsystem: Die Kostenschätzungen basieren auf "sehr skizzenhaften Informationen" und sind "nur als Richtwerte" zu verstehen. Es bedarf noch Entwicklung für den Fusionskraftwerkseinsatz [22.5.3.11, 335].
o	RF-Heizung, ECRH-Systeme: Kosten wurden von bestehenden Systemen skaliert (z.B. 5 MW auf 7 MW für Stromversorgung) und dann Lernkurven angewendet [22.5.3.7, 325].
o	Limiter: Die Materialwahl ist noch nicht endgültig. Die Kosten basieren auf der Annahme, dass eine Niob-Legierung ausgewählt wird [22.5.3.8, 329, 330].
•	Abfallverarbeitungssysteme (Konto 22.04.01/02/03): Die Kosten für flüssige und gasförmige Abfälle, basierend auf PWR-Systemen, wurden als zu niedrig befunden und auf STARFIRE-Leistungsniveaus skaliert und eskaliert, um realistischere Schätzungen zu erhalten [22.5.3.12, 333, 334].
4. Falls externe Quellen für die Modell- und Kostenannahmen verwendet wurden – wurden diese modifiziert? Falls ja, wie?
Ja, externe Quellen und Empfehlungen wurden modifiziert oder angepasst, um den spezifischen Anforderungen und Designzielen von STARFIRE gerecht zu werden:
•	DOE-Standard-Kontenrahmen: Wurde "maximal übernommen", aber spezifische Konten wurden modifiziert, um die einzigartigen Systeme und Designansätze von STARFIRE besser darzustellen [22.4, 253, 290].
•	Turbinenzyklus-Effizienz: Die Studie nimmt eine Effizienz von 36% an, die durch die Verwendung von drei Stufen der Feuchtigkeitsabscheidung anstelle der üblichen einen Stufe in PWR-Turbinen erreicht wird. Dies wird als "leichte Verbesserung" während der Bauzeit von STARFIRE als wahrscheinlich angesehen [20.4.1.3, 194, 22.5.4.1, 343].
•	Design Allowance: Im Gegensatz zu Ref. 2, die eine feste Zuteilung von 10% vorschlug, wurde bei STARFIRE die Design Allowance nicht pauschal angewendet. Stattdessen wurde jedes Subsystem der Reaktoranlagenausrüstung hinsichtlich seines technischen und produktionsseitigen Reifegrades analysiert und ein entsprechender Zuschlag erhoben [22.2.3, 265].
•	TF-Spulenmodell: Das ANL TF-Spulenmodell wurde für das Design von STARFIRE modifiziert, um auf ein 12-Spulen-System anzuwenden [H.2, 551, 552].
•	ECRH-Plasmamodell: Ein einfaches Plasmamodell sagte einen schnelleren Plasmaaufbau voraus als experimentell beobachtet. Dies führte zur Entwicklung einer empirischen Confinement-Skalierung, die besser mit den experimentellen Ergebnissen des ISX-B-Tokamaks übereinstimmte [I.2, I.4, 579].
•	Seismische Analyse: Verwendete Skalierung von Werten aus dem Power Generating Fusion Reactor (PGFR) [D.3.1, 450], aber es wurden auch vereinfachende Annahmen gemacht (z.B. Vernachlässigung der Torsionsbewegung), deren Auswirkungen "unbekannt sind und durch detailliertere dynamische Analysen bewertet werden sollten" [D.4.4, 461, 462].
•	Abfallverarbeitungssysteme (Konto 22.04.01/02/03): Die Kosten für flüssige und gasförmige Abfälle, basierend auf PWR-Systemen, wurden als zu niedrig befunden und auf STARFIRE-Leistungsniveaus skaliert und eskaliert, um realistischere Schätzungen zu erhalten [22.5.3.12, 333, 334].
•	Korrosionsprodukt-Transportmodell: Das Modell stützt sich auf PWR-Erfahrung, aber die angenommenen Rate-Konstanten (z.B. für Crud- und Ionenabscheidung) wurden angepasst und als näher an Laborergebnissen liegend angesehen [G.5, 499, 530, 531].
•	LiAlO2-Aktivierung: Da das Verzweigungsverhältnis der 27Al(n,2n)-Reaktion nicht gut bekannt ist, wurde für die STARFIRE-Analyse eine gleiche Wahrscheinlichkeit für beide Reaktionspfade (26Al und 26mAl Produktion) angenommen [12.2, 19, 20].
•	Globales Tritiummodell: Die Analyse des globalen Einflusses wurde unter Verwendung des schwedischen Gruppenmodells durchgeführt, jedoch mit der spezifischen Annahme von 100 Reaktoren und einer Freisetzungsrate von 12 Ci/Tag pro Reaktor [F.I.1, 509].
5. Wie lautet die Annahme zu Lernraten?
Lernkurven werden auf die Kostenschätzungen für STARFIRE angewendet, wobei der Grad des Lernens von der Art und Komplexität der Komponenten abhängt [22.2.1]:
•	100% Lernkurve (keine weitere Reduzierung): Für große, gängige Materialkäufe (wie 304SS, Aluminium und Graphit) [22.2.1, 261].
•	98% Lernkurve: Für Materialien, die Nachfrage erzeugen oder marktfähige Mengen beeinflussen (wie NbTi, Nb3Sn oder B4C) [22.2.1, 262].
•	95% Lernkurve: Für Systeme mit geringem Arbeitsaufwand (z.B. Stromversorgungen, Verstärker und Elektronik) [22.2.1, 262].
•	85% Lernkurve: Für arbeitsintensivere Systeme (z.B. erste Wand/Blanket-Module, Turbinen und Tritiumverarbeitungsanlagen) [22.2.1, 262].
•	90% Lernkurve: Speziell für die supraleitenden TF-Magnete. Dies führt dazu, dass die Blockdurchschnittskosten etwa die Hälfte der Kosten der ersten Einheit betragen [22.2.1, 263].
6. Wie wurden die Annahmen zu den Lernraten hergeleitet bzw. von wo stammen diese Annahmen?
Die Annahmen zu den Lernraten werden im Kontext der "zehnten Einheit" (tenth-of-a-kind) der STARFIRE-Anlage hergeleitet [22.2.1].
•	Konzept der Lernkurve: Die Studie beschreibt die Lern- oder Erfahrungskurve als ein Konzept, das eine Kostenreduzierung eines Produkts durch Erfahrung mit zunehmender Produktionsmenge widerspiegelt. Der Prozentsatz des Lernens ist direkt mit dem Grad und der Komplexität der im Prozess beteiligten Arbeit im Vergleich zu den gesamten Produktkosten verbunden [22.2.1, 260, 261].
•	"Zehnte Anlage ihrer Art"-Annahme: Die grundlegende Annahme ist, dass STARFIRE die zehnte Anlage einer spezifischen Designtechnologie ist. Dies bedeutet, dass bereits eine kumulierte Produktionsbasis existiert, über die frühere Entwicklungskosten amortisiert wurden und Lernkurveneffekte bereits stattgefunden haben [22.2.1, 260].
•	Beispiel TF-Magnete: Für die TF-Magnete wird explizit erwähnt, dass für jeden Reaktor zwölf TF-Magnete benötigt werden. Es wird angenommen, dass vor dieser Schätzung bereits mindestens 108 TF-Magnete eines spezifischen Designs gekauft worden wären. Dies rechtfertigt die Anwendung einer 90%-Lernkurve, die zu Blockdurchschnittskosten von etwa der Hälfte der Kosten der ersten Einheit führt [22.2.1, 263].
•	Beispiel Kryopanel-Vakuumpumpen: Ein weiteres Beispiel zeigt eine 85%-Lernkurve basierend auf der 1000. produzierten Einheit [22.2.1, 264].
•	Die Studie beschreibt, wie diese Lernkurven angewendet werden und begründet ihre Relevanz durch die Annahme einer reifen Fusionsindustrie. Es wird jedoch nicht explizit angegeben, aus welchen externen Studien oder Daten die spezifischen Prozentsätze (z.B. 85%, 90%) der Lernkurven abgeleitet wurden. Es wird jedoch erwartet, dass die Kosten von Systemen, für die keine Neuentwicklung erforderlich ist, auf einer bestehenden Produktionsbasis kalkuliert werden, wo die Kostenreduktion nicht so groß ist [22.2.1, 264].
7. Wird offengelegt, ob die Kostenabschätzung auf einem Bottom-up-, Top-down- oder hybriden Ansatz basiert?
Die Kostenabschätzung für STARFIRE basiert primär auf einem Bottom-up-Ansatz für die direkten Kapitalkosten, integriert jedoch Aspekte eines hybriden Ansatzes für die Gesamtkapitalkosten [22.5, 293].
•	Bottom-up-Ansatz: Die direkten Kapitalkosten werden detailliert aufgeschlüsselt in einzelne Komponenten und Subsysteme [22.5, 293]. Kosten werden oft auf der Basis von Materialgewicht (z.B. $/kg) oder pro Einheit (z.B. für Verstärker, Gyrotrons) geschätzt [22.5.3.1, 22.5.3.2, 22.5.3.3]. Lieferantenangebote und historische Daten für spezifische Ausrüstung wurden eingeholt [22.1, 251].
•	Hybrider Ansatz: Indirekte Kosten (Konten 91-93) und zeitbezogene Kosten (Zinsen und Eskalation während der Bauzeit, IDC und EDC) werden als Prozentsätze der direkten Kosten oder basierend auf übergeordneten Richtlinien (DOE-Empfehlungen) hinzugefügt [22.1, 252, 22.2.4, 268, 270, 271]. Dies ergänzt die detaillierten Bottom-up-Schätzungen durch Top-down-Finanzierungs- und Managementzuschläge.
8. Beruht die Kostenherleitung auf physikalischen und technologischen Werten?
Ja, die Kostenherleitung beruht maßgeblich auf physikalischen und technologischen Werten, die sich direkt aus dem detaillierten Design von STARFIRE ergeben.
•	Materialauswahl und -mengen: Kosten werden für spezifische Materialien (z.B. PCA-Stahl, Beryllium, Zr5Pb3, LiAlO2, Nonmagne 30) basierend auf deren Masse (MT) und installierten Kosten pro Kilogramm ($/Kg) oder Quadratmeter ausgewiesen [22.5.3.1, 310, 22.5.3.2, 311]. Die Materialauswahl selbst wird durch Anforderungen an die Neutronenwandlast, Strahlungsbeständigkeit und Ressourcenverfügbarkeit bestimmt [10.1, 12.3, 13].
•	Komponentendesign und -leistung: Die Kosten spiegeln die spezifischen Anforderungen und Designmerkmale der Fusionsreaktorkomponenten wider. Zum Beispiel werden die Kosten für Magnete basierend auf dem Typ des Supraleiters und der Struktur (z.B. Nb3Sn, NbTi, Kupferstabilisator, Edelstahlstruktur, Heliumtank) detailliert aufgeführt [22.5.3.3, 313]. Ähnliches gilt für RF-Heizsysteme (Crossed Field Amplifiers, Waveguide) [22.5.3.4, 314], ECRH-Systeme (Gyrotrons, Waveguides) [22.5.3.9, 330, 331] und Vakuumsysteme (Kryopumpen, Ventile) [22.5.3.11, 322], deren Kosten pro Komponente ausgewiesen werden.
•	Betriebsparameter: Die gewählte Neutronenwandlast von 3,6 MW/m² und die thermische Leistung von 4000 MW beeinflussen die Größe und Kosten des Reaktors und seiner Teilsysteme [22.3, 285].
•	Technologiereife: Die Annahme, dass STARFIRE die "zehnte Anlage" ist, beeinflusst die angewandten Lernkurven und die Annahme einer ausgereiften Technologie, was sich in den Kosten niederschlägt [22.2.1, 260].
•	Wartung und Sicherheit: Die vollständig ferngesteuerte Wartung und die integrierten Sicherheitsmerkmale (z.B. Dreifachbarrieren für Tritium) beeinflussen das Design und damit die Kapitalkosten für spezialisierte Ausrüstung und Gebäude [19.3.1, 21.4].
9. Werden Materialkosten und Komponentenkosten separat ausgewiesen?
Ja, die STARFIRE-Studie weist Materialkosten und Komponentenkosten separat aus, insbesondere für die Hauptkomponenten des Reaktors [22.5.3, 306].
•	Blanket und Erste Wand (Account 22.01.01): 
o	Tabelle 22-26 "First Wall/Blanket Costs" listet explizit die verwendeten Materialien (z.B. PCA SS, Beryllium, Zr5Pb3, LiAlO2, Graphit) auf. Für jedes Material werden dessen Masse (MT), die installierten Kosten pro Kilogramm ($/Kg) und die daraus resultierenden Gesamtkosten ($M) angegeben [22.5.3.1, 310].
o	Edelstahlkomponenten werden zudem in eine "complex fabrication category" (Erste Wand, Blanket-Kühlkomponenten) und eine "structural or simple fabrication category" (Reflektor, Jacket, Kühlkrümmer, Blanket-Tragstrukturen) unterteilt [22.5.3.1, 309].
•	Abschirmung (Account 22.01.02): 
o	Tabelle 22-27 "Shielding Costs" listet die Hauptmaterialien (z.B. Nonmagne 30, W, V, Ti-6Al-4V, TiH2) nach Gewicht (MT) und Kosten pro Gewichtseinheit ($/Kg) auf, um die Gesamtkosten zu berechnen [22.5.3.2, 311, 312]. Die Kosten berücksichtigen auch geringe Fertigungskosten für gegossene oder gepresste Materialien wie Pb, B4C und W [22.5.3.2, 311].
•	Magnete (Account 22.01.03): 
o	Tabelle 22-29 "Cost of the Magnets" fasst die Materialgewichte und Kosten für verschiedene Magnettypen (TF, EF, CF, OH) zusammen [22.5.3.3, 313].
o	Die Einheitskosten für den TF-Leiter sind als Verbundkosten für die Supraleiter Nb3Sn und NbTi sowie den Kupferstabilisator angegeben. Die Edelstahlstruktur um das supraleitende Leiterpaket und die Heliumtanks werden mit spezifischen Kosten pro Kilogramm erwähnt [22.5.3.3, 313]. Auch Isolatoren wie G-10CR und Superisolation werden mit spezifischen Kosten aufgeführt [22.5.3.5, 317].
•	Für andere Systeme wie die RF-Heizung [22.5.3.4, 314] oder den ECRH Plasma Breakdown [22.5.3.9, 330] werden die Kosten oft pro Komponenteneinheit (z.B. "Crossed Field Amplifier (432)" oder "Gyrotrons (24)") ausgewiesen, die integrierte Material-, Fertigungs- und Installationskosten umfassen.
10. Bezieht sich die Studie auf ein Energiesystem (z. B. Integration, Vergleich mit anderen Technologien) oder ist sie rein bezogen auf die Kosten des Kraftwerks und des Reaktors?
Die Studie bezieht sich auf ein umfassendes Energiesystem und geht weit über eine rein reaktorbezogene Kostenanalyse hinaus [22.1, 249].
•	Wirtschaftliche Konkurrenzfähigkeit: Ein Hauptziel der Studie ist es, zu beurteilen, wie STARFIRE als Fusionskraftwerk auf dem Energiemarkt konkurrieren kann. Dies beinhaltet die Bewertung seiner Leistung, Zuverlässigkeit, Sicherheit, Umweltauswirkungen und Wirtschaftlichkeit im Vergleich zu anderen Energiequellen [22.1, 248].
•	Vergleich mit anderen Fusionsstudien: Kapitel 22.8 ("COMPARISON WITH OTHER TOKAMAK STUDIES") vergleicht explizit die Kosten von STARFIRE mit anderen Tokamak-Konzepten wie NUWMAK und UWMAK-III, um die Wettbewerbsfähigkeit innerhalb der Fusionsbranche zu bewerten [22.8, 360, 361].
•	Vergleich mit Fission und Kohle: Kapitel 22.9 ("COMPARISON OF FUSION WITH FISSION AND COAL") bewertet die Wirtschaftlichkeit von Fusion im Vergleich zu etablierten Energiequellen wie Kernspaltung und Kohle, um die kommerzielle Attraktivität zu demonstrieren [22.9, 255, 372].
•	Integration ins Stromnetz ("Utility Interface"): Die Gestaltung von STARFIRE wurde stark von der Integration in die Stromversorgung (Utility Interface) beeinflusst. Fragen der Zuverlässigkeit, Anlagenverfügbarkeit, Kosten pro erzeugter Kapazität, Startanforderungen und Lastfolgefähigkeit wurden als entscheidende Kriterien für die Akzeptanz durch Energieversorger bewertet (siehe Appendix A — UTILITY INTERFACE) [A.1, 384, 386, 388, 389].
•	"Balance of Plant" (BOP): Kapitel 20 ("BALANCE OF PLANT DESIGN") beschreibt ausführlich die konventionellen Teile des Kraftwerks (z.B. Turbinen, Dampfgeneratoren, Kühlsysteme, Gebäude), die für die Energieumwandlung und -abgabe an das Netz erforderlich sind und einen Großteil der Gesamtkosten ausmachen [20.0, 176, 22.4, 290].
•	Umweltauswirkungen: Kapitel 21 ("ENVIRONMENTAL ANALYSIS") behandelt die Umweltauswirkungen des Kraftwerks, einschließlich Routine- und Unfallfreisetzungen von Radionukliden, Abfallentsorgung, Magnetfeldern und Ressourcenverbrauch, was eine systemweite Betrachtung erfordert [21.1, 212, 219, 239].
11. Welche Kostenreduktionspotenziale oder wirtschaftlichen Optimierungsansätze werden thematisiert?
Die Studie thematisiert mehrere Kostenreduktionspotenziale und wirtschaftliche Optimierungsansätze, die in das Design von STARFIRE eingeflossen sind:
•	Gleichstrombetrieb (Steady-State Operation): Dies ist eine der wichtigsten Designentscheidungen. Er eliminiert die Notwendigkeit großer thermischer und elektrischer Energiespeichersysteme, reduziert Ermüdungsprobleme der Komponenten, erhöht die Systemzuverlässigkeit und senkt somit die Betriebskosten und erhöht die Verfügbarkeit [3.2, 22.3, 280, 287].
•	Vereinfachte Designkonzepte: Die Wahl von RF-Heizung anstelle von Neutralstrahlheizung und eines Limiter-/Vakuum-Konzepts anstelle eines magnetischen Divertors führte zu Designvereinfachungen, verbesserter Wartbarkeit und geringeren Kosten im Vergleich zu den Alternativen [3.3, 24, 282, 370].
•	Höhere Neutronenwandlast: Eine höhere Neutronenwandlast (3,6 MW/m²) führt zu einer kleineren Oberfläche, höherer Leistungsdichte, kleinerem Reaktionsvolumen und potenziell geringeren Kosten für den Reaktor. Die Optimierung der Wandlast gegen die Lebensdauer war ein wichtiger Faktor [22.3, 284, 285].
•	Modulare Bauweise und Standardisierung: STARFIRE ist als die "zehnte Einheit" einer standardisierten Anlage konzipiert. Dies ermöglicht die Off-Site-Fertigung von Modulen, beschleunigt die Feldkonstruktion und reduziert Ingenieurkosten und die Bauzeit [23.2, 260, 268, 378, 392].
•	Lernkurveneffekte: Die Anwendung von Lernkurven (85-98%) auf die Kostenschätzungen antizipiert Kostenreduzierungen aufgrund von Erfahrung bei der Herstellung großer Mengen von Komponenten [22.2.1, 261, 262].
•	Fernwartung (Remote Maintenance): Obwohl sie anfänglich die Kapitalkosten erhöht, minimiert eine vollständig ferngesteuerte Wartung die Strahlenexposition des Personals und kann zu einer höheren Anlagenverfügbarkeit und geringeren langfristigen Betriebskosten beitragen [19.3.1, 281].
•	Materialrecycling: Eine wichtige Strategie, um die Erschöpfung von Ressourcen zu vermeiden und die langfristigen Kosten zu senken, indem Materialien innerhalb kurzer Zeit (z.B. 30 Jahre) recycelt werden [12.3, 30].
•	Optimierung des Tritium-Brennstoffkreislaufs: Minimierung des Tritiuminventars und geschlossene Kreisläufe reduzieren Sicherheitsrisiken und externe Beschaffungskosten [14.2, 216, 221, 393, 409].
•	Wahl des Kühlmittels: Druckwasser als primäres Kühlmittel ist eine ausgereifte Technologie und ermöglicht die Eliminierung einer Zwischenkühlmittelschleife, was Kosten senkt und die Effizienz erhöht [13.2.1, 58, 285, 393].
•	Verbesserte Turbinenzyklus-Effizienz: Die Verwendung von drei Feuchtigkeitsabscheidestufen im Dampfturbinensystem verbessert die Effizienz von 34% auf 36% bei geringen zusätzlichen Kosten [20.4.1.3, 194, 22.5.4.1, 343].
•	Optimierte Gebäudekonfiguration: Eine Kostenanalyse der Gebäudekonfigurationen führte zur Wahl des "Ribbed Box"-Designs als kostengünstigste Option für das Reaktorgebäude [20.2.1.2, 187, 303].
12. Was sind die signifikantesten Kostentreiber und ökonomischen Herausforderungen laut Studie?
Die Studie identifiziert die folgenden signifikantesten Kostentreiber und ökonomischen Herausforderungen für STARFIRE:
•	Reaktoranlagenausrüstung (Reactor Plant Equipment, Acct 22): Dies ist der teuerste Teil des Gesamtsystems und macht in STARFIRE über 50% der gesamten direkten Kapitalkosten aus ($968.62 M von $1726.48 M) [22.5.3, 257, 307]. Dazu gehören Komponenten wie Blanket und erste Wand, Abschirmung, Magnete, RF-Heizung und Primärstruktur [22.5.3, 306].
•	Kapitalintensität: Fusionsanlagen sind sehr kapitalintensiv. Die Kapitalkosten dominieren die Stromgestehungskosten (COE) mit 85-90% der Gesamtkosten [22.8, 360]. Eine Reduzierung der Anlagenverfügbarkeit um nur 1% (von 75% auf 74%) kann die COE erheblich steigern (fast 1 Mill/kWh) [22.3, 287].
•	Große, komplexes Design und Struktur: Die sehr großen außerebenen magnetischen Kräfte auf die TF-Spulen erfordern eine erhebliche und robuste Tragstruktur [16.2.2, 88], die teuer ist [16.2.2, 93]. Dies ist eine der Hauptursachen für die hohen Kosten der Primärstruktur [22.5.3.5, 369].
•	Fernwartung: Die Notwendigkeit einer vollständig ferngesteuerten Wartung im Reaktor und in den Heißzellen, um die Strahlenexposition zu minimieren, führt zu hohen Kapitalkosten für spezialisierte Wartungsausrüstung und -anlagen [19.3.1, 281, 288]. Die Wartungsanlagen (z.B. 16 Kräne, 3 Aufzüge, Monorail) sind sehr umfangreich [22.8, 371].
•	Einzigartige Gebäudeanforderungen: Das Reaktorgebäude muss groß genug sein, um die Fusionssysteme und die vollständig ferngesteuerte Wartung zu ermöglichen, und muss gleichzeitig strenge Anforderungen an Abschirmung und Überdruckschutz erfüllen [20.2.1.2, 303].
•	Materialressourcen: Einige Elemente wie Niob, Chrom, Wolfram und Tantal könnten bei einer großflächigen Fusionsökonomie zu Ressourcenproblemen führen [12.1, 13, C.3, 219, 432]. Dies erfordert Materialauswahl und Recyclingstrategien, die wiederum die Kosten beeinflussen können [12.3, 30].
•	Mangelnde Detailtiefe in einigen Subsystemen: Für noch nicht vollständig entwickelte oder definierte Subsysteme wurden Kostenschätzungen mit impliziten Designzuschlägen versehen, was Unsicherheiten birgt [22.1, 250].
•	Personalbedarf und Qualifikation: Der hohe Personalbedarf (163 Mitarbeiter) und die Notwendigkeit von Routine-Fortbildungen und Requalifizierungen für das Personal der fortgeschrittenen Technologie tragen zu den Betriebskosten bei [19.4, 175, 22.6.2, 354].
•	Vergleich mit anderen Studien: Obwohl STARFIRE Designvereinfachungen nutzte, führten die sehr vollständige Designbasis und die detaillierte Kostenanalyse zu höheren Endkosten als bei einigen früheren, weniger detailliert kalkulierten Studien. Dies erhöht jedoch die Glaubwürdigkeit der Kosten für die Energiebranche [22.8, 370, 371, 372].
</t>
  </si>
  <si>
    <t>Basierend auf der LIFE-Studie von Anklam et al. (2011) wird ein Vergleich mit den Kosten anderer Energieerzeugungen durchgeführt, und es lassen sich folgende Ergebnisse festhalten:
**Vergleich mit anderen Energieerzeugungen:**
1.  **Verglichene Technologien:**
    *   Die Stromgestehungskosten (Cost of Electricity, COE) von LIFE werden mit denen **anderer kohlenstoffarmer Stromerzeugungstechnologien ("other low-carbon electrical energy technologies")** verglichen.
    *   Des Weiteren erfolgt ein Vergleich mit **anderen Grundlastenergiequellen ("other base load energy sources")**.
    *   Schließlich werden die Kosten auch mit **fossiler Stromerzeugung ("fossil fuel generation")** verglichen, wobei hier ein variabler **CO2-Preis ("cost of carbon")** berücksichtigt wird.
    *   Die Kosten für diese alternativen Technologien wurden aus einem aktuellen Papier von Nicholson abgeleitet [20, Ref. 15].
2.  **Ergebnis des Vergleichs:**
    *   Die geschätzten Stromgestehungskosten für **LIFE sind vergleichbar ("comparable") mit denen anderer kohlenstoffarmer Grundlastenergiequellen**.
    *   Die Kosten für LIFE sind **geringer ("less than") als die Kosten der fossilen Stromerzeugung, wenn die CO2-Kosten 50 bis 100 US-Dollar pro Tonne (MT) übersteigen**.
**Kontext der LIFE-Kosten:**
*   Die geschätzten Stromgestehungskosten für LIFE umfassen eine Bandbreite: Das **obere Ende** der angegebenen Spanne bezieht sich auf die **LIFE.1-Anlage (First-of-a-Kind)**, während das **untere Ende** der Spanne dem **LIFE.3-System** (repräsentiert eine ausgereifte LIFE-Technologie) entspricht.
*   Es wird betont, dass die LIFE-Kosten auf einem **vorkonzeptionellen Design ("pre-conceptual design")** basieren, die Ergebnisse aber indikativ sind und das wirtschaftliche Potenzial der LIFE-Technologie aufzeigen.
*   Die Studie kommt zu dem Schluss, dass die **Wirtschaftlichkeit von LIFE gut mit der anderer kohlenstoffarmer Technologien vergleichbar ist**.
Dieser Vergleich wird visuell in **Abbildung 4 ("Economic comparison to other low carbon technologies")** dargestellt.</t>
  </si>
  <si>
    <t>Basierend auf der bereitgestellten Quelle "STARFIRE - A COMMERCIAL TOKAMAK FUSION POWER PLANT STUDY" (12603252.pdf), wird ein umfassender Kostenvergleich mit anderen Energieerzeugungstechnologien vorgenommen, insbesondere in Abschnitt 22.9 "Comparison of Fusion with Fission and Coal".
**1. Mit was wird verglichen?**
Die STARFIRE-Studie vergleicht die Kosten der Fusionsenergie mit denen der Stromerzeugung aus **Kernspaltung (Fission)** und **Kohle**. Der Vergleich berücksichtigt dabei sowohl bestehende Anlagen als auch neu zu bauende Anlagen.
**2. Was ist das Ergebnis daraus?**
Das zentrale Ergebnis ist, dass die geschätzten **Stromgestehungskosten (Cost of Electricity, COE) des fusionsbetriebenen STARFIRE-Reaktors als wettbewerbsfähig ("competitive") mit den Prognosen für die COE von Kohle- und Kernspaltungsanlagen angesehen werden**. Die Studie geht davon aus, dass sich diese Wettbewerbsfähigkeit voraussichtlich noch verbessern wird, da die Kosten für fossile Brennstoffe und Kernbrennstoffe (Fission) voraussichtlich stärker steigen werden als die allgemeine Inflation.
**Detaillierte Vergleichsergebnisse:**
*   Die COE bestehender Kernspaltungsanlagen lag zum Zeitpunkt der Studie (1980) bei ungefähr **15 mills/kWh**.
*   Die COE bestehender Kohlekraftwerke lag im Bereich der **niedrigen 20er mills/kWh**.
*   Die geschätzten COE für **neue Kernspaltungs- und Kohleanlagen** sind zum Zeitpunkt der Studie auf etwa **40 mills/kWh** gestiegen.
*   Es wurde prognostiziert, dass diese Kosten innerhalb der nächsten 10 Jahre (also bis 1990) auf **70 bis 90 mills/kWh** ansteigen würden.
*   Die **STARFIRE COE** (gemäß Tabelle 22-2) wird mit **35,1 mills/kWh** (in konstanten 1980-Dollar) und **67,1 mills/kWh** (in 1986-aktuellen-Dollar) angegeben.
*   **Abbildung 22-4** ("STARFIRE COE is competitive") illustriert diesen Vergleich und zeigt, dass die STARFIRE-Kosten **innerhalb des prognostizierten Bereichs für neue Kohle- und Kernspaltungsanlagen** für die Jahre 1985 und 1990 liegen.
Der Vergleich dient dazu, die wirtschaftliche Rentabilität einer Fusionsenergiequelle für eine kommerzielle Stromerzeugungsanlage zu bestimmen.
Die STARFIRE-Studie von 1980 (ANL/FPP-80-1) hat die Stromgestehungskosten (Cost of Electricity, COE) auf eine differenzierte Weise verglichen, da der STARFIRE-Reaktor selbst eine zukünftige Anlage ist [12603252.pdf, 484].
Es wurde ein Vergleich mit **beiden Kategorien** vorgenommen:
1.  **Vergleich mit aktuellen (1980) COE von bestehenden Anlagen:**
    Die Studie gab die COE bestehender Kernspaltungsanlagen für 1980 mit etwa **15 mills/kWh** und die COE bestehender Kohlekraftwerke im Bereich der **niedrigen 20er mills/kWh** an [12603252.pdf, 485]. Diese Zahlen dienten als Referenzpunkt für die damalige Energiesituation.
2.  **Vergleich mit prognostizierten Werten für zukünftige Anlagen:**
    Der Hauptvergleich des STARFIRE-COE erfolgte jedoch mit **prognostizierten Kosten für neu zu bauende Kohle- und Kernspaltungsanlagen**. Es wurde festgestellt, dass die geschätzten Kosten für **neue Kernspaltungs- und Kohleanlagen** zum Zeitpunkt der Studie bereits auf etwa **40 mills/kWh** gestiegen waren. Darüber hinaus wurde prognostiziert, dass diese Kosten innerhalb der nächsten 10 Jahre (also bis 1990) auf **70 bis 90 mills/kWh** ansteigen würden [12603252.pdf, 485].
**Das Ergebnis des Vergleichs** war, dass die geschätzten STARFIRE-COE (mit 35,1 mills/kWh in konstanten 1980-Dollar oder 67,1 mills/kWh in 1986-aktuellen-Dollar) als **wettbewerbsfähig** mit den **Prognosen für die COE von neuen Kohle- und Kernspaltungsanlagen** angesehen wurden [12603252.pdf, 486, 487]. Es wurde erwartet, dass sich diese Wettbewerbsfähigkeit noch verbessern würde, da die Kosten für fossile Brennstoffe und Kernbrennstoffe voraussichtlich stärker steigen würden als die allgemeine Inflation [12603252.pdf, 486]. Abbildung 22-4 der Studie illustriert diesen Vergleich, indem sie die COE-Werte für bestehende und neue Anlagen sowie für STARFIRE über die "YEAR OF INITIAL OPERATION" (bis 1995) darstellt [12603252.pdf, 487].
Somit wurde für eine zukünftige Anlage wie STARFIRE primär auf **prognostizierte zukünftige Kosten** von Wettbewerbstechnologien abgestellt, um eine realistische Einschätzung der langfristigen wirtschaftlichen Viabilität zu ermöglichen.</t>
  </si>
  <si>
    <t>Comparison with other Technologies</t>
  </si>
  <si>
    <t>1.  **Welche Modellannahmen werden getroffen?**
    Die Studie trifft verschiedene Annahmen für die konzeptionellen Fusionsreaktor-Designs und deren wirtschaftliche Bewertung:
    *   **Anlagentyp und -größe:** Es werden Entwürfe für **zentrale Stromerzeugungsanlagen** (central station electric power plants) für MFE und IFE betrachtet. Die Nennleistung der Fusionsreaktoren liegt typischerweise bei **ungefähr 1000 MW(e)**, mit geringfügigen Abweichungen (z.B. CASCADE 815 MW(e), TITAN-I 970 MW(e), ESECOM/GENEROMAK 1200 MW(e)).
    *   **Währungsbasis:** Alle Kostenangaben beziehen sich auf **1988 US-Dollar**.
    *   **Anlagenverfügbarkeit (Plant Availability):** Eine Verfügbarkeit von **76%** wird angenommen.
    *   **Bauzeit:** Eine Bauzeit von **6 Jahren** wird angesetzt.
    *   **Betriebsdauer:** Für die Abfallberechnung wird eine Lebensdauer der Anlage von **30 Jahren** angenommen.
    *   **Technologiereifegrad:** Die Fusionsreaktorkonzepte stellen ein Spektrum von Annahmen bezüglich Plasmatechnologie und Ingenieurwesen dar. Für einige Designs wie ARIES-I werden **"modest extrapolations from the available plasma physics database"** und **"aggressive extrapolations in magnet technology"** angenommen. Für ARIES-II, HYLIFE und CASCADE werden sogar **"aggressive extrapolations in physics and/oder technology"** angenommen. Dies deutet darauf hin, dass die Kosten auf einem fortgeschrittenen, optimierten Entwicklungsstand basieren, der eher einem **NOAK (Nth-of-a-Kind) oder 10th-OAK** Reaktor entspricht, nicht einem FOAK [Gesprächsverlauf].
    *   **Wettbewerbsfähigkeit:** Das **Ziel der wirtschaftlichen Wettbewerbsfähigkeit** ("economic competitiveness") für Fusionsenergie ist eine zentrale Annahme. Die Kosten sollen im Bereich der geschätzten Kosten für fortgeschrittene Kernspaltungsreaktoren (PWR-ME und PWR-BE) liegen.
    *   **BOP-Kosten:** Es wird angenommen, dass die Kosten des **"steam cycle BOP"** (Balance of Plant) gut verstanden und vergleichbar mit denen von Spaltungs- und fossilen Anlagen ähnlicher Leistung sind.
    *   **Rückzirkulierende Leistung:** Es wird erwartet, dass die Kosten der rückzirkulierenden Leistung (Recirculating Power) auf einem akzeptablen Niveau (&lt; 10-20%) gehalten werden.
2.  **Welche Modell- und Kostenannahmen basieren auf tatsächlichen Erfahrungswerten und welche nur Schätzungen oder Prognosen? Welche Annahmen stammen woher?**
    Die Studie kombiniert bestehende Erfahrungswerte mit umfangreichen Schätzungen und Prognosen:
    *   **Erfahrungswerte (für Referenztechnologien):**
        *   Die Kosten für **Kohle- und Kernspaltungsreferenzanlagen** (PWR-ME, PWR-BE) stammen aus Veröffentlichungen von **Ref. und Ref.**. PWR-ME repräsentiert die "median experience" (heutige Fission), während PWR-BE die "better experience" (heutige Fission, aber mit regulatorischen Reformen und verbesserter Baupraxis) darstellt.
        *   Die Kosten für den **Balance of Plant (BOP)** für den Dampfkreislauf gelten als **"well understood"** und **"comparable to those of fission and fossil plants of similar power output"**, was auf eine Basis in tatsächlichen Erfahrungswerten hindeutet.
    *   **Schätzungen und Prognosen (für Fusionsreaktoren):**
        *   Die Kosten für Fusionsreaktoren sind **"cost of electricity projections"** und basieren auf **"conceptual reactor design studies"**. Sie beinhalten Annahmen zu Kapitalkosten, Stilllegungskosten und der angenommenen Anlagenverfügbarkeit.
        *   **ARIES-I** basiert auf **"modest extrapolations from the available plasma physics database and aggressive extrapolations in magnet technology"**. Die Kosten stammen aus Ref..
        *   **ARIES-II** basiert auf **"aggressive extrapolations in physics by assuming operation in the second stable MHD regime"**. Dies ist eine vorläufige Schätzung und stammt ebenfalls aus Ref..
        *   **TITAN-I** basiert auf **"aggressive extrapolations in liquid metal heat transport technology at high power density"**. Die Kosten stammen aus Ref..
        *   **ESECOM/GENEROMAK** ist ein RFP-Reaktordesign. Die Kosten stammen aus Ref. und Ref..
        *   **HYLIFE** (Inertial Fusion Energy) basiert auf **"aggressive extrapolation in physics and modest extrapolations in technology"**. Die Kosten stammen aus Ref..
        *   **CASCADE** (Inertial Fusion Energy) basiert auf **"aggressive extrapolations in both physics and technology"**. Die Kosten stammen aus Ref..
        *   All diese Fusionsdesigns beinhalten ein hohes Maß an Prognose, da sie sich auf zukünftige, noch nicht vollständig entwickelte Technologien beziehen.
3.  **Falls externe Quellen für die Modell- und Kostenannahmen verwendet wurden – wurden diese modifiziert? Falls ja, wie?**
    Die Studie von Conn et al. (1990) selbst **präsentiert und vergleicht primär die Ergebnisse** anderer detaillierter konzeptioneller Fusionsreaktorstudien. Es wird **nicht explizit offengelegt, dass die *Modell- und Kostenannahmen* aus den referenzierten externen Studien in der Conn-Studie selbst modifiziert wurden**, bevor sie in Tabelle I dargestellt wurden.
    Stattdessen werden die **zugrundeliegenden Annahmen und Extrapolationen, die *in den referenzierten Studien* gemacht wurden**, erwähnt:
    *   Die Fusionsreaktor-Konzeptentwürfe in Tabelle I repräsentieren ein **Spektrum von Annahmen** ("spectrum of assumptions") bezüglich Plasmatechnologie und Ingenieurwesen.
    *   Es wird darauf hingewiesen, dass spezifische Entwürfe wie **ARIES-I, ARIES-II, TITAN-I, HYLIFE und CASCADE bereits "modest" bis "aggressive extrapolations in physics and/oder technology"** in ihren ursprünglichen Designstudien enthalten. Dies sind also Modifikationen oder Extrapolationen, die von den *Autoren der ursprünglichen Designs* vorgenommen wurden, um attraktive, zukünftige Systeme darzustellen.
    *   Die Conn-Studie agiert hier eher als **Zusammenfassung und vergleichende Analyse** dieser bestehenden Designstudien, anstatt deren interne Modellannahmen zu modifizieren.
4.  **Wie lautet die Annahme zu Lernraten?**
    Der Begriff "Lernraten" (learning rates) wird in den bereitgestellten Auszügen der Studie nicht explizit genannt. Allerdings lässt sich aus dem Kontext und unserer Konversation ableiten, dass die zugrunde liegenden Fusionsreaktorkonzepte **implizit von Lerneffekten ausgehen**, die mit zunehmender Reife der Technologie verbunden sind:
    *   Die Studien konzentrieren sich auf die **Erzielung wirtschaftlicher Wettbewerbsfähigkeit**, was für ausgereifte Anlagengenerationen typisch ist, die von Lerneffekten profitieren.
    *   Die als **NOAK (Nth-of-a-Kind) oder 10th-OAK** eingestuften Designs [Gesprächsverlauf] beinhalten bereits die Annahme, dass Konstruktion und Betrieb optimiert wurden und die Kosten aufgrund von Erfahrung und Serienfertigung gesenkt werden konnten. Dies ist die funktionale Definition einer Lernrate in der Kostenanalyse.
    *   Für IFE-Systeme wird erwähnt, dass die Möglichkeit, **einen Treiber für mehrere Reaktionskammern** zu nutzen, die **Einheitskosten des Treibers senkt** ("lowers the unit driver cost"). Dies ist ein direkter Hinweis auf Skaleneffekte und potentielle Lernkurven durch wiederholte Anwendung.
5.  **Wie wurden die Annahmen zu den Lernraten hergeleitet bzw. von wo stammen diese Annahmen?**
    Da der Begriff "Lernraten" in den vorliegenden Auszügen nicht direkt verwendet wird, gibt es **keine explizite Offenlegung darüber, wie solche Annahmen hergeleitet wurden oder woher sie stammen**. Die implizite Annahme von Lerneffekten und optimierten Kosten für NOAK/10th-OAK-Reaktoren beruht wahrscheinlich auf der **standardmäßigen Praxis in der Kostenanalyse von neuen Technologien** zu jener Zeit, bei der von der industriellen Reife und Serienfertigung ausgegangen wird, um das volle wirtschaftliche Potenzial aufzuzeigen.
6.  **Wird offengelegt, ob die Kostenabschätzung auf einem Bottom-up-, Top-down- oder hybriden Ansatz basiert?**
    Die Studie selbst **legt nicht explizit offen**, ob die Kostenabschätzung für die in Tabelle I dargestellten Fusionsreaktoren auf einem reinen Bottom-up-, Top-down- oder hybriden Ansatz basiert.
    *   Sie erwähnt, dass "several dozen economic assessments" von MFE- und IFE-Kraftwerken "capital cost estimates **(based on various levels of design detail)**" enthalten haben. Dies deutet darauf hin, dass die zugrunde liegenden Studien unterschiedliche Ansätze verwendet haben könnten.
    *   Der Text weist darauf hin, dass "systematic item-by-item cost analysis can be performed for an engineering reactor design", aber dies für viele Fusionsdesigns noch nicht erreicht ist.
    *   Die "Mass Power Density (MPD)" wird als "useful figure of merit to assess the economic potential" oder als "one useful indicator of progress" beschrieben. Dies ist ein eher **Top-down-Ansatz** oder eine hochrangige Kennzahl für die Bewertung des wirtschaftlichen Potenzials in frühen Phasen.
    *   Die Annahme, dass die Kosten eines **Dampfkreislauf-BOP "well understood"** sind und mit denen von Spaltungs- und fossilen Anlagen vergleichbar sind, könnte implizieren, dass dieser Teil des Kraftwerks mit einem detaillierteren (Bottom-up-)Ansatz aus bestehenden Daten abgeleitet wurde.
    *   Für die spezifischen Kosten in Tabelle I werden Verweise auf die jeweiligen detaillierteren **Designstudien** gegeben (z.B. für STARFIRE, für ARIES, für HYLIFE, für CASCADE). Es ist anzunehmen, dass diese ursprünglichen Studien detailliertere Kostenanalysen (wahrscheinlich Bottom-up- oder hybride Ansätze) verwendeten, aber die Conn-Studie fasst deren Ergebnisse lediglich zusammen.
7.  **Beruht die Kostenherleitung auf physikalischen und technologischen Werten?**
    **Ja, die Kostenherleitung beruht maßgeblich auf physikalischen und technologischen Werten.** Die gesamte Studie, insbesondere Abschnitt 2 ("FUSION REACTOR TECHNOLOGY AND DESIGN"), legt dar, wie die physikalischen und technologischen Merkmale von Fusionsreaktoren deren wirtschaftliche Aspekte beeinflussen:
    *   **MFE-Systeme:** Verbesserungen in der Wirtschaftlichkeit werden durch höhere Mass Power Density (MPD), effizientere Nutzung des Magnetfeldes (höhere Beta-Werte), den Übergang zum Dauerbetrieb (dank effizienterer Stromtriebstechniken und Bootstrap-Strom) sowie Fortschritte bei Magnet- und Heiztechnologien angestrebt. Auch die Wahl der Blanket-Materialien und Energieumwandlungssysteme beeinflusst die Leistung und damit die Kosten.
    *   **IFE-Systeme:** Kritische technologische und physikalische Anforderungen, die direkt die Kosten beeinflussen, sind ein hocheffizienter (≥ 10%) repetitiv gepulster Pellet-Treiber (Driver) mit einer Energie von bis zu 10 MJ pro Target, Targets mit einem Energiegewinn von etwa 100, Reaktionskammern zur Absorption der Energie und effektive Trennung von Targetkammer und Treibersystem. Auch die Kosten der Treiber und Target-Fabriken sind signifikant.
    *   Die Studie argumentiert, dass die Entwicklung **"low activation"**-Materialien und das Erreichen passiver Sicherheit die Notwendigkeit teurer nuklearer Sicherheitskomponenten reduzieren und somit die Kapitalkosten senken können.
8.  **Werden Materialkosten und Komponentenkosten separat ausgewiesen?**
    **Nein, in den bereitgestellten Auszügen der Conn et al. Studie (1990) und insbesondere in Tabelle I werden Materialkosten und Komponentenkosten nicht separat ausgewiesen.**
    *   Tabelle I zeigt "Direct cost" und "Unit direct cost" sowie eine Aufschlüsselung der Stromgestehungskosten (COE) in "Capital", "Operation and maintenance", "Fuel and scheduled replacement items" und "Decommissioning". Die Kapitalkosten umfassen die gesamten Kosten für alle Komponenten und Materialien.
    *   Die Diskussion über Materialien (z.B. "low-activation steels, vanadium alloys and low-activation ceramic composites") konzentriert sich auf deren physikalische Eigenschaften und Sicherheitsvorteile, nicht auf ihre spezifischen Kostenanteile innerhalb der Gesamtstruktur.
    *   Es ist anzunehmen, dass die detaillierten, zugrunde liegenden Designstudien (z.B. STARFIRE, ARIES, HYLIFE, CASCADE) solche detaillierten Aufschlüsselungen enthalten, aber diese Übersichtsarbeit fasst die Ergebnisse auf einer höheren Ebene zusammen.
9.  **Bezieht sich die Studie auf ein Energiesystem (z. B. Integration, Vergleich mit anderen Technologien) oder ist sie rein bezogen auf die Kosten des Kraftwerks und des Reaktors?**
    Die Studie bezieht sich **umfassend auf ein Energiesystem**, das die **Integration und den Vergleich mit anderen Technologien** einschließt, und ist nicht rein auf die Kosten des Kraftwerks und des Reaktors beschränkt.
    *   **Systematischer Vergleich:** Die Arbeit vergleicht Fusionsenergie explizit mit **Kernspaltungs- und Kohlekraftwerken** hinsichtlich ihrer Wirtschaftlichkeit, Sicherheit und Umweltauswirkungen. Tabelle I listet die Kosten für Kohle und Spaltungsreaktoren neben denen der Fusionsreaktoren auf.
    *   **Rolle im Energiemix:** Fusionsenergie wird als eine langfristige, nicht-fossile Energiequelle positioniert, die ein wichtiger Bestandteil des zukünftigen Energiemix sein kann, um Umweltrisiken, Versorgungs- oder politische Schwierigkeiten im Zusammenhang mit fossilen Brennstoffen und der heutigen Kernenergie abzusichern.
    *   **Politische Implikationen:** Die Studie beginnt mit der Feststellung, dass unsere Energiezukunft durch technologische, ökologische und politische Unsicherheiten getrübt ist und die Fusion eine der wenigen zukünftigen Energiequellen mit dem Potenzial für wirtschaftliche Akzeptanz sowie Sicherheits- und Umweltattraktivität ist. Es wird die Entwicklung einer Energiepolitik diskutiert.
    *   **Umfassende Bewertung:** Die Studie untersucht die "prospects for fusion energy, particularly in terms of its safety, environmental and economic potential", was eine systemische Betrachtung über die reine Reaktor- und Kraftwerkskosten hinaus impliziert.
10. **Welche Kostenreduktionspotenziale oder wirtschaftlichen Optimierungsansätze werden thematisiert?**
    Die Studie diskutiert mehrere Ansätze zur Kostenreduktion und wirtschaftlichen Optimierung von Fusionsreaktoren:
    *   **Erhöhung der Mass Power Density (MPD):** Eine höhere MPD (kW(e) pro Tonne) ist ein wichtiger Indikator für das wirtschaftliche Potenzial. Designs mit über 100 kW(e)/Tonne können die Kosten des Fusions-Leistungskerns auf weniger als die Hälfte der gesamten Anlagen-Kapitalkosten reduzieren.
    *   **Höhere Plasma-Beta-Werte:** Durch höhere Beta-Werte (Verhältnis von Plasmadruck zu Magnetfelddruck) können niedrigere Magnetfelder, geringere Spulenbelastungen und reduzierte gespeicherte Magnetenergie erreicht werden, was die Kapitalkosten senkt und andere technologische Probleme reduziert.
    *   **Effizientere Plasmastrom-Triebstechniken:** Der Übergang zum **Dauerbetrieb (Steady State)** mittels effizienter Stromtriebstechniken (z.B. mit hohem Bootstrap-Stromanteil) macht den Betrieb sicherer, zuverlässiger und wirtschaftlicher als gepulsten Betrieb.
    *   **Einsatz von Niedrig-Aktivierungs-Materialien und passive Sicherheit:** Die sorgfältige Auswahl von Blanket-Materialien und Reaktorkonfigurationen, insbesondere **Niedrig-Aktivierungs-Materialien** (z.B. Siliziumkarbid), kann die Strahlenlast und Unfallfolgen drastisch reduzieren. Dies führt zur Möglichkeit, passive Sicherheitssysteme zu implementieren und die Notwendigkeit von "nuclear-stamp requirements" für Komponenten zu reduzieren, was **"significant reductions in the cost of electricity"** bewirken kann. Auch die Reduzierung von Genehmigungszeiten und -kosten wird erwartet.
    *   **Design-Vereinfachung und Robustheit:** Die Reduzierung der Anzahl der Anlagenkomponenten, Robustheit des Designs zur Erhöhung kritischer Designmargen und zur Verlängerung der Lebensdauer (&gt; 60 Jahre) sind wichtige Merkmale zur Kostenkontrolle.
    *   **Optimierung von Treiber und Target (IFE):** Die Dominanz der Kosten für das Implosionstreibersystem und die Targets in IFE-Reaktoren erfordert eine Betonung der Verbesserung des Pellet-Gains und der Treiber-Effizienz.
    *   **Subsystem-Trennbarkeit (IFE):** Die Möglichkeit, Treiber-Systeme in separaten Gebäuden zu platzieren und einen Treiber für mehrere Reaktionskammern einzusetzen, erhöht die Flexibilität, verbessert die Wartung, die Zuverlässigkeit und kann die **Einheitskosten des Treibers senken**.
11. **Was sind die signifikantesten Kostentreiber und ökonomischen Herausforderungen laut Studie?**
    Die Studie identifiziert mehrere signifikante Kostentreiber und ökonomische Herausforderungen für Fusionsreaktoren:
    *   **Hohe Kapitalkosten:** Fusion wird als **"capital intensive"** beschrieben. Die Kapitalkosten der Fusionsreaktoren werden voraussichtlich höher sein als die von heutigen fossilen Brennstoff- oder Kernspaltungsanlagen.
    *   **Kosten des Fusions-Leistungskerns:** Die Kosten, die mit dem wärmeerzeugenden Fusions-Leistungskern (Reaktionskammer, Blanket, Schild, Magnete oder Target-Treiber und Struktur) verbunden sind, werden wahrscheinlich höher sein als die der entsprechenden Systeme in fossilen oder Spaltungsanlagen.
    *   **Rückzirkulierende Leistung (Recirculating Power):** In den meisten konzeptionellen Designs müssen 10-20% der Brutto-Elektroleistung innerhalb der Anlage zur Versorgung des Treibersystems verwendet werden. Dieser Bedarf an rückzirkulierender Leistung führt zu einem proportional größeren Bilanzteil der Anlage (BOP) und erhöht die Kapitalkosten.
    *   **Treiber- und Target-Kosten (IFE):** Implosionstreiber (z.B. Schwer- oder Leichtionenstrahlen, KrF-/Festkörperlaser) und Target-Fabriken tragen "additional significant costs" bei. Die Dominanz des Implosionstreibersystems und der Targetkosten hat historisch zu einer Betonung der Verbesserung des Pellet-Gains und der Treiber-Effizienz geführt.
    *   **Komplexität:** Wenn die Technologie "too costly or complex to implement" ist, könnten die potenziellen Sicherheits- und Umweltvorteile von Fusion aufgehoben werden. Probleme in der Spaltungsindustrie werden teilweise auf die erhöhte technologische Komplexität zurückgeführt.
    *   **Unzureichende Designreife für detaillierte Kostenanalyse:** Die Studie weist darauf hin, dass man noch nicht den Punkt erreicht hat, an dem eine "systematic item-by-item cost analysis" für ein Ingenieurreaktordesign durchgeführt werden kann.
    *   **Ungeklärte Schlüsseltechnologien (IFE):** Ein kostengünstiger Hochfrequenz-Treiber, der 2-10 MJ an ein Target liefern kann, und ein Target, das einen Energiegewinn von mindestens 100 liefert, sind noch ungelöste Hauptprobleme.
    *   **Klassifizierte Target-Designs (IFE):** Die Details des Designs und Betriebs von IFE-Brennstoff-Targets sind klassifiziert, was die Entwicklung einer kommerziellen Anlage erschwert ("A power plant using classified targets is probably unacceptable").</t>
  </si>
  <si>
    <t>Basierend auf der Studie "Economic, safety and environmental prospects of fusion reactors" von R.W. Conn et al. (1990) wird ein umfassender Kostenvergleich von Fusionsenergie mit anderen Stromerzeugungstechnologien durchgeführt.
**1. Mit was wird verglichen?**
Die Fusionsenergie wird mit den Kosten der Stromerzeugung aus den folgenden Energiequellen verglichen:
*   **Kohle**
*   **Kernspaltung (Fission)**: Hierbei werden zwei Typen von Druckwasserreaktoren (PWR) betrachtet:
    *   **PWR-ME (Pressurized water reactor, median experience)**: Dies repräsentiert heutige Fissionsreaktoren mit durchschnittlicher Erfahrung.
    *   **PWR-BE (Pressurized water reactor, better experience)**: Dies repräsentiert heutige Fissionsreaktoren, jedoch mit regulatorischen Reformen und verbesserter Baupraxis.
**2. Was ist das Ergebnis daraus?**
Die Studie kommt zu dem Ergebnis, dass Fusionsreaktoren das **Potenzial haben, wirtschaftlich wettbewerbsfähigen Strom zu liefern**.
Detailliertere Ergebnisse sind:
*   **Brennstoffkosten:** Die Brennstoffkosten von Fusionsreaktoren werden voraussichtlich **geringer sein** als die von heutigen fossilen Brennstoff- und Kernspaltungsanlagen.
*   **Gesamtkapitalkosten:** Die Gesamtkapitalkosten von Fusionsreaktoren werden jedoch wahrscheinlich **höher sein**, da die Kosten des wärmeerzeugenden Fusions-Leistungskerns (Reaktionskammer, Blanket, Schild, Magnete oder Target-Treiber und Struktur) voraussichtlich über denen der entsprechenden Systeme in fossilen oder Kernspaltungsanlagen liegen werden.
*   **Stromgestehungskosten (Cost of Electricity, COE):**
    *   Das **Ziel der wirtschaftlichen Wettbewerbsfähigkeit** für Fusionsenergie impliziert, dass die geschätzten Kosten von Fusionsreaktoren in den Bereich der geschätzten Kosten von **PWR-ME (78 mills/kW(e)·h)** und **PWR-BE (46 mills/kW(e)·h)** fallen sollten.
    *   Die in **Tabelle I** dargestellten Ergebnisse zeigen, dass die Stromgestehungskosten für die verschiedenen Fusionsreaktorkonzepte (MFE und IFE) **innerhalb oder nahe dieses Zielbereichs** liegen und somit das Potenzial für wirtschaftliche Wettbewerbsfähigkeit bestätigen:
        *   **Kohle (COAL)**: 50 mills/kW(e)·h
        *   **Fission PWR-ME**: 78 mills/kW(e)·h
        *   **Fission PWR-BE**: 46 mills/kW(e)·h
        *   **Fusionsreaktoren (Auswahl)**:
            *   ESECOM/GENEROMAK (MFE): 57 mills/kW(e)·h
            *   TITAN-I (MFE): 50 mills/kW(e)·h
            *   ARIES-I (MFE): 65 mills/kW(e)·h (49 mills/kW(e)·h mit Sicherheitsgutschriften)
            *   ARIES-II (MFE): 48 mills/kW(e)·h
            *   HYLIFE (IFE): 80 mills/kW(e)·h
            *   CASCADE (IFE): 44 mills/kW(e)·h
*   **Sicherheits- und Umweltvorteile:** Zusätzlich zur Wirtschaftlichkeit übertreffen die **Sicherheits- und Umweltaspekte der Fusion** voraussichtlich die von Spaltung oder Kohle erheblich. Dies kann die wirtschaftliche Attraktivität der Fusion weiter steigern, insbesondere wenn die Kosten für zukünftige Umwelt- und Lizenzanforderungen in den Preis von fossiler oder Kernspaltungsenergie einbezogen werden. Ein passiv sicherer Reaktor kann die Gesamtkosten der Fusionsenergie weiter senken.
++Ja, in der Studie von Conn et al. (1990) werden **prognostizierte Werte** für Kohle- und Kernspaltungsenergiequellen (Kohle, PWR-ME und PWR-BE) betrachtet, wenn ein Kostenvergleich durchgeführt wird.
Dies wird deutlich durch die Überschrift von Tabelle I, die "PROJECTED COSTS OF SOME FUTURE ELECTRICAL POWER OPTIONS" (Prognostizierte Kosten einiger zukünftiger elektrischer Energieoptionen) lautet.
Obwohl die **PWR-ME** als "median experience (today's fission)" (Kernspaltung mit mittlerer Erfahrung von heute) bezeichnet wird, und **PWR-BE** als "better experience (today's fission, but with regulatory reform and improved construction practice)" (Kernspaltung mit besserer Erfahrung von heute, aber mit regulatorischen Reformen und verbesserter Baupraxis) beschrieben wird, impliziert der Gesamtkontext der Tabelle und die Annahmen für PWR-BE, dass diese Werte **nicht nur historische Kosten des Jahres 1980 widerspiegeln, sondern zukunftsgerichtete Projektionen** darstellen. Insbesondere die Annahmen über "regulatory reform and improved construction practice" für PWR-BE sind klare Hinweise auf prognostizierte Entwicklungen und nicht auf Ist-Zustände von 1980.
Die Referenzen für diese Kosten stammen aus externen Studien, die in der Conn et al. Studie verwendet wurden, um die Vergleichsbasis für die Fusionsreaktorkonzepte zu schaffen.</t>
  </si>
  <si>
    <t>Basierend auf der Studie "INERTIAL FUSION ENERGY REACTOR DESIGN STUDIES PROMETHEUS-L PROMETHEUS-H" von Waganer et al. (1992) wird ein Kostenvergleich mit anderen Energieerzeugungstechnologien durchgeführt:
**1. Was ist das Ergebnis des Vergleichs und mit was wird verglichen?**
*   **Vergleichsgegenstand:** Die Studie vergleicht die Kosten der beiden konzeptuellen Trägheitsfusionsreaktoren Prometheus-L (Laser-Antrieb) und Prometheus-H (Schwerionen-Antrieb) sowohl miteinander als auch mit **"most estimates of fusion power plants and new advanced fission power plants"** und **"other advanced energy sources"**. Es werden keine spezifischen Kostenwerte für diese externen Vergleichstechnologien in den vorliegenden Auszügen genannt.
*   **Ergebnis des Vergleichs:**
    *   Die geschätzten Stromgestehungskosten (Cost of Electricity, COE) für Prometheus-L liegen bei **72,0 mills/kWh** (in 1991 US-Dollar). Diese Kosten werden als **"comparable to most estimates of fusion power plants and new advanced fission power plants"** beschrieben.
    *   Die geschätzten Stromgestehungskosten für Prometheus-H liegen bei **62,6 mills/kWh** (in 1991 US-Dollar). Dies ist **13 % niedriger als für Prometheus-L**. Die Studie stellt fest, dass Prometheus-H **"very competitive with costs projected for other advanced energy sources"** ist.
    *   Insgesamt zeigt der Vergleich, dass **Schwerionen-getriebene Reaktoren (Prometheus-H) einen Gesamt-Vorteil gegenüber Laser-getriebenen Reaktoren (Prometheus-L) haben**, basierend auf den vorhandenen F&amp;E-Daten und Leistungs-Projektionen. Die Studie kommt zu dem Schluss, dass die Fusionsenergie das Potenzial besitzt, **wirtschaftlich wettbewerbsfähig** zu sein und gleichzeitig sehr attraktive Sicherheits- und Umweltmerkmale aufweist.
**2. Wird dabei mit historischen Werten oder zukunftsgerichteten Projektionen der Kosten verglichen?**
Es wird **ausschließlich mit zukunftsgerichteten Projektionen** der Kosten verglichen, sowohl für die Fusionsreaktoren selbst als auch für die externen Vergleichstechnologien.
Die Gründe dafür sind:
*   **Grundlage der Prometheus-Designs:** Die Designs der Prometheus-Kraftwerke basieren auf der **"Extrapolation of today's technology advanced some 20-30 years into the future"**.
*   **Extrapolation der Datenbasis:** Die physikalischen, technologischen und ökonomischen Daten werden um **etwa 30-40 Jahre in die Zukunft extrapoliert**.
*   **Technologiereifegrad:** Die Designs sind für eine **"tenth-of-a-kind commercial power plant"** konzipiert. Dies impliziert, dass die Kostenannahmen bereits die Vorteile von Lerneffekten, optimierten Prozessen und Skaleneffekten durch wiederholten Bau und Betrieb berücksichtigen, was weit über aktuelle oder historische Werte hinausgeht.
*   **Vergleichstermini:** Die Studie spricht von **"most estimates of fusion power plants and new advanced fission power plants"** und **"costs projected for other advanced energy sources"**. Die Begriffe "estimates" und "projected" (prognostiziert) unterstreichen den zukunftsgerichteten Charakter des Vergleichs.
*   **Währungsbasis:** Obwohl die Kosten in **1991 US-Dollar** angegeben sind, dient dies lediglich als monetäre Referenzbasis, während die zugrunde liegende Technologie und ihre Kosten weit in die Zukunft projiziert werden.</t>
  </si>
  <si>
    <t>Ion Beam Driver</t>
  </si>
  <si>
    <t>1.  **Welche Modellannahmen werden getroffen?**
    Die Studie trifft folgende Modellannahmen für ein Schwerionen-Fusionssystem (HIF) mit dem SPRFD-Treiber:
    *   **Anlagentyp und -größe:** Die Studie konzentriert sich auf die **ökonomische Viabilität großer Fusionssysteme**, die über die typische Kapazität moderner Kraftwerke von etwa 1 GWe hinausgehen. Ein **vollständig entwickeltes Fusionssystem** (Full-Scale SPRFD) hat eine Wärmeleistung von **100 GWth** und kann **38 GWe** Strom erzeugen.
    *   **Treiber- und Kammerkonfiguration:** Es wird ein **einziger großer Treiber** (SPRFD) angenommen, der bis zu **10 Reaktionskammern** bedienen kann.
    *   **Produktspektrum (Co-Produktion):** Das System ist nicht nur auf die Erzeugung von Elektrizität ausgelegt, sondern produziert auch **synthetische Kraftstoffe** (z.B. Methanol, synthetisches Benzin, Kerosin, Diesel) und **potenzielles Trinkwasser** (durch thermische Entsalzung von Meerwasser). Die Wärmenutzung kann auch für industrielle Prozesse wie die Metall- oder Chemikalienraffination erfolgen.
    *   **Wärmenutzung:** Es wird angenommen, dass **Hochtemperaturwärme** (&gt;1100 °C in der Kavität, 1342 °C am Wärmetauscher) effizient genutzt werden kann, was Prozesswirkungsgrade erhöht. Der Großteil der Wärmeenergie soll **nicht-elektrische Produkte** erzeugen, um Netzüberlastungen zu vermeiden.
    *   **CO2-Quelle:** Für die Herstellung synthetischer Kraftstoffe wird **atmosphärisches CO2** als Quelle angenommen, um die "Grün"-Bezeichnung der Fusion zu erhalten.
    *   **Betriebsfaktor:** Ein Betriebsfaktor von **80%** wird angenommen.
    *   **Währungsbasis:** Alle Kostenangaben basieren auf **US-Dollar**. Historische Kosten werden auf heutige Kosten mithilfe des CPI-Indexfaktors von 1,776 angepasst.
    *   **Keine Berücksichtigung von Subventionen/Steuern:** Das Modell berücksichtigt keine Regierungssubventionen, Steuern, Abschreibungen oder Darlehensgarantien, da diese standortspezifisch sind.
    *   **Vergleichsbasis:** Die Wirtschaftlichkeitsbewertung erfolgt vor dem Hintergrund, dass die Kosten **wettbewerbsfähig** mit heutigen fossilen Brennstoffen und Kernspaltungssystemen sind.
2.  **Welche Modell- und Kostenannahmen basieren auf tatsächlichen Erfahrungswerten und welche nur Schätzungen oder Prognosen? Welche Annahmen stammen woher?**
    Die Studie kombiniert bestehende industrielle Erfahrungswerte mit umfangreichen Schätzungen und Prognosen:
    *   **Erfahrungswerte (Industrie und Forschung):**
        *   **Ionenquellen und DC-Beschleunigungsstufen:** Die Kostenanalyse stützt sich auf **industrielle Prozesse**, die diese Komponenten nutzen (z.B. Verpackung, Sterilisation).
        *   **HF-Beschleunigertechnologie:** Die Kostenbasis ist **"extensive and reliable"** und stammt aus Anwendungen wie Protonentherapie, Hochenergiephysik-Forschung (CERN, FNAL) sowie Schwerionen-Forschungseinrichtungen (BNL, GSI).
        *   **Flüssig-Lithium-Systeme:** Ziehen umfangreiche **Betriebserfahrung von natriumgekühlten Spaltungssystemen** (z.B. FFTF, Clinch River Breeder Reactor) sowie Lithium-Systemen für die Fusionsentwicklung und Weltraumreaktor-Entwicklung heran.
        *   **Wärmetauschersysteme (Generatoren und Wärmetauscher):** Basieren auf **"industry data"**.
        *   **Wasserentsalzung (MED):** Kosten von **$0.40 pro m³** basieren auf **bestehenden MED-Prozessen** und deren Einsatz im Nahen Osten und Indien. Die IDE Technologies Ltd. wird als Quelle genannt.
        *   **Kostenvergleich (LHC):** Die Kosten des LHC-Beschleunigers von CERN ($4,75 Milliarden über 10 Jahre, ohne Detektoren) werden als Vergleichsbasis für Treiberkosten herangezogen.
        *   **Wasserstoffproduktion:** Daten für die Wasserstoffproduktion stammen vom **National Renewable Energy Laboratory (NREL)**.
        *   **CO2-Abscheidung:** Die Annahmen für die CO2-Abscheidung basieren auf dem **"Green Freedom report" des LANL**.
    *   **Schätzungen und Prognosen (für das Fusionssystem):**
        *   **Treiberkosten (SPRFD):** Die Gesamtkosten des Treibers werden auf **$20 Milliarden** geschätzt. Einzelne Komponenten wie "Linac branching" und "Buildings" basieren auf Schätzungen. Der Ansatz für das HF-System ist ein großes Budget von $5 Milliarden.
        *   **Zündkammern und Brennstoffhandhabung:** Werden auf **$1,5 Milliarden pro Kammer** geschätzt.
        *   **Kammerlebensdauer:** Eine Kammerlebensdauer von **&gt;30 Jahren** wird durch "extensive engineering design studies" prognostiziert.
        *   **Anlagengesamtkosten:** Die in Tabelle 3 und 5 dargestellten Gesamtkapitalkosten (z.B. $80 Milliarden für das vollständige System) sind Schätzungen.
        *   **Preise für Endprodukte:** Der Preis für Elektrizität ($0.06 pro kWh) ist ein **"commonly used value for near term electricity cost"**. Der Wert für flüssige Kraftstoffe ($3.00 pro Gallone) ist **"somewhat arbitrary"**.
        *   **Skalierung:** Die Kosten für die größere Kammer des FPC-Designs werden von Moir et al. **skaliert**.
        *   **Subsysteme mit geringster Erfahrung:** Die Kammer und der Lithium-/Tritium-Kreislauf sind die Subsysteme mit der **geringsten Erfahrungsdatenbank**.
3.  **Falls externe Quellen für die Modell- und Kostenannahmen verwendet wurden – wurden diese modifiziert? Falls ja, wie?**
    Ja, externe Quellen wurden modifiziert oder angepasst:
    *   **Skalierung von Moir et al. Kosten:** Die Kosten für die FPC-Kammer und die Wärmetauschersysteme werden von Moir et al. **skaliert**. Moir et al. hatten Designs für 1 GWe, die auf 2 GWe erweitert wurden. Die FPC-Studie skaliert diese Kosten auf das Äquivalent von **3 GWe pro Kammer** (bei 33% Umwandlungseffizienz), um sie an das größere FPC-Design anzupassen. Diese skalierten Kosten werden dann mit dem CPI-Indexfaktor von 1,776 auf heutige Preise umgerechnet.
    *   **CERN LHC-Kosten:** Die Kosten des LHC werden als Vergleich herangezogen, jedoch mit der Bemerkung, dass die Vergleichsbasis komplex ist, da der LHC einen bestehenden Tunnel nutzt und die Detektoren separat finanziert wurden. Die SPRFD-Konzeption **weicht von LHC-Magneten ab**, indem sie nicht auf die Grenze der Magnetfeldstärke abzielt, was potenziell Kosten spart. Bestimmte "cost elements" wie Tunnel werden separat mit "Industry experience" kalkuliert.
    *   **RF-System-Budget:** Für das HF-System wird ein **großes Budget von $5 Milliarden** veranschlagt und die Konsistenz durch Skalierung von tatsächlichen Kosten von Hochleistungs-HF-Systemen überprüft.
4.  **Wie lautet die Annahme zu Lernraten?**
    Die Studie macht **keine expliziten Annahmen über Lernraten** im Sinne von Prozentsätzen der Kostenreduktion pro Verdopplung der Produktionsmenge. Es wird jedoch impliziert, dass es sich um eine **ausgereifte Technologie** handelt, die von einer gewissen Reife und Optimierung profitiert. Die Studie zielt auf ein System ab, das **"economically viable and very competitive in today's energy market"** ist, was typischerweise erst nach einer Lernkurve für eine neue Technologie erreicht wird. Die Verwendung von **"industry data"** und der Fokus auf die **"economic viability of large-scale fusion systems"** deuten darauf hin, dass die Kosten für ein kommerziell ausgereiftes Stadium geschätzt werden.
5.  **Wie wurden die Annahmen zu den Lernraten hergeleitet bzw. von wo stammen diese Annahmen?**
    Da explizite Lernraten nicht genannt werden, gibt es **keine Offenlegung ihrer Herleitung oder Herkunft** in den bereitgestellten Auszügen. Die Implikation, dass die Technologie reif und wettbewerbsfähig sein wird, basiert auf der Annahme, dass die zugrunde liegenden Komponenten (Beschleuniger, Wärmetauscher) auf **etablierter industrieller Erfahrung** aufbauen und dass die "economics of large systems, that can effectively use more of the driver capacity, need to be examined", was auf Skaleneffekte und Optimierung durch Wiederholung hindeutet.
6.  **Wird offengelegt, ob die Kostenabschätzung auf einem Bottom-up-, Top-down- oder hybriden Ansatz basiert?**
    Die Kostenabschätzung basiert auf einem **hybriden Ansatz**, der sowohl Bottom-up- als auch Top-down-Elemente verwendet:
    *   **Bottom-up-Elemente:**
        *   Die Studie verwendet detaillierte Aufschlüsselungen für den **Treiber** in Tabelle 4 ("Projected cost of SPRFD driver"), die spezifische Komponenten wie Tunnel, Frontend, Linac, RF Power, Steuerung, Strahlführungen, Final Focus und Gebäude auflistet. Dies sind klare Bottom-up-Schätzungen.
        *   Tabelle 5 ("Construction cost estimates") listet auch detaillierte Kosten für andere Subsysteme wie Kammern, Wärmetauscher, Wasserstoffproduktion, CO2-Abscheidung, Kraftstoffsynthese und MED-Wasseraufbereitung auf, mit Angabe der Anzahl der Einheiten und der Kostenbasis pro Einheit.
        *   Die Kostenbasis für das **Beschleunigersystem** ist **"extensive and accurate"** und stützt sich auf vorhandene industrielle Komponenten.
        *   Für das **HF-System** wird ein großes Budget veranschlagt und die Konsistenz durch **Skalierung von tatsächlichen Kosten von Hochleistungs-HF-Systemen** überprüft.
    *   **Top-down-Elemente:**
        *   Der **Gesamtschätzwert von $20 Milliarden für den Treiber** ist eine übergreifende Top-down-Schätzung, die durch die detailliertere Bottom-up-Analyse in Tabelle 4 unterstützt wird.
        *   Die Studie versucht, die **"general viability"** der verschiedenen Geschäftsmodelle (nur Wärme, nur Strom, Kraftstoff und Strom) mittels Top-down-Metriken wie dem "ROI" (Return on Investment) zu bewerten.
7.  **Beruht die Kostenherleitung auf physikalischen und technologischen Werten?**
    **Ja, die Kostenherleitung beruht maßgeblich auf physikalischen und technologischen Werten.**
    *   **Treibergröße und -komplexität:** Die physikalische Anforderung der Zündung ("ignition requires a large and complex driver") ist der primäre Kostentreiber des Systems.
    *   **Treibertechnologie (HF-Beschleuniger):** Die Verwendung von HF-Beschleunigertechnologie, Ionenquellen und DC-Beschleunigungsstufen sowie spezifische Anforderungen an die Magnete (z.B. Wellenformen und Tastverhältnisse für Kicker- und Septummagnete) bestimmen die Kosten dieser Systeme.
    *   **Strahlführung und Vakuum:** Die Entspannung der Vakuumanforderungen im Single-Pass-System (im Vergleich zu Speicherringen) spart Kosten und fördert eine hohe Verfügbarkeit.
    *   **Kammerdesign und Material:** Das einzigartige Kammerkonzept, das **80% der Neutronenenergie in einem Lithium-Sabot** ablagert und die Wände mit relativ kühlem Lithium (210–250 °C) schützt, ermöglicht **hohe Prozesstemperaturen (&gt;1100 °C)**, während die Kammerwände unter 300 °C bleiben. Dies beeinflusst die Materialanforderungen und somit die Kosten. Die Kammer wird als "chiefly a big steel structure, appropriately armored and operating at not much above 200 °C" beschrieben, was auf bewährte und damit kostengünstigere Materialien hindeutet.
    *   **Produktmix und Effizienz:** Die Nutzung der Fusion als Wärmequelle für **Kaskadenprozesse** (Wasserstoffproduktion, Kraftstoffsynthese, Wasserentsalzung) zur Erhöhung des Gesamtwirkungsgrades auf **55% bis 65%** ist eine technologisch getriebene Kostenoptimierung.
    *   **Wärmeaustausch:** Die Notwendigkeit, **5 GWth Lithiumdampf** bei hoher Temperatur (bis 1342 °C) durch Wärmetauscher zu leiten, ist eine physikalische/technologische Herausforderung mit Kostenimplikationen.
8.  **Werden Materialkosten und Komponentenkosten separat ausgewiesen?**
    **Materialkosten werden nicht als separate, übergeordnete Kategorie ausgewiesen.** Die Studie gliedert die Kapitalkosten jedoch detailliert nach **Komponenten und Subsystemen**, was eine umfassende Aufschlüsselung darstellt. Zum Beispiel werden im Treiber die Kosten für "Tunnels", "Multi-source frontend", "Main Linac" und "RF Power" aufgeführt. Für die gesamte Anlage werden "Chamber and fuel", "Heat exchange", "Hydrogen production" und "CO2 capture" als separate Posten ausgewiesen. Die Kosten für Materialien sind in diesen Komponentenkosten enthalten.
9.  **Bezieht sich die Studie auf ein Energiesystem (z.B. Integration, Vergleich mit anderen Technologien) oder ist sie rein bezogen auf die Kosten des Kraftwerks und des Reaktors?**
    Die Studie bezieht sich **umfassend auf ein Energiesystem**, das die **Integration und den Vergleich mit anderen Technologien** einschließt. Sie ist nicht rein auf die Kosten des Kraftwerks und des Reaktors beschränkt.
    *   **Produktspektrum:** Die Studie argumentiert, dass die Produktion von **Elektrizität, synthetischen Kraftstoffen und Trinkwasser** für die wirtschaftliche Viabilität großer Systeme entscheidend ist.
    *   **Marktbetrachtung:** Es wird die Notwendigkeit berücksichtigt, die Bedürfnisse des Marktes und die **bestehenden Infrastrukturelemente** zu berücksichtigen.
    *   **Netzintegration:** Die Beschränkungen des Stromnetzes in den USA (maximale Knotenkapazität von 6 GW) führen zu der Annahme, dass der Großteil der Energie als **Wasserstoff und synthetische Kraftstoffe** vermarktet werden muss, um Netzüberlastungen zu vermeiden.
    *   **Co-Lokation von Industrien:** Die Co-Lokation energieintensiver Industrien (Metallurgie, Chemie, Zement) wird als wünschenswert erachtet, um den Transport großer Strommengen zu vermeiden.
    *   **Vergleich mit anderen Energiequellen:** Die Studie vergleicht die Kosten von Fusionsenergie mit **konventionellen fossilen Brennstoffen und/oder Kernspaltungssystemen** und positioniert HIF als "Green" source of energy.
    *   **Nationale Energiepolitik:** Die Studie schließt mit einem Appell für eine "concerted national effort to bring large-scale fusion systems to fruition" zur Sicherung der Energieversorgung der Gesellschaft.
10. **Welche Kostenreduktionspotenziale oder wirtschaftlichen Optimierungsansätze werden thematisiert?**
    Die Studie thematisiert mehrere Ansätze zur Kostenreduktion und wirtschaftlichen Optimierung:
    *   **Größen- und Skaleneffekte:** Die **"economics of large systems"** und die effektive Nutzung der **Treiberkapazität** (ein Treiber für 10 Kammern) senken die Kosten pro kWh erheblich. Der Übergang von 1 GWe zu 2 GWe kann die Kosten um 30% senken; 30+ GWe-Systeme können die Busbar-Kosten um mehr als den Faktor 10 reduzieren.
    *   **Co-Produktion und Kaskadennutzung von Wärme:** Die Erzeugung von **Elektrizität, synthetischen Kraftstoffen und Trinkwasser** aus der Abwärme ("cascaded processes") führt zum höchsten ROI (Return on Investment). Hohe Prozesstemperaturen erhöhen die Effizienz.
    *   **Vermeidung von Netzumbau:** Die Produktion von nicht-elektrischen Produkten (z.B. synthetische Kraftstoffe) vermeidet die Notwendigkeit eines kostspieligen Umbaus des bestehenden Stromnetzes.
    *   **Co-Lokation von energieintensiven Industrien:** Die räumliche Nähe zu großen Energieverbrauchern vermeidet Transportkosten für Elektrizität.
    *   **Hoher Betriebsfaktor:** Ein angestrebter Betriebsfaktor von 80% maximiert die Energieproduktion und Amortisation der Kapitalkosten.
    *   **Modulares Wärmetauschersystem:** Ein modularisiertes Wärmetauschersystem an jedem Ende der Kammer könnte Wartung und Austausch vereinfachen und Kosten sparen.
    *   **Entspannte Vakuumanforderungen:** Die Ein-Pass-Natur des Treibers entspannt die Vakuumanforderungen im Vergleich zu Speicherringen, was Kosten spart und die Verfügbarkeit erhöht.
    *   **Nutzung etablierter Technologien:** Die Verwendung von gut etablierten Industriekomponenten und -prozessen (z.B. für Beschleuniger, Wassermacher) reduziert Entwicklungsrisiken und Kosten.
11. **Was sind die signifikantesten Kostentreiber und ökonomischen Herausforderungen laut Studie?**
    Die Studie identifiziert folgende signifikante Kostentreiber und ökonomische Herausforderungen:
    *   **Kosten des Treibers:** Der Beschleuniger ist das **teuerste Einzelelement** der Anlage, und das HF-Leistungssystem ist das teuerste Subsystem der gesamten Anlage. Die geschätzten Kosten für den Treiber liegen bei **$20 Milliarden**.
    *   **Größe und Komplexität des Treibers:** Die Notwendigkeit eines **großen und komplexen Treibers** für die Zündung macht die Investition für kleine Anlagen (unter mehreren GWe) unwirtschaftlich.
    *   **Infrastruktur für Produkte:** Das Fehlen einer Infrastruktur für den Transport großer Mengen von Wasserstoff erfordert die Umwandlung in flüssige Kraftstoffe (Fischer-Tropsch-Prozess), was **zusätzliche Kapitalkosten** verursacht.
    *   **Geringe Erfahrungsdatenbank für bestimmte Subsysteme:** Die **Kammer und der Lithium-/Tritium-Kreislauf** sind die Subsysteme mit der geringsten Erfahrungsdatenbank, was Unsicherheiten in den Schätzungen mit sich bringt.
    *   **Marktakzeptanz und Infrastruktur:**
        *   Die Notwendigkeit der **Co-Lokation** von großen Energieverbrauchern ist eine Herausforderung, da sie die Standortwahl einschränkt.
        *   Die **aktuelle Infrastruktur** des Stromnetzes in den USA kann die erzeugten Strommengen großer Fusionssysteme nicht aufnehmen, was die Wirtschaftlichkeit eines reinen Stromerzeugungsmodells in Frage stellt.
    *   **Entwicklungsrisiko und Investitionsmangel:** Die Industrie scheut das Risiko der Fusionsentwicklung, was zu einem **Mangel an Investitionen** in fortgeschrittene Energiesysteme wie beschleunigergetriebene Fusionssysteme führt.
    *   **Historische Versprechen und Vertrauensverlust:** Historische Versprechen, dass Fusion "in 20 years time" verfügbar sein wird, haben zu einem Vertrauensverlust in der Industrie geführt.
    *   **Fehlende Führung und Finanzierung:** Das Fehlen einer spezifischen Heimat innerhalb des DOE für zivile HIF-Anwendungen und die Streichung von Forschungsgeldern haben den Fortschritt über Jahrzehnte behindert.
    *   **Kosten von Spezialmetallen:** Im Fall des Schwefel-Jod-Prozesses zur Wasserstoffproduktion würden die Kosten für Spezialmetalle bei hohen Temperaturen die Wirtschaftlichkeit zerstören, weshalb der Prozess in der Baseline nicht verwendet wird.
    *   **Annahmen zu Produktpreisen:** Die Annahme von spezifischen Produktpreisen (z.B. $3.00 pro Gallone für flüssigen Kraftstoff) ist "somewhat arbitrary" und beeinflusst die Projektion der Einnahmen.</t>
  </si>
  <si>
    <t>Basierend auf der Studie "Economic viability of large-scale fusion systems" von Helsley und Burke (2014) lässt sich der Vergleich mit anderen Energieerzeugungen wie folgt zusammenfassen:
**1. Was ist das Ergebnis daraus und mit was wird verglichen?**
*   **Vergleichsbasis:** Die Studie vergleicht die geschätzten Kosten eines voll ausgelasteten Schwerionen-Fusionssystems (HIF) mit dem SPRFD-Treiber mit den Kosten der **"current means of generating an equivalent amount of energy from conventional fossil fuel and/or fission systems"** und den **"lowest of present day energy suppliers"**.
*   **Ergebnis des Vergleichs:**
    *   Die Studie kommt zu dem Schluss, dass ein **voll ausgelastetes Fusionssystem marktfähige Energie zu etwa der Hälfte der Kosten** produzieren wird, die heute für die Erzeugung einer äquivalenten Energiemenge aus konventionellen fossilen Brennstoffen und/oder Kernspaltungssystemen anfallen.
    *   Insgesamt wird festgestellt, dass ein voll ausgelastetes HIF-System Energie zu Kosten produzieren würde, die **ähnlich oder geringer sind als die der günstigsten heutigen Energieversorger**.
    *   Auch Systeme, die nur teilweise ausgelastet sind (z.B. mit 25% Kapazität), können in lokalen Fällen, in denen die Strompreise außergewöhnlich hoch sind, kosteneffektiv sein.
    *   Die Schlussfolgerung der Studie ist, dass SPRFD-Systeme so skaliert und konfiguriert werden können, dass sie **wirtschaftlich tragfähig und sehr wettbewerbsfähig auf dem heutigen Energiemarkt** sind.
**2. Wird dabei mit historischen Werten oder zukunftsgerichteten Projektionen der Kosten verglichen?**
Die Studie vergleicht die Fusionskosten primär mit **aktuellen oder "nahen" Projektionen** der Kosten von konventionellen Energieerzeugungsmitteln, um die Wettbewerbsfähigkeit des zukünftigen Fusionssystems **auf dem heutigen Energiemarkt** zu demonstrieren.
*   Die Begriffe **"current means"** und **"present day energy suppliers"** legen nahe, dass die Vergleichswerte die aktuellen Kosten oder die "nahe Zukunft" für konventionelle Technologien repräsentieren und als Benchmark dienen, wie wettbewerbsfähig die Fusionsenergie in der heutigen Kostenlandschaft wäre.
*   Der Preis für Elektrizität wird beispielsweise mit "$0.06 per kW h" angegeben, was als **"a commonly used value for near term electricity cost"** bezeichnet wird. Dies ist eine kurzfristige Projektion für Elektrizitätskosten, die auch konventionelle Quellen einschließt.
*   Obwohl in anderen Kontexten der Studie erwähnt wird, dass "billions of dollars are being projected for expenditure on new fission facilities", wird für den direkten Kostenvergleich die Benchmark der "present day" oder "near term" Kosten für fossile Brennstoffe und Kernspaltung verwendet, um die Marktfähigkeit des Fusionssystems zu bewerten.</t>
  </si>
  <si>
    <t>Fusion Power Corporation Reactor (incl. Hydrogen production)</t>
  </si>
  <si>
    <t>hydrogen production model; "These products are electricity, synthetic fuels [8], process heat, and potable water by thermal desalination of seawater or restoration of water quality."; 1 chambers;  Water-maker, electricity producer and synthfuel-producer; Heavy Ion Fusion</t>
  </si>
  <si>
    <t>5% real cost of money; FCR 10%</t>
  </si>
  <si>
    <t>Dual-unit</t>
  </si>
  <si>
    <t>repetition rate: 1.5 Hz; Lifetime 30 years; construction time 8 years; Der Begriff "Lernraten" oder "Lernkurven" wird in der Studie nicht explizit verwendet. Es werden jedoch Skalierungsbeziehungen für die Kosten einiger Komponenten angewendet:
    ◦ Die Laserkosten basieren auf einem "$200 million for 1 MJ and a 0.8-power scaling with beam energy".
    ◦ Die Kosten für die Brennstoffpellet-Fabrik skalieren bei Verdoppelung der Produktionsrate um etwa 50%, basierend auf Referenzen.
    ◦ Die Kosten für die Doppelanlage (dual-unit reactor) sind "weniger als doppelt so hoch wie die Kosten für die Einzelanlage", wobei die Skalierung auf Methoden der Bechtel National Corporation basiert.</t>
  </si>
  <si>
    <t>Readiness not explicitly given but compared to ther energy sources  and cost advantages given; 
Basierend auf der Quelle "HYLIFE-1.pdf" läuft der HYLIFE-Reaktor zwar mit **pulsierenden Fusionsereignissen**, er ist jedoch so konzipiert, dass er **kontinuierlich (im Steady-State-Betrieb) elektrische Energie** liefert.
Dies wird durch folgende Mechanismen und Beschreibungen in der Studie ermöglicht:
1.  **Pulsierende Fusion, kontinuierliche Energieabfuhr:**
    *   Die **Trägheitsfusion (ICF)**, auf der HYLIFE basiert, erzeugt Fusionsenergie durch die kurzzeitige Kompression eines sehr dichten Plasmas. Die Quelle beschreibt eine **"Puls-Wiederholungsrate (repetition rate)" von 1.5 Hz**, was bedeutet, dass 1,5 Fusionsereignisse pro Sekunde stattfinden. Die "Chronology of events in one HYLIFE pulse cycle" zeigt, dass der gesamte Prozess von der Pelletinjektion bis zur Wiederherstellung der Kammer für den nächsten Puls innerhalb von Millisekunden abläuft.
    *   Trotz dieser pulsierenden Natur der Fusionsreaktionen selbst ist das Gesamtsystem darauf ausgelegt, eine **kontinuierliche elektrische Leistung** zu erzeugen.
2.  **Pufferung durch das Flüssigmetall-Deckenmodul:**
    *   Das zentrale Element hierfür ist das **Flüssigmetall-Strahlenfeld (liquid-metal jet array)** aus Lithium, welches die Reaktionskammer schützt. Dieses Strahlenfeld absorbiert die Energie jedes einzelnen Fusionspulses. Die "überwiegende Mehrheit der Neutronen- und Photonenenergie wird direkt in das Flüssigmetall-Strahlenfeld abgeschieden".
    *   Das Flüssigmetall (Lithium) dient nicht nur als Schutzschicht, sondern auch als **primäres Kühlmittel und Wärmeübertragungsmedium**.
    *   Durch die hohe Pulsrate und die massive Menge an Flüssigmetall wird die Energie der einzelnen Pulse **gepuffert und in einen kontinuierlichen Wärmestrom umgewandelt**. Das bedeutet, dass, obwohl die Energie diskret in Pulsen freigesetzt wird, das großvolumige und zirkulierende Lithiumsystem diese Energie aufnimmt und in eine **stetige thermische Leistung** umwandelt.
3.  **Konventionelles Dampfversorgungssystem und Stromerzeugung:**
    *   Die absorbierte Wärme des Lithiums wird über ein **Primärdampfversorgungssystem (Primary Steam-Supply System)** an Turbinengeneratoren übertragen, um Strom zu erzeugen.
    *   Das Wärmeübertragungssystem von HYLIFE besteht aus drei Untersystemen: Primärkreisläufe (Lithium), Zwischenkreisläufe (Natrium) und Sekundärkreisläufe (Wasser/Dampf). Dieses System ist darauf ausgelegt, die thermische Energie kontinuierlich zu den Dampfgeneratoren zu transportieren, welche die Wärme in mechanische und dann in elektrische Energie umwandeln.
    *   Die Studie gibt eine **"Netto-Elektrizitätsleistung (Net electric power)" von 1010 MWe** für die Einzelanlage und etwa 2 GWe für die Doppelanlage an. Die **Leistungsbilanz** zeigt, wie die pulsierende Fusionsleistung (2700 MW Fusion Power, 1.5 Hz Repetitionsrate) in eine **kontinuierliche Brutto- und Netto-Elektrizitätsleistung** umgewandelt wird.
Zusammenfassend lässt sich sagen, dass HYLIFE durch die schnelle Abfolge der Fusionspulse und die effektive Pufferung und Verteilung der Energie durch das Flüssigmetall-Blanket eine **kontinuierliche Wärmequelle** für ein konventionelles Dampfkraftwerkssystem bereitstellt, welches dann **grundlastfähigen (steady-state) elektrischen Strom** erzeugt.</t>
  </si>
  <si>
    <t>Steady State (due to high repetition rate of pulses)</t>
  </si>
  <si>
    <t>Blink et al. (1985)</t>
  </si>
  <si>
    <t>https://qedfusion.org/LIT/HYLIFE-1.pdf</t>
  </si>
  <si>
    <t>HYLIFE-I (single unit)</t>
  </si>
  <si>
    <t>HYLIFE-I (dual unit)</t>
  </si>
  <si>
    <t>1.  **Welche Modellannahmen werden getroffen?**
    Die Studie trifft eine Reihe von Modellannahmen, um das Design und die Kosten des HYLIFE-Reaktors zu bewerten:
    *   **Betriebsdauer der Anlage:** **30 Jahre** für die gesamte Anlage.
    *   **Kapazitätsfaktor (Capacity Factor):** Ein **70% Kapazitätsfaktor** wird angenommen.
    *   **Fusionstyp:** **Trägheitsfusion (Inertial Confinement Fusion, ICF)** mit einer Deuterium-Tritium (DT)-Reaktion.
    *   **Treibertyp (Baseline):** **Kurzwelliger Laser (SWL)** mit 5% Lasereffizienz und 4,5 MJ Laserenergie. Alternative Treiber wie Schwerionenstrahlen werden ebenfalls analysiert.
    *   **Pellet-Gain:** Ein Pellet-Gain von **400** wird angenommen.
    *   **Puls-Wiederholungsrate:** **1,5 Hz** für die Einzelanlage, 3,0 Hz für die Doppelanlage.
    *   **Materialien:** **2-1/4 Cr-1 Mo Ferritstahl** für die erste Strukturwand (FSW) und andere Komponenten der Kammer und Wärmetauscher. Flüssiges **Lithium** als Schutzschicht, Brutmedium und Kühlmittel. Graphit als Neutronenreflektor.
    *   **Kosten- und Finanzparameter:**
        *   **Kostenjahr:** **1983 US-Dollar**.
        *   **Bauzeit:** **8 Jahre**.
        *   **Real Cost of Money (Zinssatz während Bauphase):** **5%**.
        *   **Fixed Charge Rate (FCR):** **0.1 (10% pro Jahr)**.
        *   **O&amp;M-Faktor:** **0.02 (2%)** der Summe aus TDC und TIC pro Jahr.
        *   **Contingency:** **15%** der direkten Kapitalkosten.
        *   **Total Indirect Costs (TIC):** **35%** der TDC.
    *   **Neutronik- und Strahlungsannahmen:** Detaillierte Monte-Carlo-Berechnungen unter Einbeziehung des komprimierten DT-Brennstoffs zur Bestimmung von Energieabscheidung, Tritiumbrüten und Strahlenschäden.
    *   **Hydrodynamik:** Energieabscheidung im Flüssigmetall-Strahl erfolgt isochor (bei konstantem Volumen). Annahmen zur Jet-Stabilität und Rekondensation des Dampfs zur Bestimmung der Pulsrate.
    *   **Tritium-Management:** Tritium-Brutverhältnis von 1,75 (75% Überschuss). Konzentration im Lithium-Blanket bei ~1 wppm oder ~1 kg Gesamtinventar.
2.  **Welche Modell- und Kostenannahmen basieren auf tatsächlichen Erfahrungswerten und welche nur Schätzungen oder Prognosen? Welche Annahmen stammen woher?**
    Die Studie verwendet eine Mischung aus etablierten Daten, experimentellen Verifizierungen und Schätzungen:
    *   **Erfahrungswerte/Datenbanken:**
        *   **Neutronik-Berechnungen:** Verwendeten den **TARTNP** Monte-Carlo-Transportcode und die **LLNL Evaluated Nuclear Data Library (ENDL)**.
        *   **Materialeigenschaften:** Daten zu 2-1/4 Cr-1 Mo Ferritstahl (z.B. Ermüdungsdaten) stammen vom **Oak Ridge National Laboratory** und dem **Nuclear System Materials Handbook**. Korrosions- und Versprödungsstudien wurden an der **Colorado School of Mines** durchgeführt.
        *   **ASME Pressure Vessel Code:** Designkriterien für die Strukturkomponenten basieren auf dem **ASME Pressure Vessel Code**.
        *   **Tritium-Extraktion:** Molten-Salt-Extraktionsprozess basiert auf Studien von **Calaway und Maroni am Argonne National Laboratory**.
        *   **LWR-Kosten:** Vergleichskosten für Leichtwasserreaktoren stammen aus **UE&amp;C-ANL-840630 (1983)**.
        *   **Vakuumsystem:** Design basiert auf einer "cavity-equilibrium temperature of 770 K".
        *   **X-ray Stoppwirkung:** Nutzt Daten aus der **LLNL Photon Cross-Section Library**.
    *   **Schätzungen/Prognosen/Extrapolationen:**
        *   **Technologische Extrapolationen:** Das Primärdampfversorgungssystem und Balance of Plant können mit "heutiger Technologie" gebaut werden, mit Ausnahme der Flüssigmetallpumpen, Turbinen und Dampfgeneratoren, deren Designs "only modest extrapolations of technology" erfordern.
        *   **FSW-Lebensdauer:** Die Annahme, dass die FSW die gesamte 30-jährige Lebensdauer überdauert, basiert auf Berechnungen von Strahlenschäden unter Verwendung von "accepted damage limits" (500 appm He und 165 dpa), wobei jedoch **Unsicherheiten in diesen Grenzen** eingeräumt werden.
        *   **Laserkosten:** Die Laserkosten von $666 Millionen sind eine **Schätzung**, basierend auf $200 Millionen für 1 MJ und einer **0.8-Potenz-Skalierung mit Strahlenergie**. Diese Kosten sind "consistent with published cost estimates for KrF lasers", aber die Kosten für "advanced, solid-state lasers is unknown".
        *   **Brennstoffpellet-Fabrik Kosten:** $100 Millionen für die Einzelanlage ist eine **Annahme**, da "no detailed study was done to arrive at this figure".
        *   **O&amp;M-Kosten:** Der Faktor von 2% der Kapitalkosten ist eine allgemeine Annahme.
        *   **Indirekte Kosten und Zinsen während der Bauphase:** Die verwendeten Fraktionen (35% für TIC, 17% für Zinsen während der Bauphase) basieren auf "guidelines given in Ref. 127" (Pacific Northwest Laboratory Report, PNL-2648).
        *   **Final Mirrors Lifetime:** Die Lebensdauer der finalen Flachspiegel wird auf **3 Jahre** geschätzt.
        *   **Pumpeneffizienz:** Elektromagnetische Pumpen wurden mit 35% Effizienz spezifiziert, aber "Later studies indicate that efficiencies of greater than 50% can be achieved by proper pump design".
        *   **Tritium-Emissionen:** Die erwartete Reduzierung auf 10 bis 100 Ci/d ist eine Prognose basierend auf Designmerkmalen und Cold-Trapping.
        *   **Abfallentsorgung:** Die Machbarkeit der Oberflächenenddeponie hängt von der Minimierung bestimmter Verunreinigungen ab.
3.  **Falls externe Quellen für die Modell- und Kostenannahmen verwendet wurden – wurden diese modifiziert? Falls ja, wie?**
    Ja, externe Quellen und Daten wurden modifiziert:
    *   **Kosteneskalation:** Die ursprünglichen Kosten des HYLIFE-Reaktors wurden von der Bechtel National Corporation in **1980 US-Dollar** geschätzt. Diese wurden um **32% eskaliert**, um sie in **1983 US-Dollar** umzurechnen und mit den aktuellen LWR-Kosten vergleichbar zu machen.
    *   **Anpassung der Reaktoranlagenkosten:** Die Kosten für die Reaktoranlagenausrüstung aus der Referenz wurden um **$55 Millionen (1983 US-Dollar) reduziert**, um den geringeren Lithium-Fluss in der finalen Designversion von HYLIFE (96 m³/s statt 129 m³/s) widerzuspiegeln.
    *   **Anpassung der TIC-Faktoren:** Es wird erwähnt, dass die verwendeten TIC-Fraktionen "based on guidelines given in Ref. 127", aber es wird angemerkt: "In actual practice, TIC is a smaller fraction for the second unit than for the first". Obwohl dies eine allgemeine Beobachtung ist, deutet es darauf hin, dass die Studie bei der Skalierung der TIC für die Doppelanlage möglicherweise nicht alle potenziellen Reduktionen berücksichtigt hat.
4.  **Wie lautet die Annahme zu Lernraten?**
    Der Begriff "Lernraten" oder "Lernkurven" wird in der Studie nicht explizit verwendet. Die Effekte, die durch Lernkurven oder Skaleneffekte entstehen, werden jedoch in Form von **Kostenreduktionen für Mehrfachanlagen** und bei der Skalierung von Komponenten impliziert.
    *   **Kostenreduktion durch Dual-Unit-Anlagen:** Die Studie stellt fest, dass die **Total Direct Capital Cost (TDC) für einen Dual-Unit-Reaktor "less than twice the cost for the single-unit reactor"**. Die TDC pro GWe sinkt von $2489 Millionen/GWe für die Einzelanlage auf $1928 Millionen/GWe für die Doppelanlage. Dies ist ein direkter Effekt von Skaleneffekten und impliziten Lernkurven.
    *   **Brennstoffpellet-Fabrik-Kosten:** Eine Verdoppelung der Produktionsrate der Brennstoffpellet-Fabrik, um eine Dual-Unit-Anlage zu versorgen, erhöht die Kosten der Fabrik um **etwa 50%**. Dies ist eine typische Skalierungsannahme, die einer Lernrate ähnelt.
    *   **Laserkosten:** Die zusätzlichen Kosten für die Verdoppelung der Laser-Puls-Wiederholungsrate von 1,5 auf 3,0 Hz für die Dual-Unit-Anlage werden mit nur **10% der Laserkosten** angenommen.
5.  **Wie wurden die Annahmen zu den Lernraten hergeleitet bzw. von wo stammen diese Annahmen?**
    Die Herleitung dieser impliziten "Lernraten" oder Skalierungsbeziehungen wird auf externe Quellen zurückgeführt:
    *   Die Skalierung zwischen den Einzel- und Doppelanlagen ("scaling between the single- and dual-unit plants") basiert auf **"methods used by Bechtel National Corporation"**.
    *   Die Skalierungsbeziehung für die Kosten der Brennstoffpellet-Fabrik ("doubling the fuel-pellet factory production rate... increases the fuel-pellet factory cost by about 50%") basiert auf **"scaling relationships reported in Refs. 125 and 126"**.
6.  **Wird offengelegt, ob die Kostenabschätzung auf einem Bottom-up-, Top-down- oder hybriden Ansatz basiert?**
    Die Studie legt den Ansatz nicht explizit als "Bottom-up", "Top-down" oder "Hybrid" offen. Die Darstellung der Kostenstruktur deutet jedoch auf einen **hybriden Ansatz** hin:
    *   Die **Total Direct Capital Costs (TDC)** werden mit einer detaillierten Aufschlüsselung nach Anlagenkategorien (z.B. Strukturen, Reaktoranlagen, Turbinenanlagen, elektrische Anlagen, Laser, Brennstoffpellet-Fabrik) präsentiert. Dies ähnelt einem **Bottom-up-Ansatz**, bei dem Kosten für einzelne Segmente des Kraftwerks summiert werden.
    *   Die **Total Indirect Costs (TIC)** und die Zinsen während der Bauphase werden als **Prozentsätze der direkten Kosten** berechnet (35% der TDC für TIC, 17% der Summe aus TDC und TIC für Zinsen). Dies ist ein **Top-down-Ansatz**, bei dem allgemeine Faktoren auf die direkten Kosten angewendet werden.
7.  **Beruht die Kostenherleitung auf physikalischen und technologischen Werten?**
    Ja, die Kostenherleitung beruht stark auf **physikalischen und technologischen Werten und Analysen**. Das gesamte Design des HYLIFE-Reaktors ist das Ergebnis detaillierter ingenieurwissenschaftlicher und physikalischer Berechnungen, die direkte Auswirkungen auf die Kosten haben:
    *   **Materialauswahl:** Die Wahl von 2-1/4 Cr-1 Mo Ferritstahl als FSW-Material basiert auf seiner Korrosionsbeständigkeit gegenüber Lithium, reduzierter Aktivierung und guten mechanischen Eigenschaften unter Strahlung. Diese Materialwahl beeinflusst die Kosten für Beschaffung und Wartung.
    *   **FSW-Design und Lebensdauer:** Die Lebensdauer der FSW von 30 Jahren ohne Austausch wird durch das Flüssigmetall-Schutzkonzept ermöglicht, das die Strahlenschäden unter akzeptierten Grenzwerten hält. Die Minimierung des Austauschs ist ein direkter Kostenvorteil bei O&amp;M.
    *   **Flüssigmetall-Hydrodynamik:** Die Designparameter des Flüssigmetall-Strahlenfelds (Anzahl, Durchmesser, Geschwindigkeit der Jets) resultieren aus hydrodynamischen Berechnungen zur Reaktion auf Fusionspulse, Jet-Stabilität und Rekondensation, welche die Pulsrate und damit die Leistungsabgabe bestimmen. Der Fluss und die Pumpenleistung haben direkte Kapitalkosten.
    *   **Energiebilanz:** Die gesamte Leistungsbilanz der Anlage, einschließlich der Fusionsleistung, des Pellet-Gains, der Laser-Effizienz und des Eigenverbrauchs der Anlage (Pumpenleistung, Lasersystem, Hilfssysteme), bestimmt die Netto-Elektrizitätsleistung und damit die Kosten pro Einheit erzeugter Energie (COE).
    *   **Größe und Kompaktheit:** Der Reaktor ist mit einem Radius von nur 5 m kompakt. Dies kann zu Kosteneinsparungen bei Gebäuden und Baustelle führen.
    *   **Sicherheitsmerkmale:** Passive Sicherheitseigenschaften (z.B. Inertgasfüllung, subatmosphärischer Druck in Lithiumkreisläufen, niedrigaktiver Stahl) reduzieren die Komplexität und die Notwendigkeit aufwendiger aktiver Sicherheitssysteme und damit potenziell die Kosten.
8.  **Werden Materialkosten und Komponentenkosten separat ausgewiesen?**
    Materialkosten und Komponentenkosten werden **nicht vollständig separat** ausgewiesen.
    *   In der Tabelle der **Total Direct Capital Costs (TDC)** sind die Kosten nach **Anlagenkategorien** aufgeschlüsselt (z.B. "Reactor plant equipment", "Turbine plant equipment", "Electric plant equipment"). Dies sind Komponentenkosten auf Systemebene.
    *   Der **Laser** und die **Brennstoffpellet-Fabrik** werden ebenfalls als separate Komponentenkostenpositionen aufgeführt.
    *   Spezifische Materialkosten (z.B. Kosten für den 2-1/4 Cr-1 Mo Stahl oder das Lithium selbst) sind **nicht als eigene Zeile** in der Hauptkostenaufstellung gelistet. Sie sind wahrscheinlich in den größeren Posten wie "Reactor plant equipment" oder "Misc. plant equipment" enthalten. Die Kosten für die Brennstoffpellets ("Cost of materials to make the fuel pellets") werden explizit als "small and is therefore omitted".
9.  **Bezieht sich die Studie auf ein Energiesystem (z. B. Integration, Vergleich mit anderen Technologien) oder ist sie rein bezogen auf die Kosten des Kraftwerks und des Reaktors?**
    Die Studie ist **hauptsächlich auf die Kosten des HYLIFE-Kraftwerks und des Reaktors bezogen**, aber sie beinhaltet auch **Vergleiche mit anderen Technologien** und diskutiert die **potenzielle Integration in ein breiteres Energiesystem** in begrenztem Umfang.
    *   **Vergleich mit anderen Technologien:** Die Kosten der Stromerzeugung (COE) für HYLIFE werden **direkt mit denen eines Leichtwasserreaktors (LWR)** verglichen. Dabei werden für den Vergleichs-LWR "dieselben Kostenfaktoren" verwendet, die auch für HYLIFE angesetzt wurden.
    *   **Potenzielle Integration:** Die Studie erwähnt, dass das **überschüssige Tritium** (HYLIFE brütet 75% mehr Tritium als benötigt) "can be used as fuel for other types of DT fusion reactors, including D-3He fusion reactors..., fusion-fission hybrids, synthetic fuel producers, and actinide burners". Dies impliziert eine Rolle im breiteren Fusions-Brennstoffkreislauf oder Energiesystem.
    *   **Unabhängige Entwicklung des Treibers:** Der Treiber (Laser oder Schwerionenstrahl) ist vom Reaktor trennbar, was bedeutet, dass er "can be developed, manufactured, and maintained as independent units" und "can also be used for several reactors", was potenzielle Kosteneinsparungen bietet.
10. **Welche Kostenreduktionspotenziale oder wirtschaftlichen Optimierungsansätze werden thematisiert?**
    Die Studie diskutiert mehrere Ansätze zur Kostenreduktion und wirtschaftlichen Optimierung:
    *   **Skaleneffekte durch Dual-Unit-Anlagen:** Der Bau einer Doppelanlage (2 GWe) statt einer Einzelanlage (1 GWe) führt zu "significant cost advantages", da die Gesamtkapitalkosten weniger als doppelt so hoch sind und die COE von 7.5 c/kWeh auf 5.8 c/kWeh sinkt.
    *   **Geringere Laser- und Brennstoffpellet-Fabrik-Kosten für Doppelanlagen:** Ein einziger Treiber kann beide Reaktoren in einer Doppelanlage bedienen, wobei die zusätzlichen Kosten für die Verdoppelung der Pulsrate nur 10% der Laserkosten betragen. Die Kosten der Brennstoffpellet-Fabrik steigen bei verdoppelter Produktion nur um 50%.
    *   **Lange Lebensdauer der Strukturkomponenten:** Die 30-jährige Lebensdauer der FSW ohne Austausch, dank des Flüssigmetallschutzes, eliminiert "the need to periodically replace structural elements" und reduziert somit O&amp;M-Kosten und Stillstandzeiten.
    *   **Optimierung des Flüssigmetall-Flusses:** Das Design minimiert die Flüssigmetall-Flussrate, die benötigte Pumpenleistung und das Inventar, was die Kapitalkosten für Pumpen und Lithium reduziert. Spätere Studien deuten auf noch höhere Pumpeneffizienzen (über 50%) hin, die weitere Reduktionen ermöglichen.
    *   **Trennung von Treiber und Reaktor:** Die räumliche Trennung des Laser-Treibers in einem nicht-nuklearen Gebäude reduziert Baukosten und -zeit und ermöglicht eine bessere Zugänglichkeit für Wartung.
    *   **Anpassung des Tritium-Brutverhältnisses:** Das Design kann modifiziert werden, um das Tritium-Brutverhältnis von 1,75 auf den Bedarf (zwischen 1,0 und 1,75) zu reduzieren, falls kein Markt für überschüssiges Tritium besteht. Dies kann auch die Kosten oder die Ressourcennutzung optimieren.
    *   **Materialauswahl:** Die Wahl von 2-1/4 Cr-1 Mo Ferritstahl reduziert Korrosion, Radioaktivität und (n,α)-Reaktionen im Vergleich zu austenitischen Stählen.
11. **Was sind die signifikantesten Kostentreiber und ökonomischen Herausforderungen laut Studie?**
    Die Studie identifiziert mehrere signifikante Kostentreiber und ökonomische Herausforderungen:
    *   **Hohe Kapitalkosten insgesamt:** Die Kapitalkosten sind der größte Einzelposten in den Stromgestehungskosten (z.B. 5.0 c/kWeh von 5.8 c/kWeh für die Dual-Unit-Anlage).
    *   **Kapitalkosten des Lasers:** Die **Laserkosten sind ein großer Einzelposten** der Kapitalkosten (z.B. $666 Millionen für 4.5 MJ Laserenergie) und tragen 1.1 c/kWeh zu den COE der Dual-Unit-Anlage bei. Die "Kosten des Laser-Treibers und der Brennstoffpellet-Fabrik sind ungewiss".
    *   **Kapitalkosten der Brennstoffpellet-Fabrik:** Obwohl die Brennstoffmaterialkosten vernachlässigbar sind, sind die Kapitalkosten für die Brennstoffpellet-Fabrik erheblich (z.B. $150 Millionen für die Dual-Unit-Anlage), was 0.2 c/kWeh zu den COE beiträgt.
    *   **Hoher Eigenstrombedarf:** Die Studie stellt fest, dass die **135 MWe, die an den Laser zurückgeführt werden, zu den höheren Stromgestehungskosten beitragen** im Vergleich zu LWRs. Der "Gesamthilfsstromverbrauch" der Anlage beträgt 94,6 MWe. Wenn dieser Strom zum Verkauf zur Verfügung stünde, würde die COE für HYLIFE von 5.8 c/kWeh auf ~5.1 c/kWeh sinken.
    *   **Unsicherheiten bei den Kosten von Laser und Brennstoffpellet-Fabrik:** Die Studie gibt explizit an, dass die Kosten für diese Schlüsselkomponenten "uncertain" sind.
    *   **Wettbewerbsfähigkeit gegenüber LWRs:** Die COE für eine Dual-Unit-HYLIFE-Anlage ist **66% höher** als die einer Dual-Unit-LWR (5.8 c/kWeh vs. 3.5 c/kWeh), wobei der Reaktor-Kapitalanteil des HYLIFE-Reaktors etwa 60% höher ist. Die "höheren Kapitalkosten für den HYLIFE-Reaktor sind in erster Linie das Ergebnis der Nettoleistung".
    *   **Materialtechnologische Herausforderungen:** Obwohl 2-1/4 Cr-1 Mo Stahl als geeignet erachtet wird, wurden die Kompatibilität mit flüssigem Lithium (Korrosion, Versprödung) und die Anwendung des ASME Pressure Vessel Codes für hohe Temperaturen intensiv untersucht, was auf anhaltende Herausforderungen hindeutet.</t>
  </si>
  <si>
    <t>Basierend auf der Quelle "HYLIFE-1.pdf" lässt sich Ihre Frage wie folgt beantworten:
1.  **Falls mit den Kosten anderer Energieerzeugungen verglichen wird, was ist das Ergebnis daraus?**
    Ja, die Studie vergleicht die Kosten der Stromerzeugung (Cost of Electricity, COE) für den HYLIFE-Reaktor mit denen eines **Leichtwasserreaktors (Light-Water Reactor, LWR)**.
    **Das Ergebnis des Vergleichs ist:**
    *   Die **Stromgestehungskosten (COE)** für eine **Dual-Unit (2 GWe) HYLIFE-Anlage** betragen **5.8 c/kWeh** (Cent pro Kilowattstunde) [125, Figure 18].
    *   Die **Stromgestehungskosten (COE)** für eine **Dual-Unit (2 GWe) LWR-Anlage** betragen **3.5 c/kWeh** [125, Figure 18].
    *   **Folglich ist die COE für eine Dual-Unit HYLIFE-Anlage 66% höher als die für eine Dual-Unit LWR-Anlage**.
    Eine detailliertere Aufschlüsselung der COE zeigt [Figure 18]:
    *   **HYLIFE (5.8 c/kWeh):**
        *   Reaktorkapitalkosten: 3.7 c/kWeh
        *   Laserkapitalkosten: 1.1 c/kWeh
        *   Brennstoffpellet-Fabrik Kapitalkosten: 0.2 c/kWeh
        *   Betriebs- und Wartungskosten (O&amp;M): 0.8 c/kWeh
    *   **LWR (3.5 c/kWeh):**
        *   Reaktorkapitalkosten: 2.3 c/kWeh
        *   Brennstoffkosten: 0.8 c/kWeh
        *   Betriebs- und Wartungskosten (O&amp;M): 0.4 c/kWeh
    Der Reaktor-Kapitalanteil des HYLIFE-Reaktors ist "approximately 60% higher than the capital component of the LWR".
2.  **Wird dabei mit historischen Werten oder zukunftsgerichteten Projektionen der Kosten verglichen?**
    Der Vergleich erfolgt mit **"current light-water fission reactors (LWRs)"** und basiert auf **"the most recent LWR cost information"**. Die Kostenangaben für HYLIFE sind in **1983 US-Dollar** angegeben, und die LWR-Kosten werden unter Verwendung **"derselben Kostenfaktoren"** (z.B. 15% für Eventualitäten, 35% für indirekte Kosten, 17% für Zinsen während der Bauphase) wie für HYLIFE berechnet. Die Referenz für die LWR-Kosten ist "Energy Economic Data Base Program—Phase VI Update Report, United Engineers and Constructors Report, UE&amp;C-ANL-840630 (1983)".
    Dies deutet darauf hin, dass die Studie die Kosten von HYLIFE mit **zeitgenössischen (also aus dem Jahr 1983 stammenden) Kostenprojektionen** für etablierte LWRs vergleicht. Es sind keine rein historischen Werte im Sinne von veralteten Daten, noch sind sie "zukunftsgerichtet" im Sinne von Prognosen für weit in der Zukunft liegende LWR-Technologien. Stattdessen sind es die zu diesem Zeitpunkt (1983) aktuellen und vorausschauenden Kosten für kommerzielle LWR-Anlagen, um die Wettbewerbsfähigkeit des HYLIFE-Konzepts zu bewerten.</t>
  </si>
  <si>
    <t>Heavy Ion Beam
Readiness not given but assumed due to comparison with coal and lwr in future and HYLIFE typically 10th-OAK</t>
  </si>
  <si>
    <t>1.  **Welche Modellannahmen werden getroffen?**
    Die Studie trifft folgende Modellannahmen für den HYLIFE-II Reaktor:
    *   **Funktionsweise:** Schutz der ersten Strukturwand durch einen Flüssigkeitsfall (Jets) aus geschmolzenem Salz (Flibe).
    *   **Lebensdauer:** 30 Jahre für die erste Strukturwand.
    *   **Kühlmittel/Schutzflüssigkeit:** Geschmolzenes Salz aus Fluor, Lithium und Beryllium (Li2BeF4), genannt "Flibe", zur Vermeidung der Brandgefahr von Lithium.
    *   **Fusionstyp:** Trägheitsfusion (Inertial Confinement Fusion, ICF).
    *   **Treibertyp:** **Schwerionenstrahl (Heavy-Ion Beam)** als primärer Treiber, obwohl auch Laser und Compact-Torus-Treiber in Betracht gezogen wurden.
    *   **Treiberenergie (Baseline):** 5 MJ.
    *   **Target-Gain (Baseline):** Nominal 70 (im Gegensatz zu Gain 400 für HYLIFE-I).
    *   **Yield (Baseline):** 350 MJ pro Puls.
    *   **Netto-Elektrische Leistung (Baseline):** Nominal 1 Gigawatt elektrisch (GWe). Eine 1.9 GWe Option wird ebenfalls analysiert.
    *   **Puls-Wiederholungsrate:** 8 Hz (erhöht von 1.5 Hz für HYLIFE-I).
    *   **Jet-Wiederherstellung/Splash-Entfernung:** Kurze Fallhöhe der Jets und höhere Strömungsgeschwindigkeit, sowie pulsierende oder oszillierende Jet-Flows zur schnellen Wiederherstellung und Entfernung von Spritzwasser ("splash").
    *   **Tritium-Brutverhältnis (TBR):** 1.17.
    *   **System-Energie-Multiplikationsfaktor:** 1.15.
    *   **Flibe-Temperaturen:** Eintritt in den Zwischenwärmetauscher 923 K (650°C), Austritt 873 K (600°C).
    *   **Zwischenkühlmittel:** NaBF4.
    *   **Kostenjahr:** Konstante 1988 US-Dollar.
    *   **Sicherheitsziele:** Offsite-Dosis bei schwerem Unfall unter 2 Sv, Arbeitsbereich-Dosisrate unter 50 μSv/h, Routinemäßige atmosphärische Emissionen unter 50 μSv/y. Vermeidung von "N-Stamp"-Anforderungen für die meisten Komponenten.
2.  **Welche Modell- und Kostenannahmen basieren auf tatsächlichen Erfahrungswerten und welche nur Schätzungen oder Prognosen? Welche Annahmen stammen woher?**
    **A. Basierend auf Erfahrungswerten oder etablierten Daten:**
    *   **Flibe-Verwendung:** Basiert stark auf der frühen Arbeit an Salzschmelzenreaktoren am **Oak Ridge National Laboratory (ORNL)**.
    *   **Zwischenkühlmittel NaBF4:** Die Wahl des NaBF4-Zwischenkühlmittels basiert teilweise auf dessen Tendenz, Tritium in Form von T2O zurückzuhalten und dessen Übergang ins Dampfsystem zu verzögern.
    *   **Neutronik-Analysen:** Ergebnisse stammen aus der Studie von **M. T. Tobin (Ref. 15)**.
    *   **Tritium-Verlustberechnungen:** Detaillierte Berechnungen des Massentransfers während turbulenter Strömung im Zwischenwärmetauscher (IHX) wurden durchgeführt.
    *   **ASME N-Stamp-Vermeidung:** Die Begründung dafür basiert auf Sicherheitsanalysen, die zeigen, dass die Offsite-Dosis unter kritischen Grenzwerten bleibt.
    *   **Kohle- und LWR-Kosten:** Die Vergleichskosten von "0.04 to 0.05 $/kWh" für zukünftige Kohle- und Leichtwasserreaktor-Kraftwerke sind Projektionen für etablierte Technologien und basieren wahrscheinlich auf historischen Daten und zukünftigen Erwartungen.
    **B. Schätzungen oder Prognosen (teilweise mit Unsicherheiten):**
    *   **Target-Gain:** Der angenommene Gain von 70 bei 5 MJ ist eine **Vorhersage** für konventionelle Targets. "High gain (400) results from advanced targets and is beyond the state-of-the-art".
    *   **Treibereinzelkosten:** Ein Schwerionen-Treiber bei 5 MJ wird in der Größenordnung von **$1 bis 2 Milliarden** geschätzt, was als "a factor of 3 or more too high for good economics" beurteilt wird. Die Kosten für "recirculating induction accelerator" oder "mirrortron" sind ebenfalls Schätzungen oder Ziele. Laser-Treiber werden aufgrund "high cost" als nicht führend eingestuft.
    *   **Kosten der Stromerzeugung (COE):** Die geschätzten COE von **0.09 $/kWh** sind eine Prognose.
    *   **Jet-Wiederherstellung und Splash-Clearing:** Methoden zur schnellen Wiederherstellung der Jets und zur Entfernung von Spritzwasser erfordern weitere Forschung ("many issues need further thought", "definitive experiment is needed"). Annahmen zur Kondensation von Flibe-Dampf ("we predict condensation will be fast enough") erfordern ebenfalls "a definitive experiment".
    *   **Tritium-Leckagerate:** Der Anteil des Tritiums, der durch die Dampfgeneratoren entweicht, wird "conservatively assumed to be about 1%" aufgrund fehlender Daten zum Tritiumverhalten in NaBF4.
    *   **Flibe-Reformation:** Obwohl angenommen wird, dass die Rekombination der Flibe-Bestandteile schnell genug ist, "we believe that the recombination is sufficiently fast", wird dies als Bereich für weitere Studien und ein "definitive experiment" angesehen.
    *   **SAFIRE-Code-Modifikationen:** Die Verwendung des SAFIRE-Codes für die ökonomische Analyse erfolgte mit Änderungen ("some but not all of the algorithms... were changed"). Daher sind die daraus resultierenden Trends "only suggestive".
    *   **Gesamtvertrauen in die Leistung:** Das Design hängt von "many assumptions that must be verified by future analysis and experiment before we can have a high level of confidence in the predicted performance" ab.
3.  **Falls externe Quellen für die Modell- und Kostenannahmen verwendet wurden – wurden diese modifiziert? Falls ja, wie?**
    *   **SAFIRE-Code:** Ja, der SAFIRE-Wirtschafts- und Systemanalyse-Code wurde verwendet, aber **"einige, aber nicht alle Algorithmen in SAFIRE wurden geändert, um die Kammer und den IHX unter Verwendung von Flibe anstelle von Lithium zu modellieren"**. Die Studie erwähnt nicht im Detail, *wie* die Algorithmen über die Flibe-Substitution hinaus modifiziert wurden. Als Folge dieser Änderungen sind die resultierenden Trends "nur suggerierend" ("only suggestive").
    *   **Molten Salt Technology:** Die Nutzung von geschmolzenem Salz stützt sich stark auf "early work on molten-salt reactors at ORNL (Ref. 17)". Es ist nicht explizit erwähnt, ob diese externen Daten modifiziert wurden, aber die Anpassung an ein Fusionsreaktordesign impliziert spezifische Anwendungen und möglicherweise Interpretationen.
4.  **Wie lautet die Annahme zu Lernraten?**
    Der Begriff "Lernraten" oder "Lernkurven" wird in der Studie **nicht explizit verwendet**. Die Studie impliziert jedoch Lern- und Skaleneffekte:
    *   Sie zeigt die **"importance of driver cost reduction and increasing plant size"** für die Senkung der Stromgestehungskosten.
    *   Die Notwendigkeit, die Stromgestehungskosten **"by about factor of 2"** zu reduzieren, um mit zukünftigen Kohle- und LWR-Anlagen wettbewerbsfähig zu sein, wird durch eine "combination of driver cost reduction and increased plant power" vorgeschlagen.
    *   Die Gesamtkostenbewertung als Projektion für eine **ausgereifte, kommerzialisierte Technologie (10th-OAK)**, wie in unserem Konversationsverlauf diskutiert, beinhaltet implizit, dass Lern- und Optimierungseffekte bereits stattgefunden hätten [Konversationsverlauf].
5.  **Wie wurden die Annahmen zu den Lernraten hergeleitet bzw. von wo stammen diese Annahmen?**
    Da "Lernraten" nicht explizit genannt werden, wird ihre spezifische Herleitung in den bereitgestellten Auszügen **nicht detailliert beschrieben**. Die Analyse der Kostentrends in Bezug auf Anlagenleistung und Treibereinzelkosten erfolgte mit dem **SAFIRE-Code**, dessen Algorithmen (teilweise modifiziert für Flibe) solche Skalierungs- und Lerneffekte modelliert haben könnten, die genaue Methodik wird jedoch nicht offengelegt. Die Referenz 20 von R. L. Bieri ("Parametric studies for a HYLIFE-II electric power plant") könnte hier weitere Details enthalten.
6.  **Wird offengelegt, ob die Kostenabschätzung auf einem Bottom-up-, Top-down- oder hybriden Ansatz basiert?**
    Die Studie **legt den Ansatz nicht explizit als "Bottom-up", "Top-down" oder "Hybrid" offen**. Die "Plant Cost Breakdown" in Tabelle 2 weist jedoch detaillierte Kosten nach Anlagenkategorien ("Total direct cost" wie "Reactor plant equipment", "Drive equipment", "Target factory equipment") aus, was auf einen **Bottom-up-Ansatz** für diese direkten Kosten hindeutet. Darüber hinaus werden Overhead-Kosten wie "Construction services", "Home office engineering", "Owner's cost" und "Project contingency" als separate Posten hinzugefügt, was Merkmale eines **Top-down- oder faktorbasierten Ansatzes** aufweist. Dies deutet auf einen **hybriden Ansatz** hin.
7.  **Beruht die Kostenherleitung auf physikalischen und technologischen Werten?**
    **Ja, die Kostenherleitung beruht sehr stark auf physikalischen und technologischen Werten:**
    *   **Treiberauswahl und -leistung:** Die Annahme eines Schwerionenstrahl-Treibers mit 5 MJ und Gain 70, die zu einer bestimmten Fusionsleistung führt, ist physikalisch begründet und hat direkte Auswirkungen auf die Anlagengröße und Kosten.
    *   **Repetitionsrate:** Die Erhöhung der Pulsrate auf 8 Hz ist ein entscheidender technologischer Fortschritt, der durch die physikalische Machbarkeit der Jet-Wiederherstellung, Kondensation des Dampfes und Splash-Clearing begrenzt ist. Die Kosten des Systems sind direkt an die erreichbare Pulsrate gekoppelt.
    *   **Flibe als Kühlmittel und Schutz:** Die Eigenschaften von Flibe (Schmelzpunkt, Dichte, thermische Kapazität, chemische Stabilität) und seine Wechselwirkung mit Neutronen, Röntgenstrahlen und Blast beeinflussen das Design der Kammer und der Wärmetauschersysteme, was wiederum die Materialkosten und Komplexität bestimmt.
    *   **Neutronik- und Tritium-Brutverhältnis:** Die berechneten Neutronik-Werte (TBR 1.17, Energie-Multiplikation 1.15) beeinflussen den Brennstoffkreislauf und die Wärmeleistung, was direkte Kostenfolgen hat.
    *   **Materialwahl:** Die Wahl von Hoch-Nickel-Stahl (z.B. Hastelloy N, 316-Edelstahl) für das Gefäßmaterial basiert auf Kompatibilität mit Flibe. Tantal als Targetmaterial aufgrund von Z-Wert und Löslichkeit. Diese Entscheidungen beeinflussen Kosten und Wartung.
    *   **Passive Sicherheit:** Die günstigen Sicherheitsmerkmale, insbesondere die Eliminierung der Brandgefahr von Lithium und die geringe Mobilisierung von Radioaktivität, reduzieren die Notwendigkeit kostspieliger aktiver Sicherheitssysteme und vereinfachen die Zertifizierung ("no N-stamp requirement").
8.  **Werden Materialkosten und Komponentenkosten separat ausgewiesen?**
    **Ja, Komponentenkosten auf Systemebene werden separat ausgewiesen**, während spezifische Materialkosten nicht als eigene Positionen aufgeführt sind.
    *   Tabelle 2 "Plant Cost Breakdown" zeigt Posten wie "Reactor plant equipment" ($551.4 M), "Turbine plant equipment" ($229.8 M), "Electric plant equipment" ($90.9 M), "Drive equipment" ($1397.3 M) und "Target factory equipment" ($128.8 M). Dies sind Komponentenkosten auf einer aggregierten Ebene.
    *   Innerhalb des "Reactor plant equipment" sind noch feinere Aufschlüsselungen wie "First wall systems" oder "Tritium extraction systems" enthalten.
    *   **Spezifische Materialkosten** (z.B. für Flibe, Metalle für Wände, Tantal für Targets) sind in diesen größeren Komponentenkostenpositionen enthalten und nicht separat ausgewiesen. Der Posten "Fuel" in der COE-Aufschlüsselung ist mit "0.01 ¢/kWh" sehr gering.
9.  **Bezieht sich die Studie auf ein Energiesystem (z. B. Integration, Vergleich mit anderen Technologien) oder ist sie rein bezogen auf die Kosten des Kraftwerks und des Reaktors?**
    Die Studie ist **primär auf das Design, die Leistung und die Kosten des einzelnen HYLIFE-II Fusionskraftwerks und seines Reaktors konzentriert**.
    *   Es wird jedoch ein **direkter Vergleich der Stromgestehungskosten (COE) mit "future coal and light-water-reactor nuclear power"** durchgeführt, um die wirtschaftliche Wettbewerbsfähigkeit zu bewerten.
    *   Die Diskussion von **Kostenreduktionspotenzialen**, wie die Möglichkeit, **einen Treiber für bis zu vier Reaktoren** zu nutzen, deutet auf eine Berücksichtigung im Kontext eines größeren Energiesystems hin, in dem Komponenten gemeinsam genutzt werden könnten, um die Kosten zu senken.
10. **Welche Kostenreduktionspotenziale oder wirtschaftlichen Optimierungsansätze werden thematisiert?**
    Die Studie identifiziert mehrere Potenziale zur Kostenreduktion und Optimierung:
    *   **Reduktion der Treibereinzelkosten:** Der Treiber ist der größte Kostentreiber. Die Reduzierung seiner Kosten (z.B. durch einen Faktor von 0.5 oder 0.0) würde die Stromgestehungskosten erheblich senken. Alternativen wie Compact Tori werden als kostengünstiger diskutiert, sind aber spekulativ.
    *   **Erhöhung der Anlagenleistung:** Eine Erhöhung der Nettoleistung (z.B. von 1 GWe auf 1.9 GWe oder sogar 4 GWe) führt zu Kostenvorteilen pro GWe.
    *   **Gemeinsame Nutzung eines Treibers:** Ein Treiber könnte für bis zu vier Reaktoren geschaltet werden, um dessen hohen Kapitalkosten auf mehrere Anlagen zu verteilen.
    *   **Erhöhung der Repetitionsrate:** Die Steigerung der Pulsrate auf 8 Hz ist ein zentrales Element, um die gleiche Leistung mit geringerem Target-Gain zu erhalten, und senkt die Stromgestehungskosten.
    *   **Optimierung der Jet-Dynamik:** Kürzere Fallhöhen (2m) und höhere Jet-Geschwindigkeiten (16 m/s) sind für höhere Repetitionsraten nötig. Auch gepulste oder oszillierende Jet-Flows sollen Splash-Flüssigkeit effizient entfernen.
    *   **Materialwahl für Sicherheit:** Die Verwendung von Flibe anstelle von Lithium eliminiert die Brandgefahr und die Notwendigkeit teurer Sicherheitssysteme ("no N-stamp requirement"). Die zukünftige Verwendung von Kohlenstoff-Kohlenstoff-Verbundwerkstoffen könnte die Aktivierung reduzieren und die Tritium-Brutrate erhöhen.
    *   **Effizientes Tritium-Management:** Systeme zur Tritium-Entfernung in Primär- und Zwischenkreisläufen, die 99% Effizienz erreichen, sind für die Einhaltung von Sicherheitszielen und die Vermeidung von N-Stempel-Anforderungen notwendig.
11. **Was sind die signifikantesten Kostentreiber und ökonomischen Herausforderungen laut Studie?**
    Die Studie hebt folgende Punkte hervor:
    *   **Kosten des Treibers:** Der **Treiber (heavy-ion beam) ist der bei weitem größte Kostentreiber**, da er "about one-half the total cost" ausmacht. Der geschätzte Treiberpreis von $1 bis 2 Milliarden ist "a factor of 3 or more too high for good economics".
    *   **Geringe Wettbewerbsfähigkeit der COE:** Die Stromgestehungskosten von HYLIFE-II (0.09 $/kWh) sind **"about twice that of future coal and light-water-reactor nuclear power"** (0.04 bis 0.05 $/kWh). Um wettbewerbsfähig zu sein, müssen die COE "by about factor of 2" reduziert werden.
    *   **Abhängigkeit von vielen unbewiesenen Annahmen:** Das Design und die Leistung des Systems "depend on many assumptions that must be verified by future analysis and experiment before we can have a high level of confidence in the predicted performance". Dies schafft erhebliche Unsicherheit bei den Kosten und der Machbarkeit.
    *   **Technologische Herausforderungen der hohen Repetitionsrate:** Die Realisierung einer Repetitionsrate von 8 Hz erfordert die Lösung komplexer Probleme wie die schnelle Wiederherstellung der Flüssigkeitsjets, die effektive Entfernung von Spritzwasser ("splash") und eine schnelle Kondensation des Flibe-Dampfes. Diese Herausforderungen bedeuten hohen F&amp;E-Bedarf und potenzielle Kostenrisiken.
    *   **Hoher Einfluss des Eigenbedarfs an Energie:** Obwohl nicht explizit quantifiziert, tragen der Betrieb der Pumpen für die Flüssigkeitsjets und der Treibers selbst zum Eigenstrombedarf bei, was die Netto-COE erhöht.
    *   **Tritium-Handhabungssysteme:** Das Tritium-Entfernungssystem könnte "very large" sein, was hohe Kosten und einen hohen Energieverbrauch bedeuten könnte, insbesondere aufgrund der hohen Flussrate des Zwischenkühlmittels. Der Mangel an Daten zum Tritiumverhalten im Zwischenkühlmittel führt zu konservativen Annahmen, die die Systemgröße und damit die Kosten beeinflussen können.
    *   **Materialien und Korrosion:** Obwohl Hoch-Nickel-Stähle für die Kompatibilität mit Flibe gewählt wurden, bleiben Fragen der Korrosion und Materialermüdung bei zyklischer Belastung (insbesondere bei oszillierenden Düsen) relevant.
    *   **Aktivierungsprodukte:** Obwohl HYLIFE-II günstige Sicherheitseigenschaften hat, ist der "shallow burial index" von 10^6 hoch, und es muss eine sehr hohe Containment-Rate für das 18F-Inventar (99.9964%) erreicht werden, was hohe Anforderungen an Design und möglicherweise Kosten für die Stilllegung stellen könnte.</t>
  </si>
  <si>
    <t>Basierend auf der bereitgestellten Quelle "p467 (1).pdf" (HYLIFE-II Studie) lässt sich Ihre Frage wie folgt beantworten:
1.  **Falls mit den Kosten anderer Energieerzeugungen verglichen wird, was ist das Ergebnis daraus?**
    Ja, die Studie vergleicht die Stromgestehungskosten (Cost of Electricity, COE) für den HYLIFE-II Reaktor mit denen von **Kohlekraftwerken und Leichtwasserreaktoren (LWRs)**.
    **Das Ergebnis dieses Vergleichs ist:**
    *   Die geschätzten Stromgestehungskosten für HYLIFE-II betragen **0.09 $/kWh** (in konstanten 1988 US-Dollar).
    *   Im Vergleich dazu liegen die Kosten für **zukünftige Kohle- und Leichtwasserreaktor-Kernkraft** bei **0.04 bis 0.05 $/kWh**.
    *   **Folglich sind die Stromgestehungskosten von HYLIFE-II "etwa doppelt so hoch" wie die von zukünftigen Kohle- und LWR-Kernkraftwerken**.
2.  **Wird dabei mit historischen Werten oder zukunftsgerichteten Projektionen der Kosten verglichen?**
    Der Vergleich erfolgt mit **"future coal and light-water-reactor nuclear power"** (zukünftige Kohle- und Leichtwasserreaktor-Kernkraft). Dies deutet darauf hin, dass die Studie mit **zukunftsgerichteten Projektionen der Kosten** für diese etablierten Technologien vergleicht, anstatt mit rein historischen Werten. Es wird sogar angemerkt, dass diese zukünftigen Kohle- und Nuklearkosten möglicherweise noch steigen könnten, "because of CO2 mitigation, waste disposal, and fuel breeding".</t>
  </si>
  <si>
    <t>Lifetime 30 years; high repetition rate 12Hz</t>
  </si>
  <si>
    <t>Tokamak_Advanced NOAK</t>
  </si>
  <si>
    <t>Basierend auf der Studie "Yamazaki_2011_Nucl._Fusion_51_103004.pdf" lassen sich Ihre Fragen wie folgt beantworten:
1.  **Falls mit den Kosten anderer Energieerzeugungen verglichen wird, was ist das Ergebnis daraus?**
    Ja, die Studie führt Vergleiche der Stromgestehungskosten (Cost of Electricity, COE) und der Treibhausgasemissionen (GHG-Emissionen) von Fusionsreaktoren mit anderen elektrischen Energieerzeugungssystemen durch.
    **Das Hauptergebnis des Vergleichs ist:**
    *   Die **Stromgestehungskosten (COE) von Fusionsreaktoren sind im Allgemeinen etwa doppelt so hoch wie die von Kohlekraftwerken und Kernkraftwerken (Fission Power Plants)**.
        *   Zum Beispiel liegen die COE für Fusionsreaktoren (TR, ST, HR, TR(F-F), TR(D-3He), IR) zwischen **9.2 und 12.9 yen/kWh**.
        *   Im Vergleich dazu betragen die COE für Kernkraft **5.3 yen/kWh** und für Kohlekraft **5.7 yen/kWh** [27, Abbildung 4].
    *   **Unter Einführung einer Kohlenstoffsteuer:** Wenn eine Kohlenstoffsteuer von etwa **3000 yen/t-CO2** eingeführt wird, könnten die COE eines Fusionsreaktors **auf dem gleichen Niveau liegen wie die eines Kohlekraftwerks** (ohne CO2-Abscheidung und -Speicherung (CCS)) und **1,5-mal niedriger als die eines Ölkraftwerks**. Die Einführung von CCS bei fossilen Kraftwerken würde deren COE um etwa 1–2 yen/kWh erhöhen.
2.  **Wird dabei mit historischen Werten oder zukunftsgerichteten Projektionen der Kosten verglichen?**
    Der Vergleich erfolgt mit einer Mischung aus **zukunftsgerichteten Projektionen für Fusionsreaktoren** und **aktuellen Werten für etablierte Energiequellen**:
    *   **Für Fusionsreaktoren:** Die Analyse basiert auf einer **"optimistischen Zukunftserwartung für die Fusionsreaktorleistung"**. Dies bedeutet, dass die Kostenprognosen für Fusionsreaktoren zukunftsgerichtet sind und davon ausgehen, dass die technologischen Herausforderungen gemeistert wurden und die Anlagen in einem kommerziell ausgereiften Zustand (ähnlich einem 10th-OAK-Szenario, wie in unserem Gesprächsverlauf erörtert) betrieben werden können.
    *   **Für die Vergleichstechnologien (Kernkraft, Öl, Kohle, Wasser, Solar, Wind):** Die Studie vergleicht die Fusionsreaktoren mit der **"gegenwärtigen Kernkraft und anderen aktuellen realen Energiequellen"** ("present fission power and other current real energy sources"). Das bedeutet, es werden die zu diesem Zeitpunkt (Publikationsjahr 2011) **aktuellen, realen Kosten etablierter und kommerziell betriebener Energieerzeugungssysteme** herangezogen. Die Studie merkt jedoch an, dass für einen vollständigen zukünftigen Vergleich auch **"zukünftige Projektionen für reale Kraftwerke"** durchgeführt werden sollten, was außerhalb des Rahmens dieser Studie liegt.</t>
  </si>
  <si>
    <t>### **Für Fusionsreaktoren (TR, ST, HR, TR(F-F), TR(D-3He), IR)**
1.  **Welche Modellannahmen werden getroffen?**
    Die Studie trifft umfassende Modellannahmen in Bezug auf Physik, Technik und Wirtschaftlichkeit.
    *   **Allgemeine Annahmen:**
        *   **Analysebasis:** Eine **"optimistische Zukunftserwartung für die Fusionsreaktorleistung"**.
        *   **Referenz-Leistung:** **1 GWe** elektrische Nettoleistung [10, Tabelle 1].
        *   **Betriebsdauer:** **30 Jahre** [10, Tabelle 1]. In Skalierungsstudien auch bis zu 40 Jahre analysiert.
        *   **Anlagenverfügbarkeit (Plant Availability):** **75%** [10, Tabelle 1, 23, 25].
        *   **Wirtschaftsmodell:** PEC (Physics–Engineering–Cost) Systemcode.
        *   **Kostenjahr:** Wird in den bereitgestellten Auszügen nicht explizit genannt [Konversationsverlauf].
    *   **Für Magnetische Fusionsreaktoren (MFE) – TRs, STs, HRs:**
        *   **Physikmodelle:** ITER Elmy H-mode für Tokamaks, International Stellarator Scaling (ISS) für Helical-Reaktoren.
        *   **Alpha-Teilchen-Einschluss:** 0,95 für TRs, 0,9 für HR.
        *   **Normalisierte Beta-Werte (βN):** 4,0 für Referenz-Tokamak, 6,0 für Referenz-Spherical Tokamak, 10 für D-3He Reaktor.
        *   **Durchschnittlicher Beta-Wert (〈β〉):** 5% für Helical-Systeme.
        *   **Plasma-Temperaturen (T0):** 30 keV für DT-Reaktoren, 80 keV für D-3He.
        *   **Maximale Magnetfeldstärke (Bmax):** 13 T für supraleitende Nb3Sn-Magnete (TR, HR, TR(F-F)), 8 T für normalleitende ST-Magnete, 20 T für D-3He.
        *   **Wandlebensdauer/Fluenzgrenze:** 20 MWyr m⁻² für LiPb/SiC-Blanket-System, bestimmt den Austauschzyklus.
        *   **Blanket-Dicken:** Basieren auf Skalierungsgesetzen als Funktion der Neutronenwandbelastung. Spezifische Dickenverhältnisse für verschiedene Blankets (z.B. Li/V, Flibe/FS, LiPb/SiC, Li2O/SiC, F-F Hybrid).
        *   **Thermische Effizienz (fth):** 46% (Li/V), 40% (Flibe/FS), 50% (LiPb/SiC), 49% (Li2O/SiC), 40% (F-F Hybrid).
        *   **Brennstoff:** DT (Deuterium-Tritium), D-3He (Deuterium-Helium-3) und Fusions-Fissions-Hybrid (TR (F-F) mit UO2).
        *   **Tritium-Brutverhältnis:** Implizit durch die Blanket-Typen bestimmt.
    *   **Für Trägheitsfusionsreaktoren (IFE oder IRs):**
        *   **Konzept:** Schnelle Zündung ("fast ignition concept") basierend auf dem **KOYO-fast Design** mit **Kegel-geführtem Target ("cone-guided target")**.
        *   **Treiber-Typ:** Laser.
        *   **Treiberenergie (Edriver):** 1.2 MJ (basierend auf KOYO-Design).
        *   **Treiber-Effizienz (ηdriver):** 0.075 (7.5%).
        *   **Kompressions-Effizienz (ηc):** ~0.05.
        *   **Heiz-Effizienz (ηh):** ~0.10.
        *   **Isentrope Parameter (αF):** ~3 (für redundantes Design), in Skalierungsformeln 2-4.
        *   **Repetitionsrate (frep):** 12 Hz für den Referenz-IR.
        *   **Kammergröße (Rfw):** 3.5 m.
2.  **Welche Modell- und Kostenannahmen basieren auf tatsächlichen Erfahrungswerten und welche nur Schätzungen oder Prognosen? Welche Annahmen stammen woher?**
    **A. Basierend auf Erfahrungswerten/Referenzen:**
    *   **PEC-Systemcode:** Der Code selbst wurde aus früheren Studien entwickelt.
    *   **MFE-Physikmodelle:** ITER Elmy H-mode und International Stellarator Scaling (ISS) basieren auf etablierten Experimenten und Skalierungsgesetzen.
    *   **Magnet-Skalierungsgesetze:** Basieren auf (Yamazaki et al 1992 Fusion Technol. 38 147).
    *   **Kostenanalyse-Modell:** Basiert "mainly on the unit costs per weight whose values are based on those of [9–11]". Dies sind:
        *   Tokimatsu K. et al 1998 Nucl. Fusion 38 885
        *   Sheffield J. et al 1986 Fusion Technol. 9 199
        *   Krakowski R. and Delene J.G. 1988 Fusion Energy 7 49
    *   **GHG-Emissionsmodell:** Verwendet eine Basiseinheit für CO2-Gewicht (kt-CO2/t-Material) basierend auf der Input-Output-Tabelle (Hondo H. 2005 Energy 30 2042–56).
    *   **Vergleichswerte für andere Energiequellen:** "Present fission power and other current real energy sources" stammen aus und (Hondo H. 2005 Energy 30 2042–56).
    *   **D-3He Brennstoffkosten:** Die Kosten für lunares Helium-3 (300 $/g-3He) und dessen CO2-Emissionen (180 kt-CO2/t-3He) stammen aus (White S.W. 1998 UWFDM-1093 PhD Thesis University of Wisconsin).
    **B. Schätzungen/Prognosen/Extrapolationen:**
    *   **Plasma-Beta-Werte für D-3He:** Das "high-temperature (∼80 keV), high-βN (∼10) plasma of the D–3He reactor should be based on an optimistic assumption".
    *   **Optimistisches Magnetfeld:** Das "optimistic maximum field of the future D–3He magnet is assumed to be 20 T".
    *   **IFE-Treiber-Spezifikationen:** Die Treiberenergie (1.2 MJ), die Effizienzen (Treiber-Effizienz ~0.075, Kompressions-Effizienz ~0.05, Heiz-Effizienz ~0.10) und das schnelle Zündungskonzept basieren auf dem KOYO-fast Design. Das ist eine Annahme für zukünftige Entwicklungen.
    *   **Laser-Dioden-Kosten:** Die angenommenen Kosten von "3 yen/W" oder "1 yen/W" für Laserdioden sind Prognosen für zukünftige Massenproduktion.
    *   **Brennstoffpellet-Fabrikationskosten:** Die Skalierungsgesetze für diese Kosten stammen aus (Uemura S. et al 2009 Trans. At. Energy Soc. Japan 8 34).
    *   **Blanket-Austauschrate für ICF:** Bei "wet wall design" wird angenommen, dass die Austauschkomponenten halb so groß sind wie bei MCF-Designs.
    *   **Blanket-Dicken und Radialaufbau:** Obwohl Skalierungsgesetze verwendet werden, sind die Annahmen über Dicken und Lücken "critical parameters".
    *   **Wandlebensdauer:** Die Annahme einer Wandlebensdauer (z.B. 4,6 Jahre für TR, 16 Jahre für HR) ist eine Prognose basierend auf der angenommenen Fluenzgrenze.
3.  **Falls externe Quellen für die Modell- und Kostenannahmen verwendet wurden – wurden diese modifiziert? Falls ja, wie?**
    *   **PEC-Systemcode:** Ja, der PEC-Systemcode wurde für die Anwendung auf IFE-Designs **"upgraded"** und bestimmte Teile des Codes wurden für die Modellierung der CO2-Emissionen und des Energierückgewinns **"erweitert"**. Die Studie erwähnt nicht explizit detaillierte Modifikationen an den Algorithmen des PEC-Codes für die MFE-Reaktoren selbst, aber die Erweiterung für IFE und CO2-Analysen stellt eine Modifikation dar.
    *   **Kostenannahmen:** Die Studie gibt an, dass die Kostenanalyse "mainly on the unit costs per weight whose values are based on those of [9–11]". Es wird nicht explizit erwähnt, ob diese externen Einheitskosten modifiziert wurden, aber die Anpassung an spezifische Fusionsreaktorkonzepte und -materialien impliziert notwendigerweise eine Interpretation und Anwendung auf neue Kontexte.
4.  **Wie lautet die Annahme zu Lernraten?**
    Der Begriff "Lernraten" oder "Lernkurven" wird in der Studie **nicht explizit verwendet** [Konversationsverlauf]. Die Effekte, die typischerweise mit Lernkurven verbunden sind, wie **Kostenreduktionen durch Skaleneffekte und Optimierung der Produktion**, sind jedoch in den zugrunde liegenden Annahmen und den "optimistischen Zukunftserwartungen" impliziert:
    *   Die Studie fokussiert auf die **Reduzierung der Stromgestehungskosten (COE) durch Erhöhung der elektrischen Nettoleistung**.
    *   Die **Senkung der Kosten für Laserdioden** von 3 yen/W auf 1 yen/W wird als potenzieller Faktor für geringere COE genannt. Dies deutet auf die Erwartung hin, dass die Produktionskosten für Schlüsselkomponenten in Zukunft sinken werden, was ein Lernkurveneffekt wäre.
    *   Die gesamte Bewertung basiert auf einer **optimierten, kommerzialisierten Technologie (eher 10th-OAK)**, in der solche Lerneffekte bereits stattgefunden hätten [Konversationsverlauf].
5.  **Wie wurden die Annahmen zu den Lernraten hergeleitet bzw. von wo stammen diese Annahmen?**
    Da "Lernraten" nicht explizit genannt werden, wird ihre spezifische Herleitung in den bereitgestellten Auszügen **nicht detailliert beschrieben**. Die beobachteten Skalierungseffekte bei der Erhöhung der Leistung oder der Senkung der Komponentenpreise (wie Laserdioden) sind jedoch in den verwendeten **Skalierungsformeln des PEC-Codes** und den darauf basierenden Analysen enthalten. Die genaue Methodik, wie diese Skalierungsfaktoren (z.B. der Exponent -0.48 für die elektrische Leistung Pe in der COE-Formel für TR) hergeleitet wurden, wird nicht offenbart, aber sie stammen aus "wide parameter scans" mit dem PEC-Code und basieren auf früheren Studien.
6.  **Wird offengelegt, ob die Kostenabschätzung auf einem Bottom-up-, Top-down- oder hybriden Ansatz basiert?**
    Die Studie **legt den Ansatz nicht explizit als "Bottom-up", "Top-down" oder "Hybrid" offen**. Die Darstellung der Kostenstruktur deutet jedoch auf einen **hybriden Ansatz** hin:
    *   Die **Gesamtkapitalkosten** werden in Tabelle 2 nach Anlagenkategorien ("Fusion island", "Balance of plant") aufgeschlüsselt. Dies ist ein Merkmal eines **Bottom-up-Ansatzes**.
    *   Innerhalb dieser Kategorien basiert die Kostenanalyse "mainly on the unit costs per weight", was ebenfalls auf einen detaillierten Bottom-up-Ansatz hindeutet.
    *   Kosten für spezifische IFE-Komponenten wie Treibersystem und Pellet-Fabrikation werden durch **"scaling laws"** angegeben, was die Anwendung von faktorbasierten oder top-down-ähnlichen Ansätzen für diese spezialisierten Systeme darstellt.
7.  **Beruht die Kostenherleitung auf physikalischen und technologischen Werten?**
    **Ja, die Kostenherleitung beruht sehr stark auf physikalischen und technologischen Werten** [Konversationsverlauf]. Das gesamte PEC-System (Physics–Engineering–Cost) ist darauf ausgelegt, physikalische und ingenieurtechnische Parameter direkt in ökonomische Bewertungen zu integrieren.
    *   **MFE-Reaktoren:** Kosten sind direkt abhängig von Parametern wie **Plasma-Beta-Werten (βN, 〈β〉), maximale Magnetfeldstärke (Bmax)**, Radialaufbau, Blanket-Dicken, Wandlebensdauer und thermische Effizienz.
    *   **IFE-Reaktoren:** Kosten werden durch Treiberenergie (Edriver), Treiber-Effizienz, Target-Gain, Repetitionsrate (frep) und Isentrope-Parameter (αF) bestimmt. Die Notwendigkeit einer höheren Repetitionsrate bei geringerer Treiberenergie beeinflusst direkt die Kosten.
    *   **Materialien:** Die Materialauswahl (z.B. Nb3Sn-Supraleiter für Magnete, LiPb/SiC-Blanket) und deren Eigenschaften beeinflussen das Design und damit die Kosten.
8.  **Werden Materialkosten und Komponentenkosten separat ausgewiesen?**
    **Komponentenkosten auf Systemebene werden separat ausgewiesen**, aber **spezifische Materialkosten nicht** als eigene Zeilen in der Kostenaufschlüsselung.
    *   Die **Gesamtkapitalkosten** sind aufgeteilt in "Fusion island" und "Balance of plant".
    *   Für MFE sind spezifische Komponenten wie supraleitende Toroidalfeldspulen (WTFC) mit einem Kostenfaktor von "0.114WTFC(t) [M$]" beschrieben.
    *   Für IRs sind der **Treibersystem-Kosten** und die **Pellet-Fabrikationskosten** als separate Posten mit eigenen Skalierungsgesetzen angegeben.
    *   Die Kosten für Brennstoff ("Fuel") sind in der COE-Aufschlüsselung als sehr gering ausgewiesen (z.B. 0.04 mil/kWh für TR(DT)). Spezifische Materialkosten für Blanket-Materialien, Kammerwände oder Target-Materialien sind in den größeren Kapitalkostenposten enthalten.
9.  **Bezieht sich die Studie auf ein Energiesystem (z. B. Integration, Vergleich mit anderen Technologien) oder ist sie rein bezogen auf die Kosten des Kraftwerks und des Reaktors?**
    Die Studie ist **primär auf die Bewertung der Fusionskraftwerke konzentriert**, aber sie integriert dies in einen **größeren Kontext des Energiesystems** durch:
    *   **Vergleiche mit anderen Energieerzeugungssystemen:** Die Stromgestehungskosten (COE) und Treibhausgasemissionen (GHG) von Fusionsreaktoren werden direkt mit denen von **Kernkraft (Fission), Öl, Kohle, Wasser, Solar und Wind** verglichen.
    *   **Berücksichtigung von externen Faktoren:** Die Auswirkungen der **Einführung einer Kohlenstoffsteuer (GHG tax)** und der **Anwendung von CO2-Abscheidung und -Speicherung (CCS)** auf fossile Kraftwerke werden in die wirtschaftliche Bewertung einbezogen.
    *   **Ziele:** Die Studie sucht nach "umweltfreundlichen und wirtschaftlichen Fusionsreaktorsystemen", die dazu beitragen können, "globale Treibhausgasemissionen zu reduzieren", was eine Systemperspektive impliziert.
10. **Welche Kostenreduktionspotenziale oder wirtschaftlichen Optimierungsansätze werden thematisiert?**
    Die Studie thematisiert mehrere Wege zur Kostenreduktion und Optimierung:
    *   **Erhöhung der elektrischen Nettoleistung (Pe):** Eine Erhöhung der Leistung von 1 GWe auf 3 GWe reduziert die COE und die CO2-Emissionen erheblich (z.B. TR: von 10.4 yen/kWh auf 6.2 yen/kWh und von 9.2 g-CO2/kWh auf 6.9 g-CO2/kWh).
    *   **Optimierung von Designparametern:** Die **Skalierungsformeln** zeigen, dass die COE durch Erhöhung der Anlagenverfügbarkeit (favail), der Betriebsjahre (toper), der normalisierten Beta-Werte (βN), des maximalen Magnetfelds (Bmax) und der thermischen Effizienz (fth) gesenkt werden kann. Für IFE ist die Reduzierung des Isentrope-Parameters (αF) vorteilhaft.
    *   **Kompaktes Design:** Das kompaktere Design des Spherical Tokamaks hat Vorteile bei den CO2-Emissionen und potenziell den Kosten.
    *   **Reduktion der Laserdioden-Kosten:** Eine Senkung der Laserdioden-Kosten von 3 yen/W auf 1 yen/W würde die COE und CO2-Emissionen für IFE-Reaktoren erheblich reduzieren.
    *   **Höhere Repetitionsrate:** Die hohe Repetitionsrate (z.B. 12 Hz für IR) ist entscheidend für eine höhere Gesamtleistung und damit niedrigere Stromgestehungskosten.
    *   **D-3He und Fusions-Fissions-Hybride:** Diese Konzepte werden als "zukünftige Vorteile" in Bezug auf Umwelt- und Wirtschaftsfragen diskutiert.
    *   **Längere Betriebsdauer:** Eine längere Lebensdauer als 30 Jahre (z.B. bis zu 60 Jahre) wird als zukünftiges Optimierungspotenzial erwähnt.
11. **Was sind die signifikantesten Kostentreiber und ökonomischen Herausforderungen laut Studie?**
    Die Studie identifiziert folgende Hauptkostentreiber und Herausforderungen:
    *   **Hohe Kapitalkosten:** Die Kapitalkosten sind der **dominanteste Beitrag zu den Stromgestehungskosten** für Fusionsreaktoren (z.B. 75.6 mil/kWh von 98 mil/kWh für TR(DT)).
    *   **Treibersystem-Kosten (für IFE):** Die Kosten des Treibers sind ein **sehr signifikanter Faktor** für IFE-Reaktoren. Die hohen Kosten der Laserdioden werden als Herausforderung genannt.
    *   **Wettbewerbsfähigkeit der COE:** Die COE von Fusionsreaktoren ist im Allgemeinen **etwa doppelt so hoch wie die von Kohle- und Kernkraftwerken** (ohne Kohlenstoffsteuer). Dies ist die größte wirtschaftliche Herausforderung.
    *   **D-3He-Reaktoren:** Obwohl potenziell vorteilhaft, sind sie "eher verfrüht und optimistisch" und haben höhere GHG-Emissionen als DT-Reaktoren, insbesondere aufgrund der Verarbeitung und des Transports von Helium-3 vom Mond. Ihre Kosten sind auch höher (12.4 yen/kWh).
    *   **Unsicherheiten bei Prognosen:** Die Analysen basieren auf **"optimistischen Zukunftserwartungen"** und für manche Designs wie D-3He und F-F Hybride wird betont, dass sie "eher verfrüht und optimistisch sind, basierend auf der zukünftigen Erwartung der physikalischen und ingenieurtechnischen Entwicklung". Dies deutet auf inhärente Unsicherheiten in den zugrunde liegenden physikalischen und technologischen Annahmen hin, die sich auf die Kosten auswirken.
    *   **CO2-Emissionen aus Bau und Materialien:** Trotz geringer Betriebs-CO2-Emissionen sind die CO2-Emissionen aus Baustoffen wie Beton (0.12 t-CO2/t-Material) und Stahl (1.4 t-CO2/t-Material) "eher dominant" und begrenzen die Reduktion der Lebenszyklus-CO2-Emissionen, selbst bei erhöhter Nettoleistung.</t>
  </si>
  <si>
    <t>MCF_Advanced NOAK</t>
  </si>
  <si>
    <t>CASCADE (all Conventional)</t>
  </si>
  <si>
    <t>Optimistic scenario, constructed using well established, conventional  fos­
sil power plant  construction  methods,  and requiring  no nuclear­classified  equipment 
or systems</t>
  </si>
  <si>
    <t xml:space="preserve"> assumes  a combination  of nuclear  and non­nuclear  related 
systems  and equipment  similar  to  that  used  in modem  fission  reactor  plants.</t>
  </si>
  <si>
    <t>Maya et al. (1985)</t>
  </si>
  <si>
    <t>Cost [USD/MWh, 2018]</t>
  </si>
  <si>
    <t>6 years construction time; 30 years lifetime; with fuel pellet fabrication plant; Die Bestrahlungslebensdauer von SiC-Oberflächengranulaten wird mit 4 bis 5 Jahren angenommen.
    ◦ Die Lebensdauer von BeO-Oberflächengranulaten wird auf etwa 0,5 Jahre geschätzt</t>
  </si>
  <si>
    <t>### **1. Welche Modellannahmen werden getroffen?**
Die Studie trifft eine Reihe von Modellannahmen für den Cascade-Reaktor und die Vergleichstechnologien:
*   **Reaktorkonzept und Betrieb:**
    *   Der Cascade-Reaktor ist ein **Trägheitsfusionsenergie (ICF) D-T-Reaktor** mit einer rotierenden Reaktionskammer und einem Blanket aus festen Granulaten (Kohlenstoff, Berylliumoxid (BeO), Lithiumaluminat (LiAlO2)).
    *   Obwohl die Fusionsereignisse pulsierend sind ("pellet blasts occur"), wird angenommen, dass das Gesamtsystem eine **kontinuierliche Netto-Stromerzeugung** ermöglicht, was auf **Grundlastfähigkeit** hindeutet.
    *   Als Antrieb (Treiber) für die Pellets werden Laser- oder Ionenstrahlen genannt. Für die Leistungsbilanz wird der Laser als elektrische Last berücksichtigt.
*   **Wirtschaftliche Reife:**
    *   Die Analyse basiert auf einem **"ausgereiften Anlagendesign, das ein Gleichgewicht mit dem Stand der Technik zeitgenössischer Kern- und Kohlekraftwerke erreicht hat"**. Dies entspricht einem **10th-OAK-Szenario** [Konversationsverlauf].
    *   Die Kosten werden für zwei Szenarien geschätzt: **"All Conventional"** (rein konventionelle Bauweise, wie bei Kohlekraftwerken) und **"Nuclear+Conventional"** (Kombination aus fossilen und Spaltungsreaktor-Methoden und -Standards).
*   **Leistungsbilanz und Effizienz:**
    *   Fusionsleistung: 1500 MWt.
    *   Netto-elektrische Leistung: 815 MWe.
    *   Netto-Anlagenwirkungsgrad: 49%.
    *   Thermischer Umwandlungswirkungsgrad: 55% für das geschlossene Helium-Gas-Turbinen-System.
*   **Sicherheitsannahmen:**
    *   Cascade besitzt viele **"inhärente (passive) Sicherheitsmerkmale"**, die den Bedarf an nuklear klassifizierten Systemen reduzieren oder eliminieren können.
    *   Es wird angenommen, dass das Blanket **inherent sicher vor Kernschmelzen** ("meltdown") ist und somit vor unbeabsichtigter Radioaktivitätsfreisetzung. Dies ermöglicht die Eliminierung dedizierter aktiver Sicherheitskühlsysteme und reduziert die Anforderungen an das Containment des Reaktorgebäudes.
    *   Dosisgrenzwerte der Kernspaltungsindustrie (10CFR20, 10CFR50, 10CFR100) dienen als Referenz, obwohl deren direkte Anwendbarkeit auf die Fusion noch nicht vollständig geklärt ist.
*   **Tritium-Management:**
    *   Der Reaktor ist ein Deuterium-Tritium (D-T) Reaktor und das Blanket (LiAlO2) ist als **Tritiumbrutstoff** ausgelegt, um ein ausreichendes Tritium-Brutverhältnis (TBR von 1.05 oder höher) zu erreichen.
    *   Es wird ein **operatives Tritiuminventar** von 258 g angenommen. Ein explizites Anfangsinventar für Tritium wird nicht angegeben [Konversationsverlauf].
*   **Wärmetauscher und Materialien:**
    *   Die Granulate fließen in einem Vakuum (10 Pa).
    *   Die einzigen funktionsfähigen Materialien für die Wärmetauscherflächen bei Betriebstemperaturen bis 1600 K sind **Keramiken** wie SiC oder Si3N4.
    *   Für die "metal-to-ceramic" Verbindungen werden aktive Kühlung und Isolierung angenommen, um Metalltemperaturen von 700 K (für Kohlenstoffstähle) und Dichtungstemperaturen von 500 K (für 30 Jahre Lebensdauer) zu gewährleisten.
### **2. Welche Modell- und Kostenannahmen basieren auf tatsächlichen Erfahrungswerten und welche nur Schätzungen oder Prognosen? Welche Annahmen stammen woher?**
Die Studie verwendet eine Mischung aus Erfahrungswerten (hauptsächlich skaliert von etablierten Technologien) und Schätzungen/Prognosen für neue Fusionskomponenten.
*   **Erfahrungswerte / Externe Quellen:**
    *   **Wirtschaftliche Grundregeln (Economic Ground Rules):** Basieren auf den "Economic Ground Rules for the HTGR Program" (Rev. 5, Jan 7, 1985) von J.E. Russ III. Diese Regeln wurden von Programmbeteiligten wie GA, BGI, SWEC, CE, ORNL, NUTEVCO, SDG&amp;E, NE Utilities, EPRI/COMO, DOE entwickelt und kontinuierlich überprüft.
    *   **Kosten für Strukturen &amp; Ausrüstung:** Für viele konventionelle und nuklear klassifizierte Anlagenkomponenten wurden Kostenansätze aus **HTGR-, PWR- und Kohlekraftwerksstudien** (z.B. Ref. 4-1, 4-2, 4-3, 4-7) verwendet und skaliert.
    *   **Skalierungsfaktoren (Scaling Exponents):** Abgeleitet aus Studien von Kern- und Kohlekraftwerken (Ref. 4-2).
    *   **O&amp;M-Kosten der Vergleichsanlagen:** Für PWR, HTGR und Kohlekraftwerke werden O&amp;M-Kosten (fix und variabel) aus externen Quellen übernommen.
    *   **Kostenreduktionsfaktor für Reaktoranlagenausrüstung:** Der Faktor 0.9 für konventionelle Reaktoranlagenausrüstung basiert auf der Erfahrung von GA und Architekten/Ingenieuren. Der Faktor 0.63 für Instrumentierung und Steuerung basiert auf vergleichenden Analysen von Kern- und Kohlekraftwerken.
    *   **Tritium-Rückgewinnungssystem:** Basierend auf dem Design des MARS Tandem Mirror Reaktor (Ref. 5-2) und dem Tritium System Test Assembly (TSTA) (Ref. 5-3).
    *   **Tritium-Inventar (Skalierung):** Das Inventar im Brennstoff-Reinigungssystem wurde aus Daten der MARS-Studie (Ref. 5-2) skaliert.
    *   **Tritium-Solubilität und -Diffusion:** Daten aus verschiedenen Referenzen für Materialien wie Al2O3, BeO, LiAlO2, SiC, Edelstahl und Aluminium (z.B. Ref. 5-4 bis 5-10).
    *   **Kompressor- und Turbinenwirkungsgrade:** Die Variationen der adiabatischen Wirkungsgrade mit dem Druckverhältnis wurden aus Ref. 3-3 (W.H. Krase, 1979) übernommen.
    *   **Bauliche Hüllkurven:** Gebäudedimensionen werden aus vergleichbaren Studien anderer Reaktoren (z.B. Ref. 4-1, 4-2) abgeleitet.
    *   **Wärmetauscher-Leistung:** Berechnung der Primärseite basierend auf Granulat-Bett-Wärmeübertragungsmodellen aus Ref. 3-8 (Heat Exchanger Design Handbook), Sekundärseite mit Dittus-Boelter-Gleichung.
*   **Schätzungen / Prognosen (für Fusions-spezifische Komponenten oder Szenarien):**
    *   **Cascade-spezifische Komponenten:** Kosten für Reaktionskammer, Blanket, Kammerantrieb, Vakuumsystem, Granulat-Transportsystem, primäre Wärmetauscher, Abschirmung, Tritium-Rückgewinnung und Instrumentierung und Steuerung.
    *   **Materialkosten für Blanket-Materialien (C, BeO, LiAlO2):** Basierend auf aktuellen Einkäufen von GA, angepasst für große kommerzielle Mengen.
    *   **SiC-Material- und Herstellungskosten:** Geschätzte Kosten pro kg für verschiedene Größen und Konfigurationen (z.B. 90-600 $/kg).
    *   **Laser Plant Building and Equipment:** Geschätzt auf 275 M$ von LLNL (Ref. 4-10).
    *   **Fuel Pellet Fabrication Plant:** Geschätzt auf 100 M$ von LLNL (Ref. 4-10).
    *   **O&amp;M-Kosten für Cascade:** Um 30% höher angenommen als bei einem PWR-Kraftwerk, um die Kosten der Brennstoffaufbereitungsanlage vor Ort zu berücksichtigen.
    *   **Contingency:** 15% für nukleare und 10% für konventionelle Kosten, aufgrund der Unsicherheit der Kostenabschätzung.
    *   **Lebensdauer von SiC-Granulaten:** 4 bis 5 Jahre Bestrahlungslebensdauer [Konversationsverlauf]. BeO-Granulate: 0,5 Jahre [Konversationsverlauf]. Turbinen: volle Lebensdauer der Anlage (280.000 h).
    *   **Thermodynamische Leistung von Decken-Optionen:** Basierend auf nukleonischen Leistungsdaten (Ref. 2-24) und thermischen Umwandlungswirkungsgraden (Kapitel 3).
    *   **Sicherheitsklassifizierung "All Conventional":** Prognose, dass aufgrund inhärenter Sicherheitsmerkmale eine konventionelle Bauweise möglich sein wird.
    *   **Abfallentsorgungsbewertungen (WDR):** Berechnungen basieren auf US-NRC-Regularien (10CFR61) und Schätzungen von Maninger (Ref. 6-7, 6-8).
### **3. Falls externe Quellen für die Modell- und Kostenannahmen verwendet wurden – wurden diese modifiziert? Falls ja, wie?**
Ja, externe Quellen wurden mehrfach modifiziert, skaliert oder angepasst:
*   **Kapitalkosten:** Systeme und Ausrüstung wurden für Variationen in Größe, Kapazität und Funktion unter Verwendung von Skalierungsfaktoren angepasst.
*   **O&amp;M-Kosten:** Die O&amp;M-Kosten für Cascade wurden um **30% höher** angesetzt als die eines PWR-Kraftwerks, um die Kosten für die Brennstoffaufbereitungsanlage vor Ort zu berücksichtigen.
*   **Kostenreduktionsfaktor:** Ein Faktor von **0.9** wurde auf die nuklearen Kapitalkosten für Reaktoranlagenausrüstung angewendet, um die Kosten für konventionelle Ausrüstung zu erhalten. Dies spiegelt die reduzierten Anforderungen an Qualitätssicherung und Dokumentation wider. Für Instrumentierung und Steuerung wurde ein Faktor von **0.63** verwendet.
*   **Vakuumsystem:** Die Kosten für das Vakuumsystem basieren auf denen des Doublet III Vacuum Vessel Program (Ref. 4-7) und wurden auf eine Pumpgeschwindigkeit von 40.000 l/s für 1500 MW Fusionsleistung skaliert.
*   **Radioaktives Abfallverarbeitungssystem:** Eine **50%ige Reduzierung** der Kosten für die Handhabung flüssiger Abfälle wurde berücksichtigt, da Cascade kleinere Wasserkreisläufe verwendet.
*   **Wassertreatment Building:** Behandelt weniger Wasser als in der Referenzstudie, da Cascade Wasser nur zur ultimativen Wärmeabfuhr und nicht für den sekundären, Strom erzeugenden Kreislauf verwendet.
*   **Tritium-Inventar (Fuel Cleanup System):** Wurde durch direkte Proportionalität basierend auf der D-T-Flussrate von MARS (Ref. 5-2) auf Cascade skaliert.
*   **Aluminium-Inventar:** Da keine spezifischen Daten für die Solubilität und Diffusivität von Aluminium gefunden wurden, wurden konservativ die Daten für Stahl verwendet.
*   **Wärmetauscherdesign:** Das Design von Ref. 3-5 wurde modifiziert, um SiC-Röhren zu integrieren und höhere Temperaturen zu berücksichtigen. Die Notwendigkeit von doppelwandigen Röhren wurde eliminiert.
### **4. Wie lautet die Annahme zu Lernraten?**
Der Begriff **"Lernraten" (Learning Rates)** oder **"Lernkurven" (Learning Curves)** wird in der Studie **nicht explizit** verwendet [Konversationsverlauf].
### **5. Wie wurden die Annahmen zu den Lernraten hergeleitet bzw. von wo stammen diese Annahmen?**
Obwohl der Begriff "Lernraten" nicht verwendet wird, werden **Skalierungseffekte und Kostensenkungen durch Volumenproduktion** thematisiert, die ähnlichen Prinzipien folgen:
*   **Skalierungsfaktoren (Scaling Exponents):** Für verschiedene Anlagenkonten (z.B. Strukturen &amp; Verbesserungen, Reaktoranlagenausrüstung) werden Skalierungsfaktoren (Exponent α) angegeben, um Kosten bei Änderungen der Kapazität (400 bis 1200 MWe) anzupassen. Diese Faktoren wurden aus der **Studie von Kern- und Kohlekraftwerken** (Ref. 4-2) abgeleitet. Die Formel lautet: Y2 = Y1 * (X2/X1)^α, wobei Y die Kosten und X die Kapazität ist.
*   **Volumenproduktion (Volume Demand):** Für SiC-Materialien und deren Herstellungskosten wird erwähnt, dass diese bei hoher Volumenanforderung um **Faktoren von 2 bis 3 reduziert** werden können. Dies ist ein klarer Hinweis auf Skaleneffekte und Fertigungslernkurven.
Die Annahmen stammen also aus der Analyse etablierter Kraftwerkstechnologien und Projektionen für die Herstellung fortschrittlicher Materialien.
### **6. Wird offengelegt, ob die Kostenabschätzung auf einem Bottom-up-, Top-down- oder hybriden Ansatz basiert?**
Die Studie legt dar, dass die Kostenabschätzung auf einem **hybriden Ansatz** basiert, der Elemente von Top-down-Skalierung und Bottom-up-Detaillierung kombiniert.
*   **Top-down-Rahmenwerk:** Das Framework ist der **"code of accounts"** des U.S. Atomic Energy Commission (jetzt DOE/NRC), der für Kernkraftwerke entwickelt wurde und zur Uniformität und zum Vergleich mit Referenz-PWR- und Kohlekraftwerken verwendet wird.
*   **Bottom-up-Ergänzung:** Dieses Grundgerüst wurde **"erweitert, um die einzigartigen Komponenten zu berücksichtigen, die für ein Fusionskraftwerk erforderlich sind"**. Die Studie beschreibt detailliert die einzelnen Konten (z.B. Reaktionskammer, Blanket, Wärmetauscher) und deren Kosten.
*   **Detaillierte Schätzung auf Komponentenebene:** Der **"grundlegende Schätzansatz"** bestand darin, jede Komponente, Ausrüstung oder jedes System auf der Grundlage von Sicherheits- vs. Nicht-Sicherheitsanforderungen zu bewerten und die entsprechenden Stückkosten aus neueren HTGR-Studien oder dem Referenz-Kohlekraftwerk anzuwenden. Für **"einzigartige Cascade-Komponenten und -Systeme"** wurden spezifische Schätzungen entwickelt.
### **7. Beruht die Kostenherleitung auf physikalischen und technologischen Werten?**
**Ja, die Kostenherleitung beruht maßgeblich auf physikalischen und technologischen Werten** des Cascade-Designs. Die Studie ist eine detaillierte technische Design- und Bewertungsstudie, bei der die Kosten eng mit den gewählten Materialien, Designparametern und der erwarteten Leistung verbunden sind.
Beispiele hierfür sind:
*   **Materialauswahl:** Die Wahl von Keramiken (SiC, BeO, LiAlO2) für das Blanket und die Wärmetauscher basiert auf deren physikalischen Eigenschaften wie Hitzebeständigkeit, Bestrahlungsstabilität und Tritium-Brutvermögen. Die Kosten dieser Materialien werden separat geschätzt.
*   **Design-Parameter:** Die dimensionale Auslegung von Komponenten wie der Reaktionskammer, den Wärmetauschern (z.B. Anzahl und Durchmesser der Röhren, Höhe, Breite) und dem Schildsystem basiert auf detaillierten thermischen, hydraulischen und nukleonischen Berechnungen (z.B. Wärmeübertragungsflächen, Druckabfälle, Neutronenfluss-Dämpfung).
*   **Sicherheitsmerkmale:** Die "inhärente Sicherheit" des Cascade-Designs, wie geringe Nachzerfallswärme und kleines Tritiuminventar, beeinflusst die Annahme einer konventionellen Bauweise und damit die Kosten.
*   **Leistungsbilanz:** Die elektrische Nettoleistung von 815 MWe ist das Ergebnis einer detaillierten Analyse der Fusionsleistung, des Blankets, des Energieumwandlungssystems und des Eigenbedarfs der Anlage (z.B. Laserantrieb).
*   **Tritium-Management:** Das Design des Tritium-Rückgewinnungssystems und die Abschätzung des Tritium-Inventars basieren auf physikalischen Modellen von Solubilität und Diffusivität in verschiedenen Materialien.
### **8. Werden Materialkosten und Komponentenkosten separat ausgewiesen?**
**Ja, die Studie weist Materialkosten und Komponentenkosten teilweise separat aus und detailliert sie auf verschiedenen Ebenen.**
*   **Komponentenkosten:** Die Kapitalkosten werden nach einem zweistelligen Kontenplan ("two-digit summary format") und detaillierter auf Drei- und Vier-Stellen-Ebene ("three- and four-digit level") aufgeschlüsselt. Beispiele hierfür sind:
    *   Konto 21: Structures &amp; Improvements (nach Gebäudeart).
    *   Konto 22: Reactor Plant Equipment (detailliert nach Reaktionskammer, Blanket, Vakuum-System etc.).
    *   Konto 27: Laser Plant Bldg. &amp; Equip..
    *   Konto 28: Fuel Pellet Fabrication Plant.
*   **Materialkosten:** Für einige spezifische Materialien werden Kosten pro Gewicht oder Gesamtmasse angegeben:
    *   **Blanket-Materialien (C, BeO, LiAlO2):** Die Kosten für die Gesamtmasts von Kohlenstoff, BeO und LiAlO2 im System werden mit 6,8 M$, 3,1 M$ und 35,5 M$ beziffert, basierend auf GA-Einkäufen und Volumenanpassungen.
    *   **SiC-Materialien:** Eine separate Tabelle (Table 4-9) listet "SiC Materials and Fabrication" mit Kosten in $/kg für verschiedene Größen/Konfigurationen (z.B. "Small/simple" 90 $/kg, "Fiber" 600 $/kg).
    *   **Aluminium-Legierung:** Kosten für Aluminium-Legierung im Vakuumbehälter und Strahlungsschild basieren auf Stückkosten.
    *   **Beton:** Kosten für Stahlbeton im biologischen Schild.
### **9. Bezieht sich die Studie auf ein Energiesystem (z.B. Integration, Vergleich mit anderen Technologien) oder ist sie rein bezogen auf die Kosten des Kraftwerks und des Reaktors?**
Die Studie ist **primär auf das Cascade-Kraftwerk und dessen Reaktor bezogen**, **beinhaltet aber einen signifikanten Vergleich mit anderen etablierten Technologien innerhalb des Energiesystems**.
*   **Fokus auf das Kraftwerk:** Der Hauptteil der Studie konzentriert sich auf das detaillierte Design und die Bewertung des Cascade-Konzepts als kommerzieller Trägheitsfusionsreaktor. Es werden alle Aspekte von der Reaktionskammer über das Energieumwandlungssystem bis hin zur Restanlage (Balance-of-Plant) und den Sicherheitsaspekten behandelt.
*   **Vergleich mit anderen Technologien:** Ein zentraler Punkt der Studie ist der **wirtschaftliche Vergleich** der Stromgestehungskosten (COE) des Cascade-Reaktors mit etablierten konventionellen und nuklearen Alternativen:
    *   **LWR (Leichtwasserreaktor)**.
    *   **HTGR (Hochtemperaturreaktor)**.
    *   **Kohlekraftwerk (Coal Plant)**.
    Dieser Vergleich dient dazu, die **potenzielle Wettbewerbsfähigkeit** des Cascade-ICF-Kraftwerks zu beurteilen und dessen wirtschaftlichen Vorteil hervorzuheben, insbesondere im "All Conventional"-Szenario. Die Studie verwendet dafür dieselben "economic ground rules".
Es gibt jedoch **keine tiefgreifende Analyse der Integration** des Fusionskraftwerks in ein bestehendes oder zukünftiges Energiesystemmodell (z.B. Fragen der Lastfolge, Netzstabilität oder Interaktion mit erneuerbaren Energien), abgesehen von der Annahme der Grundlastfähigkeit.
### **10. Welche Kostenreduktionspotenziale oder wirtschaftlichen Optimierungsansätze werden thematisiert?**
Die Studie identifiziert und thematisiert mehrere Kostenreduktionspotenziale und Optimierungsansätze:
*   **Ausnutzung inhärenter Sicherheitsmerkmale ("All Conventional" Bauweise):** Dies ist der **signifikanteste** Kostenreduktionsansatz. Die passiven Sicherheitsmerkmale von Cascade können die Notwendigkeit nuklear klassifizierter Systeme und Komponenten sowie dedizierter Sicherheitssysteme eliminieren. Dies führt zu einer geschätzten Kostenersparnis von **450 M$ (560 $/kWe)** zwischen dem "Nuclear+Conventional"- und dem "All Conventional"-Szenario.
*   **Frühe Berücksichtigung von Sicherheitsdesign-Richtlinien:** Durch die Integration von Sicherheitsdesign-Leitlinien in einem frühen Stadium des Designs können sicherheitsrelevante Kosten minimiert werden.
*   **Optimierung des Energieumwandlungssystems:** Ziel war es, den Netto-Wirkungsgrad der Energieumwandlung zu maximieren und gleichzeitig Einfachheit und niedrige Kosten zu gewährleisten. Der Brayton-Kreislauf wurde aufgrund wahrgenommener Vorteile bei der Tritium-Rückgewinnung und dem Potenzial für höhere Betriebstemperaturen gegenüber dem Field-Kreislauf gewählt.
*   **Optimierung des Keramik-Wärmetauschers:** Designziele waren die Minimierung der Wärmeübertragungsfläche, des Druckabfalls, der Pumpleistung, der Anzahl der Röhren und der aktiven Wärmeübertragunghöhe, da diese direkt die Investitionskosten beeinflussen. Das Eliminieren der Notwendigkeit doppelwandiger Rohre für das LiAlO2-Brutmaterial reduziert die Komplexität und die Kosten.
*   **Materialauswahl für Wärmetauscher-Komponenten:** Die Verwendung von Kohlenstoffstählen und Polymerdichtungen bei kühleren Temperaturen in den Sammlern und Dichtungen des Wärmetauschers trägt zur Kostenersparnis bei.
*   **Verkleinerung der Korngröße des Brutmaterials:** Eine kleinere Korngröße des LiAlO2-Brutmaterials (z.B. 2 µm statt 10 µm) würde das Tritium-Inventar und die charakteristische Freisetzungszeit reduzieren, was die Tritium-Managementkosten senken könnte.
*   **Anpassung der BeO-Frontzonendicke:** Eine Anpassung der BeO-Frontzonendicke kann das Aktivierungsniveau kontrollieren (insbesondere 24Na aus 27Al), wodurch die Notwendigkeit aktiver Kühlsysteme reduziert wird und die inhärente Sicherheit vor Kernschmelzen gewährleistet wird.
### **11. Was sind die signifikantesten Kostentreiber und ökonomischen Herausforderungen laut Studie?**
Laut Studie sind die signifikantesten Kostentreiber und ökonomischen Herausforderungen:
*   **Nuklear klassifizierte Bauweise und Komponentenqualifizierung:** Die **höchsten zusätzlichen Kosten** entstehen durch die Notwendigkeit nuklearer Sicherheitsstandards. Die Differenz zwischen "All Conventional" und "Nuclear+Conventional" beträgt 450 M$ bzw. 560 $/kWe, begründet durch "increased quality control and assurance, documentation and verification requirements on nuclear safety-rated equipment". Dies ist die **primäre ökonomische Herausforderung**, die Cascade durch seine inhärente Sicherheit zu überwinden versucht.
*   **Tritium-Management:** Die **Betriebs- und Wartungskosten (O&amp;M)** für Cascade werden pauschal 30% höher angesetzt als die eines PWR, um die **"expenses for on-site fuel processing facility"** abzudecken. Das Tritium-Rückgewinnungssystem ist ein bedeutender Posten innerhalb der Kapitalkosten für "Radioactive Material Handling" (12,9 M$).
*   **Laser-Anlage:** Die "Laser Plant Building and Equipment" ist mit **275 M$** eine der größten Einzelinvestitionen.
*   **Brennstoffpellet-Fabrikationsanlage:** Mit **100 M$** ebenfalls ein signifikanter Kapitalkostenanteil.
*   **Wärmetauscher (insbesondere Keramik):** In einer früheren Studie wurde der Wärmetauscher als **"high-leverage cost item"** bezeichnet, was die Notwendigkeit zur Kostenreduzierung betonte. Die Verwendung von Keramikmaterialien wie SiC für die Röhren stellt technologische Herausforderungen dar, die sich in den Kosten niederschlagen können. Obwohl die Studie die Machbarkeit betont, bleibt dies ein Bereich mit potenziell hohen Kosten.
*   **Entsorgung radioaktiver Abfälle:** Obwohl die Kapitalkosten für die "Radioactive Waste Processing System" nur 3,8 M$ betragen, werden die "Waste Disposal Ratings (WDR)" ausführlich diskutiert, was auf die Notwendigkeit und potenziellen Herausforderungen der **langfristigen Endlagerung** hinweist. Die Notwendigkeit der Verdünnung von Materialien für die oberflächennahe Deponierung ("dilution... by a factor of 10 to 100") stellt eine operationelle und möglicherweise kostspielige Herausforderung dar.
*   **Materialien mit geringer Aktivierung:** Obwohl die Studie darauf abzielt, diese zu verwenden, sind sie möglicherweise teurer als konventionelle Materialien. Beispielsweise sind spezifische Kosten für SiC-Materialien angegeben.
*   **Forschung und Entwicklung (F&amp;E):** Obwohl nicht direkt als Kostenpunkt in der LCOE enthalten, sind die Studien zu Materialien, Sicherheit und Tritiummanagement Teil eines übergeordneten F&amp;E-Programms, das die **Machbarkeit und Kostenrelevanz** der Fusionsenergie erst ermöglicht.
---</t>
  </si>
  <si>
    <t>Basierend auf der Studie "inertial-confinement-fusion-reaction-chamber-and-power-5480dgrvt8.pdf" werden die Kosten des Cascade Fusionsreaktors mit denen anderer Energieerzeugungsformen verglichen.
### 1. Ergebnis des Kostenvergleichs
Die Studie vergleicht die **Stromgestehungskosten (Cost of Electricity, COE)** des Cascade ICF-Kraftwerks mit denen eines Hochtemperatur-Gasreaktors (HTGR), eines Druckwasserreaktors (PWR) und eines Kohlekraftwerks. Die Ergebnisse sind wie folgt (alle Angaben in Mills/kWe-hr):
*   **Cascade ICF-Kraftwerk:**
    *   **"All Conventional" (rein konventionelle Bauweise): 34 Mills/kWe-hr**.
    *   **"Nuclear+Conventional" (nukleare und konventionelle Bauweise): 41 Mills/kWe-hr**.
*   **Vergleichstechnologien:**
    *   **Pressurized Water Reactor (PWR): 37 Mills/kWe-hr**.
    *   **High Temperature Gas-Cooled Reactor (HTGR): 40 Mills/kWe-hr**.
    *   **Coal Plant (Kohlekraftwerk): 49 Mills/kWe-hr**.
**Das Ergebnis des Vergleichs ist, dass das Cascade ICF-Kraftwerk potenziell sehr wettbewerbsfähig ist**.
*   Im optimistischen **"All Conventional"-Szenario (34 Mills/kWe-hr)** hat Cascade einen **wirtschaftlichen Vorteil gegenüber allen verglichenen alternativen Kraftwerken**.
*   Selbst im konservativeren **"Nuclear+Conventional"-Szenario (41 Mills/kWe-hr)** wird Cascade als **wettbewerbsfähig** angesehen. Es ist teurer als der PWR und HTGR, aber immer noch günstiger als das Kohlekraftwerk.
Die Studie hebt hervor, dass, wenn die Sicherheitsmerkmale von Cascade voll ausgenutzt werden können, um die Notwendigkeit nuklear sicherheitsrelevanter Ausrüstung zu eliminieren, Cascade einen wirtschaftlichen Vorteil gegenüber den heutigen Alternativen hat.
### 2. Vergleich mit historischen Werten oder zukunftsgerichteten Projektionen
Der Vergleich erfolgt mit **zukunftsgerichteten Projektionen** der Kosten, die sich auf ein **ausgereiftes Anlagenkonzept** beziehen, sowohl für Cascade als auch für die Vergleichstechnologien.
*   **Für Cascade:** Die Kostenannahmen basieren auf einem **"Equilibrium Cascade Plant"**, das den **"state of design of contemporary nuclear and coal plants"** erreicht hat. Dies entspricht einem **10th-OAK (10. seiner Art)-Szenario** [Konversationsverlauf], da es davon ausgeht, dass die Technologie vollständig ausgereift und optimiert ist, um mit den etablierten Kraftwerkstypen vergleichbar zu sein. Die LCOE-Werte werden in "1-1-86 $", mit "2005 Operation Data" angegeben.
*   **Für die Vergleichstechnologien (LWR, HTGR, Kohlekraftwerk):** Auch diese werden mit **zukunftsgerichteten Projektionen** verglichen, die ebenfalls einem **NOAK oder 10th-OAK-Szenario** für ihre jeweiligen Industrien entsprechen [Konversationsverlauf]. Die COE für diese Anlagen werden als **"current power plant alternatives"** beschrieben und mit den **"same economic ground rules and data base"** wie für Cascade berechnet. Diese "Economic Ground Rules" stammen aus dem HTGR-Programm (Revision 5, Januar 7, 1985) und wurden von verschiedenen Programmbeteiligten entwickelt und überprüft. Die LCOE-Werte für die Vergleichsanlagen beziehen sich ebenfalls auf "1-1-86 $" und "2005 Operation Data".
Es handelt sich also nicht um einen Vergleich mit historischen Kosten oder FOAK-Kosten, sondern um einen zukunftsgerichteten Vergleich hypothetischer, aber ausgereifter Anlagen im Jahr 2005, deren Kostenbasis auf Anfang 1986 normiert ist.</t>
  </si>
  <si>
    <t>https://scispace.com/pdf/inertial-confinement-fusion-reaction-chamber-and-power-5480dgrvt8.pdf</t>
  </si>
  <si>
    <t>Total Fusion OCC--&gt;</t>
  </si>
  <si>
    <t>ICF_10th-OAK_Fix</t>
  </si>
  <si>
    <t>MCF_FOAK_Var</t>
  </si>
  <si>
    <t>ICF_10th-OAK_Var</t>
  </si>
  <si>
    <t>MCF_FOAK_Fix</t>
  </si>
  <si>
    <t>MCF_Advanced NOAK_Var</t>
  </si>
  <si>
    <t>MIF_10th-OAK_Var</t>
  </si>
  <si>
    <t>MCF_NOAK_Fix</t>
  </si>
  <si>
    <t>MCF_NOAK_Var</t>
  </si>
  <si>
    <t>MCF_10th-OAK_Fix</t>
  </si>
  <si>
    <t>MCF_10th-OAK_Var</t>
  </si>
  <si>
    <t>MCF_Advanced NOAK_Fix</t>
  </si>
  <si>
    <t>MIF_10th-OAK_Fix</t>
  </si>
  <si>
    <t>Variable O&amp;M Costs</t>
  </si>
  <si>
    <t>Fixed O&amp;M Costs per year</t>
  </si>
  <si>
    <t xml:space="preserve">MIF </t>
  </si>
  <si>
    <t>Monte Carlo applied
'Readiness asssumed</t>
  </si>
  <si>
    <t>Total Fusion O&amp;M--&gt;</t>
  </si>
  <si>
    <t>In der Studie von Bednyagin und Gnansounou (2011) wird das potenzielle **wirtschaftliche Potenzial von Fusionskraftwerken (Fusion Power Plants, FPPs)** bewertet, indem ihre projizierten Stromgestehungskosten (COE) mit den erwarteten zukünftigen Kosten **konventioneller Energieerzeugungstechnologien** verglichen werden.
### Ergebnis des Vergleichs
Das **primäre Ergebnis** der Studie ist, dass Fusionsenergie unter plausiblen Annahmen **wirtschaftlich wettbewerbsfähig** sein kann und erhebliche netto-ökonomische Vorteile mit sich bringen würde.
Der Vergleich erfolgt indirekt, indem die Studienautoren einen **zukünftigen Marktpreis für Strom** ableiten, der durch die **langfristigen Grenzkosten (Long-Run Marginal Cost, LRMC)** konventioneller Technologien bestimmt wird. Fusionskraftwerke müssen in diesem Preissegment konkurrieren, um als attraktiv zu gelten.
1.  **Vergleichswerte für andere Technologien:**
    *   Als **marginale Stromerzeugungsoptionen für den Zeithorizont 2050** werden **fortschrittliche Kohle- (IGCC) und Gaskraftwerke (NGCC)** betrachtet.
    *   Die vollen Stromkosten (LRMC) dieser repräsentativen marginalen Technologien werden in einer Spanne von **h26–h112 pro MWh** angegeben. Nach Ausschluss extremer Annahmen (verdoppelte Brennstoff- und sehr niedrige CO2-Preise) wird die LRMC-Spanne auf **h45–h90 pro MWh** eingegrenzt. Diese Spanne wird als Basis für die weitere Bewertung gewählt.
2.  **Projizierte Fusions-COE (Table 2):**
    *   **Pessimistisches Szenario "A"**: Die Fusions-COE liegt bei **55 h/MWh**. Dieser Wert liegt innerhalb der LRMC-Spanne der konventionellen Technologien (h45–h90 pro MWh). Im Rahmen des deterministischen Szenarios "A" bleibt der Nettokapitalwert (NPV) des Fusions-F&amp;E-Programms negativ, was bedeutet, dass die Einnahmen die Kosten der vorausgehenden F&amp;E-Aktivitäten nicht decken.
    *   **Intermediäres Szenario "B"**: Die Fusions-COE liegt bei **43 h/MWh**. Dieser Wert liegt knapp unterhalb der unteren Grenze der relevanten LRMC-Spanne (h45–h90 pro MWh), was auf eine gute Wettbewerbsfähigkeit hindeutet. Dieses Szenario zeigt einen **erheblich positiven Nettokapitalwert** von 95 Milliarden h für das Fusions-F&amp;E-Programm.
    *   **Optimistisches Szenario "C"**: Die Fusions-COE liegt bei **34 h/MWh**. Dieser Wert liegt deutlich unterhalb der gesamten LRMC-Spanne der konventionellen Technologien (h45–h90 pro MWh), was auf eine **sehr hohe Wettbewerbsfähigkeit** schließen lässt. Dieses Szenario zeigt einen **noch höheren positiven Nettokapitalwert** von 559 Milliarden h.
Die Studie schließt daraus, dass die Entwicklung und der Einsatz der Fusionstechnologie unter vernünftigen Annahmen erhebliche netto-ökonomische Vorteile mit sich bringen kann, da sie eine neuartige, umweltfreundliche und **wirtschaftlich wettbewerbsfähige Stromversorgungsoption** darstellt.
### Vergleich mit historischen Werten oder zukunftsgerichteten Projektionen
Der Vergleich erfolgt primär mit **zukunftsgerichteten Projektionen** der Kosten für konventionelle Energieerzeugungen.
*   Die angenommenen Kosten für konventionelle Technologien wie **fortschrittliche Kohle- und Gaskraftwerke** sind **Projektionen für den Zeithorizont 2050**. Diese basieren auf Berechnungen von Bednyagin (2010), die **Sensitivitätsanalysen für verschiedene Brennstoff- und CO2-Preise** umfassen, was eine zukunftsgerichtete Perspektive impliziert.
*   Zusätzlich werden andere **projizierte Großhandelspreise für Strom**, die in der UKAEA-Studie von Ward et al. (2002) angenommen wurden (h70–130 pro MWh), erwähnt.
Allerdings werden auch **historische Werte** herangezogen, um die Plausibilität der projizierten Marktpreise zu prüfen und zu kontextualisieren, nicht aber als primäre Vergleichsgrundlage für zukünftige Fusionskraftwerke:
*   Es wird festgestellt, dass die abgeleitete LRMC-Spanne von h45–h90 pro MWh **gut mit den tatsächlichen durchschnittlichen monatlichen Preisen für Grundlaststrom übereinstimmt, die zwischen 2006 und 2009 auf dem europäischen Strommarkt beobachtet wurden** (h32–100 pro MWh laut EEX-Daten).</t>
  </si>
  <si>
    <t>1.  **Welche Modellannahmen werden getroffen?**
    Die Studie verwendet eine **Realoptionsbewertung** des Fusionsenergie-F&amp;E-Programms. Dabei werden folgende Modellannahmen getroffen:
    *   **Realoptionsmodelle:** Es wird ein grundlegendes **Investitionsoptionsmodell vom Black–Scholes-Typ** und ein komplexeres **Compound Real R&amp;D Option Modell** verwendet, das die mehrstufige Natur des Programms abbildet. Zusätzlich wird ein **Fuzzy Real Option Modell** entwickelt, das unsichere Parameter (Kosten, Nutzen, Zeitplanung) mit **trapezförmigen oder dreieckigen Fuzzy-Zahlen** darstellt, um die Ungenauigkeit von Informationen zu berücksichtigen.
    *   **Strategien:** Es werden zwei Entwicklungsstrategien verglichen:
        *   **"Baseline"**: Ein relativ moderates Tempo der Fusionsforschung, -entwicklung, -demonstration und -bereitstellung, bei der nach ITER/IFMIF nur ein DEMO-Reaktor gebaut wird.
        *   **"Accelerated"**: Eine beschleunigte Demonstration und massive Bereitstellung, die den gleichzeitigen Bau von zwei oder mehr DEMO-Reaktoren annimmt. Dies führt zu höheren F&amp;E- und DEMO-Kosten, aber zu einer früheren Verfügbarkeit der Technologie.
    *   **Szenarien:** Für die **deterministische Analyse** werden drei Szenarien entwickelt: **pessimistisch ("A"), intermediär ("B") und optimistisch ("C")**.
    *   **Probabilistische Simulation:** Zusätzlich zu den deterministischen Szenarien werden Berechnungen in einem **stochastischen probabilistischen Setting** durchgeführt, das zufällige Schwankungen der Hauptparameter (Dauer, Kosten, Einnahmen, Diskontsatz) innerhalb vordefinierter Bereiche zulässt und spezifische Erfolgswahrscheinlichkeiten für jede Programmphase zuweist.
    *   **Zeithorizont:** Die Analyse erstreckt sich über einen sehr langen Zeitraum, der über 100 Jahre hinausgeht, wobei die Einsatzphase der Fusionskraftwerke (FPPs) von **2051 bis 2100** angesetzt wird.
    *   **Diskontierung:** Im deterministischen Fall wird ein **konstanter Diskontsatz von 4%** verwendet (mit Sensitivitätsanalysen von 2-6%), während im probabilistischen Fall **unsichere stochastische Diskontsätze im Bereich von 3% bis 5%** angenommen werden. Für das Real-Options-Modell wird ein **risikofreier Zinssatz von 2,25%** verwendet.
2.  **Welche Modell- und Kostenannahmen basieren auf tatsächlichen Erfahrungswerten und welche nur Schätzungen oder Prognosen? Welche Annahmen stammen woher?**
    *   **Allgemein:** "Die meisten der angenommenen Eingaben sind **Schätzungen der Autoren, die auf Literaturrecherchen und Diskussionen innerhalb der Fusionsgemeinschaft basieren**". Unsicherheiten wurden durch Szenarien, Wahrscheinlichkeits- und Fuzzy-Modellierung berücksichtigt.
    *   **Tatsächliche Erfahrungswerte (Historische F&amp;E-Kosten):**
        *   Gesamtausgaben für Fusionsforschung in OECD-Ländern (1974-1998): **ca. 30 Mrd. €** [16, unter Berufung auf Grunwald et al., 2003].
        *   Jährliche Investitionen in die zivile Kernfusionsforschung (2000): **geschätzt 1,4 Mrd. €**.
        *   US-Kongressfinanzierung für Magnetfusions-F&amp;E (1951-1973): **2,5 Mrd. US$** (in US$2000) [16, unter Berufung auf Rowberg, 1999].
        *   Gesamte öffentliche OECD-Finanzierung der zivilen Fusions-F&amp;E (bis heute): **nicht mehr als 50 Mrd. €** in aktuellen Preisen.
    *   **Schätzungen/Prognosen (Zukünftige Kosten und Marktparameter):**
        *   **Zukünftige F&amp;E-Kosten:**
            *   ITER-Budget: **ca. 10 Mrd. €** (4,6 Mrd. € für Bau, 4,8 Mrd. € für Betrieb) [17, unter Berufung auf Fiore, 2006].
            *   IFMIF-Kosten: **ca. 600 Mio. €**.
            *   DEMO-Investitionskosten: **ca. 8 Mrd. €** [17, unter Berufung auf Grunwald et al., 2003].
            *   Gesamte öffentliche Investitionen in Fusions-F&amp;E bis 2050: **60-100 Mrd. €**.
            *   Jährliche F&amp;E-Kosten während der Bereitstellungsphase (ab 2051): **1,2-2,0 Mrd. €** pro Jahr (2051), linear sinkend auf Null bis 2100 [50, Table 1].
        *   **Kosten von Fusionskraftwerken (FPPs):**
            *   Annahmen zu den **durchschnittlichen Kosten von FPPs** (spezifische Kapitalkosten, jährliche O&amp;M-Kosten, Fusions-COE) basieren auf **Gnansounou und Bednyagin (2007)** und **Han und Ward (2009)**. Für die Investitionsannuität werden **5% Zinsen, 40 Jahre Lebensdauer und 80% Kapazitätsfaktor** angenommen [56, Table 2].
            *   Die in Tabelle 2 aufgeführten Kosten sind "indikative gewichtete Durchschnittskosten für den gesamten 50-Jahres-Zeitraum von 2051 bis 2100".
        *   **Marktstrompreise:**
            *   Langfristige Grenzkosten (LRMC) repräsentativer Marginaltechnologien (z.B. fortschrittliche Kohle- und Gaskraftwerke) für den Zeithorizont 2050: abgeleitet aus Berechnungen in **Bednyagin (2010)**, Bereich **45–90 €/MWh**, für die weitere Evaluation auf **50–100 €/MWh** angepasst.
            *   Historische (EEX-Daten 2006–2009) Preisspanne (32–100 €/MWh) wird zur Bestätigung der Plausibilität herangezogen.
3.  **Falls externe Quellen für die Modell- und Kostenannahmen verwendet wurden – wurden diese modifiziert? Falls ja, wie?**
    Ja, externe Quellen wurden modifiziert oder spezifisch interpretiert:
    *   **Marktstrompreise:** Die ursprüngliche LRMC-Spanne von **26–112 €/MWh** (Bednyagin, 2010) wurde durch den Ausschluss extremer Brennstoff- und CO2-Preisannahmen auf **45–90 €/MWh** eingegrenzt. Für die weitere Bewertung wurde dann die Spanne auf **50–100 €/MWh** festgelegt. Frühere Schätzungen der UKAEA-Studie (Ward et al., 2002) von 70–130 €/MWh wurden als zu hoch angesehen.
    *   **Szenarien:** Die drei deterministischen Szenarien "A", "B" und "C" entsprechen "grob" (roughly correspond) früheren Szenarien aus **Gnansounou und Bednyagin (2007)** und der **UKAEA-Studie (Ward et al., 2002)**, aber die numerischen Annahmen (z.B. für F&amp;E-Kosten, Kapazitäten, Stromgestehungskosten) wurden für jedes Szenario spezifisch in der vorliegenden Studie definiert.
    *   **"Accelerated" Strategie:** Im Vergleich zur "Baseline"-Strategie wird angenommen, dass zusätzliche **15 Mrd. € (undiskontiert)** in die "Demo"-Phase investiert werden, was zu einer **5%igen Erhöhung der Erfolgswahrscheinlichkeit** und einer **Verkürzung der Dauer um 5 Jahre** führt.
4.  **Wie lautet die Annahme zu Lernraten?**
    Es wird eine **eher konservative Lernrate von 10%** angenommen ("a rather conservative 10% learning rate").
5.  **Wie wurden die Annahmen zu den Lernraten hergeleitet bzw. von wo stammen diese Annahmen?**
    Die Studie gibt **keine explizite Herleitung oder spezifische Quelle** für die angenommene 10%ige Lernrate an. Es wird angenommen, dass dies Teil der "Autorenschätzungen basierend auf Literaturrecherchen und Diskussionen innerhalb der Fusionsgemeinschaft" ist. Es wird lediglich festgestellt, dass "Basierend auf den entsprechenden jährlichen Hochlauf-Raten und unter Annahme einer eher konservativen Lernrate von 10% die spezifischen Kosten für Fusionskraftwerke verschiedener Baujahre geschätzt werden können".
6.  **Wird offengelegt, ob die Kostenabschätzung auf einem Bottom-up-, Top-down- oder hybriden Ansatz basiert?**
    Die Studie **legt nicht explizit offen**, ob die Kostenabschätzung auf einem Bottom-up-, Top-down- oder hybriden Ansatz basiert. Sie verwendet jedoch **aggregierte Kostenkennzahlen** (z.B. spezifische Kapitalkosten, O&amp;M-Kosten, COE), die aus anderen Referenzstudien (wie Han und Ward, 2009; Gnansounou und Bednyagin, 2007) abgeleitet oder an diese angelehnt sind. Die in der Studie zitierte Aufschlüsselung der Stromkosten durch Hamacher und Bradshaw (2001) in Kategorien wie "fusion reactor core" und "balance of plant" deutet darauf hin, dass die ursprünglichen Quellen möglicherweise einen Bottom-up-Ansatz verwendet haben, aber die vorliegende Studie selbst nutzt diese Werte als aggregierte Eingaben.
7.  **Beruht die Kostenherleitung auf physikalischen und technologischen Werten?**
    Die Kostenherleitung in dieser Studie **beruht nicht direkt auf der detaillierten Berechnung physikalischer und technologischer Werte**. Stattdessen werden **aggregierte Kostenkennzahlen** verwendet, die aus früheren Studien stammen, welche wiederum physikalische und technologische Werte berücksichtigten. Es wird ausdrücklich erwähnt, dass "Earlier works performed with **PROCESS systems code model (Hender et al., 1996) showed that the cost of fusion electricity depends on several key technical parameters, namely: net electric power, thermodynamic efficiency, availability, normalised plasma pressure and Greenwald normalised plasma density**". Die vorliegende Studie greift also auf die Ergebnisse solcher Modelle zurück, anstatt diese selbst durchzuführen.
8.  **Werden Materialkosten und Komponentenkosten separat ausgewiesen?**
    **Nein, Materialkosten und spezifische Komponentenkosten werden in den bereitgestellten Auszügen nicht separat ausgewiesen.** Die Studie zitiert eine Aufschlüsselung der Stromgestehungskosten (COE) aus Hamacher und Bradshaw (2001) in Anteile wie "capital costs for fusion reactor core (39%)", "balance of plant (23%)" und "costs for the replacement of divertor and blanket during operation (30%)". Dies sind aggregierte Kostenkategorien, aber keine detaillierte Auflistung von Material- oder einzelnen Komponentenkosten. Die **"Specific capital cost (mln h/MW)"** ist eine übergeordnete Größe.
9.  **Bezieht sich die Studie auf ein Energiesystem (z. B. Integration, Vergleich mit anderen Technologien) oder ist sie rein bezogen auf die Kosten des Kraftwerks und des Reaktors?**
    Die Studie **bezieht sich auf ein Energiesystem** und bewertet die Fusionsenergie im Kontext zukünftiger globaler Energiesysteme.
    *   **Integration und Vergleich:** Die Analyse der potenziellen Rolle der Fusionsenergie erfolgt in "future energy systems" und beinhaltet den Vergleich mit "competing technologies".
    *   **Marktstrompreise:** Der zukünftige Marktstrompreis wird als **langfristige Grenzkosten (LRMC) konventioneller Technologien** (fortschrittliche Kohle- und Gaskraftwerke) abgeleitet, mit denen die Fusionsenergie konkurrieren muss.
    *   **Marktanteil:** Der "market share of fusion" ist ein entscheidender Faktor für den erwarteten wirtschaftlichen Nutzen.
    *   **Modellierung der Integration:** Die Bewertung der Fusionskraftwerksstrategien basiert auf der "simulation of multi-regional long term electricity supply scenarios with PLANELEC model".
    *   **"Versicherungswert":** Fusion wird als "effective hedge against increased cost of conventional power generation using fossil fuels" und als "significant 'insurance' value in case of unforeseen events" angesehen.
    *   **Positive Externalitäten:** Die Studie betont die Notwendigkeit, weitere wirtschaftliche und soziale Vorteile wie "nicht-elektrische Anwendungen und technologische Spin-offs", "Technologieexporte", "Reduzierung fossiler Brennstoffimporte", "erhöhte Energiesicherheit" und "verbesserte Umwelt" in die sozioökonomische Bewertung einzubeziehen.
10. **Welche Kostenreduktionspotenziale oder wirtschaftlichen Optimierungsansätze werden thematisiert?**
    *   **Lerneffekte:** Es wird ein **10%iger Lerneffekt** angenommen, der dazu führt, dass die Kosten der FPPs während der anfänglichen Bereitstellungsphase (2050–2070) "deutlich sinken", vom 1st-of-a-kind (FOAK) bis zum 10th-of-a-kind (10th-OAK).
    *   **Manageriale Flexibilität (Real Options):** Der zentrale Ansatz der Studie ist die **Bewertung der managerialen Flexibilität**. Dies ermöglicht es den Managern, auf unsichere Marktbedingungen zu reagieren, z.B. die F&amp;E-Bemühungen zu intensivieren oder die Produktion zu erweitern, wenn die Marktbedingungen günstig sind, oder Projekte bei Misserfolg abzubrechen.
    *   **Beschleunigte Entwicklungsstrategie ("Accelerated" Strategy):** Diese Strategie zielt darauf ab, durch höhere Investitionen in die Demonstrationsphase (z.B. Bau mehrerer DEMOs) die **Erfolgswahrscheinlichkeit zu erhöhen** und die **Time-to-Market zu verkürzen**. Dies führt zu einem höheren strategischen Wert und kann die Programmeinnahmen erheblich steigern, auch wenn initial höhere Kosten anfallen.
    *   **Optimiertes Design:** Die Wahl des "optimum build" zielt auf minimale Kosten ab [Konversationsverlauf].
    *   **Technologische Reife:** Mit fortschreitender Reife der Technologie von FOAK zu 10th-OAK wird eine Kostenreduktion erwartet [55, Konversationsverlauf].
11. **Was sind die signifikantesten Kostentreiber und ökonomischen Herausforderungen laut Studie?**
    *   **Signifikanteste Kostentreiber:**
        *   **Kosten der Fusionskraftwerke (FPPs):** Insbesondere die spezifischen Investitions- und O&amp;M-Kosten sind entscheidend für die Stromgestehungskosten. Die Sensitivitätsanalyse zeigt, dass die **erwarteten Einnahmen** (die wiederum von den FPP-Kosten und den Strompreisen abhängen) den Realoptionswert am stärksten treiben.
        *   **F&amp;E- und DEMO-Kosten:** Die direkten öffentlichen Ausgaben für die F&amp;E- und Demonstrationsphasen (ITER, IFMIF, DEMO) sind erhebliche Vorabinvestitionen.
        *   **Diskontierungssatz:** Der gewählte Diskontierungssatz hat einen **erheblichen Einfluss** auf den geschätzten Kapitalwert (NPV) des Programms, da die potenziellen Vorteile der Fusion weit in der Zukunft liegen.
    *   **Ökonomische Herausforderungen:**
        *   **Hohe Unsicherheit:** Dies ist die größte Herausforderung. Sie erstreckt sich über einen sehr langen Zeitraum (&gt;100 Jahre) und umfasst:
            *   **Technologische (epistemische) Unsicherheit:** Das **Performance-Risiko** (Ob das Programm eine praktikable Technologie liefern kann, die Strom zu angemessenen Kosten bereitstellt) und das **Zeitrisiko** (Programmverzögerungen).
            *   **Marktunsicherheit (aleatorisch):** Zukünftige Strompreise, Nachfrage, Marktanteil der Fusion, Kosten konkurrierender Technologien und die politische Gestaltung der Umweltpolitik.
            *   **Ungenauigkeit und Vagheit menschlicher Einschätzungen** sowie **fehlende Informationen** (z.B. private F&amp;E-Ausgaben).
        *   **Lange Vorlaufzeit:** Die "extremely long lead time" der Fusionsentwicklung ist problematisch, da die Kosten früh anfallen, während die Vorteile weit in der Zukunft liegen.
        *   **Geringe Anreize im privaten Sektor:** Aufgrund von "spillover effects" in einem liberalisierten Energiesektor, bei denen Unternehmen die Ergebnisse ihrer F&amp;E-Investitionen nicht vollständig nutzen können, sind private Anreize zur Finanzierung von F&amp;E-Projekten unter dem sozial optimalen Niveau. Dies erfordert eine stärkere öffentliche Finanzierung.</t>
  </si>
  <si>
    <t>Learning curves explicitly given P. 14
CO2 avoidances und waste aviodances compared with others
Ja, Ihre Frage zielt auf einen wichtigen Unterschied in der Funktionsweise von Trägheitsfusionsreaktoren (IFE-Reaktoren) ab, wie sie in der Prometheus-Studie (Waganer et al., 1992) beschrieben werden.
Die Prometheus-Reaktoren (Prometheus-L und Prometheus-H) arbeiten tatsächlich im **Pulsbetrieb (pulsed operation)** [Previous response]. Das bedeutet, dass die Fusionsreaktionen selbst in diskreten, schnellen Explosionen ablaufen:
*   Der **Prometheus-L (Laser-Antrieb)** hat eine Nenn-Pulsrate von **5,65 Hertz (Pulse pro Sekunde)**.
*   Der **Prometheus-H (Schwerionen-Antrieb)** hat eine Nenn-Pulsrate von **3,54 Hertz (Pulse pro Sekunde)**.
Obwohl die Fusionsreaktionen pulsierend sind, ist die **Netto-Stromerzeugung der Anlage als "Steady-State" (kontinuierlich)** ausgelegt. Dies wird durch die **ausreichend hohe Pulsfrequenz** und die Art und Weise erreicht, wie die Energie in kontinuierliche Wärme umgewandelt wird:
1.  **Häufige Pulse:** Mit 3,54 bis 5,65 Pulsen pro Sekunde finden die Fusionsereignisse sehr schnell hintereinander statt. Diese Frequenz ist hoch genug, um die Diskontinuität einzelner Pulse zu überbrücken.
2.  **Thermische Umwandlung und Pufferung:** Die bei jeder Fusionsexplosion freigesetzte Energie wird vom Reaktorkavitätssystem aufgenommen. Die Studie beschreibt, dass die **Kavität die Strahlungs- und Blasteffekte eindämmt und die Kernenergie in eine nützlichere Form umwandelt**. Die "Energieumwandlungssysteme" beider IFE-Systeme nutzen einen **fortschrittlichen Rankine-Kreislauf**. Dabei werden zwei Kühlmittelströme verwendet: flüssiges Blei für die erste Wand und Helium für das Blanket. Diese Systeme absorbieren die Energie der Pulse und **glätten diese intermittierende Energiezufuhr zu einem kontinuierlichen Wärmestrom**.
3.  **Kontinuierliche Stromerzeugung:** Dieser kontinuierliche Wärmestrom treibt dann die Dampfgeneratoren an, die konstant Dampf für die Turbinengeneratoren erzeugen. So kann das Kraftwerk eine **kontinuierliche Nettoleistung von etwa 1000 MWe** liefern, auch wenn die eigentliche Fusionsreaktion pulsierend ist.
Man kann es sich wie einen Verbrennungsmotor vorstellen, der auch diskrete Zündungen hat, aber durch die hohe Frequenz und die mechanische Kopplung dennoch eine kontinuierliche Leistung abgibt. Bei den Prometheus-Reaktoren übernehmen die Kühlmittel- und Wärmetauschersysteme die Rolle, die diskreten Fusionspulse in einen stetigen Energiefluss für die Stromerzeugung zu übersetzen.</t>
  </si>
  <si>
    <t>Die Berechnung der prozentualen Anteile basiert auf Ihrer Definition der bereinigten Overnight Construction Costs (OCC), die sich auf **1935,53 Millionen US-Dollar** (konstante 1980 US-Dollar) belaufen:
$$\text{Bereinigte OCC} = \$2123.57 \text{ M} - \$188.04 \text{ M} = \$1935.53 \text{ M}$$
Diese Basis ergibt sich aus der Subtraktion von $188,04 \text{ M\$}$ von den Gesamt-Direkt- und Indirektkosten (Subtotal $2123,57 \text{ M\$}$).
Da die genaue Aufschlüsselung, welche spezifischen Kostenposten (z. B. Teile der Contingency oder Spare Parts) dem Betrag von $188,04 \text{ M\$}$ entsprechen, aus den Quellen nicht direkt ableitbar ist, wird die Verteilung der Hauptkostenkonten (Direct Costs, Konten 20–26, und Indirect Costs, Konten 91–93) proportional zu dieser neuen, bereinigten Gesamtsumme dargestellt.
In der folgenden Tabelle ist der prozentuale Anteil der Hauptkostenkonten an Ihrer definierten bereinigten OCC von $1935,53 \text{ M\$}$ aufgeführt:
### Aufteilung der Bereinigten Overnight Construction Costs (1980 M\$)
| Hauptkonto | Beschreibung | Original Kosten (1980 M\$) | **Anteil in Prozent (Basis: 1935,53 M\$)** |
| :--- | :--- | :--- | :--- |
| **20–26** | **GESAMTE DIREFTE KOSTEN (Total Direct Cost)** | **1726.48** | **89,20%** |
| 22 | **Reaktoranlagen-Ausrüstung (Reactor Plant Equipment)** | **968.62** | **50,04%** |
| 21 | Bauwerke und Standortanlagen (Structures &amp; Site Facilities) | 346.58 | 17,91% |
| 23 | Turbinenanlagen-Ausrüstung (Turbine Plant Equipment) | 249.68 | 12,90% |
| 24 | Elektrische Anlagen-Ausrüstung (Electric Plant Equipment) | 117.28 | 6,06% |
| 25 | Sonstige Anlagen-Ausrüstung (Miscellaneous Plant Equipment) | 40.77 | 2,11% |
| 20 | Land und Landerwerb (Land and Land Rights) | 3.30 | 0,17% |
| 26 | Spezialmaterialien (Special Materials) | 0.25 | 0,01% |
| **91–93** | **GESAMTE INDIREKTE KOSTEN (Total Indirect Costs)** | **397.09** | **20,52%** |
| 91 | Baueinrichtungen, Ausrüstung &amp; Dienstleistungen (10% von DC) | 172.65 | 8,92% |
| 92 | Ingenieur- &amp; Baumanagement-Dienstleistungen (8% von DC) | 138.12 | 7,14% |
| 93 | Sonstige Kosten (5% von DC) | 86.32 | 4,46% |
| **SUMME** | **Total Direct &amp; Indirect Costs (Original Subtotal)** | **2123.57** | **109,72%** |
### Wichtigste Erkenntnisse:
1.  **Dominanz der Reaktoranlage (Konto 22):** Die Ausrüstung der Reaktoranlage (Reactor Plant Equipment) macht mit **50,04%** den größten Einzelposten der bereinigten Kapitalkosten aus. Die Gesamtkosten für Konto 22 liegen bei $968,62 \text{ M\$}$.
2.  **Indirekte Kosten:** Die Gesamten Indirekten Kosten (Konten 91–93) tragen **20,52%** zu den bereinigten OCC bei. Diese basieren auf Prozentsätzen der gesamten Direkten Kosten von $1726,48 \text{ M\$}$.
3.  **Turbinenanlagen (Konto 23):** Die Turbinenanlagen-Ausrüstung (Turbine Plant Equipment), deren Kosten $249,68 \text{ M\$}$ betragen, liegt bei **12,90%** der bereinigten OCC.
4.  **Verhältnis Direkte vs. Indirekte Kosten:** Die Direkten Kosten (Konten 20–26) stellen zusammen **89,20%** des von Ihnen definierten Gesamtbetrags dar, während die Indirekten Kosten (Konten 91–93) **20,52%** ausmachen (Die Summe der Prozentsätze überschreitet 100%, da die ursprüngliche Basis (2123.57 M\$) verwendet wurde, um die Gewichte zu ermitteln, während die Zielbasis 1935.53 M\$ beträgt. Die Verhältnisse der Hauptkonten bleiben jedoch proportional zu ihren ursprünglichen Anteilen).</t>
  </si>
  <si>
    <t>Cost Shares OCC</t>
  </si>
  <si>
    <t>n/a</t>
  </si>
  <si>
    <t>Die von Ihnen definierte Basis für die **bereinigten Overnight Construction Costs (OCC)** des Fusionsbrutreaktors beträgt **4969 Millionen US-Dollar** (in konstanten 1985 US-Dollar), basierend auf der Rechnung:
$$\text{Bereinigte OCC} = \$5405 \text{ M} - \$436 \text{ M} = \$4969 \text{ M}$$
(Der Wert $5405 \text{ M\$}$ repräsentiert die ursprünglichen *Total overnight costs* in 1985 US-Dollar, welche Direkte Kosten, Indirekte Kosten und Unvorhergesehenes (Contingency) beinhalten.)
Da die Kostenaufschlüsselung der Komponenten (Konten 20–26) in der Quelle in 1983 US-Dollar angegeben ist, werden die Anteile wie folgt berechnet: Zuerst wird die Aufteilung in Direkte und Indirekte Kosten basierend auf den 1985er Werten vorgenommen. Anschließend wird die interne Aufschlüsselung der **Direkten Kosten** basierend auf den proportionalen Anteilen der 1983er Kostentabelle (Table XII) berechnet.
### 1. Aufteilung in Hauptkategorien (Basis: 4969 M\$)
Die Quelle liefert die folgenden Hauptkostenkategorien in 1985 US-Dollar:
*   **Direkte Kosten (Adjusted Direct Cost):** $3614 \text{ M\$}$
*   **Indirekte Kosten (Indirect Costs, 30% von Direct):** $1086 \text{ M\$}$
| Hauptkategorie | Kosten (Mio. $ 1985) | Anteil an der bereinigten OCC (4969 M\$) |
| :--- | :--- | :--- |
| **Direkte Kosten (DC)** | **3614** | **72.74%** |
| **Indirekte Kosten (IC)** | **1086** | **21.85%** |
| **Rest/Residual** (Differenz zu 4969 M\$) | **269** | **5.42%** |
| **GESAMT** | **4969** | **100.00%** |
### 2. Detaillierte Aufschlüsselung der Kostenanteile
Die detaillierte prozentuale Aufschlüsselung basiert auf den relativen Gewichten der Direkten Kosten in der *System Cost Summary* (Table XII, 1983 M\$), bezogen auf Ihre Gesamtbasis von $4969 \text{ M\$}$.
| Hauptkonto | Beschreibung | Anteil an den Direkten Kosten (1983 M\$) | Anteil an der bereinigten OCC (4969 M\$) |
| :--- | :--- | :--- | :--- |
| **A. Direkte Kosten (Total DC)** | | (100% von 3378 M\$) | **72.74%** |
| 22 | **Plant equipment (Fusion systems, Heat transfer, etc.)** | 72.24% | **52.54%** |
| 23 | Turbine generator plant | 10.77% | 7.84% |
| 21 | Structures and site facilities | 9.80% | 7.13% |
| 24 | Electric plant equipment | 4.09% | 2.98% |
| 26 | Special materials | 2.13% | 1.55% |
| 25 | Miscellaneous plant equipment | 0.83% | 0.60% |
| 20 | Land acquisition | 0.15% | 0.11% |
| **B. Indirekte Kosten (Total IC)** | | | **21.85%** |
| **C. Rest/Residual** | | | **5.42%** |
| **GESAMT** | | | **100.00%** |
#### Wichtigste Erkenntnisse aus der Aufschlüsselung:
1.  **Plant Equipment (Konto 22):** Mit **52,54%** der bereinigten OCC bildet die **Anlagenausrüstung** bei weitem den größten Kostenblock. Dieses Konto umfasst die Fusionssysteme, wozu der **Reaktorkern** gehört. Die Kosten für die Fusion Systems (Konto 22.01) allein belaufen sich auf $1398 \text{ M\$}$ in 1983 $M$, was den Großteil des Postens 22 ausmacht.
2.  **Indirekte Kosten:** Die Gesamten Indirekten Kosten (Engineering, Management, Baueinrichtungen, etc.) machen **21,85%** Ihrer bereinigten Kostenbasis aus.</t>
  </si>
  <si>
    <t>Readiness for Advanced and Highly Advanced assumed since being constructed after 10th-OAK
10th-OAK 20 years after FOAK
"capital costs"</t>
  </si>
  <si>
    <t>Dies ist eine detaillierte Analyse der Modell- und Kostenannahmen basierend auf der Quelle "Updated Reference Design of a Liquid-Metal-Cooled Tandem Mirror Fusion Breeder" von Berwald et al. (1987).
---
### 1. Welche Modellannahmen werden getroffen?
Die Studie basiert auf einer Reihe von technischen und ökonomischen Annahmen, die den **Fusionsbrutreaktor** (Fusion-Fission Hybrid) als das **zehnte Exemplar eines standardisierten Designs** (**10th-of-a-kind**) in einer reifen Fusionsindustrie positionieren.
**Technische/Physikalische Annahmen:**
*   **Fusions-Treiber:** Das Design verwendet nahezu den gleichen Fusions-Treiber wie die **MARS (Mirror Advanced Reactor Study)**-Studie.
*   **Betriebsparameter:** Die Anlage hat eine zentrale Zellenlänge von 130 m, eine Fusionsleistung von $2600 \text{ MW}$ und eine Neutronen-Wandbelastung von $1,72 \text{ MW/m}^2$.
*   **Materialien:** Als Strukturmaterial wird **ferritischer Stahl (HT-9)** angenommen. Als Kühlmittel dient **flüssiges Lithium**.
*   **Leistung:** Es wird eine **Netto-Spaltstoffbrutrate (Net fissile breeding ratio)** von 0,84 und eine **Tritium-Brutrate** von 1,06 angenommen.
*   **Brennelement:** Es wird ein **mobiles Kugelbrennelement** (Beryllium/Thorium-Composite-Pebble) verwendet, das in einem **Batch-Prozess** geladen und entladen werden kann.
*   **Verfügbarkeit/Kapazitätsfaktor:** Es wird ein **Kapazitätsfaktor von 70%** für die Gesamtanlage angenommen.
**Ökonomische Annahmen:**
*   **Bereitschaftsstufe:** Alle Kosten basieren auf **"Tenth of a kind costs"** (Kosten des zehnten Exemplars).
*   **Kostenstruktur:** **Indirekte Kosten** betragen $30\%$ der direkten Kosten, und **Contingency (Unvorhergesehenes)** beträgt $15\%$ der Summe aus direkten und indirekten Kosten.
*   **Bauzeit und Zinsen:** Es wird eine **Bauzeit von 8 Jahren** für den Fusionsbrutreaktor angenommen.
*   **Inflationsrate:** Das Modell für die höhere ökonomische Analyse (PERFEC) berücksichtigt eine **Inflation von $3\%$ pro Jahr** über die gesamte 30-jährige Lebensdauer der Anlage.
*   **Symbiotisches System:** Die Anlage dient zur Versorgung von **etwa 25 Leichtwasserreaktoren (LWRs)** mit ${}^{233}\text{U}$-Brennstoff.
---
### 2. Welche Modell- und Kostenannahmen basieren auf tatsächlichen Erfahrungswerten und welche nur Schätzungen oder Prognosen? Welche Annahmen stammen woher?
Viele der Annahmen stützen sich auf vorhandene Daten aus der Kernenergie und früheren Fusionsstudien, während fusionsspezifische Subsysteme (Blanket, Brennstoffkreislauf) geschätzt oder prognostiziert wurden.
| Annahme | Basis (Erfahrungswert/Schätzung) | Herkunft |
| :--- | :--- | :--- |
| **Fusion Driver Kosten** | Basierend auf der detaillierten Kostenschätzung des **MARS**-Projekts. | MARS-Studie (UCRL-53480). |
| **LWR-Kosten** | LWR-Kapital- und Brennstoffkreislaufkostenschätzungen wurden aus **externen Referenzen** entwickelt (z. B. DOE/NE-0044/2). | U.S. Department of Energy (DOE) Datenbasen. |
| **Indirekte Kosten / Contingency** | Standardisierte Prozentsätze ($30\%$ bzw. $15\%$) für die Baukosten von Kernkraftwerken. | Übliche Schätzpraktiken der Zeit. |
| **Lithium-Sicherheit** | Designphilosophie entlehnt aktive und passive Brandschutztechniken, die für den natriumgekühlten **LMFBR (Liquid-Metal Fast Breeder Reactor)** entwickelt wurden. | LMFBR-Programm. |
| **Duktilitäts-Temperatur (DBTT)** | Berechnungen zur Änderung der **DBTT** von HT-9 basieren auf **experimentellen Ergebnissen** (z. B. zur Auswirkung der Auslagerung). | Experimentelle Daten von z. B. D. Pachur. |
| **MHD-Druckabfall** | Modelle zur Berechnung des Druckabfalls im gepackten Bett basieren auf der Reduktion allgemeiner Flüssigkeits- und Feldgleichungen. Es wird eingeräumt, dass **große Unsicherheiten** für komplexe Flusskonfigurationen bestehen und **experimentelle Bestätigung erforderlich** ist. | Theoretische Modelle, die Bestätigung erfordern. |
| **Beryllium-Lebensdauer** | Prognosen zur Lebensdauer basieren auf **sehr konservativen Modellen** und früheren Bestrahlungen. Es wird festgestellt, dass **mehr Materialdaten und genauere Modelle erforderlich sind**, um eine definitive Schätzung abzugeben. | Modelle und Bestrahlungsdaten von LLNL und University of Wisconsin. |
---
### 3. Falls externe Quellen für die Modell- und Kostenannahmen verwendet wurden – wurden diese modifiziert? Falls ja, wie?
Ja, die externen Kostenannahmen, insbesondere die des **MARS-Designs**, wurden modifiziert, um sie an die spezifischen Anforderungen des Fusionsbrutreaktors anzupassen.
**Modifikationen der MARS-Kosten (1985 M\$):**
1.  **Reaktorgebäude (Konto 21.02):** Die Kosten wurden um **$55 \text{ M\$}$ erhöht**, um ein **Nuclear Grade Containment Building** (nukleares Sicherheitsgebäude) bereitzustellen.
2.  **Diverse Gebäude (Konto 21.06):** Die Kosten wurden um **$48 \text{ M\$}$ erhöht**, um Gebäude für die **Beryllium/Thorium-Herstellung** zu integrieren.
3.  **Fusionssysteme (Konto 22.01):** Die Kosten stiegen um **$505 \text{ M\$}$** aufgrund des größeren Erstwandradius und der Kosten für die $253 \text{ m}^3$ Beryllium-Pebbles ($8.9 \times 10^5 \text{ dollar/m}^3$).
4.  **Wärmeübertragung (Konto 22.02):** Die Kosten stiegen um **$233 \text{ M\$}$**, da der Brutreaktor eine höhere Leistung und einen **Natrium-Zwischenkreislauf** zur Eliminierung der Lithium/Wasser-Schnittstelle benötigt.
5.  **Spezialmaterialien (Konto 26):** Die Kosten wurden um **$106 \text{ M\$}$ gesenkt**, da der Brutreaktor kein hochangereichertes ${}^6\text{Li}$ benötigt, das im Pb-Li-Kühlmittel von MARS verwendet wurde.
**Modifikationen der ökonomischen Modelle:**
*   **LWR-Kostenschätzung:** Die LWR-Kosten aus externen Datenbanken wurden **auf Mitte 1985 inflationsbereinigt** und um Faktoren wie den anteiligen Beitrag für die sekundären Plutoniumbrenner erweitert.
---
### 4. Wie lautet die Annahme zu Lernraten?
Die Studie **macht keine explizite quantitative Angabe** zu einer Lernrate (z. B. 90% Lernkurve).
Die Annahme zu den Lernraten ist implizit in der **Wahl der Bereitschaftsstufe** enthalten: Die Kostenschätzung basiert auf den **"Tenth of a kind costs"**. Dies setzt voraus, dass die signifikanten Lern- und Kostensenkungseffekte, die während der anfänglichen Serienproduktion auftreten, bereits im Designwert berücksichtigt sind.
---
### 5. Wie wurden die Annahmen zu den Lernraten hergeleitet bzw. von wo stammen diese Annahmen?
Die Quelle gibt keine spezifische Herleitung für die zugrunde liegenden Lernraten an. Die Wahl der "Tenth of a kind costs" (10. Exemplar) ist eine gängige Konvention, die in Fusions- und Kernenergiestudien zur Schätzung der **"ultimate commercial merit"** (ultimativen kommerziellen Wert) angenommen wird.
---
### 6. Wird offengelegt, ob die Kostenabschätzung auf einem Bottom-up-, Top-down- oder hybriden Ansatz basiert?
Die Kostenabschätzung basiert auf einem **hybriden Ansatz**, der eine Mischung aus detaillierten Bottom-up-Daten und leistungsbasiertem Top-down-Scaling verwendet:
1.  **Bottom-up-Basis:** Ein **erheblicher Teil der direkten Kosten** stammt direkt aus den **detaillierten direkten Kostenabschätzungen** des **MARS**-Projekts, da der Fusions-Treiber als identisch angenommen wird.
2.  **Top-down-Scaling:** Für Subsysteme, die ähnlich, aber größer als die MARS-Subsysteme sind, wurden Kosten mithilfe einer **Skalierungsformel** angepasst:
    $$\text{C} = \text{C}_{\text{MARS}} \left( \text{P} / \text{P}_{\text{MARS}} \right)^{\text{n}}$$
    Hierbei ist $P$ die anwendbare Leistungsstufe und $n$ ein Skalierungsexponent, der je nach Subsystem zwischen 0,6 und 0,7 variiert.
3.  **Separate Schätzung:** Kosten für fusionsbrutreaktor-spezifische Komponenten (z. B. Beryllium/Thorium-Herstellung, pyrochemical Reprocessing Plant, Kühlmittelsammelbehälter) wurden separat geschätzt.
---
### 7. Beruht die Kostenherleitung auf physikalischen und technologischen Werten?
Ja, die Kostenherleitung beruht stark auf physikalischen und technologischen Werten, insbesondere bei den Anpassungen der MARS-Kosten und dem Design des Reaktorkerns:
*   **Kernspezifische Kosten:** Die signifikante Kostenerhöhung in den Fusionssystemen (Konto 22.01) ist direkt auf physikalische Parameter zurückzuführen, wie den **größeren Erstwandradius** und die Notwendigkeit von $253 \text{ m}^3$ **Beryllium-Pebbles** im Blanket.
*   **Technologieanforderungen:** Die Kosten für die Wärmetransferkomponenten (Konto 22.02) sind aufgrund der Notwendigkeit, einen **Natrium-Zwischenkreislauf** zur Vermeidung von Reaktionen zwischen Lithium und Wasser hinzuzufügen, gestiegen.
*   **Design-Limitierungen:** Die Stärke der **ersten Wand** muss den geschätzten **MHD-Druck** von $1,7 \text{ MPa}$ standhalten, eine direkte physikalische und technologische Einschränkung, die die Baukosten beeinflusst.
---
### 8. Werden Materialkosten und Komponentenkosten separat ausgewiesen?
Ja, Materialkosten und Komponentenkosten werden in der **System Cost Summary** (Tabelle XII) unter verschiedenen Konten separat ausgewiesen:
*   **Komponentenkosten (Equipment Costs):** Diese sind unter den Hauptkonten 21 bis 25 aufgeführt (z. B. Fusion Systems $1398 \text{ M\$}$, Turbine Generator Plant $364 \text{ M\$}$).
*   **Materialkosten (Special Materials, Konto 26):** Dieses Konto listet die Kosten für **Spezialmaterialien** separat auf, darunter **flüssiges Lithium**, **Beryllium in Process** und **Thorium in Process**. Die Gesamtkosten für Spezialmaterialien belaufen sich auf $72 \text{ M\$}$.
*   **Beryllium-Preis:** Die Studie gibt den Stückpreis für Beryllium explizit an: $8.9 \times 10^5 \text{ dollar/m}^3$ oder $480/\text{kg}$.
---
### 9. Bezieht sich die Studie auf ein Energiesystem (z. B. Integration, Vergleich mit anderen Technologien) oder ist sie rein bezogen auf die Kosten des Kraftwerks und des Reaktors?
Die Studie konzentriert sich **explizit auf ein symbiotisches Energiesystem** und die Integration des Fusionsbrutreaktors in die nukleare Infrastruktur:
*   **Systemrolle:** Die primäre Rolle des Fusionsbrutreaktors ist die Versorgung einer Flotte von **${}^{233}\text{U}$-verbrennenden Spaltreaktoren (LWRs)** mit Spaltmaterial. Es wird geschätzt, dass ein Brutreaktor **25 LWRs** mit $1 \text{ GW}(\text{electric})$ versorgen kann.
*   **Fuel Cycle Center:** Die Studie beschreibt ein **Fuel Cycle Center**-Konzept, das drei Fusionsbrutreaktoren, die erforderlichen Aufarbeitungs- und Fabrikationsanlagen (Pyrochemical, Thorex) sowie bis zu 75 LWRs integriert, um eine Gesamtkapazität von $81 \text{ GW}(\text{electric})$ zu erreichen.
*   **Wirtschaftlicher Vergleich:** Die ökonomische Analyse bewertet die **durchschnittlichen Kapitalkosten des gesamten symbiotischen Systems** und vergleicht sie mit den Kosten eines konventionell befeuerten LWRs, um den **Break-even-Preis** für abgebautes $\text{U}_3\text{O}_8$ zu bestimmen.
---
### 10. Welche Kostenreduktionspotenziale oder wirtschaftlichen Optimierungsansätze werden thematisiert?
Es werden mehrere Ansätze zur Optimierung der Wirtschaftlichkeit und zur Kostenreduzierung thematisiert:
1.  **Brennelement-Optimierung:** Die nukleare Leistung wurde durch die Erhöhung der Thoriumkonzentration im Blanket (von $3\%$ auf $16\%$ Volumenprozent) optimiert, um die **Netto-Spaltstoffproduktion fast zu verdoppeln** und die Energieverstärkung zu senken.
2.  **Lastprofil-Management:** Durch die Unterteilung der 32 Blanketmodule in vier Gruppen mit gestaffelter Brennstoffreife wird der **thermische Leistungsschwankungsbereich** des Gesamtsystems von $\pm 30\%$ auf $\pm 12\%$ reduziert. Dies ermöglicht eine bessere Auslastung des thermischen Stromwandlungssystems und damit eine wirtschaftlichere Stromproduktion.
3.  **Technologie des Brennstoffkreislaufs:** Der Einsatz der **pyrochemischen Wiederaufarbeitungstechnologie** (Pyrochemical Reprocessing) für Thoriummetallbrennstoffe anstelle der konventionellen wässrigen (Thorex) Methode wird als signifikantes Kostenreduktionspotenzial gesehen (etwa $100 \text{ M\$}$ pro Jahr).
4.  **Eigentümerschaftsstruktur:** Die größte ökonomische Optimierung liegt in der Annahme der **staatlichen Eigentümerschaft** des Fusionsbrutreaktors (im Gegensatz zur Versorgungsunternehmen-Eigentümerschaft). Dies reduziert die Gesamtkosten des Systems dramatisch, da die Regierung keine Steuern zahlt und niedrigere Kapitalkosten hat, was den Preis des erzeugten ${}^{233}\text{U}$ von $59/\text{g}$ auf nur $2,6/\text{g}$ senkt.
5.  **Design-Verbesserungen:** Die Verwendung von Vanadium-Legierungen im Blanket in zukünftigen Designs könnte höhere Maximaltemperaturen ermöglichen, was zu geringeren Druckabfällen und einer höheren thermischen Effizienz führen würde, aber diese Option wurde in der Referenzstudie noch nicht im Detail berücksichtigt.
---
### 11. Was sind die signifikantesten Kostentreiber und ökonomischen Herausforderungen laut Studie?
**Signifikanteste Kostentreiber (Anteil an den direkten Kosten):**
1.  **Plant Equipment (Konto 22, Haupttreiber):** Dieses Konto, das die Fusionssysteme, die Wärmeübertragung und die einzigartigen Brutreaktor-Subsysteme umfasst, ist der mit Abstand größte Kostentreiber, insbesondere die Unterkonten:
    *   **Fusion Systems** (Magnete, Blanket/Erste Wand): $1398 \text{ M\$}$ (1983 $M$).
    *   **Main Heat Transfer** (Zwischenkreislauf): $460 \text{ M\$}$ (1983 $M$).
    *   **Other Plant Equipment** (Brennelement-Handling, Wiederaufarbeitung): $472 \text{ M\$}$ (1983 $M$).
2.  **Indirekte Kosten / Zinsen während der Bauzeit:** Aufgrund der langen Bauzeit von 8 Jahren machen die Kosten für das Kapital während der Bauzeit $883 \text{ M\$}$ (1985 $M$) aus, und die gesamten indirekten Kosten $1086 \text{ M\$}$.
**Ökonomische und technologische Herausforderungen:**
*   **MHD-Druckabfall:** Dies ist das **zentrale technische Problem** des flüssigmetallgekühlten Designs, da der hohe Druckabfall die Dicke der ersten Wand bestimmt und somit die Spaltstoffbrut-Effizienz reduziert.
*   **Beryllium-Lebensdauer und Schäden:** Die Lebensdauer der Beryllium-Pebbles und die daraus resultierenden Schäden durch Bestrahlung, Quellung und Verlust der Duktilität sind kritisch für die Wirtschaftlichkeit und erfordern weitere Materialdaten.
*   **Wiederaufarbeitungskosten:** Obwohl die pyrochemical Wiederaufarbeitung ein Potenzial zur Kostensenkung bietet, führt die niedrige Konzentration an ${}^{233}\text{U}$ beim Entladen ($\sim 1\%$) zu hohen Stückkosten ($/g$) für die Rückgewinnung des Spaltmaterials.
*   **Lithium-Sicherheit:** Die potenzielle Freisetzung von Radioaktivität durch die starke Reaktion zwischen Lithium und Wasser/Luft wird als ein Sicherheitsrisiko und eine Herausforderung für das Design des Reaktorgebäudes identifiziert.</t>
  </si>
  <si>
    <t>Die Studie von Berwald et al. (1987) führt einen umfassenden ökonomischen Vergleich des **symbiotischen Fusions-Spaltungs-Systems** (Fusion Breeder plus die von ihm versorgten Leichtwasserreaktoren, LWRs) mit anderen Energieerzeugungstechnologien durch.
### 1. Welche Modellannahmen werden getroffen und mit welchen Technologien wird verglichen?
Die Studie vergleicht die Wirtschaftlichkeit des Fusionsbrutreaktors primär mit der eines **konventionellen LWR-Brennstoffkreislaufs**, der $\text{U}_3\text{O}_8$ (abgebautes Uran) verwendet. Das Ziel des Vergleichs ist es, den **"Indifferenzpreis"** oder **"Break-even-Preis" von $\text{U}_3\text{O}_8$** zu ermitteln.
Außerdem wird der Fusion Breeder implizit mit folgenden Technologien verglichen:
*   **Fusions-Elektrik-Anlagen (MARS):** Die Gesamtbetriebskosten und die Netto-Stromproduktion des Fusionsbrutreaktors werden mit den Schätzungen für die **MARS**-Fusions-Elektrik-Anlage verglichen.
*   **Wettbewerbstechnologien:** Es wird festgestellt, dass die Ergebnisse des Fusionsbrutreeder-Modells eine **Obergrenze** für die zulässigen Kosten von **konkurrierenden Technologien** wie Fusion-Elektrik und dem Liquid-Metal Fast Breeder Reactor (LMFBR) festlegen.
*   **Kohle:** Der initiale Abschnitt erwähnt, dass die Kernkraft eine wirtschaftlich und ökologisch akzeptable Alternative zur fortgesetzten Nutzung knapper fossiler Ressourcen darstellt, wobei die **Kohleverstromung** ihre eigenen ökologischen und ökonomischen Nachteile aufweist.
### 2. Was ist das Ergebnis des Kostenvergleichs?
Die Ergebnisse der Wirtschaftlichkeitsstudien variieren stark je nach Eigentümerschaft des Fusionsbrutreaktors (Regierung oder Versorgungsunternehmen), zeigen aber generell eine starke Wettbewerbsfähigkeit der Fusion Breeder:
#### A. Break-Even-Preis für Uran
Das wichtigste Ergebnis ist der Preis, den abgebautes $\text{U}_3\text{O}_8$ erreichen müsste, damit der Betrieb des symbiotischen Fusions-Spaltungs-Systems ökonomisch gleichwertig wird:
*   **Bei Eigentümerschaft durch Versorgungsunternehmen (Utility Ownership):** Der **30-jährige Break-even-Preis** von $\text{U}_3\text{O}_8$ liegt bei etwa **$200/kg$** (bzw. $90/\text{lb}$).
*   **Bei staatlicher Eigentümerschaft (Government Ownership):** Der **30-jährige Break-even-Preis** liegt nur bei etwa **$13/kg$** $\text{U}_3\text{O}_8$.
    *   Bei einer Annahme eines Uranpreises von $55/kg$ (was dem damaligen Preis nahekam) würde die staatlich geführte Anlage bereits im ersten Betriebsjahr die Gewinnschwelle überschreiten und über 30 Jahre einen integrierten Nutzen von etwa $7$ Milliarden US-Dollar erbringen.
#### B. Kapitalkostenvergleich (LWR vs. Fusion Breeder)
Die reinen Investitionskosten des Fusionsbrutreaktors pro Einheit der erzeugten Elektrizität liegen auf dem Niveau projizierter LWRs:
*   Die **Kapitalkosten pro Kilowatt elektrischer Leistung** des Fusion Breeders werden mit $3154 \text{ dollars/kW(electric)}$ geschätzt, was fast identisch mit den projizierten Kosten eines LWR ($3167 \text{ dollars/kW(electric)}$) ist.
*   Werden die **durchschnittlichen Kapitalkosten (ACC)** des gesamten symbiotischen Systems (Fusion Breeder und 25 client LWRs) betrachtet, ist der ACC nur um **$8\%$ höher** als der ACC eines LWR allein.
### 3. Wird mit historischen Werten oder zukunftsgerichteten Projektionen verglichen?
Die Studie verwendet eine Mischung aus **aktuellen/historischen Werten** für Rohstoffe und **zukunftsgerichteten Projektionen** für die Anlagenkosten und ökonomische Szenarien.
**Historische/Aktuelle Werte als Basis:**
*   Der Vergleich beginnt mit der Annahme eines **aktuellen (First Year)** Preises für $\text{U}_3\text{O}_8$ von **$55/kg$**, der nahe am damaligen Marktpreis liegt ("near today's price").
*   Die Kosten für Anreicherung werden auf $60/\text{kg}$ SWU geschätzt, wobei darauf hingewiesen wird, dass dies **weniger als die Hälfte der damaligen aktuellen Kosten** ist, da erwartet wird, dass kostengünstigere Verfahren (wie Laser-Isotopentrennung) verfügbar werden.
**Zukunftsgerichtete Projektionen:**
*   **Anlagenkosten:** Sowohl der Fusion Breeder als auch der LWR, mit dem verglichen wird, sind **projizierte Anlagen** (z. B. 10th-of-a-kind-Kosten für den Fusion Breeder und standardisierte LWR-Kosten aus einer DOE-Datenbank).
*   **Inflationsmodell:** Die ökonomische Analyse (PERFEC-Modell) umfasst die Annahme einer **Inflation von $3\%$ pro Jahr** über die gesamte 30-jährige Lebensdauer der Anlage.
*   **Zukünftiger Uranpreis:** Der Break-even-Preis von $200/kg$ für $\text{U}_3\text{O}_8$ (im Fall des Versorgungsunternehmens) wird als **"not inconsistent with prices based on projected mined uranium forward costs for the 2020 to 2040 time frame"** angesehen, was bedeutet, dass der Vergleich auf zukünftigen Schätzungen der Uranverfügbarkeit und -kosten beruht.</t>
  </si>
  <si>
    <t>Die HYLIFE-Studie (Blink et al., 1985) vergleicht die Kosten der Fusionsanlage explizit mit denen der **Leichtwasserreaktoren (LWRs)**, die damals in den USA als etablierte Technologie galten.
### 1. Ergebnis des Kostenvergleichs
Der Hauptvergleich erfolgt zwischen einer **HYLIFE Dual-Unit-Anlage** (2 GWe, die der Bereitschaftsstufe *Mature NOAK* zuzuordnen ist) und einer **LWR Dual-Unit-Anlage**.
**A. Stromgestehungskosten (Cost of Electricity, COE)**
*   Die Stromgestehungskosten (COE) für die **Dual-Unit-HYLIFE-Anlage** betragen $\mathbf{5,8 \text{ ¢/kWeh}}$.
*   Die COE für die **Dual-Unit-LWR-Anlage** betragen $\mathbf{3,5 \text{ ¢/kWeh}}$.
**Ergebnis:**
Die COE für die Dual-Unit-HYLIFE-Anlage sind mit **$5,8 \text{ ¢/kWeh}$** um $\mathbf{66\%}$ **höher** als die Kosten für eine Dual-Unit-LWR-Anlage ($\mathbf{3,5 \text{ ¢/kWeh}}$).
**B. Aufschlüsselung der COE-Unterschiede:**
Die Kapitalkosten sind der größte Treiber für die Differenz. Der Beitrag der Kapitalkosten zur COE gliedert sich wie folgt auf (in ¢/kWeh):
| Komponente | HYLIFE (2 GWe) | LWR (2 GWe) |
| :--- | :--- | :--- |
| **Gesamtkapitalkosten** | 5,0 | 2,3 |
| *— Aufteilung HYLIFE:* | | |
| *Reaktorkapitalkosten* | 3,7 | |
| *Laser-Kapitalkosten* | 1,1 | |
| *Brennstofffabrik-Kapitalkosten*| 0,2 | |
| Brennstoffkosten | (Nicht aufgeführt) | 0,8 |
| Betriebs- und Wartungskosten (O+M)| 0,8 | 0,4 |
| **GESAMT** | **5,8** | **3,5** |
Der Beitrag der **Kapitalkosten des HYLIFE-Reaktors selbst** ($3,7 \text{ ¢/kWeh}$) ist im Vergleich zum Kapitalkostenbeitrag des LWR ($2,3 \text{ ¢/kWeh}$) um etwa **$60\%$ höher**. Die Gesamtkapitalkosten des HYLIFE-Reaktors ($1990/\text{kWe}$) sind um $42\%$ höher als die des LWR ($1400/\text{kWe}$).
Die Autoren weisen darauf hin, dass die höheren Kosten von HYLIFE teilweise darauf zurückzuführen sind, dass **$135 \text{ MWt}$** (was etwa $42 \text{ MWe}$ entspricht) an den Laser zurückgeführt werden müssen. Wenn diese Energie zum Verkauf zur Verfügung stünde, würde die COE für HYLIFE auf $\sim 5,0 \text{ ¢/kWeh}$ sinken, wodurch die Kapitalkosten des HYLIFE-Reaktors nur noch $42\%$ höher wären als die des LWR.
### 2. Vergleichsbasis (Historisch vs. Zukunftsgerichtet)
Der Vergleich basiert auf **zukunftsgerichteten Projektionen** für beide Technologien:
*   **HYLIFE-Kosten (Zukunftsgerichtet):** Die HYLIFE-Kosten sind Schätzungen für eine **reife, kommerzielle Anlage** (implizit 10th-of-a-kind), die auf Kostenschätzungen von Bechtel National Corporation basieren und **auf das Jahr 1983 hochgerechnet** wurden. Die Kosten basieren auf Methoden, die für Flüssigmetall-Brutreaktoren (LMFBR) entwickelt wurden.
*   **LWR-Kosten (Zukunftsgerichtet):** Die LWR-Kosten, mit denen verglichen wird, sind **"most recently published LWR cost information"**. Es handelt sich dabei um **projizierte Kosten** (TCC per unit power von $1400/\text{kWe}$), die unter Anwendung derselben ökonomischen Faktoren wie für HYLIFE (z. B. 15% Contingency, 35% Total Indirect Cost (TIC), 17% Interest During Construction) berechnet wurden, um einen fairen Vergleich zu gewährleisten.
**Fazit:** Der Vergleich ist zukunftsgerichtet und basiert auf den **projizierten kommerziellen Kosten** beider Anlagen in einer hypothetischen reifen Implementierungsphase (unter Verwendung von 1983-Dollar-Werten).</t>
  </si>
  <si>
    <t>Die folgende Analyse basiert auf den Modell- und Kostenannahmen, die in der Studie **"The High-Yield Lithium-Injection Fusion-Energy (HYLIFE) Reactor" (Blink et al., 1985)** dargelegt werden.
---
### 1. Welche Modellannahmen werden getroffen?
Die Modellannahmen lassen sich in technische/physikalische und ökonomische Kategorien unterteilen:
**Technische und Physikalische Modellannahmen:**
*   **Design-Konzept:** Das Konzept basiert auf einem **"High-Yield Lithium-Injection Fusion Energy (HYLIFE) Reactor"**. Dessen Schlüsselmerkmal ist ein **Flüssigmetall-Jet-Array** (Lithium) aus 175 Jets, um die umliegenden Strukturkomponenten vor Röntgenstrahlen, Teilchentrümmern, Neutronenschäden und hohen Temperaturen zu schützen.
*   **Anlagenlebensdauer:** Die **First Structural Wall (FSW)** wird so geschützt, dass sie die gesamte **30-jährige Lebensdauer** des Kraftwerks hält und nicht ersetzt werden muss.
*   **Betriebsparameter:** Es wird eine Fusionsleistung von **$2700 \text{ MW}$** und eine Pulsfrequenz von **$1,5 \text{ Hz}$** angenommen (für die Single-Unit-Anlage). Die Netto-Systemeffizienz wird mit **$32\%$** angesetzt.
*   **Kapazitätsfaktor:** Es wird ein **Kapazitätsfaktor von $70\%$** (Capacity Factor) über die Lebensdauer der Anlage angenommen.
*   **Material:** Als Strukturmaterial für die FSW wird **$2-1/4 \text{ Cr}-1 \text{ Mo}$ ferritischer Stahl** gewählt, da dieser flüssigem Lithium widersteht und weniger Radioisotope produziert als austenitische Stähle.
*   **Tritium-Brutrate:** Die Auslegung des Blankets ermöglicht ein maximales **Tritium-Brutverhältnis von $1,75$**, welches bei Bedarf gesenkt werden kann.
*   **Treiber-Optionen:** Als Baseline-Konzept wird ein **Kurzwellenlängen-Laser (SWL)** mit $4,5 \text{ MJ}$ Energie und $5\%$ Effizienz angenommen, wobei auch ein **Schwerionenstrahl-Treiber** (Heavy-Ion-Beam Driver) in Betracht gezogen wird.
**Ökonomische Annahmen:**
*   **Skalierung:** Die ökonomische Analyse basiert auf dem Vergleich von **Single-Unit-Anlagen** (1 GWe) und **Dual-Unit-Anlagen** (2 GWe), wobei angenommen wird, dass ein einziger Treiber zwei Reaktoren versorgen kann.
*   **Finanzierungsfaktoren:** Die ökonomischen Kostenfaktoren, die zur Berechnung der Gesamtkapitalkosten (TCC) und der Stromgestehungskosten (COE) verwendet werden, sind:
    *   Total Indirect Costs (TIC): **$35\%$** der Total Direct Capital Costs (TDC).
    *   Contingency (Unvorhergesehenes): **$15\%$** des Subtotal TDC.
    *   Interest During Construction (IDC): **$17\%$** der Summe aus TIC und TDC.
    *   Fixkostenrate (Fixed Charge Rate, R): **$0,1$** (entsprechend $10\%$ pro Jahr).
    *   Realzins (Real Cost of Money): **$5\%$**.
    *   Betriebs- und Wartungskostenfaktor ($I$): **$0,02$** ($2\%$ der Summe aus TDC und TIC).
---
### 2. Welche Modell- und Kostenannahmen basieren auf tatsächlichen Erfahrungswerten und welche nur Schätzungen oder Prognosen? Welche Annahmen stammen woher?
| Annahme | Basis (Erfahrungswert/Schätzung/Prognose) | Herkunft / Quelle |
| :--- | :--- | :--- |
| **Kostenstruktur** | Erfahrungswerte und **Richtlinien** für Bau- und indirekte Kosten in der Nuklearindustrie (z. B. 35% TIC). | PNL-2648 (Fusion Reactor Design Studies—Standard Accounts for Cost Estimates). |
| **Reaktor-Direktkosten** | **Detaillierte Schätzung** der Baukosten von Fusionsreaktoren. | Bechtel National Corporation (1980). |
| **LWR-Kosten** | **Zuletzt veröffentlichte Kosteninformationen** für LWRs. | United Engineers and Constructors Report, UE&amp;C-ANL-840630 (1983). |
| **Laser-Kosten** | **Prognose** basierend auf $0,8$-Potenz-Skalierung, konsistent mit **veröffentlichten Schätzungen** für KrF-Laser. | Externe Publikationen. |
| **Brennstoff-Fabrik-Kosten** | **Schätzung** von $100 \text{ M\$}$, ohne detaillierte Studie. | Interne LLNL-Daten/Prognose. |
| **Materialbeständigkeit** | **Experimentelle** Korrosions- und Embrittlement-Studien an $2-1/4 \text{ Cr}-1 \text{ Mo}$ Stahl in flüssigem Lithium und Blei-Lithium. | Colorado School of Mines; LLNL-Labore. |
| **Strukturelle Belastung** | **Detaillierte hydrodynamische Berechnungen** und Analysen, die die Druckbelastungen auf die FSW bestimmen. | LLNL-interne Modelle und Referenzen. |
| **Neutronik-Berechnung** | Nutzung von **etablierten Monte-Carlo-Transport-Codes** (TARTNP) und Nukleardatenbibliotheken (ENDL). | LLNL und externe Daten. |
| **Endoptik-Lebensdauer** | **Schätzung** von $1$ bis $4$ Jahren, da **keine Information über die Schwellung** des Substratmaterials durch $14 \text{ MeV}$ Neutronen vorlag (es wurden Edelstahl-Daten verwendet). | Prognose, basierend auf Edelstahl-Daten. |
---
### 3. Falls externe Quellen für die Modell- und Kostenannahmen verwendet wurden – wurden diese modifiziert? Falls ja, wie?
Ja, die Kostenannahmen aus externen Quellen wurden modifiziert:
1.  **Inflationsanpassung (Escalation):** Die ursprünglichen Kosten der Bechtel National Corporation (1980) wurden um **$32\%$ eskaliert**, um sie auf **1983 US-Dollar** umzurechnen und mit den LWR-Kosten vergleichbar zu machen.
2.  **Technisches Redesign:** Die Kosten für die **Reaktoranlagen-Ausrüstung** (Reactor plant-equipment cost) wurden um **$55 \text{ M\$}$ (1983 $M$) reduziert**. Dies war eine Modifikation der ursprünglichen Bechtel-Schätzung, um die **niedrigere Lithium-Flussrate** im endgültigen HYLIFE-Design ($96 \text{ m}^3/\text{s}$ anstelle von $129 \text{ m}^3/\text{s}$) zu berücksichtigen.
3.  **Vergleichsbasis:** Die Kosten des Light Water Reactor (LWR) wurden so aufbereitet, dass sie **dieselben Kostenfaktoren** (15% Contingency, 35% TIC, 17% IDC) verwendeten wie HYLIFE, um einen fairen Vergleich zu gewährleisten.
---
### 4. Wie lautet die Annahme zu Lernraten?
Es wird **keine explizite Lernrate** (z. B. in Form einer Lernkurvenprozentzahl) angegeben.
Die Annahme zur Kostensenkung durch Lern- und Skalierungseffekte ist jedoch **implizit** im Vergleich zwischen der Single-Unit- und der Dual-Unit-Anlage enthalten. Die Studie zeigt, dass der Bau eines **zweiten Reaktors (Dual-Unit)**, der sich einen Laser-Treiber teilt, die **Total Direct Capital Costs (TDC)** pro GWe von **$2489 \text{ M\$/GWe}$ auf $1928 \text{ M\$/GWe}$** senkt. Diese Kostenreduktion um $23\%$ bei Verdoppelung der Kapazität (von 1 GWe auf 2 GWe) ist der wichtigste ökonomische Optimierungsansatz.
---
### 5. Wie wurden die Annahmen zu den Lernraten hergeleitet bzw. von wo stammen diese Annahmen?
Die Annahmen zur Skalierung und Kostenreduktion zwischen der Single- und der Dual-Unit-Anlage (einschließlich der Kostenreduktion für den zweiten Reaktor) basieren auf **Methoden, die von Bechtel National Corporation entwickelt wurden**.
Zusätzlich basieren die Kosten für die Verdoppelung der Produktionsrate der **Brennstoffpellet-Fabrik** auf **Skalierungsbeziehungen** aus den Referenzen 125 und 126, wobei angenommen wird, dass eine Verdoppelung der Produktionsrate die Kosten der Fabrik nur um etwa $50\%$ erhöht.
---
### 6. Wird offengelegt, ob die Kostenabschätzung auf einem Bottom-up-, Top-down- oder hybriden Ansatz basiert?
Die Kostenabschätzung verwendet einen **hybriden Ansatz**:
1.  **Bottom-up-Basis:** Die initialen Kosten für die Reaktorkomponenten (TDC Subtotal) wurden von der **Bechtel National Corporation** detailliert geschätzt.
2.  **Top-down-Skalierung und Schätzung:** Die Kosten für den **Laser-Treiber** und die **Brennstoffpellet-Fabrik** wurden mithilfe von **Skalierungsgesetzen** und Verhältnissen (z. B. $0,8$-Potenz-Skalierung für den Laser) geschätzt und hinzugefügt. Die Skalierung von Single- auf Dual-Unit verwendet ebenfalls **Top-down-Methoden** zur Kostenzuweisung.
---
### 7. Beruht die Kostenherleitung auf physikalischen und technologischen Werten?
Ja, die Kostenherleitung ist untrennbar mit den physikalischen und technologischen Werten verknüpft:
*   **Flussrate-Optimierung:** Eine gezielte **Reduzierung der Lithium-Flussrate** von $129 \text{ m}^3/\text{s}$ auf $96 \text{ m}^3/\text{s}$ (ein physikalischer Parameter) führte direkt zu einer **Kostenreduktion von $55 \text{ M\$}$** in der Reaktoranlagen-Ausrüstung.
*   **Strukturelle Dimensionierung:** Die Dicke der FSW ($35$ bis $40 \text{ mm}$) ist ein **kostenbestimmender Faktor**, der durch physikalische Zwänge (Einhaltung der ASME-Codes) und die **Berechnung der Belastungen** (thermische Spannungen durch Neutronen, dynamische Spannungen durch Flüssigkeitsaufprall) festgelegt wird.
*   **Laser-Leistung:** Die geschätzten **Laser-Kosten** sind direkt proportional zur erforderlichen **Beam-Energie ($4,5 \text{ MJ}$) und Repetitionsrate ($1,5 \text{ Hz}$)**, die wiederum von der Physik der Fusion und dem Pellet-Gain (400) abhängen.
---
### 8. Werden Materialkosten und Komponentenkosten separat ausgewiesen?
**Komponentenkosten** werden detailliert in den **Total Direct Capital Costs (TDC)** unter Hauptkonten wie "Reactor plant equipment" ($1202 \text{ M\$}$ für Dual-Unit) und "Turbine plant equipment" ($438 \text{ M\$}$) ausgewiesen.
**Materialkosten** (als Rohstoffe): Die Kosten für die Materialien zur Herstellung der **Brennstoffpellets** werden als **vernachlässigbar** ("small") angenommen und daher in der COE-Berechnung **weggelassen** ("omitted"). In der Kostenübersicht (Tabelle 8) werden keine separaten Posten für das Lithium-Inventar ($1630 \text{ m}^3$) oder den FSW-Stahl aufgeführt. Die Kosten für die **Brennstoffpellet-Fabrik** sind jedoch als separates Kapital-Subsystem ausgewiesen.
---
### 9. Bezieht sich die Studie auf ein Energiesystem oder ist sie rein bezogen auf die Kosten des Kraftwerks und des Reaktors?
Die Studie bezieht sich auf das **vollständige elektrische Energiesystem** (Fusion-to-Electricity Converter) und dessen Integration, anstatt sich nur auf den Reaktor zu beschränken.
*   **Systemkomponenten:** Die Kostenanalyse umfasst das gesamte System, einschließlich des **Reaktors, des Laser-Treibers** und der **Brennstoffpellet-Fabrik**.
*   **Power Balance:** Die **Leistungsbilanz** (Power Balance, Fig. 3) berücksichtigt die gesamte Energiekette, einschließlich der **Rückkopplung der Leistung** ($135 \text{ MWt}$) zum Betrieb des Lasers und der **Hilfsleistungsanforderungen** ($95 \text{ MWt}$), um die Nettoleistung zu bestimmen.
*   **Wettbewerbsvergleich:** Die Wirtschaftlichkeit wird durch den Vergleich der **Stromgestehungskosten (COE)** mit denen des **Light Water Reactor (LWR)** in einem zukunftsgerichteten Szenario bewertet.
---
### 10. Welche Kostenreduktionspotenziale oder wirtschaftlichen Optimierungsansätze werden thematisiert?
Die Studie identifiziert mehrere wichtige Optimierungsansätze:
1.  **Teilung des Treibers:** Der signifikanteste Kostenreduktionsansatz ist die **Nutzung eines einzigen Laser-Treibers** für eine **Dual-Unit-Anlage** (2 GWe), was die spezifischen Kapitalkosten pro GWe drastisch senkt.
2.  **Langlebigkeit der Struktur:** Das Design zielt darauf ab, die **First Structural Wall (FSW) für $30$ Jahre haltbar** zu machen, um die Notwendigkeit des **periodischen Austauschs** von Strukturkomponenten zu eliminieren.
3.  **Flussratenreduktion:** Durch hydrodynamische Optimierung wurde die **erforderliche Lithium-Flussrate** gesenkt, was direkt die Kapitalkosten für Pumpen und zugehörige Ausrüstung reduziert hat.
4.  **Effizienzsteigerung der Pumpen:** Es wird darauf hingewiesen, dass die Effizienz der elektromagnetischen Pumpen von den angenommenen $35\%$ durch besseres Design auf **über $50\%$** gesteigert werden könnte.
5.  **Tritium-Management:** Das Konzept, das Tritium-Brutverhältnis zu maximieren ($1,75$), bietet die Option, den **Überschuss an Tritium als Brennstoff für andere DT-Fusionsreaktoren** zu verwenden, obwohl diese Einnahmequelle im primären COE-Modell nicht berücksichtigt wurde.
---
### 11. Was sind die signifikantesten Kostentreiber und ökonomischen Herausforderungen laut Studie?
**Signifikanteste Kostentreiber (am COE gemessen):**
1.  **Kapitalkosten des Reaktors:** Die Kapitalkosten sind der weitaus größte Beitrag zu den COE. Der Beitrag des **HYLIFE-Reaktors selbst** zur COE ($3,7 \text{ ¢/kWeh}$) ist etwa **$60\%$ höher** als der Kapitalkostenbeitrag eines LWR ($2,3 \text{ ¢/kWeh}$).
2.  **Laser-Kapitalkosten:** Die hohen Investitionskosten für den Laser-Treiber (mit $666 \text{ M\$}$ geschätzt) tragen ebenfalls signifikant zur COE bei ($1,1 \text{ ¢/kWeh}$).
3.  **Indirekte Kosten und Zinsen:** Die hohen Prozentsätze für TIC ($35\%$) und Interest During Construction ($17\%$) sind erhebliche Kostenerhöher.
**Ökonomische Herausforderungen:**
*   **Hohe COE im Vergleich zur Konkurrenz:** Die größte Herausforderung ist, dass die Stromgestehungskosten (COE) für die Dual-Unit-HYLIFE-Anlage ($5,8 \text{ ¢/kWeh}$) um **$66\%$ höher** sind als die projizierten COE für eine Dual-Unit-LWR-Anlage ($3,5 \text{ ¢/kWeh}$).
*   **Energie-Rückkopplung:** Die Notwendigkeit, einen signifikanten Teil der erzeugten thermischen Leistung ($135 \text{ MWt}$) für den Betrieb des Lasers zu re-zirkulieren, trägt zu höheren spezifischen Kosten bei.
**Technologische Herausforderungen:**
*   **Hydrodynamische Stabilität:** Die Notwendigkeit, das Flüssigmetall-Jet-Array innerhalb von $0,6 \text{ Sekunden}$ neu zu etablieren (bei $1,5 \text{ Hz}$), erfordert eine präzise Steuerung der Strömungsmechanik und der Kondensation.
*   **Materialschäden:** Obwohl das Design die Lebensdauer auf 30 Jahre verlängert, bestehen weiterhin **Unsicherheiten** bezüglich der exakten Grenzwerte für Strahlenschäden (Helium-Produktion und dpa) in den verwendeten Stählen.</t>
  </si>
  <si>
    <t>Nachfolgend finden Sie eine detaillierte Analyse der Modell- und Kostenannahmen, die in der Studie von **Bustreo et al. (2019)** zur Bewertung des Beitrags der Fusionsenergie zu einem dekarbonisierten europäischen Strommix getroffen werden.
---
### 1. Welche Modellannahmen werden getroffen?
Die Studie verwendet das **CO.ME.S.E. (COsto MEdio del Sistema Elettrico – Electric System Average Cost) Code**, um die Machbarkeit und die Systemkosten von vollständig dekarbonisierten Stromerzeugungsszenarien in Europa für die zweite Hälfte dieses Jahrhunderts (indikativ **2080 und darüber hinaus**) zu bewerten.
**A. Allgemeine Systemannahmen (CO.ME.S.E. Code):**
*   **Netzwerkmodell:** Es wird ein **Null-Dimensionales Netzwerkmodell** (sogenannte "Kupferplatten-Annahme", *copper plate assumption*) verwendet, bei dem alle Generatoren, Speichersysteme und Lasten mit demselben Knoten verbunden sind.
*   **Zeitauflösung:** Die Machbarkeit jedes Mix wird durch eine Analyse der **stündlichen Bilanz** von Stromerzeugung und -nachfrage über einen **ein-Jahres-Zeitrahmen** geprüft.
*   **Bedarf:** Die jährliche Stromnachfrage wird auf **600 TWh/Jahr** festgelegt.
*   **Dekarbonisierung:** Es wird eine **vollständige Dekarbonisierung** des Stromsektors angenommen. CCS (Carbon Capture and Storage) wird absichtlich nicht in die Szenarien aufgenommen.
**B. Annahmen zur Fusionsenergie (Fusion Power Plants, FPPs):**
*   **Technologie:** Es wird ein **Fusionskraftwerk im stationären Betrieb** (*steady state fusion power plant*) betrachtet.
*   **Rolle im System:** Fusion wird als **Grundlasttechnologie** (*base-load carbon free power technology*) betrachtet, die erforderlich ist, um die Variabilität erneuerbarer Energien (RES) zu kompensieren und die erforderliche Speicherkapazität zu reduzieren.
*   **Eingesetzte Kapazität (Basisszenario):** Installierte Fusionskapazität von **$37 \text{ GW}$** zur Erzeugung von $260 \text{ TWh}$.
*   **Feste ökonomische Parameter (Mittelwert):**
    *   **Overnight Cost (OCC):** $6000 \text{ Eur/kW}$.
    *   **O&amp;M Costs:** $110 \text{ Eur/kWy}$ (FIXED).
    *   **Lebensdauer (Lifetime):** $60 \text{ Jahre}$.
    *   **Verfügbarkeit/Laststunden:** **$80\%$ Verfügbarkeit** bzw. $7000$ Laststunden pro Jahr.
*   **Fission Power:** Es wird ein **vollständiger Ausstieg** aus der Kernspaltung in Europa bis 2080 zugunsten eines breiten Fusionseinsatzes angenommen.
**C. Szenario-spezifische Annahmen:**
*   **Süd-Europa (Italien als Referenz):** Überwiegend solare Stromerzeugung, mit dem Szenario "Fusion Baseload" und dem optimierten "Fusion Two Seasons" (Fusion erzeugt $25 \text{ GW}$ in sechs sonnenreichen Monaten und $35 \text{ GW}$ in der restlichen Zeit).
*   **Nord-Europa (Vereinigtes Königreich als Referenz):** Hauptsächlich Windenergie, mit dem Szenario "Fusion Baseload".
---
### 2. Welche Modell- und Kostenannahmen basieren auf tatsächlichen Erfahrungswerten und welche nur Schätzungen oder Prognosen? Welche Annahmen stammen woher?
Die Studie stützt sich bei den Fusionsparametern hauptsächlich auf Prognosen und bei den RES/Speichertechnologien auf die jüngsten Schätzungen zur Technologiereife, wobei alle Kostenparameter zur Durchführung der Monte-Carlo-Analyse innerhalb einer Bandbreite variiert werden.
| Annahme | Basis (Erfahrungswert/Schätzung/Prognose) | Herkunft / Quelle |
| :--- | :--- | :--- |
| **Fusionsparameter (OCC, O&amp;M, Lifetime)** | **Prognose**. Die Werte (z. B. $6000 \text{ Eur/kW}$, $60 \text{ Jahre}$ Lebensdauer) sind **"in line with the ranges proposed by EUROfusion for 'basic' commercial power plants"** und basieren auf den Ergebnissen des **FRESCO**-Codes. | EUROfusion, FRESCO Code. |
| **Kostenparameter Variation** | **Prognose/Schätzung**. Die Variationsbereiche (z. B. $\pm 30\%$ für Fusion OCC, $\pm 15\%$ für PV OCC) wurden gemäß den **"most recent learning factor estimations to technology maturity"** gewählt. | ETRI 2014 (European Commission, JRC Institute for Energy and Transport). |
| **Erneuerbare-Energien-Profile** | **Erfahrungswerte/Historische Daten**. Die tatsächlichen stündlichen Profile der Solar- und Winderzeugung sowie der Stromnachfrage wurden von **nationalen TSOs im Jahr 2015** aufgezeichnet und verwendet. | Nationale TSOs (Übertragungsnetzbetreiber). |
---
### 3. Falls externe Quellen für die Modell- und Kostenannahmen verwendet wurden – wurden diese modifiziert? Falls ja, wie?
Die Studie verwendet Parameter aus externen Quellen, insbesondere zur Definition der Kostenbereiche anderer Technologien und zur Validierung der Fusionsparameter, wobei die Quellparameter in die spezifischen stochastischen Modelle des **CO.ME.S.E.**-Codes integriert werden:
*   **EUROfusion/FRESCO:** Die technischen und ökonomischen Parameter für Fusion ($6000 \text{ Eur/kW}$ OCC, $60 \text{ Jahre}$ Lebensdauer) wurden **direkt aus den Bereichen übernommen**, die von EUROfusion für kommerzielle Kraftwerke vorgeschlagen wurden. Es gibt keine Hinweise darauf, dass diese zentralen Werte direkt modifiziert wurden; sie dienen jedoch als **"middle value"** in der stochastischen Monte-Carlo-Analyse, in der die Kosten um bis zu $30\%$ variieren.
*   **ETRI 2014:** Die Variationsbereiche und Lebensdauerannahmen für die konkurrierenden Technologien (RES, Speicher) stammen aus dem **ETRI 2014**-Bericht der Europäischen Kommission.
---
### 4. Wie lautet die Annahme zu Lernraten?
Die Studie macht **keine direkten quantitativen Annahmen** zu Lernraten in Form eines Prozentsatzes (z. B. $90\%$ Lernkurve).
Die **Annahme der Technologiereife und der Kostensenkung** ist **implizit** in der Wahl des Basiswertes für die Kapitalkosten von Fusion ($6000 \text{ Eur/kW}$) und in der Spanne der Variabilität enthalten. Die Variabilität der Kostenparameter wird **"according to the most recent learning factor estimations to technology maturity"** gewählt. Die Annahme, dass die Fusion in der zweiten Hälfte des Jahrhunderts $6000 \text{ Eur/kW}$ kosten kann, ist selbst eine **Prognose der Lernkurve** bis zum **Mature NOAK**-Stadium.
---
### 5. Wie wurden die Annahmen zu den Lernraten hergeleitet bzw. von wo stammen diese Annahmen?
Die impliziten Annahmen über die Lernraten zur Technologiereife stammen von:
*   **Externe Prognosen:** Die Variationsbereiche der Kosten für alle Technologien, einschließlich Fusion, basieren auf dem **"most recent learning factor estimations"**, die im Bericht **ETRI 2014** der Europäischen Kommission dargelegt sind.
*   **Interne Modelle:** Die Fusionsparameter selbst basieren auf den Ergebnissen von Analysen, die mit dem **FRESCO**-Code durchgeführt wurden.
---
### 6. Wird offengelegt, ob die Kostenabschätzung auf einem Bottom-up-, Top-down- oder hybriden Ansatz basiert?
Das Paper **offenbart nicht die Herleitungsmethode** der $6000 \text{ Eur/kW}$ OCC (Overnight Cost) im Sinne eines Bottom-up- oder Top-down-Ansatzes.
Es wird lediglich offengelegt, dass dieser Wert:
1.  **im Einklang** mit den von EUROfusion vorgeschlagenen Bereichen für kommerzielle Kraftwerke steht.
2.  **aus den Ergebnissen des FRESCO-Codes** stammt.
Der FRESCO-Code selbst ist ein vereinfachtes Tool zur Kostenanalyse von Fusionskraftwerken, aber die Details seiner spezifischen Methode (Bottom-up oder Top-down) für die $6000 \text{ Eur/kW}$-Schätzung werden in diesem Artikel nicht dargelegt.
---
### 7. Beruht die Kostenherleitung auf physikalischen und technologischen Werten?
Ja, indirekt. Obwohl die Kostenangabe ($6000 \text{ Eur/kW}$) bereits ein ökonomischer Schätzwert ist, basiert dieser Wert auf **technischen und physikalischen Annahmen** eines **stationären Fusionskraftwerks**, die in den zugrunde liegenden FRESCO-Analysen (die in externen Referenzen beschrieben sind) verwendet wurden.
Zu den explizit in die Analyse integrierten technologischen Werten gehören:
*   **Hohe Verfügbarkeit:** $80\%$ Verfügbarkeit und $7000$ Laststunden pro Jahr.
*   **Lange Lebensdauer:** $60$ Jahre.
Diese Werte implizieren spezifische Anforderungen an Materialbeständigkeit und Betriebsführung, die die Basis für die ökonomischen Schätzungen bilden.
---
### 8. Werden Materialkosten und Komponentenkosten separat ausgewiesen?
Nein. Die Studie weist die Kosten nur auf der Ebene der **Gesamtinvestitionskosten pro Leistungseinheit** aus: **"Overnight cost [€/kW]"** und die jährlichen **O&amp;M-Kosten**.
Es gibt **keine detaillierte Aufschlüsselung** der $6000 \text{ Eur/kW}$ OCC in Materialkosten für Komponenten, Rohstoffe oder spezifische Subsysteme (z. B. Magnete, Blanket).
---
### 9. Bezieht sich die Studie auf ein Energiesystem oder ist sie rein bezogen auf die Kosten des Kraftwerks und des Reaktors?
Die Studie bezieht sich primär auf die **Integration der Fusionsenergie in das gesamte Energiesystem** und deren Interaktion mit anderen Technologien.
*   **Systemanalyse:** Das Hauptziel ist die Bewertung, **"to what extent fusion power will be able to enter the scene in Europe together with renewable energy sources (RES)"**.
*   **Integration und Bedarf:** Die CO.ME.S.E.-Modellierung bewertet den **stündlichen Abgleich** von Last und Erzeugung und findet den Bedarf an **Speicher** (Batterien, Pumpspeicher) und **zuschaltbarer Erzeugung** (Dispatchable Generation), die notwendig sind, um die Variabilität der RES in den Szenarien zu handhaben.
*   **Systemkosten:** Das Ergebnis ist der **Levelised Cost of Timely Electricity (LCOTE)**, ein Maß, das die Kosten aller im Mix enthaltenen Technologien und der Speichersysteme berücksichtigt.
---
### 10. Welche Kostenreduktionspotenziale oder wirtschaftlichen Optimierungsansätze werden thematisiert?
Die Studie thematisiert **keine internen Kostenreduktionspotenziale** des Fusionsreaktors selbst (wie z. B. Komponentendesign oder neue Materialien), da sie von festen (oder variabel geschätzten) OCC-Werten ausgeht.
Der Fokus liegt auf der **Optimierung des Strommixes durch die Fusion** als Beitrag zur **Reduzierung der Systemkosten**:
1.  **Reduktion der Speicherkapazität:** Die Integration von Fusion (Grundlast) reduziert die notwendige Größe der **Batteriespeichersysteme** (im Süd-Szenario um $67\%$ und im Nord-Szenario um $60\%$).
2.  **Reduktion von Überkapazität/Abregelung (Curtailment):** Die Anwesenheit von Fusion reduziert die Energie, die aufgrund von Überangebot abgeregelt werden muss (**Curtailed Energy**), signifikant (im Süd-Szenario um $95\%$, im Nord-Szenario um $69\%$).
3.  **Flexible Fusion (Fusion Two Seasons):** Die Anpassung der Fusionsleistung an saisonale Schwankungen der Solarenergie (im Fusion Two Seasons-Szenario) ermöglicht eine **noch günstigere optimale Anordnung** der übrigen zuschaltbaren und Speichersysteme.
---
### 11. Was sind die signifikantesten Kostentreiber und ökonomischen Herausforderungen laut Studie?
**Signifikantester Kostentreiber (im System):**
Der Hauptkostentreiber in den Szenarien **ohne Fusion (100%-RES)** sind die **Speicher- und zuschaltbaren Generatoren (Dispatchable Energy and Storage)**. Im 100%-RES-Szenario entfällt **fast die Hälfte des LCOTE** auf diese Komponenten, die die Variabilität der erneuerbaren Energiequellen ausgleichen müssen.
**Ökonomische Herausforderungen für die Fusion (Sensitivitätsanalyse):**
Die größte ökonomische Herausforderung für die Fusionsenergie ist die **Einhaltung der Kapitalkosten** (Overnight Cost), um wettbewerbsfähig zu bleiben.
*   Die Fusion muss ihre OCC **unter $8500 \text{ Eur/kW}$** im Nord-Europa-Fall und **unter $12500 \text{ Eur/kW}$** im Süd-Europa-Fall halten, um den LCOTE im Vergleich zum 100%-RES-Szenario zu senken.
*   Da der angenommene Basiswert für Fusion $6000 \text{ Eur/kW}$ beträgt, bietet dies in beiden Fällen **eine signifikante Marge**.
**Generelle Herausforderungen:**
*   **Netzkosten (Grid Enhancement):** Die Studie weist explizit darauf hin, dass die Kosten für die **Verbesserungen des Stromnetzes** (*electric grid enhancements*), die notwendig sind, um die massiven Übererzeugungsereignisse und die Speichervorgänge in den 100%-RES-Szenarien zu bewältigen, **nicht im LCOTE berücksichtigt** werden.
*   **Bodenverbrauch (Soil Consumption):** Die Herausforderung des **großflächigen Bodenverbrauchs** (*soil consumption*), der mit dem Bau von Hunderten GW PV- und Windkraftanlagen verbunden ist, wird als weiteres Argument zugunsten von Fusionsszenarien genannt.</t>
  </si>
  <si>
    <t>Die Studie von Bustreo et al. (2019) vergleicht die Fusionsenergie nicht direkt mit historischen Kosten, sondern mit **zukunftsgerichteten Projektionen** anderer kohlenstofffreier Technologien, um deren Beitrag zu einem vollständig dekarbonisierten europäischen Strommix **nach 2050** (indikativ **2080 und darüber hinaus**) zu bewerten.
Der Vergleich zielt darauf ab, festzustellen, ob ein Strommix mit Fusion **weniger kostspielig und erschwinglicher** wäre als ein Mix, der ausschließlich auf erneuerbaren Energiequellen (Renewable Energy Sources, RES) basiert.
### 1. Ergebnis des Kostenvergleichs
Die Studie bewertet die Kosten anhand des **Levelised Cost of Timely Electricity (LCOTE)**, welcher die Kosten aller Technologien im Mix sowie die Kosten für die notwendigen Speichersysteme berücksichtigt.
Das zentrale Ergebnis ist, dass die **Anwesenheit von Fusionskraftwerken (FPPs) den LCOTE reduziert** im Vergleich zu reinen 100%-RES-Szenarien.
#### Hauptgründe für die Kostensenkung durch Fusion:
Fusion agiert als **Grundlasttechnologie** (*base-load carbon free power technology*) und reduziert dadurch signifikant die Notwendigkeit für teure Speichersysteme und zuschaltbare Generatoren, die zur Kompensation der Variabilität von Wind- und Solarenergie erforderlich sind.
*   **Süd-Europa-Szenario (Solar-dominant):**
    *   Fusion (im **Fusion Baseload**-Szenario) reduziert die Größe der benötigten Batteriespeicher um **$67\%$** (von $150 \text{ GW}$ auf $50 \text{ GW}$).
    *   Die abgeregelte Energie (*Curtailed Energy*) wird um **$95\%$** reduziert.
    *   Die **LCOTE**-Verteilung zeigt, dass die Fusion-Szenarien eine geringere Wahrscheinlichkeit für sehr hohe Kosten aufweisen als das 100%-RES-Szenario.
*   **Nord-Europa-Szenario (Wind-dominant):**
    *   Fusion (im **Fusion Baseload**-Szenario) reduziert die Größe der Batteriespeicher um **$60\%$** (von $125 \text{ GW}$ auf $50 \text{ GW}$).
    *   Die abgeregelte Energie wird um **$69\%$** reduziert.
Im 100%-RES-Szenario entfallen **fast die Hälfte des LCOTE** auf die **zuschaltbare Energie und Speicherung**. Durch die Bereitstellung von Grundlast durch Fusion können diese Systemkosten gesenkt werden.
#### Sensitivitätsanalyse (Break-even-Kosten):
Die Fusion würde weiterhin zur Kostensenkung beitragen, solange ihre Kapitalkosten (**Overnight Costs**) unter folgenden Schwellenwerten bleiben:
*   Nord-Europa-Szenario: **unter $8500 \text{ Eur/kW}$**.
*   Süd-Europa-Szenario: **unter $12500 \text{ Eur/kW}$**.
### 2. Vergleichsbasis: Zukunftsgerichtete Projektionen
Der Vergleich basiert vollständig auf **zukunftsgerichteten Projektionen** der Kosten:
*   **Zeithorizont:** Die Szenarien beziehen sich auf die **zweite Hälfte dieses Jahrhunderts** (indikativ **2080 und darüber hinaus**), in der eine vollständige Dekarbonisierung des europäischen Stromsektors angenommen wird.
*   **Kostenbasis:** Die **Investitions- und O&amp;M-Kosten** aller Technologien (Fusion, PV, Wind, Speicher, Bioenergie) sind **Prognosen**. Die Parameter (einschließlich der Fusions-OCC von $6000 \text{ Eur/kW}$) stammen aus Bereichen, die gemäß den **"most recent learning factor estimations to technology maturity"** gewählt wurden. Die Quelle für diese Technologieprognosen ist unter anderem der Bericht **ETRI 2014**.
*   **Systematischer Vergleich:** Die Machbarkeit und die Kosten werden durch eine **stochastische ökonomische Analyse** und stündliche Bilanzierung im **CO.ME.S.E.-Code** bewertet, wobei die Kostenparameter innerhalb einer bestimmten Bandbreite variiert werden.
Die Studie verwendet **keine historischen Kosten** für den Vergleich, sondern projiziert die Kosten in die Zukunft, wobei die historischen Profile der Stromnachfrage und der tatsächlichen stündlichen Profile der Wind- und Solargenerierung von 2015 als Basis für die Lastbilanzierung herangezogen werden.</t>
  </si>
  <si>
    <t>"experimental reactor"</t>
  </si>
  <si>
    <t>Gerne analysiere ich die Anteile an den von Ihnen bereinigten Overnight Construction Costs (OCC) für beide Optionen des **China Fusion Engineering Test Reactor (CFETGerne analysiere ich die Anteile an den von Ihnen bereinigten Overnight Construction Costs (OCC) für beide Optionen des **China Fusion Engineering Test Reactor (CFETR)**, basierend auf den Kostendaten in Tabelle 2.
Ihre bereinigten OCC ergeben sich, indem Sie vom **Total Project Capital Cost (Konto 99.0)** die Posten **Interest During Construction (IDC, Konto 97.0)** und **Project Contingency (Konto 96.0)** abziehen. Die verbleibende Summe entspricht dem **Total Direct Cost (Konto 90.0)** plus den **Indirekten Kosten (Konto 91.0, 92.0, 93.0)**, da Owner's Cost (94.0) und Process Contingency (95.0) auf Null gesetzt wurden.
Die Kostenbasis ist das Jahr 2009.
### 1. Option 1: Full Superconducting Tokamak
#### A. Berechnung der bereinigten OCC
$$\text{Bereinigte OCC (Option 1)} = \$3457,2 \text{ M} - \$443,2 \text{ M} - \$434,6 \text{ M} = \$2579,4 \text{ M}$$
Dieser bereinigte OCC-Wert entspricht dem **Total Direct Cost (TDC, \$2119,5 M)** plus den **Summe der Indirekten Kosten (Home Office Engineering, Field Office Engineering, Construction Facilities)**, die \$469,9 M betragen.
#### B. Kostenanteile der Hauptkonten (Basis: 2579,4 M\$)
Die Berechnung basiert auf den Kosten der Konten 20 bis 27 (TDC) und den Indirekten Kosten 91.0 bis 93.0, bezogen auf die bereinigte OCC von \$2579,4 M.
| Hauptkonto | Kosten (Mio. $ 2009) | Anteil an bereinigter OCC (2579,4 M\$) |
| :--- | :--- | :--- |
| **22. Power core equipment** | **1580,3** | **61,27%** |
| **91.0–93.0 Indirekte Kosten** (Bau, Engineering) | **469,9** | **18,22%** |
| 21. Structures and site facilities | 319,0 | 12,37% |
| 27. Special materials | 75,4 | 2,92% |
| 24. Electric plant equipment | 59,4 | 2,30% |
| 23. Turbine—generator equipment | 53,0 | 2,05% |
| 26. Miscellaneous plant equipment | 21,5 | 0,83% |
| 25. Heat rejection equipment | 7,0 | 0,27% |
| 20. Land and land rights | 4,0 | 0,16% |
| **GESAMT** | **2579,5** | **100,00%** |
**Wichtigster Kostentreiber:** Das Konto **22. Power core equipment** macht den mit Abstand größten Anteil aus (**61,27%**).
---
### 2. Option 2: Water-Cooling Cu Magnets Tokamak
#### A. Berechnung der bereinigten OCC
$$\text{Bereinigte OCC (Option 2)} = \$1895,8 \text{ M} - \$243,0 \text{ M} - \$238,3 \text{ M} = \$1414,5 \text{ M}$$
Dieser bereinigte OCC-Wert entspricht dem **Total Direct Cost (TDC, \$1162,3 M)** plus den **Summe der Indirekten Kosten (Home Office Engineering, Field Office Engineering, Construction Facilities)**, die \$252,1 M betragen.
#### B. Kostenanteile der Hauptkonten (Basis: 1414,5 M\$)
Die Berechnung basiert auf den Kosten der Konten 20 bis 27 (TDC) und den Indirekten Kosten 91.0 bis 93.0, bezogen auf die bereinigte OCC von \$1414,5 M.
| Hauptkonto | Kosten (Mio. $ 2009) | Anteil an bereinigter OCC (1414,5 M\$) |
| :--- | :--- | :--- |
| **22. Power core equipment** | **673,3** | **47,60%** |
| **91.0–93.0 Indirekte Kosten** (Bau, Engineering) | **252,1** | **17,82%** |
| 21. Structures and site facilities | 307,6 | 21,75% |
| 24. Electric plant equipment | 59,5 | 4,21% |
| 23. Turbine—generator equipment | 53,2 | 3,76% |
| 27. Special materials | 36,1 | 2,55% |
| 26. Miscellaneous plant equipment | 21,5 | 1,52% |
| 25. Heat rejection equipment | 7,1 | 0,50% |
| 20. Land and land rights | 4,0 | 0,28% |
| **GESAMT** | **1414,4** | **100,00%** |
**Wichtigster Kostentreiber:** Obwohl das Konto **22. Power core equipment** weiterhin der größte Posten ist (**47,60%**), nehmen die **Structures and site facilities (Konto 21)** bei dieser Option einen deutlich höheren relativen Anteil (21,75%) ein als bei Option 1.
---
### 3. Vergleich des Hauptkostentreibers (Power Core Equipment)
Das Hauptkonto **22. Power core equipment** weist die größten Kostenunterschiede zwischen den Optionen auf, was die relative Kosteneffizienz der Kupfer-Option erklärt:
| Unterkonto (Power Core Equipment, 22) | Option 1 (SC) | Option 2 (Cu) |
| :--- | :--- | :--- |
| **Fusion energy capture/conversion (22.1)** | 5,19% | 4,49% |
| **Plasma confinement (22.2)** (Magnete, etc.) | **33,31%** | **18,54%** |
| **Plasma formation/sustainment (22.3)** | 4,87% | 8,87% |
| **Vacuum, power core (22.4)** | 9,30% | 3,23% |
| **Primary structure/support (22.5)** | 3,48% | 3,09% |
| **I&amp;C (22.10)** | 2,33% | 4,24% |
| **Andere (22.6, 22.7, 22.8)** | 2,79% | 3,14% |
| **SUMME (Konto 22)** | **61,27%** | **47,60%** |
Die **Plasma confinement** (22.2), welche die Spulen umfasst, ist der entscheidende Faktor: Die Kosten dieses Unterkontos sind bei der Supraleiter-Option absolut mehr als dreimal so hoch wie bei der Kupfer-Option (\$859,2 M vs. \$262,2 M).</t>
  </si>
  <si>
    <t>Die Studie von Chen et al. (2015) vergleicht die Kosten der beiden Optionen des **China Fusion Engineering Test Reactor (CFETR)** primärDie Studie von Chen et al. (2015) vergleicht die Kosten der beiden Optionen des **China Fusion Engineering Test Reactor (CFETR)** primär miteinander und analysiert die Wirtschaftlichkeit basierend auf **zukunftsgerichteten Projektionen** und **aktuellen/historischen lokalen Preisen**.
Hier ist eine detaillierte Antwort auf Ihre Frage:
### 1. Vergleich mit den Kosten anderer Energieerzeugungen
Die Studie vergleicht die Kosten des CFETR **nicht direkt** mit den Stromgestehungskosten (COE) etablierter Energieerzeugungstechnologien wie Kohle oder Kernspaltung (LWRs).
Der **CFETR** ist ein **"fusion engineering experimental reactor"** und ein **"experimental reactor"**, der zwar Elektrizität erzeugt, aber **keine Netto-Elektrizität** ausgibt, sondern eine externe Stromversorgung benötigt. Daher ist ein direkter COE-Vergleich mit kommerziellen Kraftwerken nicht das primäre Ziel der Studie.
Stattdessen konzentriert sich die Studie auf zwei Arten des Vergleichs:
#### A. Interner Vergleich der CFETR-Optionen (Wirtschaftlichkeitsanalyse)
Der Hauptvergleich findet zwischen den beiden Design-Optionen des CFETR statt:
1.  **Option 1:** Full Superconducting Tokamak (Voll supraleitender Tokamak)
2.  **Option 2:** Water-Cooling Cu Magnets Tokamak (Wassergekühlter Kupfermagnet-Tokamak)
**Ergebnis des internen Vergleichs:**
Der Vergleich zieht sowohl die **Kapitalbaukosten** als auch die **Stromverbrauchskosten während der D-T-Brennphase** heran.
*   **Kapitalbaukosten:** Die supraleitende Option ist wesentlich teurer. Die **Total Project Capital Cost** der supraleitenden Option beträgt $3457,2 \text{ M\$}$, was mehr als das Doppelte der Kupfermagnet-Option ($1895,8 \text{ M\$}$) ist.
*   **Betriebskosten (Stromverbrauch):** Die Kupfermagnet-Option hat wesentlich höhere jährliche Stromverbrauchskosten. Die jährlichen Kosten für Stromverbrauch betragen bei der Kupfer-Option $618,5 \text{ M\$}$ pro Jahr, mehr als das Doppelte der supraleitenden Option ($246,7 \text{ M\$}$ pro Jahr).
**Gesamtökonomische Schlussfolgerung:**
Die Studie kommt zu dem Schluss, dass die **Kupfermagnet-Option (Option 2)** **sowohl Zeit als auch Kosten sparen könnte, wenn der erforderliche Neutronenbestrahlungsschaden (dpa) für das Material des CFETR bei weniger als $75 \text{ dpa}$ liegt**. Dies liegt daran, dass die Kupfer-Option eine höhere jährliche Neutronenschädigung ($3,55 \text{ dpa}/\text{Jahr}$) erreicht als die Supraleiter-Option ($1,6 \text{ dpa}/\text{Jahr}$), wodurch das Ziel der Materialprüfung schneller erreicht wird. Oberhalb von $75 \text{ dpa}$ übersteigt die Summe der kumulierten Kapital- und Betriebskosten der Kupfer-Option die der Supraleiter-Option [32, Abb. 1].
#### B. Indirekter Kostenvergleich (Integration)
Indirekt vergleicht die Studie die CFETR-Kosten mit etablierten Kostenstrukturen:
*   **LWR/Fusions-Standards:** Die Kostenbewertung nutzt das **SYSCODE** und das **Standard Accounts for Cost Estimates** von Shulte et al., das auch in der Nuklearindustrie verwendet wurde. Die Modelle wurden zudem mit Ergebnissen des **ARIES System Code (ASC)** verglichen und daraufhin modifiziert.
### 2. Vergleichsbasis (Historisch vs. Zukunftsgerichtet)
Die Kostenbewertung basiert auf einer Mischung aus **zukunftsgerichteten Schätzungen** (für die Fusionstechnologie) und der Anwendung **historischer/aktueller lokaler Preise** für die ökonomische Analyse:
*   **Zukunftsgerichtete Projektionen (CFETR-Kosten):** Die Kapitalkosten sind Schätzungen, die auf den Konzeptdesigns und der Annahme basieren, dass die Technologien des Testreaktors realisiert werden können. Die Kostenbasis ist das Jahr **2009**.
*   **Historische/Aktuelle Preise (Betriebskosten):** Die Kosten für den **Stromverbrauch während des D-T-Brennens** werden anhand von **aktuellen und historischen Preisen** berechnet. Die Schätzung basiert auf dem **Strompreistarif für industrielle Verbraucher der Provinz Anhui in China aus dem Jahr 2009** ($0,087 \text{ \$/kWh}$ bzw. $4,12 \text{ \$/kVA/Monat}$).</t>
  </si>
  <si>
    <t>Diese detaillierte Analyse basiert auf der Studie **"Preliminary Cost Assessment and Compare of China Fusion Engineering Test Reactor"** von Chen et al. (2015), die sich auf den **CFETR** (China Fusion Engineering Test Reactor) konzentriert.
---
### 1. Welche Modellannahmen werden getroffen?
Die Modellierung basiert auf zwei vorgeschlagenen Design-Optionen für den CFETR, einem **"fusion engineering experimental reactor"**:
**A. Technische und Physikalische Annahmen:**
*   **Design-Optionen:**
    *   **Option 1:** Voll supraleitender Tokamak (*Full superconducting tokamak*).
    *   **Option 2:** Wassergekühlter Kupfermagnet-Tokamak (*Water-cooling Cu magnets tokamak*).
*   **Mission/Ziele:** Erreichen einer Fusionsleistung von **$50–200 \text{ MW}$**, Tritium-Selbstversorgung mit einem $\text{TBR} \ge 1.2$ und eine Zykluszeit (oder Brennzeit) von mehr als $0.3–0.5$.
*   **Betriebsphase:** Die Wirtschaftlichkeitsanalyse berücksichtigt die Kosten des **D-T-Brennbetriebs**.
*   **Leistungsbilanz:** Der CFETR soll Elektrizität erzeugen, hat aber **keine Netto-Elektrizitätsabgabe** und benötigt stattdessen eine externe Stromversorgung.
*   **Thermische Effizienz:** Die thermoelektrische Effizienz wird mit **$0.4$** angenommen.
*   **Materialtest-Äquivalenz:** Ein Neutronen-Fluence von $15 \text{ MWa/m}^2$ wird mit $150 \text{ dpa}$ Neutronenschaden gleichgesetzt.
**B. Ökonomische Annahmen:**
*   **Kostenbasisjahr:** Die Kostenbewertung verwendet das Jahr **2009** als Basisjahr.
*   **Ignorierte/Ausgeschlossene Kosten:** Die Kosten für **Owner’s cost (94.0), Process (design) contingency (95.0)** und **Escalation During Construction (EDC, 98.0)** werden auf Null gesetzt.
*   **Berücksichtigte Kosten:** Die **Total Project Capital Cost** (Konto 99.0) umfasst die Bau- und Anlagenkosten, Project Contingency (96.0) und Interest During Construction (IDC, 97.0).
---
### 2. Welche Modell- und Kostenannahmen basieren auf tatsächlichen Erfahrungswerten und welche nur Schätzungen oder Prognosen? Welche Annahmen stammen woher?
Die Studie kombiniert geschätzte Fusions-Bauteilkosten mit lokalen, tatsächlichen Kosten für den Betrieb.
| Annahme | Basis (Erfahrungswert/Schätzung/Prognose) | Herkunft / Quelle |
| :--- | :--- | :--- |
| **Baukostenstruktur (Accounts)** | **Erfahrungswert/Standard.** Die Kostenabschätzung verwendet die **Standard Accounts for Cost Estimates** von Shulte et al.. | Pacific Northwest Laboratory, PNL-2648. |
| **Materialkosten (CLAM-Stahl)** | **Angenommener Wert/Prognose.** $88.17 \text{ \$/kg}$ im Basisjahr 2009. | Dissertation der Graduate University of Chinese Academy of Sciences (2006). |
| **Kosten des Auxiliary Heating** | **Schätzung/Prognose.** Kosten in $\text{M\$/MW}$ für NBI, LHW, ICRF und ECW. | Externe Quelle (Ref.). |
| **Strompreis (Betriebskosten)** | **Tatsächlicher lokaler Preis.** Der Preis für Elektrizität ($0.087 \text{ \$/kWh}$) und die Preisfaktoren der Leistungskapazität basieren auf dem **Strompreistarif für industrielle Verbraucher der Provinz Anhui in China aus dem Jahr 2009**. | Strompreisstandard der Provinz Anhui (2009). |
| **CFETR-Design-Kosten** | **Prognose.** Basierend auf der **Konzeptentwicklung** des CFETR. | Interne Arbeit des FDS Teams. |
---
### 3. Falls externe Quellen für die Modell- und Kostenannahmen verwendet wurden – wurden diese modifiziert? Falls ja, wie?
Ja, das verwendete Kostenmodell (SYSCODE) wurde modifiziert und angepasst:
*   **Benchmarking und Upgrade:** Das SYSCODE-Modell wurde mit den Ergebnissen des **ARIES System Code (ASC)** abgeglichen (*benchmarked*) und anschließend aufgerüstet.
*   **Modifikation der Struktur:** Das im SYSCODE erstellte Reaktorstrukturmodell, das zur Berechnung der Volumina der Komponenten dient, wurde **modifiziert**, um **ITER-ähnlich** zu sein.
*   **Grund der Modifikation:** Diese Modifikation wurde vorgenommen, weil das ITER-ähnliche Modell besser mit dem Design des CFETR übereinstimmt als das ursprüngliche ASC-Modell.
*   **Auswirkungen:** Die Modifikation führte zu einer Differenz von $6.1\%$ bei den Kosten für die Leistungskernausrüstung und $3.3\%$ bei den gesamten Projektkapitalkosten.
---
### 4. Wie lautet die Annahme zu Lernraten?
Die Studie macht **keine explizite quantitative Annahme** zu Lernraten in Form eines Prozentsatzes. Da der CFETR ein **experimenteller Reaktor** ist, liegen die Kosten auf dem Niveau eines **First-of-a-Kind (FOAK)**-Projekts.
---
### 5. Wie wurden die Annahmen zu den Lernraten hergeleitet bzw. von wo stammen diese Annahmen?
Die Quelle gibt keine Herleitung für eine Lernrate an, da der Fokus auf der Initialbewertung der Kapitalkosten eines Prototyps liegt.
---
### 6. Wird offengelegt, ob die Kostenabschätzung auf einem Bottom-up-, Top-down- oder hybriden Ansatz basiert?
Die Kostenabschätzung basiert auf einem **hybriden/analytischen Ansatz**, der im **SYSCODE** implementiert ist:
*   **Analytische Herleitung (Top-down-Aspekt):** Die Kosten ($C_x$) werden analytisch basierend auf der Formel (1) berechnet, die Faktoren wie Kosten pro Masseneinheit, Dichte, Volumenanteil und das Gesamtvolumen der Komponente verwendet.
*   **Volumen/Design (Bottom-up-Aspekt):** Die Volumina der einzelnen Komponenten ($V_x$) werden aus dem detaillierten **Strukturdesign** des Tokamak-Reaktors berechnet, das im SYSCODE mit radialer Verteilung der Hauptkomponenten erstellt wird.
---
### 7. Beruht die Kostenherleitung auf physikalischen und technologischen Werten?
**Ja**, die Kostenherleitung beruht wesentlich auf physikalischen und technologischen Werten:
*   **Design-Dimensionen:** Die Kostenmodelle berechnen die Kosten direkt basierend auf dem **Volumen** der Komponenten, das durch das spezifische physikalische Design des Tokamak-Reaktors bestimmt wird (z. B. Spulengröße, Blanket-Dicke).
*   **Magnet-Technologie (Option 2):** Die Entscheidung, Kupfermagnete zu verwenden, führt zu einem extrem hohen Stromverbrauch von zusätzlich **$800 \text{ MW}$** für die ohmsche Heizung, was die jährlichen Betriebskosten drastisch erhöht.
*   **Materialtest-Effizienz:** Die Wirtschaftlichkeit wird anhand der Fähigkeit des Reaktors bewertet, **Neutronenschäden ($\text{dpa}$)** zu erzeugen, was von der Neutronenwandbelastung abhängt.
---
### 8. Werden Materialkosten und Komponentenkosten separat ausgewiesen?
**Ja, auf unterschiedlichen Ebenen:**
*   **Komponentenkosten:** Die Kapitalkosten werden detailliert in der Kostenaufstellung (Tabelle 2) nach Komponenten-Konten (z. B. **22. Power core equipment**, **22.1.1 First wall and blanket**, **27. Special materials**) ausgewiesen.
*   **Materialkosten (als Rohstoffpreis):** Der Preis für das Strukturmaterial **CLAM-Stahl** (China Low Activation Martensitic steel) wird explizit als $88.17 \text{ \$/kg}$ im Basisjahr 2009 angenommen. Die Kostenformel des SYSCODE basiert auf den Kosten pro Masseneinheit der verwendeten Materialien.
---
### 9. Bezieht sich die Studie auf ein Energiesystem oder ist sie rein bezogen auf die Kosten des Kraftwerks und des Reaktors?
Die Studie ist **primär auf die Kosten des Testreaktors und dessen zugehöriges Anlagensystem** bezogen.
*   **CFETR-System:** Die Kostenbewertung umfasst den Reaktor, die Hilfsausrüstung (*auxiliary equipment*), das Hilfskraftwerkssystem (*auxiliary power plant system*) und Gebäude.
*   **Betriebsökonomie:** Die Analyse geht über die reinen Baukosten hinaus, indem sie die **Stromverbrauchskosten während des D-T-Brennbetriebs** berücksichtigt.
*   **Kein breites Energiesystem:** Da der CFETR ein **experimenteller Reaktor ohne Netto-Elektrizitätsabgabe** ist, wird er nicht im Kontext eines breiteren Energiesystems (wie der nationalen Netzintegration oder im direkten Vergleich der Stromgestehungskosten mit etablierten kommerziellen Technologien) bewertet.
---
### 10. Welche Kostenreduktionspotenziale oder wirtschaftlichen Optimierungsansätze werden thematisiert?
Der Hauptoptimierungsansatz, der diskutiert wird, ist die **Verkürzung der Betriebszeit**, um das Forschungsziel zu erreichen:
*   **Ziel: Zeit- und Kostenersparnis:** Die Studie zeigt, dass die Kupfermagnet-Option (Option 2) in der Lage ist, **Zeit und Kosten zu sparen**, wenn das Material-Neutronen-Bestrahlungsziel weniger als **$75 \text{ dpa}$** beträgt.
*   **Erhöhte Testgeschwindigkeit:** Dies liegt daran, dass Option 2 eine höhere Neutronenwandbelastung und damit eine höhere Neutronenschädigung pro Jahr ($3.55 \text{ dpa}/\text{Jahr}$) erreicht, was die Testzeit verkürzt, bevor die kumulierten hohen Betriebskosten die anfänglich höheren Kapitalkosten der Supraleiter-Option übersteigen.
---
### 11. Was sind die signifikantesten Kostentreiber und ökonomischen Herausforderungen laut Studie?
**Signifikanteste Kostentreiber:**
1.  **Baukosten des Reaktorkerns (Power core equipment, Konto 22):** Dieses Konto ist der größte Kostentreiber bei beiden Optionen (z. B. $1580.3 \text{ M\$}$ bei Option 1, $673.3 \text{ M\$}$ bei Option 2). Insbesondere die Kosten für die **Plasma confinement (Magnete)** sind in der Supraleiter-Option extrem hoch ($859.2 \text{ M\$}$).
2.  **Stromverbrauch (Betriebskosten):** Der jährliche Stromverbrauch ist ein kritischer Kostentreiber. Bei der Kupfermagnet-Option ($618.5 \text{ M\$/Jahr}$) sind die jährlichen Stromkosten mehr als doppelt so hoch wie bei der Supraleiter-Option ($246.7 \text{ M\$/Jahr}$), hauptsächlich aufgrund der **Ohmschen Heizung der Kupfermagnete**.
**Ökonomische Herausforderungen:**
*   **Technologiewahl vs. Betriebsdauer:** Die zentrale ökonomische Herausforderung ist der **Kompromiss** zwischen den **hohen initialen Kapitalkosten** der Supraleiter-Option (niedrige Betriebskosten) und den **niedrigeren initialen Kapitalkosten** der Kupfer-Option (extrem hohe Betriebskosten).
*   **Abhängigkeit vom dpa-Ziel:** Die Wahl der ökonomisch vorteilhafteren Option hängt direkt vom technologischen Ziel ab, nämlich dem **erforderlichen Neutronenschaden** des zu testenden Materials. Wenn der geforderte Schaden $\ge 75 \text{ dpa}$ beträgt, wird die Kupfer-Option aufgrund der kumulierten Betriebskosten teurer.</t>
  </si>
  <si>
    <t>Die folgende Analyse basiert auf der Studie **"Modular fusion power plant"** von Chuyanov und Gryaznevich (2017).
---
### 1. Welche Modellannahmen werden getroffen?
Die Modellierung basiert auf einem modularen Fusionskraftwerkskonzept mit dem Ziel, einen schnelleren und günstigeren Entwicklungsweg für die Fusionsenergie zu finden.
**A. Anlagenkonzept (Modularer Aufbau):**
*   **Systemgröße:** Ein Kraftwerk mit einer **thermischen Leistung von $2 \text{ GW}$** (oder $2188 \text{ MW}$ in der Zusammenfassung).
*   **Module:** Die Anlage besteht aus **11 kleinen Fusionseinheiten (Modulen)**.
*   **Betrieb:** **10 Module** sind in Betrieb, während **ein Modul** für die **geplante Wartung reserviert** ist.
*   **Gemeinsame Systeme:** Viele Hilfs- und Sekundärsysteme (*auxiliaries* und *conventional energy conversion plant*) sind **gemeinsam** für alle Module, um die **Skaleneffekte (*economy of scale*)** zu nutzen.
**B. Physikalische und Technische Annahmen (ST Module):**
*   **Technologie:** Kompakte Hochfeld-Spherical Tokamak (ST)-Module mit **Hochtemperatur-Supraleitung (HTS)** für die Magnete.
*   **Leistungsbilanz:** Die thermische Effizienz beträgt **$35.4\%$**. Die elektrische Leistung für den internen Verbrauch (**Recirculation fraction**) ist sehr niedrig, $\mathbf{5.16\%}$.
*   **Plasma-Physik:** Angestrebter Betrieb bei $\mathbf{100\%}$ **Bootstrap-Strom** ($\text{fbs} \approx 1$) und hoher Plasma-Beta ($\beta_{\text{tor}} \sim 10.7\%$ in der Beispielrechnung).
*   **Kompaktheit:** Das Aspektverhältnis muss in einem engen Bereich von $\mathbf{1.6 &lt; A &lt; 1.9}$ liegen, um Zündfähigkeit, hohen Bootstrap-Strom und angemessene Neutronenwandbelastung zu gewährleisten.
**C. Ökonomische Annahmen:**
*   **Kostenbasisjahr:** **2009 US-Dollar**.
*   **Finanzierung:** 5 Jahre Bauzeit, 30 Jahre Betriebszeit, $\mathbf{5\%}$ Zinssatz.
*   **Verfügbarkeit:** Die Anlagenverfügbarkeit (Plant Factor, PF) wird dank der Modul-Reservierung auf $\mathbf{95\%}$ geschätzt.
*   **Laufzeit Komponenten:** Die erste Wand und Teile des Blankets müssen alle $\sim 5$ Jahre gewechselt werden.
---
### 2. Welche Modell- und Kostenannahmen basieren auf tatsächlichen Erfahrungswerten und welche nur Schätzungen oder Prognosen? Welche Annahmen stammen woher?
| Annahme | Basis (Erfahrungswert/Schätzung/Prognose) | Herkunft / Quelle |
| :--- | :--- | :--- |
| **Kostenalgorithmen** | **Erfahrungswert/Standard.** Die Kostenalgorithmen folgen den Empfehlungen früherer Reaktorkonzepte. | **ARIES Costing Recommendation** (insbesondere L.M. Waganer). |
| **Kosten für Fusion Technology Equipment** | **Schätzung/Adaption.** Die Kosten wurden anhand von ITER-Daten geschätzt, angepasst für eine kommerzielle Anlage. | **ITER Costing**. |
| **Materialkosten** | **Tatsächliche Marktpreise.** Kosten basierend auf Gewichten und aktuellen Materialmarktpreisen. | **Aktuelle Materialmarktdaten** (Internet, 2009). |
| **Arbeitskosten/Herstellung (Modellannahme)** | **Schätzung/Prognose.** Die Kosten für die Herstellung (*manufacturing cost*) der ersten Komponente werden als **8-mal höher als die Materialkosten** angenommen. | Keine direkte Rechtfertigung; liegt im mittleren Bereich zwischen Automobilindustrie und ziviler Luftfahrt. |
| **Physikalische Skalierung (Confinement)** | **Erfahrungswert/Extrapolation.** Die Zündfähigkeit und der Energieeinschluss werden mit der Skalierung anhand von Ergebnissen des **MAST und NSTX** Projekts extrapoliert. | **MAST/NSTX**. |
---
### 3. Falls externe Quellen für die Modell- und Kostenannahmen verwendet wurden – wurden diese modifiziert? Falls ja, wie?
Ja, externe Quellen wurden verwendet und modifiziert:
*   **ARIES Costing Rules:** Die **Kostenalgorithmen** wurden größtenteils befolgt, um die Modularanlage mit konventionellen Entwürfen vergleichbar zu machen.
*   **Herstellungskosten (Lerneffekte):** Die wichtigste Modifikation liegt in der Anwendung von **Lernraten auf die Modulkomponenten**.
*   **Confinement Scaling:** Die Standard **ITER-Skalierung (IPB98y2)** für den Energieeinschluss wurde **nicht verwendet**. Stattdessen wurden Skalierungen (z. B. Gleichung 25) basierend auf **MAST/NSTX** verwendet und auf die neuen Parameter extrapoliert, da die ITER-Skalierung im Widerspruch zu Messungen in sphärischen Tokamaks steht.
*   **Design-Optimierung:** Die Annahmen zur Plasma-Beta wurden modifiziert, um $\mathbf{100\%}$ **Bootstrap-Strom** zu erreichen (was für herkömmliche Designs nicht unbedingt Priorität hat), um die Leistungsrückführung zu minimieren.
---
### 4. Wie lautet die Annahme zu Lernraten?
Die Studie macht eine klare quantitative Annahme zur **Lernrate in der Fertigung (*learning during manufacturing*)**:
*   Die **Materialkosten** bleiben für alle Module konstant.
*   Die **Herstellungskosten** der Module sinken zwischen der **ersten und der zehnten Komponente um den Faktor 2**.
*   Die gesamten Herstellungskosten für **10 Komponenten** werden als **$6.25 \times$ die Kosten der ersten Komponente** berechnet.
*   Die Kosten der **11. Komponente** (und aller nachfolgenden austauschbaren Teile) betragen **$50\%$ der Herstellungskosten der ersten Komponente**.
---
### 5. Wie wurden die Annahmen zu den Lernraten hergeleitet bzw. von wo stammen diese Annahmen?
Die Lernratenannahmen werden **nicht** explizit aus historischen Daten für Fusionsanlagen hergeleitet, sondern als **Modellannahme** für die **"economy of mass production"** verwendet.
*   Diese Annahme dient dazu, den grundlegenden wirtschaftlichen Vorteil des modularen Ansatzes zu demonstrieren, der die **Serienproduktion** kleinerer Einheiten ermöglicht.
*   Die Kostenstruktur (Labor 8x Material für FOAK) liegt in einem plausiblen Bereich zwischen extremen Massenproduktionen (Automobilindustrie) und High-Tech-Produktion (zivile Luftfahrt).
---
### 6. Wird offengelegt, ob die Kostenabschätzung auf einem Bottom-up-, Top-down- oder hybriden Ansatz basiert?
Die Kostenabschätzung basiert auf einem **Bottom-up-Ansatz** in Kombination mit analytischen Formeln:
*   **Basis:** Die Kosten der Modulkomponenten wurden basierend auf ihren **Dimensionen und Gewichten** berechnet.
*   **Kalkulation:** Das Gewicht wird mit dem **Materialpreis pro Kilogramm** multipliziert, und die **Herstellungskosten** werden als Vielfaches dieser Materialkosten hinzugefügt. Dies ist eine klassische Bottom-up-Methode, die von den physischen Mengen der Komponenten ausgeht.
*   **Analytischer Teil:** Die Dimensionen selbst werden durch analytische Formeln bestimmt, die die Anforderungen an **Neutronen-Abschirmung, Magnetfeldstärke und Plasma-Beta** berücksichtigen.
---
### 7. Beruht die Kostenherleitung auf physikalischen und technologischen Werten?
**Ja.** Die Kapitalkosten werden direkt von den technischen und physikalischen Anforderungen der Anlage abgeleitet:
*   **Dimensionen und Volumina:** Die Kosten basieren auf dem Volumen und Gewicht von Komponenten wie dem **Neutronenschild und dem Blanket**, deren Dicke und Abmessungen durch die notwendige Abschirmung und die Plasma-Parameter ($\beta_{\text{tor}}$, $\text{NWL}$) bestimmt werden.
*   **Magnetfeld:** Die Kosten der **Supraleiter-Spulen** hängen direkt von der erforderlichen Stromstärke und dem erreichbaren maximalen Magnetfeld ab, welches wiederum durch die **mechanischen Spannungen** in der Stahlstruktur des Zentralpfostens begrenzt wird.
*   **Leistungsbilanz:** Die optimierte Kostenstruktur erfordert physikalische Annahmen über den **hohen Bootstrap-Strom** und das **Energieeinschlussverhalten** (MAST/NSTX-Skalierung), um die Leistungsrückführung gering zu halten.
---
### 8. Werden Materialkosten und Komponentenkosten separat ausgewiesen?
**Ja, sehr detailliert in Tabelle 2.**
*   Die Tabelle weist die Kosten für jede Unterkomponente (z. B. *TF coils*, *Breeding blanket*) aus.
*   Für die Hauptkomponenten (z. B. SS-Struktur, Be-Multiplizierer) werden das **Gewicht, die Materialeinheitskosten ($\text{\$/kg}$)** und die resultierenden Kosten der ersten und aller 11 Module separat angegeben.
---
### 9. Bezieht sich die Studie auf ein Energiesystem oder ist sie rein bezogen auf die Kosten des Kraftwerks und des Reaktors?
Die Studie ist **hauptsächlich auf die Kosten des Kraftwerks und des Reaktors** bezogen, insbesondere auf die Bestimmung der Stromgestehungskosten (CoE).
Allerdings werden wichtige **System- und Betriebsführungsaspekte** behandelt, die für die Netzintegration relevant sind:
*   **Hohe Verfügbarkeit:** Die modulare Strategie ermöglicht eine hohe Anlagenverfügbarkeit ($\mathbf{95\%}$), was für die Netzstabilität von Bedeutung ist.
*   **Leistungsrückführung:** Die minimierte Wiederverwertungsfraktion ($\varepsilon = 5.16\%$) sorgt dafür, dass die Anlage eine hohe Netto-Leistung liefern kann.
*   **Vergleich mit anderen Konzepten:** Die Ergebnisse werden mit dem konventionellen europäischen Design **Model A** verglichen, um die wirtschaftlichen Vorzüge des modularen Weges gegenüber dem traditionellen "economy of scale"-Ansatz zu demonstrieren.
---
### 10. Welche Kostenreduktionspotenziale oder wirtschaftlichen Optimierungsansätze werden thematisiert?
Die gesamte modulare Strategie ist ein Optimierungsansatz, um die Kosten des **ersten Prototypen** und die Risiken der Entwicklung zu senken.
*   **Massenproduktion und Lerneffekte:** Nutzung der **"economy of mass production"** für die 11 Module, was zu einer Reduktion der Herstellungskosten um den Faktor 2 zwischen dem ersten und zehnten Modul führt.
*   **Reservierung und Verfügbarkeit:** Die **Reservierung eines Moduls** ermöglicht es, Wartung und Komponentenwechsel **offline** durchzuführen, was die Anlagenverfügbarkeit auf $95\%$ erhöht und damit die CoE stark senkt. Dies reduziert zudem die Kosten für die Heißzelle (*hot cell*) und die Fernhantierungsausrüstung (*remote handling equipment*).
*   **Reduzierte interne Leistungsaufnahme:** Durch das Anstreben von $\mathbf{100\%}$ **Bootstrap-Strom** wird die Notwendigkeit externer Plasmaheizung und Stromantriebssysteme minimiert, was die elektrische Wiederverwertungsfraktion auf $5.2\%$ senkt.
*   **HTS-Magnete:** Die Verwendung von HTS ermöglicht kompaktere Designs und eine **Reduzierung der Abschirmung**.
---
### 11. Was sind die signifikantesten Kostentreiber und ökonomischen Herausforderungen laut Studie?
**Signifikanteste Kostentreiber (Dominanz des Kapitals):**
1.  **Annual Capital Cost Charge (CAC):** Dies ist der weitaus größte Anteil an den jährlichen Gesamtausgaben ($\mathbf{\sim 85\%}$), weshalb die Optimierung der Kapitalkosten kritisch ist.
2.  **Total Cost of Modules:** Innerhalb der Direkten Kapitalkosten sind die Kosten für die 11 Module mit **$2034.9 \text{ M\$}$** (rund $56\%$ der DCC) der größte Einzelposten.
3.  **TF Coils (Toroidale Spulen):** Die **TF coils** sind die teuerste Einzelkomponente innerhalb der Module ($\mathbf{650 \text{ M\$}}$ für 11 Module).
4.  **Konventioneller Teil:** Die **Konventionelle Energieumwandlungsanlage und Gebäude** sind der zweitgrößte direkte Kapitalkostentreiber mit $\mathbf{974 \text{ M\$}}$.
**Ökonomische Herausforderungen:**
*   **Erreichung der benötigten Physik:** Die Wirtschaftlichkeit hängt davon ab, ob die physikalischen Annahmen (insbesondere $\mathbf{100\%}$ **Bootstrap-Strom** und ausreichend guter **Energieeinschluss** in den High-Beta-Regimen) in der Realität bestätigt werden können.
*   **Materialtest-Limit:** Die Lebensdauer der Komponenten hängt vom maximal zulässigen Neutronenschaden ($\text{dpa}$) ab. Wenn die Materialien weniger als $\mathbf{75 \text{ dpa}}$ aushalten und die Wartung lange dauert, kann die Anlagenverfügbarkeit sinken – obwohl die Modulreservierung dieses Risiko stark reduziert.
*   **Affordability des Prototypen:** Die Hauptmotivation ist es, einen Prototypen zu entwickeln, der kostengünstig genug ist, um private Investoren anzuziehen. Dies erfordert, dass die Kosten des ersten Moduls signifikant niedriger sind als die des traditionellen **DEMO**-Weges.</t>
  </si>
  <si>
    <t>Die Studie von Chuyanov et al. (2017) vergleicht die Kosten des Modularen Fusionskraftwerks mit einem **zukunftsgerichteten konventionellen Fusionskraftwerkskonzept**, nämlich dem **Model A** der Europäischen Power Plant Conceptual Study (PPCS).
Hier ist das detaillierte Ergebnis des Vergleichs und die Basis der verwendeten Werte:
### 1. Vergleichsbasis: Zukunftsgerichtete Projektionen
Der Vergleich basiert auf **zukunftsgerichteten Projektionen** für die Fusionsenergie, da beide Konzepte (das modulare Design und das Model A) Prototypen oder erste Anlagen ihrer Art sind.
*   **Vergleichsobjekte:** Das **Modulare Kraftwerk** (FOAK-Prototyp, Nettoleistung $\sim 736 \text{ MW}$) wird mit dem konventionellen europäischen Fusionskonzept **Model A** (Nettoleistung $1500 \text{ MW}$) verglichen.
*   **Gemeinsame Annahmen:** Beide Modelle teilen ähnliche Annahmen bezüglich der Grundtechnologie (Hauptbaumaterial Stahl, Wasserkühlung, thermische Effizienz $\sim 35\%$) sowie der Physik (Plasma-Gleichgewicht und Bootstrap).
*   **Kostenbasisjahr:** Die ökonomischen Werte beider Designs basieren auf **2009 US-Dollar**.
### 2. Ergebnis des Vergleichs
Das **Modulare Fusionskraftwerk** zeigt in der Ökonomie gegenüber dem konventionellen **Model A** eine **klare Überlegenheit** beim **Stromgestehungspreis (CoE)** und der **spezifischen Kosten pro Nettoleistung**, obwohl die Kosten pro Fusion-Leistungseinheit ähnlich sind.
| Charakteristik | Model A (Konventionell) | Modulare Anlage | Ergebnis |
| :--- | :--- | :--- | :--- |
| **CoE (First-of-a-kind)** | $\mathbf{0.12 \text{ \$/kWh}}$ | $\mathbf{0.06 \text{ \$/kWh}}$ | Modulare Anlage ist **halb so teuer**. |
| **Spezifische Kosten (CC/Penet)** | $6.25 \text{ \$/W}$ (Nettoleistung) | $4.7 \text{ \$/W}$ (Nettoleistung) | Modulare Anlage ist günstiger. |
| **Verfügbarkeit (PF)** | $75\%$ | $95\%$ | Modulare Anlage hat deutlich höhere Verfügbarkeit dank Modul-Reservierung. |
| **Wiederverwertungsfraktion ($\varepsilon$)** | $25\%$ | $5.16\%$ | Modulare Anlage hat viel geringeren internen Stromverbrauch. |
| **Spezifische Fusionskosten (CC/Pfusion)** | $1.9 \text{ \$/W}$ (Fusion) | $2.01 \text{ \$/W}$ (Fusion) | Kosten sind **sehr ähnlich**. |
### 3. Wichtigste Faktoren für die Kostenvorteile der modularen Anlage
Der wesentliche Unterschied in den CoE-Werten (Faktor 2) resultiert aus zwei Hauptfaktoren, die durch das modulare Design bedingt sind:
1.  **Geringere interne Leistungsaufnahme:** Die Wiederverwertungsfraktion (*Recirculation fraction*) des modularen Konzepts ist extrem niedrig ($5.16\%$) im Vergleich zu Model A ($25\%$). Dies ist eine Folge der physikalischen Optimierung auf $\mathbf{100\%}$ **Bootstrap-Strom** im kompakten Spherical Tokamak.
2.  **Hohe Verfügbarkeit:** Die Reservierung eines Moduls ermöglicht eine geplante Wartung (*off-line periodic change of the first wall/blanket*) ohne Betriebsunterbrechung der gesamten Anlage, was die Anlagenverfügbarkeit auf $95\%$ steigert.
Die Studie kommt zu dem Schluss, dass der modulare Entwurf die spezifischen Kosten der Fusionsenergie nicht signifikant erhöht, gleichzeitig aber durch hohen Bootstrap-Strom die elektrische Leistungsrückführung senkt und durch die Reservierung die Verfügbarkeit erhöht. Diese beiden Faktoren führen zu dem sehr attraktiven CoE-Wert von $0.06 \text{ \$/kWh}$ für die erste Anlage ihrer Art.</t>
  </si>
  <si>
    <t>Die von Ihnen bereinigten Overnight Construction Costs ($\text{OCC}_{\text{bereinigt}}$) basieren auf der Annahme, dass der Ausgangswert von $5023 \text{ M\$}$ der Total Capital Cost entspricht, von dem Sie bestimmte indirekte Kostenanteile abgezogen haben (Project Contingency und Owner's Cost, basierend auf einer DCC von $3464 \text{ M\$}$).
Da die Studie von Chuyanov et al. (2017) die internen Kostenkomponenten am detailliertesten auf der Ebene der **Total Direct Capital Cost (DCC)** darstellt, nutze ich die im Quellmaterial definierte **Total Direct Capital Cost (DCC)** von **$3604 \text{ M\$}$** (die Basis, auf der alle anderen Kosten, einschließlich der von Ihnen subtrahierten Contingency und Owner's Cost, berechnet werden) als Bezugsbasis, um die prozentualen Anteile der Hauptkomponenten darzustellen.
Die **Total Direct Capital Cost** ($3604 \text{ M\$}$) setzt sich aus drei Hauptkategorien sowie der initialen Tritiumladung zusammen.
---
### I. Kostenverteilung auf der Ebene der Direkten Kapitalkosten (DCC = 3604 M\$)
Die Gesamtinvestitionen verteilen sich wie folgt auf die Hauptsysteme der $2 \text{ GW}$ (thermische) modulare Fusionsanlage:
| Hauptkonto | Kosten (Mio. $ 2009) | Anteil an DCC (3604 M\$) |
| :--- | :--- | :--- |
| **Total Cost of Modules** | **2034.9** | **56.46%** |
| **Total Cost of Conventional Energy Conversion Plant and Buildings** | 974.0 | 27.03% |
| **Total Reactor Plant Equipment** (Nicht-Modul-Fusionsausrüstung) | 455.1 | 12.63% |
| **Initial tritium load** (∼4 kg) | 140.0 | 3.88% |
| **GESAMT (Total Direct Capital Cost)** | **3604.0** | **100,00%** |
**Schlussfolgerung:** Über die Hälfte der direkten Kapitalkosten entfällt auf die **Total Cost of Modules**, welche die 11 einzelnen Fusionskerne umfassen.
---
### II. Detaillierte Aufschlüsselung der Modulkosten (Basis: 2034.9 M\$)
Die Kosten für die **Total Cost of Modules** ($2034.9 \text{ M\$}$ für 11 Module) sind der größte einzelne Kostentreiber. Sie verteilen sich wie folgt auf die wichtigsten Fusionstechnologie-Komponenten:
| Modul-Komponente | Kosten (Mio. $ 2009) | Anteil an Modulkosten (2034.9 M\$) | Anteil an DCC (3604 M\$) |
| :--- | :--- | :--- | :--- |
| **TF coils** (Toroidale Spulen, HTSC) | 650.0 | **31.94%** | **18.03%** |
| **Breeding blanket total** | 440.7 | 21.66% | 12.23% |
| **Poloidal system** (Poloidale Spulen, HTSC) | 315.0 | 15.48% | 8.74% |
| Central post total | 242.8 | 11.93% | 6.74% |
| Shield total | 162.6 | 7.99% | 4.51% |
| Cryostat | 111.5 | 5.48% | 3.09% |
| Vacuum Vessel | 86.3 | 4.24% | 2.39% |
| Divertor | 26.0 | 1.28% | 0.72% |
| **GESAMT** | **2034.9** | **100,00%** | **56.46%** |
**Schlussfolgerung:** Die **TF coils** (Toroidale Spulen) sind mit fast **einem Drittel der gesamten Modulkosten** der größte Einzelposten.
---
### III. Detaillierte Aufschlüsselung der Indirekten Kosten (TIC)
Obwohl Sie die indirekten Kosten in Ihrer Berechnung subtrahiert haben, sind sie wesentliche Bestandteile der gesamten Overnight Construction Cost (OCC). Die **Total Indirect Capital Cost (TIC)** beträgt **$1621.8 \text{ M\$}$** und ist wie folgt aufgeschlüsselt (Basis: $3604 \text{ M\$}$ DCC):
| Indirekte Kostenkomponente | Kosten (Mio. $ 2009) | Anteil an TIC (1621.8 M\$) | Anteil an DCC (3604 M\$) |
| :--- | :--- | :--- | :--- |
| Construction Services and Equipment | 360.4 | 22.22% | 10.0% |
| Home Office Engineering and Services | 360.4 | 22.22% | 10.0% |
| Field Office Engineering and Services | 360.4 | 22.22% | 10.0% |
| Project Contingency (PC) | 360.4 | 22.22% | 10.0% |
| Owner’s Cost (OC) | 180.2 | 11.11% | 5.0% |
| **GESAMT (Total Indirect Capital cost)** | **1621.8** | **100,00%** | **45.0%** |</t>
  </si>
  <si>
    <t>Readiness not explicitly given, but assumed to aggressive extrapolations in physics and/or technology and commercialization; ARIES-I is 10-OAK, therefore probably all of them due to comparison study;
fuel costs including replacement items
or FOAK</t>
  </si>
  <si>
    <t>Die Studie von Cook et al. (2002) vergleicht die Kosten der Fusionsenergie mit denen anderer Energieerzeugungsquellen, um die **ökonomische Wettbewerbsfähigkeit** der Fusion im zukünftigen Energiemix zu bewerten.
### Vergleichsbasis: Zukunftsgerichtete Projektionen
Der Vergleich erfolgt nicht mit historischen Werten, sondern explizit mit **zukunftsgerichteten Projektionen**.
*   Die projizierten internen Kosten für Fusionsstrom (ICOE), die im Bereich von $\mathbf{70/130 \text{ m\$/kW h}}$ (in 1996-Dollar) liegen, werden mit **"published projections of the internal costs of electricity from other possible future technologies in the second half of this century"** (veröffentlichten Projektionen der internen Stromgestehungskosten anderer möglicher zukünftiger Technologien in der zweiten Hälfte dieses Jahrhunderts) verglichen.
### Ergebnisse des Kostenvergleichs
Die Ergebnisse des Vergleichs hängen davon ab, welche Annahmen zur Optimierung der Fusionsphysik und -technologie getroffen werden, und ob externe Kosten (wie Umweltverschmutzung) für die Nicht-Fusionsquellen berücksichtigt werden:
#### 1. Unter bescheidenen Optimierungsannahmen (Modest Physics Optimization)
*   Die internen Kosten von Fusionsstrom wären **etwa 50% teurer** (*about 50% more expensive*) als Strom aus **fossilen Brennstoffen** (wenn die Kosten für die Emissionsminderung nicht mitgerechnet werden).
*   Die Kosten wären **ungefähr vergleichbar mit erneuerbaren Energien** (*roughly comparable to renewables*).
*   Fusion bietet im Gegensatz zu erneuerbaren Energien (*renewables*) **gesicherte Leistung** (*firm power*).
#### 2. Unter fortgeschrittenen Optimierungsannahmen (Advanced Materials, Technology, and Physics)
*   Der interne Kostenpreis von Fusionsstrom **nähert sich dem internen Kostenpreis von Kernspaltung oder fossilen Brennstoffen** an (*approaching the internal cost from fission or fossil*).
#### 3. Unter Berücksichtigung von Emissionsminderung und Externen Kosten
Wenn die Gesamtkosten von Fusionsstrom mit anderen umweltverträglichen Optionen verglichen werden, verbessert sich die Wettbewerbsposition der Fusion erheblich:
*   **Kohle:** Die internen Fusionskosten sind **etwa 50% höher als die von Kohle** (ohne Emissionsminderung). **Mit der Einbeziehung der Kosten für die Emissionsminderung** (*emission abatement costs*) sind die internen Fusionskosten jedoch **wettbewerbsfähig mit denen von 'sauberer Kohle'** (*‘clean coal’*).
*   **Kernspaltung (Fission):** Die internen Fusionskosten sind ebenfalls **etwa 50% höher als die der Kernspaltung** (ohne Emissionsminderung).
*   **Erneuerbare Energien:** Fusion ist **wettbewerbsfähig** mit typischen erneuerbaren Energien (ohne Speicherkosten). Die **zusätzlichen Kosten für Stromspeicherung** (*storage costs*), die für viele intermittierende erneuerbare Quellen erforderlich wären, um gesicherte Leistung (*firm power*) zu liefern, würden diese im Vergleich zur Fusion **unwettbewerbsfähig** machen.
*   **Gesamtkosten (Intern + Extern):** Fusion hat, ähnlich wie Windenergie, **sehr geringe externe Kosten** (*small external costs*), die etwa **eine Größenordnung niedriger** (*about an order of magnitude lower*) sind als die von fossilen Brennstoffen. Die **Gesamtkosten** von Fusionsstrom sind wahrscheinlich **vergleichbar mit denen anderer umweltverträglicher Stromerzeugungsquellen**.</t>
  </si>
  <si>
    <t>Die folgende Antwort basiert auf den bereitgestellten Auszügen aus der Studie „Prospects for economic fusion electricity“ von Cook et al. (2002).
### 1. Welche Modellannahmen werden getroffen?
Die Modellannahmen lassen sich in zwei Bereiche unterteilen: Annahmen für die Berechnung der internen Kosten des Kraftwerks und Annahmen für die Energieszenarien:
#### A. Modellannahmen zur internen Kostenberechnung (ICOE)
Die internen Kosten (ICOE) wurden mithilfe des mathematischen Modells **PROCESS** berechnet. Die Annahmen beziehen sich auf die Bandbreite der **Physik- und Technologieparameter**:
*   **Plasma-Physik:** Die besten Schätzungen (*best estimates*) für die Plasma-Physik entsprechen einer Leistung, die **etwa 30% besser ist als die konservative Designbasis für ITER**. Dies geht davon aus, dass im Laufe der ITER-Experimente und paralleler Arbeiten Fortschritte erzielt werden.
*   **Materialien und Komponenten:** Die besten Schätzungen für Materialien und Komponenten beziehen sich auf die **erwartete Leistung** (*expected performance*) von **kurzfristig verfügbaren Materialien** (*near-term materials*), wie zum Beispiel den **niedrig aktivierenden martensitischen Stählen**, unter den Bedingungen eines Fusionskraftwerks.
*   **Optimierung:** Optimistischere Parameter entsprechen der **Optimierung der Plasmaphysik-Regime** und/oder der **Verwendung fortschrittlicher Materialien** (*advanced materials*). Diese optimistischen Annahmen beinhalten Kosteneinsparungen, die sich aus der **Reduzierung aktiver (Not-) Kühlsysteme** und der **Wartungsansätze** ergeben, die eine hohe Anlagenverfügbarkeit gewährleisten.
#### B. Modellannahmen für Energieszenarien (MARKAL-EUROPE)
Für die Analyse von Langzeit-Energieszenarien wurden folgende Hauptbeschränkungen und Annahmen getroffen:
*   **Zeitrahmen:** Das Modell deckt den Zeitraum von **1990 bis 2100** ab.
*   **$\text{CO}_2$-Emissionen:** Es wurden Beschränkungen des **kumulativen $\text{CO}_2$-Emissionsbudgets bis 2100** angewendet. Da Fusion praktisch keinen $\text{CO}_2$ produziert, wird sie von dieser Beschränkung nicht beeinflusst.
*   **Kernspaltungs-Einschränkung:** Es wurde eine Reihe von Beschränkungen für die **Kernspaltung (Fission)** angewendet, um **Probleme der sozialen Akzeptanz** (*social acceptance difficulties*) widerzuspiegeln. Fusion wurde aufgrund ihrer signifikanten Sicherheits- und Umweltvorteile von diesen Beschränkungen ausgenommen.
*   **Einführungsgeschwindigkeit:** Es wurde eine wichtige Beschränkung für die **Geschwindigkeit der Einführung** (*speed of deployment*) von Fusionsenergie festgelegt. Diese Beschränkung war im Wesentlichen gleichbedeutend mit der **angenommenen Abwesenheit eines 'Crash-Programms'** zur Fusionsentwicklung.
### 2. Welche Modell- und Kostenannahmen basieren auf tatsächlichen Erfahrungswerten und welche nur Schätzungen oder Prognosen? Welche Annahmen stammen woher?
#### A. Erfahrungswerte und Benchmarking
*   **ITER-Benchmarking:** Die Kostenannahmen wurden mit den Kosten des vorgeschlagenen Großexperiments **ITER** verglichen (*benchmarked*). Die ITER-Kosten wurden im Detail von **internationalen Teams von Ingenieurberatern** *hochgradig validiert*.
*   **Validierung:** In den Fällen, in denen ein Vergleich möglich war (ITER ist keine Stromerzeugungsanlage), war die Übereinstimmung mit dem Modell sehr gut, **typischerweise innerhalb von 10%**.
*   **Externe Methodik:** Die ökonomische Methodik und die Berechnungen waren **Standardverfahren** (*standard*) und wurden von **internationalen Agenturen** empfohlen. Die Methodologien für externe Kosten (*ExternE*) und Energieszenarien (*MARKAL-EUROPE*) wurden zuvor **für Nicht-Fusionszwecke** unter der Schirmherrschaft der Europäischen Union und der Internationalen Energieagentur entwickelt.
#### B. Schätzungen und Prognosen
*   **Prognosen:** Das Modell wurde verwendet, um die **internen Kosten** für ein **kommerzielles Fusionskraftwerk abzuleiten** (*infer*).
*   **Physik- und Material-Schätzungen:** Die Schätzungen basieren auf **best estimates** für die Plasma-Physik (z. B. 30% bessere Performance als konservative ITER-Basis) und der **erwarteten Leistung** (*expected performance*) von Materialien unter Fusionskraftwerksbedingungen. Optimistischere Schätzungen beinhalten die **Optimierung der Plasmaphysikregime** und die **Verwendung fortschrittlicher Materialien**.
#### C. Herkunft der Annahmen
*   **Interner Kostenkalkulation:** Die Kosten wurden mithilfe des mathematischen Modells **PROCESS** berechnet. Details zum Modell finden sich in Ref. und.
*   **Externe Kosten:** Die fusionsspezifischen Daten für die ExternE-Berechnungen stammten ursprünglich aus den Ergebnissen der **European Safety and Environmental Assessment of Fusion Power (SEAFP)**.
*   **Szenarien-Kosten:** Die internen Stromgestehungskosten, die in das Szenarien-Optimierungsmodell MARKAL-EUROPE eingespeist wurden, stammten aus Ref..
### 3. Falls externe Quellen für die Modell- und Kostenannahmen verwendet wurden – wurden diese modifiziert? Falls ja, wie?
Ja, die externen Methoden wurden für die Anwendung auf Fusionsenergie modifiziert oder adaptiert:
*   **Externe Kosten (ExternE):** Das ExternE-System wurde auf Fusionskraftwerke angewendet, wobei fusionsspezifische Daten aus der **SEAFP-Studie** und deren Weiterentwicklungen verwendet wurden.
    *   Die Bewertung der externen Kosten wurde **verfeinert und erweitert** (*refined and extended*), wobei **neuere konzeptionelle Designs** von Fusionskraftwerken berücksichtigt und die zugrundeliegenden Annahmen aktualisiert wurden, um **sehr lange Zeiträume** abzudecken.
*   **Energieszenarien (MARKAL-EUROPE):** Das ursprünglich für Nicht-Fusionszwecke entwickelte MARKAL-EUROPE-Modell wurde verwendet, indem **Fusion** darin **integriert** wurde.
    *   Es wurden **fusionsspezifische Randbedingungen** eingeführt, wie die Annahme, dass Fusion aufgrund ihrer Sicherheits- und Umweltvorteile **keinen sozialen Akzeptanzbeschränkungen** (im Gegensatz zur Kernspaltung) unterliegt und die **Geschwindigkeit der Einführung** begrenzt wurde (kein "Crash-Programm").
### 4. Wie lautet die Annahme zu Lernraten?
Die vorliegenden Auszüge **legen keine expliziten Annahmen zu Lernraten** (z. B. Lernkurven-Prozentsätze) offen [1–55].
*Hinweis: Basierend auf der vorherigen Diskussion ist anzunehmen, dass Lernkurven implizit angewendet werden, da die Kostenprojektionen auf ein 10th-OAK-Szenario abzielen, aber dies wird in den Auszügen nicht quantifiziert oder formuliert.*
### 5. Wie wurden die Annahmen zu den Lernraten hergeleitet bzw. von wo stammen diese Annahmen?
Da in den bereitgestellten Auszügen keine expliziten Lernraten genannt oder quantifiziert werden, kann **keine Aussage** darüber getroffen werden, wie diese hergeleitet wurden [1–55].
### 6. Wird offengelegt, ob die Kostenabschätzung auf einem Bottom-up-, Top-down- oder hybriden Ansatz basiert?
Die Begriffe **Bottom-up**, **Top-down** oder **Hybrid** werden **nicht explizit** genannt [1–55].
*   **Implikation:** Die Methode basiert auf der Berechnung der Gesamtkapitalkosten durch ein mathematisches Modell (**PROCESS**), das durch detaillierte und hochgradig validierte Kosten des ITER-Projekts **benchmarked** wurde. Die Ableitung der kommerziellen Kosten aus diesem detaillierten Benchmark deutet auf einen **Bottom-up-Ansatz** hin.
### 7. Beruht die Kostenherleitung auf physikalischen und technologischen Werten?
**Ja, absolut.** Die Kostenherleitung beruht wesentlich auf physikalischen und technologischen Annahmen:
*   Die Studien untersuchten die **Sensitivität der Kosten** gegenüber der **Leistung von Materialien** (*performance of materials*) und den **Plasma-Bedingungen** (*plasma conditions*).
*   Der interne Stromgestehungspreis (ICOE) hängt vom **Ausmaß der Optimierung der Plasmaphysik und der Materialtechnologie** ab, die durch weitere Forschung und Entwicklung erreicht wird.
*   Die besten Schätzungen der Kosten wurden für Bereiche berechnet, in denen die **wichtigsten physikalischen und technologischen Parameter** variieren können.
### 8. Werden Materialkosten und Komponentenkosten separat ausgewiesen?
**Nein.** Die Studie fasst die Ergebnisse der internen Kosten zusammen, ohne einzelne Materialkosten oder Komponentenkosten separat auszuweisen. Es werden lediglich die **Beiträge** zu den Gesamtkosten aus **Konstruktion, Betankung, Betrieb und Entsorgung** genannt.
### 9. Bezieht sich die Studie auf ein Energiesystem (z. B. Integration, Vergleich mit anderen Technologien) oder ist sie rein bezogen auf die Kosten des Kraftwerks und des Reaktors?
Die Studie befasst sich mit **beiden Aspekten** und geht über die reinen Kosten des Kraftwerks hinaus:
*   **Kraftwerkskosten:** Die Studie berechnet die **internen Kosten** (*internal costs*) für Fusionskraftwerke (ICOE).
*   **Systemintegration und Vergleich:** Die Studie untersucht die **Gesamtheit aller möglichen zukünftigen Stromerzeugungssysteme**. Sie bezieht sich explizit auf:
    *   Die Rolle der Fusion in **ökonomisch optimalen Energieszenarien** (*economically optimal energy scenarios*).
    *   Die **externen Kosten** (*external costs*) der Fusion im Vergleich zu anderen Quellen (Fossil, Wind, Kernspaltung).
    *   Die **Schattenkosten** (*shadow costs*) im Zusammenhang mit Beschränkungen des Energiesystems (z. B. $\text{CO}_2$-Emissionen oder soziale Akzeptanz).
    *   Der Vergleich mit **erneuerbaren Energien** schließt die Notwendigkeit von **Speicherkosten** ein, die erforderlich wären, um *firm power* (gesicherte Leistung) zu liefern, was sich auf die Wettbewerbsfähigkeit im Systemkontext auswirkt.
### 10. Welche Kostenreduktionspotenziale oder wirtschaftlichen Optimierungsansätze werden thematisiert?
Folgende Optimierungsansätze und Potenziale werden genannt, die zu einer Reduktion der internen Kosten führen können:
*   **Physik-Optimierung:** Die **Optimierung der Plasmaphysik-Regime** wird als ein Weg zur Kostenreduktion identifiziert.
*   **Fortschrittliche Materialien:** Die **Verwendung fortschrittlicher Materialien** (*advanced materials*) und die erwartete Leistung von **kurzfristig verfügbaren niedrig aktivierenden martensitischen Stählen** sind entscheidend für die Kostensenkung.
*   **Vereinfachung/Wartung:** Kosteneinsparungen durch die **Reduzierung aktiver (Not-) Kühlsysteme** und durch **Wartungsansätze**, die mit einer hohen Anlagenverfügbarkeit konsistent sind.
*   **Externe Kosten (Gesamtkosten):** Fusion bietet **sehr geringe externe Kosten** (*small external costs*), die etwa **eine Größenordnung niedriger** (*about an order of magnitude lower*) sind als bei fossilen Brennstoffen. Bei der Betrachtung der Gesamtkosten (intern + extern) wird die Fusion dadurch wettbewerbsfähig mit anderen umweltverträglichen Quellen.
*   **Bereitstellung Gesicherter Leistung (Firm Power):** Da Fusion **gesicherte Leistung** (*firm power*) bereitstellt, entfallen die **Kosten für die Stromspeicherung**, die für intermittierende erneuerbare Quellen erforderlich wären. Ohne die Speicherkosten wären viele erneuerbare Quellen *uncompetitive* mit Fusion.
### 11. Was sind die signifikantesten Kostentreiber und ökonomischen Herausforderungen laut Studie?
#### A. Signifikanteste Kostentreiber (Sensitivität)
Die primären internen Kostentreiber sind technologisch und physikalisch bedingt, da der ICOE stark von deren erfolgreicher Optimierung abhängt:
*   **Leistung der Materialien:** Die Kosten sind sensitiv gegenüber der **Leistung der Materialien**.
*   **Plasma-Bedingungen:** Die Kosten sind sensitiv gegenüber den **Plasma-Bedingungen**. Die Reduzierung der Kosten hängt davon ab, inwieweit die **Plasmaphysik und Materialtechnologie** optimiert werden können.
#### B. Ökonomische Herausforderungen
*   **Wettbewerbsfähige Kosten:** Die primäre Herausforderung besteht darin, die **technische Komplexität** der Fusionsgeräte mit dem Erfordernis eines **angemessen wettbewerbsfähigen Strompreises** in Einklang zu bringen.
*   **Externe Kosten (Markt):** Die **geringen externen Kosten** der Fusion müssen im Markt angemessen berücksichtigt werden, da diese etwa **eine Größenordnung niedriger** sind als bei fossilen Brennstoffen.
*   **Späte Einführung und Lock-Out-Gefahr:** Die Fusion wird für die **zweite Hälfte dieses Jahrhunderts** erwartet. Es besteht die Gefahr, dass Lösungen, die zur Bewältigung des **20-Jahre-Problems** initiiert werden (Installation großer Mengen neuer Nicht-Fusionskapazität), Entwicklungen wie die Fusion **ausschließen** (*could lock out developments*).
*   **Entwicklungskosten vs. Nutzen:** Obwohl die Summen, die für die Nicht-Entwicklung der Fusion ausgegeben würden, **"riesig"** sind und die Kosten der Fusionsentwicklung in den Schatten stellen, muss die Technologie entwickelt und eingesetzt werden, um die Kosteneinsparungen zu realisieren.</t>
  </si>
  <si>
    <t>Ihre Berechnung der bereinigten Übernacht-Baukosten (Overnight Construction Costs, OCC) für die ARIES-I-Anlage ergibt einen Wert von **$2.890,0 \text{ Millionen US-Dollar (M\$)}$**.
Allerdings wird in der ARIES-I-Studie der Wert der **Gesamt-Über-Nacht-Kapitalkosten (Total Overnight Capital Cost, UBC)**, der alle direkten und indirekten Kosten *ohne* zeitbezogene Kosten (Zinsen und Eskalation während der Bauzeit, IDC und EDC) umfasst, mit **$3.104,1 \text{ M\$ (1988)}$** angegeben. Da dieser Wert die definierte Basis für die Kostenanalyse darstellt, wird die folgende prozentuale Aufschlüsselung auf der Basis dieser **UBC von $3.104,1 \text{ M\$ (1988)}$** dargestellt.
Die Gesamtkapitalkosten (Total Capital Cost, TCC) der Anlage betragen **$3.616,9 \text{ M\$}$**. Die Zeitkosten (Zinsen während der Bauzeit, IDC, und Eskalation während der Bauzeit, EDC, wobei EDC in der Konstante-Dollar-Analyse $0,0 \text{ M\$}$ beträgt) belaufen sich auf $512,8 \text{ M\$}$.
Der prozentuale Anteil der einzelnen Kostenkomponenten an den **Gesamt-Über-Nacht-Kapitalkosten (UBC) von $3.104,1 \text{ M\$}$** (1988) stellt sich wie folgt dar:
### 1. Aufschlüsselung der Hauptkostenkategorien
| Kostenkategorie | Kontonummer | Kosten (M\$, 1988) | Anteil an UBC ($3.104,1 \text{ M\$}$) |
| :--- | :--- | :--- | :--- |
| **Gesamte Direktkosten (TDC)** | 90 | **$2.140,7$** | **$69,0\%$** |
| **Gesamte Indirektkosten (TIC)** | 91, 92, 93, 94, 96 | **$963,4$** | **$31,0\%$** |
| **UBC (Gesamt)** | | **$3.104,1$** | **$100,0\%$** |
***
### 2. Aufschlüsselung der Direkten Kosten (TDC, $2.140,7 \text{ M\$}$)
Die direkten Kosten setzen sich aus sechs Hauptkonten (Acct. No. 20 bis 26) zusammen. **Der größte Kostentreiber ist die Reaktoranlagenausrüstung (Reactor Plant Equipment, RPE).**
| Direkte Kostenkategorie | Kontonummer | Kosten (M\$, 1988) | Anteil an TDC ($2.140,7 \text{ M\$}$) | Anteil an UBC ($3.104,1 \text{ M\$}$) |
| :--- | :--- | :--- | :--- | :--- |
| **Reaktoranlagenausrüstung (RPE)** | **22** | **$1.362,8$** | **$63,7\%$** | **$43,9\%$** |
| Turbinenanlagenausrüstung | 23 | $245,3$ | $11,5\%$ | $7,9\%$ |
| Strukturen und Standortanlagen | 21 | $339,3$ | $15,8\%$ | $10,9\%$ |
| Elektrische Anlagenausrüstung | 24 | $137,1$ | $6,4\%$ | $4,4\%$ |
| Verschiedene Anlagenausrüstung | 25 | $50,5$ | $2,4\%$ | $1,6\%$ |
| Land und Landrechte | 20 | $5,3$ | $0,2\%$ | $0,2\%$ |
| Spezielle Materialien | 26 | $0,6$ | $&lt;0,1\%$ | $&lt;0,1\%$ |
| **Summe TDC** | **90** | **$2.140,7$** | **$100,0\%$** | **$69,0\%$** |
***
### 3. Aufschlüsselung der Reaktoranlagenausrüstung (RPE, Acct. 22)
Die RPE (Konto 22) ist das teuerste Einzelkonto. Die Kosten für diese Komponente betragen $1.362,8 \text{ M\$}$.
| RPE-Unterkategorie | Kontonummer | Kosten (M\$, 1988) | Anteil an RPE ($1.362,8 \text{ M\$}$) | Anteil an UBC ($3.104,1 \text{ M\$}$) |
| :--- | :--- | :--- | :--- | :--- |
| **Magnete** | **22.1.3** | **$392,3$** | **$28,8\%$** | **$12,6\%$** |
| **Blanket und Erste Wand** | **22.1.1** | **$260,3$** | **$19,1\%$** | **$8,4\%$** |
| Hauptwärmetransfer- und Transportsystem | 22.2 | $229,7$ | $16,9\%$ | $7,4\%$ |
| Reaktorausrüstung (Gesamt) | 22.1 | $1.011,8$ | $74,2\%$ | $32,6\%$ |
| Ergänzende Heiz-/Stromantriebssysteme (CD) | 22.1.4 | $103,9$ | $7,6\%$ | $3,3\%$ |
| Abschirmung (Shield) | 22.1.2 | $77,3$ | $5,7\%$ | $2,5\%$ |
| Primärstruktur und -unterstützung | 22.1.5 | $63,6$ | $4,7\%$ | $2,0\%$ |
**Anmerkung zu den Magneten:** Die Kosten für die Magnete (Acct. 22.1.3) werden von den Toroidalfeldspulen (TF-Spulen) dominiert. Die **TF-Spulen** selbst haben geschätzte Kosten von **$\$392 \text{ M\$}$**. Die Kosten für die Stromantriebssysteme (CD) betragen **$\$104 \text{ M\$}$**. Der Gesamtpreis für die TF-Spulen wurde mit **$\$95/\text{kg}$** berechnet, da es sich um eine "zehnte Anlage" (*tenth-of-a-kind*) handelt.</t>
  </si>
  <si>
    <t>Die folgende umfassende Antwort bezieht sich ausschließlich auf die ARIES-I Tokamak Reactor Study, wie sie in den bereitgestellten Quellenauszügen (UCLA Report, 1991) dargelegt wird:
### 1. Welche Modellannahmen werden getroffen?
Die Modellannahmen lassen sich in physikalische, technologische und ökonomische Bereiche unterteilen:
#### A. Physikalische und technische Annahmen
*   **Betriebsmodus:** Es wird stationärer Betrieb (*steady-state operation*) angestrebt, um die Nachteile des gepulsten Betriebs (wie thermische Ermüdung und die Notwendigkeit eines thermischen Energiespeichers) zu vermeiden, was zu einer kürzeren Reaktorlebensdauer und höheren Kosten führen würde.
*   **Stabilitätsregime:** Das ARIES-I-Plasma operiert im **ersten Stabilitätsregime** (*first stability regime*). Der Betrieb im **zweiten Stabilitätsregime** (*second stability region*) wurde aufgrund des **Mangels an experimentellen Daten** ausgeschlossen.
*   **Beta-Limit:** Das toroidale Beta ($\beta$) wird durch die Troyon-Relation begrenzt. Der angenommene Troyon-Koeffizient beträgt $\mathbf{C_T = 0.032}$, was zu einem Plasma-Toroidal-Beta von $\mathbf{1.92\%}$ führt.
*   **Confinement:** Es wird keine spezifische Skalierungsregel angenommen, aber der ARIES-I-Designpunkt ist so gewählt, dass er einen Multiplikator des Goldston-L-Mode-Konfinementzeit ($\text{H}_{\text{Q}}$) von **2.2** und einen ITER-89P-Multiplikator von **2.6** erreicht.
*   **Stromantrieb:**
    *   Der **Bootstrap-Stromanteil ($f_{\text{BS}}$)** wird auf $\mathbf{0.68}$ maximiert, indem mit hohem Seitenverhältnis ($A=4.5$), niedrigem Plasmastrom ($\mathbf{I_p = 10.2 \text{ MA}}$) und hohem poloidalem Beta operiert wird.
    *   Der externe Stromantrieb erfolgt primär durch **Fast-Wave Current Drive (FWCD)**, dessen **Systemeffizienz $\mathbf{71\%}$** beträgt und eine moderate Strömungseffizienz ($\gamma$) von $0.33 \times 10^{20} \text{ A}/(\text{W} \cdot \text{m}^2)$ aufweist.
*   **Materialien und Engineering:** Es wird **$\text{SiC}$-Komposit** als Strukturmaterial verwendet. Die maximal zulässige Temperatur für $\text{SiC}$ beträgt $\mathbf{1100^{\circ}\text{C}}$. $\text{Li}_2\text{ZrO}_3$ wird als Brutmaterial verwendet (Betriebstemperaturfenster $400$ bis $1400^{\circ}\text{C}$).
*   **Magnete:** Es werden **ternäre $\text{Nb}_3\text{Sn}$ Supraleiter** verwendet, die eine maximale Feldstärke an der Spule von **$21 \text{ T}$** ermöglichen.
*   **Wärmeübertragung:** Die thermische Umwandlungseffizienz für Decke und Divertor ($\eta_{TH}$) wird aufgrund der hohen Austrittstemperatur des Heliumkühlmittels ($650^{\circ}\text{C}$) mit $\mathbf{0.49}$ angenommen.
#### B. Ökonomische und finanzielle Annahmen
*   **Kostenbasis:** Die Kosten basieren auf einer **Serienproduktion (zehnte Einheit)** (*"tenth-of-a-kind"*) und beinhalten Lernkurvengutschriften.
*   **Währung:** Die Kosten werden in **konstanten 1988 US-Dollar** und in *Then-Current-1994-Dollar* berechnet.
*   **Baudauer:** Eine Baudauer ($T_C$) von $\mathbf{6 \text{ Jahren}}$ wird angenommen.
*   **Verfügbarkeit:** Die angenommene Anlagenverfügbarkeit ($P_f$) beträgt **$0.76$**.
### 2. Welche Modell- und Kostenannahmen basieren auf tatsächlichen Erfahrungswerten und welche nur Schätzungen oder Prognosen? Welche Annahmen stammen woher?
| Annahme | Basis (Erfahrung/Schätzung) | Herkunft/Quelle |
| :--- | :--- | :--- |
| **Kosten-Scaling** | Basieren auf **Erfahrungswerten** der US-Kernspaltung (*U.S. fission nuclear-reactor experience*). | U.S. Fission Nuclear-Reactor Experience (z. B. Ref.). |
| **Ökonomische Methodik** | **Etablierte Methodik** des U.S. Fusion-Reactor-Community Standards. | Oak Ridge National Laboratory Berichte (z. B. Hamilton et al., 1985, Thomson, 1986). |
| **Plasma-Gleichgewicht** | **Erfahrung/Datenbasis** (Troyon-Limit) und Konsistenz mit experimentellen und theoretischen MHD-Stabilitätsanalysen. | PEST-2 Code, Troyon et al. (Ref.), NEQ Code. |
| **Bootstrap-Strom** | **Experimentell gestützt** und theoretisch modelliert. Der Bootstrap-Strom wurde in TFTR, JET und JT-60 beobachtet. | Hirshman (1988, Ref.) für Finite-Aspect-Ratio-Theorie. |
| **TF-Spulen (21 T)** | **Prognose/aggressive Extrapolation.** Das Material ($\text{Nb}_3\text{Sn}$-Ternär) ist nur in **"small laboratory samples"** (*kleinen Laborproben*) verfügbar. Der Entwurf erfordert ein **"significant development program"**. | Massachusetts Institute of Technology, ARIES Program. |
| **SiC-Komposite** | **Prognose/Schätzung.** Es werden **erwartete Leistungen** (*expected performance*) angenommen. Es fehlt eine Datenbasis zu Langzeiteffekten (z. B. Gas-induziertes Schwellen) und Herstellungstechniken (Vakuumdichtigkeit, Löten). | Direkte Konsultation von Herstellern (Amercom, Nipon Carbon, etc.). |
| **Divertor (High-Recycling)** | **Prognose/Schätzung.** Der Hoch-Recycling-Modus wurde **nicht bei reaktorrelevanten Parametern demonstriert**. Die Vorhersage basiert auf den **2D-Codes BRAAMS und EPIC**, die auf experimentellen Daten kalibriert wurden. | BRAAMS Code (Ref.), EPIC Code (Ref.). |
| **Pellet-Injektion** | **Prognose/Schätzung.** Pelletgeschwindigkeiten von $4$ bis $5 \text{ km/s}$ erfordern **Technologie, die nur in Einzel-Schuss-Modi demonstriert** wurde. Die benötigte Eindringtiefe ist **nicht durch experimentelle Daten bewiesen**. | Entwicklungsstudien am Oak Ridge National Laboratory (ORNL). |
### 3. Falls externe Quellen für die Modell- und Kostenannahmen verwendet wurden – wurden diese modifiziert? Falls ja, wie?
Ja, externe Quellen und Methoden wurden modifiziert oder adaptiert:
*   **Kosten-Datenbank-Skalierung:** Die Einheitskosten der primären Quelle (GENEROMAK) basierten auf 1986-Dollar. Diese wurden mithilfe des Multiplikators **1.424 auf 1988-Dollar hochgerechnet**.
*   **Finanzielle Parameter:** Die Methode zur Berechnung der zeitbezogenen Kosten (IDC/EDC) wurde angepasst und weicht vom alten U.S.-Standard ab. Sie folgt nun dem **"pending standard for U.S. fusion-reactor studies"**.
*   **Transportmodell:** Das verwendete **BALDUR**-Transportmodell wurde von Houlbergs Modellierungsarbeit am CIT (**Compact Ignition Torus**) **adaptiert**.
*   **Synchrotron-Strahlungsverlust:** Der Code musste einen Verlustterm für **Synchrotron-Strahlung** integrieren, der für die $\text{SiC}$-Erste-Wand (mit niedriger Reflektivität $\mathcal{R} \approx 0.41$) korrigiert wurde. Es wurde das **LAGM**-Modell (*Local Application of the Global Model*) in den BALDUR-Code integriert, da die rigoroseren Codes (wie CYTRAN) zu zeitaufwendig waren. Die Ergebnisse des einfacheren LAGM-Modells wurden gegen CYTRAN **benchmarked**.
*   **Boot-Strap-Modell:** Das in das Gleichgewichtsmodell RIP integrierte Bootstrap-Strom-Modell verwendet die **neuere Theorie von Hirshman**, die die älteren Hinton- und Hazeltine-Ergebnisse korrigiert, um Finite-Aspect-Ratio-Effekte genauer zu behandeln.
### 4. Wie lautet die Annahme zu Lernraten?
Die Annahme zur Lernrate ist in Form einer Kostenreduktionsgutschrift für die Serienfertigung formuliert:
*   Es wird explizit eine **Lernkurven- oder Massenproduktionsgutschrift für eine 'zehnte Einheit'** (*"tenth-of-a-kind"*) einer kommerziellen Reaktorinstallation angenommen.
*   Nominal entspricht dies einer **Kostenreduktion von $\sim 50\%$ im Vergleich zu den Anfangskosten** (*initial costs*), basierend auf etwa $\mathbf{3.3}$ **Verdopplungen der Produktion**.
### 5. Wie wurden die Annahmen zu den Lernraten hergeleitet bzw. von wo stammen diese Annahmen?
Die quantifizierte Annahme (50% Kostenreduktion nach 3.3 Verdopplungen) wird nicht explizit in den vorliegenden Auszügen hergeleitet.
*   **Implizite Herleitung:** Die verwendeten Kosten-Scaling-Exponenten ($e_j$) sind jedoch **typischerweise konsistent mit denen der US-Kernspaltungs-Erfahrung**. Diese Skalierungsexponenten repräsentieren die Einbeziehung der **Qualitätskontrollkosten** (*quality-control costs*) im Zusammenhang mit N-Stamped-Komponenten (*nuclear-grade*).
*   Die Kostenbasis für die ARIES-I-Berechnungen wurde vom **STARFIRE-Ansatz** (der ebenfalls von einer zehnten Einheit ausging) beeinflusst und durch die **GENEROMAK**-Kostenmodelle von ORNL (Oak Ridge National Laboratory) weiterentwickelt.
### 6. Wird offengelegt, ob die Kostenabschätzung auf einem Bottom-up-, Top-down- oder hybriden Ansatz basiert?
**Nein, die Begriffe Bottom-up, Top-down oder Hybrid werden nicht explizit genannt** [1–418].
*   **Implizite Struktur:** Die Kostenabschätzung nutzt jedoch eine **hybride, systemanalytische Struktur**:
    1.  Die direkten Kosten ($C_i$) werden detailliert berechnet, indem der **berechnete Verbrauch** (*calculated usage*) von Komponenten (Masse, Volumen) mit geschätzten **Einheitskosten** ($u_i$) multipliziert wird. Dies ist ein starker Indikator für einen **Bottom-up-Ansatz**.
    2.  Diese detaillierten Ingenieursdaten werden in den **ARIES-System-Code** eingespeist, dessen Logik Physik-, Technologie- und Kostenmodule kombiniert, um iterativ das COE zu minimieren.
### 7. Beruht die Kostenherleitung auf physikalischen und technologischen Werten?
**Ja.** Die gesamte ARIES-I-Designphilosophie basiert auf der **symbiotischen Integration von Physik, Engineering und Energiewirtschaft**.
*   **Physikalische Wertschöpfung:** Der niedrige Stromgestehungspreis (COE) ist das direkte Ergebnis von **physikalischen Hochleistungswerten**, wie dem hohen **Bootstrap-Stromanteil** ($f_{BS} = 0.68$), der die extern benötigte Antriebsleistung (PCD) und damit die Kosten senkt.
*   **Technologische Notwendigkeit:** Um das benötigte Plasma-Beta und die Leistungsdichte zu erreichen, wurde ein **hohes Magnetfeld ($21 \text{ T}$)** und damit die Verwendung des **ternären $\text{Nb}_3\text{Sn}$** erforderlich, was die Kapitalkosten direkt beeinflusst. Die Kosten der Magnete (Acct. 22.1.3) machen den größten Anteil der Reaktoranlagenausrüstung aus.
*   Die **Wartungskosten** werden durch die **langlebigen, niedrig aktivierenden $\text{SiC}$-Komposite** beeinflusst, da diese zu einem modularisierten Wartungsansatz beitragen.
### 8. Werden Materialkosten und Komponentenkosten separat ausgewiesen?
**Ja, beide werden ausgewiesen:**
*   **Komponentenkosten:** Die Studie liefert eine detaillierte Aufschlüsselung der **Über-Nacht-Kapitalkosten (UBC)** nach Kontonummern (Acct. No. 20–96), wobei die größten Komponenten aufgeführt sind. Zum Beispiel: **Reaktoranlagenausrüstung** ($1.362,8 \text{ M\$}$), **Magnete** ($392,3 \text{ M\$}$), **Blanket und Erste Wand** ($260,3 \text{ M\$}$).
*   **Materialkosten (Einheitskosten):** Die direkten Kosten basieren auf **Einheitskosten** (*unit costs*), die für Schlüsselmaterialien angegeben werden. Zum Beispiel:
    *   $\text{Nb}_3\text{Sn}$ Supraleiter: **$\$90.0/\text{kg}$**.
    *   $\text{SiC}$-Komposite (Blanket): $\mathbf{\$400/\text{kg}}$.
    *   $\text{SiC}$ (Abschirmung): $\mathbf{\$50/\text{kg}}$.
    *   Strukturmaterialien ($\text{Incoloy}$-Platten, fertiggestellt): **$\$75/\text{kg}$** (für die zehnte Anlage).
### 9. Bezieht sich die Studie auf ein Energiesystem (z. B. Integration, Vergleich mit anderen Technologien) oder ist sie rein bezogen auf die Kosten des Kraftwerks und des Reaktors?
Die Studie konzentriert sich primär auf die **Kosten des Kraftwerks und des Reaktors**, stellt diese jedoch in den Kontext des Energiesystems durch den Vergleich mit anderen Technologien und die Berücksichtigung von Systemvorteilen:
*   **COE als Optimierungsziel:** Die Hauptaktivität ist die Bestimmung und Minimierung des COE für ARIES-I, wobei der Fokus auf dem Fusionsleistungskern (FPC) liegt.
*   **Vergleichsbasis:** Das COE wird direkt mit den Kosten von **Kernspaltungsreaktoren mittlerer Erfahrung** ($\mathbf{78 \text{ mill/kWh}}$) und **Kohlekraftwerken** ($\mathbf{50 \text{ mill/kWh}}$) verglichen, die auf derselben Kostenbasis berechnet wurden.
*   **Systemische Vorteile des steady-state Betriebs:** Der stationäre Betrieb bietet Kosteneinsparungen durch **"elimination of thermal power storage"** (Eliminierung thermischer Energiespeicherung) und höhere Verfügbarkeit, was ein systemischer Vorteil gegenüber gepulsten Reaktoren ist.
*   **Sicherheits- und Umweltmerkmale:** Die Studie befasst sich detailliert mit der Sicherheit (z. B. geringe $\text{CO}_2$-Emissionen) und den potenziellen externen Kosten, die für die Wettbewerbsfähigkeit der Fusion entscheidend sind.
### 10. Welche Kostenreduktionspotenziale oder wirtschaftlichen Optimierungsansätze werden thematisiert?
*   **Serienproduktion:**24, 61, 137].
    *   **MPD-Steigerung:** Die Nutzung des hohen Magnetfelds ($21 \text{ T}$) kompensiert das niedrige $\beta$ und führt zu einer FPC-Massenleistungsdichte (MPD) von **$99 \text{ kWe/Tonne}$**, was die Größe (und Masse) des Fusionsleistungskerns reduziert.
*   **Technologische Effizienz:** Einsatz eines **Advanced Rankine Steam Cycle** mit $\mathbf{49\%}$ Brutto-thermischer Effizienz, um die elektrische Leistung zu maximieren.
*   **Sicherheits-Gutschriften (Potenziell):**
    *   Die **Inhärente Sicherheit** des Designs (durch niedrig aktivierende Materialien wie $\text{SiC}$ und isotopisch angereichertes $\text{Zr}$ und $\text{W}$) erlaubt möglicherweise den Verzicht auf **ASME N-Stamped-Komponenten**. Obwohl diese Gutschriften in den Basis-COE ($65.3 \text{ mill/kWh}$) **nicht enthalten** waren, könnten sie das COE um **$20\%$ bis $25\%$** senken.
### 11. Was sind die signifikantesten Kostentreiber und ökonomischen Herausforderungen laut Studie?
#### A. Signifikanteste Kostentreiber (Dominanz der FPC-Komponenten)
Die **Reaktoranlagenausrüstung (RPE, Acct. 22)** ist der größte Kostentreiber und macht $\mathbf{63\%}$ der gesamten Direktkosten aus. Innerhalb der RPE dominieren:
1.  **Magnete (TF-Spulen, Acct. 22.1.3):** $\mathbf{392,3 \text{ M\$}}$. Die Kosten der Magnete (dominiert durch die $\text{TF}$-Spulen) bleiben hoch, da sie durch die Forderung nach $21 \text{ T}$ und die Nutzung von $\text{Nb}_3\text{Sn}$ bestimmt werden.
2.  **Blanket und Erste Wand (Acct. 22.1.1):** $\mathbf{260,3 \text{ M\$}}$.
3.  **Hauptwärmetransfer- und Transportsystem (Acct. 22.2):** $\mathbf{229,7 \text{ M\$}}$.
#### B. Ökonomische und technologische Herausforderungen
*   **R&amp;D-Intensität:** Die Kostenreduktion und Wettbewerbsfähigkeit hängen von **technologischen Fortschritten** ab, die zum Zeitpunkt der Studie **unbewiesen** sind und **"signifikante Entwicklungsprogramme"** erfordern. Dazu gehören die Entwicklung des $\mathbf{21 \text{ T}}$ **$\text{Nb}_3\text{Sn}$-Magnetleiters**, die **Fertigung großer $\text{SiC}$-Komponenten** (angenommene Kosten $\mathbf{\$400/\text{kg}}$) und die Entwicklung **Hochgeschwindigkeits-Pellet-Injektoren**.
*   **Wettbewerbsfähigkeit:** Obwohl ARIES-I die Kosten im Vergleich zu früheren konventionellen Tokamak-Studien um den Faktor zwei senkt, ist das projizierte COE ($\mathbf{65.3 \text{ mill/kWh}}$) nur **vergleichbar mit Kernspaltungsreaktoren mittlerer Erfahrung** und **teurer** als optimierte Kernspaltungs- und Kohlekraftwerke (ohne Berücksichtigung externer Kosten).
*   **Unbewiesene Betriebsmodi:** Die Erreichung des niedrigen COE hängt von der erfolgreichen Demonstration des **Hoch-Recycling-Modus des Divertors** und der **Plasma-Leistung** (z. B. $H_Q = 2.2$) ab, deren Modelle und Annahmen große Unsicherheiten aufweisen.
*   **Externe Komplexität (Pulsbetrieb):** Der stationäre Betrieb führt zu einer **Eliminierung der Kapitalkosten-Penaltys** ($\mathbf{\sim 400 \text{ M\$}}$) für thermische Speicherung und Stromversorgung, die bei gepulstem Betrieb anfallen würden. Die Aufrechterhaltung des steady-state Betriebs erfordert jedoch eine hohe Effizienz des Stromantriebs.</t>
  </si>
  <si>
    <t>Die ARIES-I-Studie (Cooke et al., 1991) vergleicht die projizierten Kosten des ARIES-I-Reaktors mit denen anderer Energieerzeugungsquellen, um die ökonomische Wettbewerbsfähigkeit des Designs zu bewerten.
### Vergleichsbasis: Zukunftsgerichtete Projektionen
Die Kosten der Vergleichstechnologien basieren auf **zukunftsgerichteten Projektionen** und optimierten, standardisierten Szenarien, nicht auf historischen Werten.
Die Kostenabschätzung für ARIES-I verwendet eine **moderne Methodik** (*modern methodology*), die zu diesem Zeitpunkt zur Bewertung eines breiten Spektrums nuklearer und fossiler Energiequellen herangezogen wurde. Der Vergleich stützt sich auf eine **gemeinsame Kostenbasis** (*same cost-accounting basis*).
*   Die Kosten für die Kernspaltung und Kohle werden aus der **Nuclear Energy Cost Data Base** abgeleitet.
### Ergebnisse des Kostenvergleichs
Die Kosten des ARIES-I-Designs werden anhand der **Stromgestehungskosten (COE)** in konstanten 1988-Dollar verglichen. Die ARIES-I-Anlage, die als **10th-of-a-kind** konzipiert ist, erreicht ein projiziertes COE von $\mathbf{65.3 \text{ mill/kWh}}$.
Das Ergebnis des Vergleichs mit konkurrierenden Technologien ist wie folgt:
1.  **Kernspaltungsreaktoren (Fission):**
    *   Das ARIES-I COE ($\mathbf{65.3 \text{ mill/kWh}}$) ist **vergleichbar** (*comparable*) mit den entsprechenden Werten für **Kernspaltungsreaktoren mittlerer Erfahrung** (*median-experience fission pressurized-water reactors*), deren COE bei $\mathbf{78 \text{ mill/kWh}}$ liegt.
    *   Das ARIES-I COE ist **teurer** (*more expensive*) als Kernspaltungsreaktoren **bester Erfahrung** (*better experience*), deren projizierte Kosten bei $\mathbf{46 \text{ mill/kWh}}$ liegen.
2.  **Kohlekraftwerke (Coal):**
    *   Das ARIES-I COE ($\mathbf{65.3 \text{ mill/kWh}}$) ist ebenfalls **teurer** (*more expensive*) als die projizierten Kosten für optimierte **Kohlekraftwerke** (*coal-fired plants*), deren COE bei $\mathbf{50 \text{ mill/kWh}}$ liegt.
**Wichtiger Hinweis zur Wettbewerbsfähigkeit:**
Die Studie stellt fest, dass die ARIES-I-Kosten zwar über denen der besten Kernspaltungs- und Kohlekraftwerke liegen, diese Vergleichswerte jedoch **"nicht die externen, versteckten Kosten berücksichtigen, die mit der Nutzung von Kernspaltungs- und fossilen Brennstoffen verbunden sind"** (*not including external, hidden costs associated with the use of both fission and fossil fuels*).
Es wird erwartet, dass potenzielle Fortschritte in der Tokamak-Physik, wie der Betrieb im zweiten Stabilitätsregime, die Wirtschaftlichkeit von Fusionsreaktoren weiter verbessern können, was im **ARIES-II-Design** untersucht werden sollte.</t>
  </si>
  <si>
    <t>Probably NOAK since fission plants mentioned as NOAK
maybe 10th-OAK due to learning curve stabilization</t>
  </si>
  <si>
    <t>Ihre Berechnung der "bereinigten OCC" (Overnight Construction Costs) bezieht sich auf die in der Delene (1991)-Studie analysierten Fusionskraftwerke des Typs **V-Li/TOK (Vanadium-Lithium/Tokamak)**.
Da die **Overnight Construction Costs (OCC)** in der Quelle als **"Total overnight cost" (UBC)** bezeichnet werden und bereits **ohne** Zinsen während der Bauzeit (IDC) angegeben sind, gehe ich davon aus, dass Sie die "Total overnight cost" der jeweiligen Designs als Basis für die prozentuale Aufschlüsselung wünschen.
Die Studie liefert detaillierte Kostenaufschlüsselungen für zwei Annahmen zum V-Li/TOK-Reaktor, die sich in ihrem Sicherheits-Assurance-Level (LSA) unterscheiden: LSA-4 (mehr aktive Sicherheitssysteme) und LSA-3 (passiv sicher).
### 1. V-Li/TOK LSA-4 (Basis: $\mathbf{3.410 \text{ Mio. \$}}$ UBC)
Dies entspricht dem Wert, der sich aus der ersten von Ihnen genannten Zahl ableiten lässt ($\mathbf{3410 \text{ Millionen 1990-Dollar}}$).
| Kostenkategorie | Kosten (M\$ 1990) | Anteil an UBC ($3.410 \text{ M\$}$) |
| :--- | :--- | :--- |
| **I. Gesamte Direktkosten (Total Direct Costs)** | **$1.923$** | **$56,4\%$** |
| II. Indirekte Kosten (Indirect Costs) | $930$ | $27,3\%$ |
| III. Eventualitäten/Unsicherheitszuschlag (Contingency) | $557$ | $16,3\%$ |
| **Gesamte UBC (Total Overnight Cost)** | **$3.410$** | **$100,0\%$** |
#### Aufschlüsselung der Direktkosten (I.)
| Unterkategorie | Kosten (M\$ 1990) | Anteil an UBC ($3.410 \text{ M\$}$) |
| :--- | :--- | :--- |
| Reaktoranlagenausrüstung (*Reactor plant equipment*) | $1.041$ | **$30,5\%$** |
| Strukturen und Verbesserungen (*Struct. and impr.*) | $381$ | $11,2\%$ |
| Turbinenanlagenausrüstung (*Turbine plant equipment*) | $253$ | $7,4\%$ |
| Elektrische Anlagenausrüstung (*Electric plant equipment*) | $127$ | $3,7\%$ |
| Sonstige Anlagenausrüstung (*Misc. plant equipment*) | $53$ | $1,6\%$ |
| Wärmerückweisungssystem (*Heat reject system*) | $18$ | $0,5\%$ |
| Land und Landrechte (*Land and land rights*) | $10$ | $0,3\%$ |
***
### 2. V-Li/TOK LSA-3 (Basis: $\mathbf{3.016 \text{ Mio. \$}}$ UBC)
Dies entspricht dem Wert, der sich aus der zweiten von Ihnen genannten Zahl ableiten lässt ($\mathbf{3016 \text{ Millionen 1990-Dollar}}$). Diese Anlage hat aufgrund ihres höheren Sicherheits-Assurance-Levels (LSA-3) geringere Bau- und Strukturkosten als LSA-4.
| Kostenkategorie | Kosten (M\$ 1990) | Anteil an UBC ($3.016 \text{ M\$}$) |
| :--- | :--- | :--- |
| **I. Gesamte Direktkosten (Total Direct Costs)** | **$1.780$** | **$59,0\%$** |
| II. Indirekte Kosten (Indirect Costs) | $767$ | $25,4\%$ |
| III. Eventualitäten/Unsicherheitszuschlag (Contingency) | $469$ | $15,6\%$ |
| **Gesamte UBC (Total Overnight Cost)** | **$3.016$** | **$100,0\%$** |
#### Aufschlüsselung der Direktkosten (I.)
| Unterkategorie | Kosten (M\$ 1990) | Anteil an UBC ($3.016 \text{ M\$}$) |
| :--- | :--- | :--- |
| Reaktoranlagenausrüstung (*Reactor plant equipment*) | $991$ | **$32,9\%$** |
| Strukturen und Verbesserungen (*Struct. and impr.*) | $313$ | $10,4\%$ |
| Turbinenanlagenausrüstung (*Turbine plant equipment*) | $253$ | $8,4\%$ |
| Elektrische Anlagenausrüstung (*Electric plant equipment*) | $107$ | $3,5\%$ |
| Sonstige Anlagenausrüstung (*Misc. plant equipment*) | $49$ | $1,6\%$ |
| Wärmerückweisungssystem (*Heat reject system*) | $17$ | $0,6\%$ |
| Land und Landrechte (*Land and land rights*) | $10$ | $0,3\%$ |
***
*Anmerkung:* Der Hauptkostentreiber für die Fusionsanlagen ist das **Reaktoranlagenausrüstung (RPE)**-Konto. In den V-Li/TOK-Modellen macht dieses Konto (RPE) zwischen $\mathbf{30,5\%}$ (LSA-4) und $\mathbf{32,9\%}$ (LSA-3) der gesamten Overnight-Baukosten aus.</t>
  </si>
  <si>
    <t>Die Studie von J. G. Delene (1991) vergleicht die prognostizierten Kosten der Fusionsreaktoren mit denen anderer Technologien, um deren wirtschaftliche Wettbewerbsfähigkeit zu bewerten.
### Vergleichsbasis: Zukunftsgerichtete Projektionen
Der Vergleich basiert auf **zukunftsgerichteten Projektionen** der Kosten für die **"zweite Hälfte des nächsten Jahrhunderts"**. Es wird **nicht** mit historischen Werten verglichen, sondern mit optimierten, fortgeschrittenen Anlagen, die in dem Zeitrahmen verfügbar sein sollen, in dem Fusion zu einer Option wird.
*   **Kernspaltung (Fission):** Es werden **fortgeschrittene Konzepte** (*advanced fission concepts*) wie die *Advanced Light Water Reactors* (ALWRs), der *Improved Pressurized Water Reactor* (IPWR) und der *Advanced, passively safe plant* (APWR) berücksichtigt.
*   **Kohle:** Es wird eine **fortschrittliche Bauweise** (*advanced design*) eines kohlebefeuerten Kraftwerks betrachtet, nämlich die *Atmospheric Circulating Fluidized Bed* Anlage.
*   **Zeitrahmen:** Alle Anlagen werden so behandelt, als ob sie im **Jahr 2025** den Betrieb aufnehmen würden.
Die Analyse wurde unter Verwendung einer **konsistenten ökonomischen Methodik** durchgeführt, die für Studien über Kernspaltungsanlagen entwickelt wurde, um einen validen Vergleich zu gewährleisten.
### Ergebnisse des Kostenvergleichs
Die Ergebnisse werden in den nivellierten Stromgestehungskosten (Levelized COE) in **1990er US-Dollar (mills/kWh)** zusammengefasst:
| Anlagentyp | COE (mills/kWh, 1990) |
| :--- | :--- |
| **Fusion (V-Li/TOK)** | **$60$** (unter optimistischen Annahmen zur Brennstoffbilanz) |
| **Fusion (ARIES-1)** | **$74$** |
| **Fission (IPWR, 1200 MWe)** | **$43$** (beste Erfahrung) |
| **Fission (APWR, 2x600 MWe)** | **$45$** |
| **Fission (PWR-BE, 1200 MWe)** | **$54$** (bessere aktuelle Erfahrung) |
| **Kohle (2x600 MWe)** | **$58$** (bei $2.50/\text{GJ}$ Kohlepreis) |
| **Kohle (Bereich)** | **$53 - 69$** (bei $2-3/\text{GJ}$ Kohlepreis) |
#### Zusammenfassende Schlussfolgerungen der Studie:
*   **Fusionskosten im Vergleich zur Kernspaltung:** Die geschätzten COEs für Fusion liegen im Bereich von $\mathbf{59 - 74 \text{ mills/kWh}}$, während die COEs für zukünftige Kernspaltungsreaktoren im Bereich von $\mathbf{43 - 54 \text{ mills/kWh}}$ geschätzt werden. Die Fusionskosten sind damit **größer** (*greater*) als die der fortgeschrittenen Kernspaltung.
*   **Fusionskosten im Vergleich zur Kohle:** Die Fusionskosten ($59 - 74 \text{ mills/kWh}$) sind **größer** als die Basisprojektion für Kohle ($53 - 69 \text{ mills/kWh}$).
*   **Wettbewerbsfähigkeit und Umweltrisiko:** Obwohl die geschätzten COEs für Fusion höher sind als die von Kernspaltung oder Kohle, sind die Kosten **"not so high as to preclude fusion's competitiveness as a safe and environmentally sound alternative"**. Fusion bietet eine **sichere und umweltfreundliche Alternative** für den Fall, dass die wirtschaftlicheren Alternativen unakzeptabel werden.
*   **Implizite Kosten (Externe Kosten):** Die Studie erwähnt, dass die Kostenreduktionen, die für die fortgeschrittenen Spaltungsreaktoren prognostiziert werden, möglicherweise nicht vollständig realisiert werden, und weist darauf hin, dass Kohle und Kernspaltung **Umwelt- und Sicherheitsbedenken** haben, die die Akzeptanz und zukünftige Kosten erhöhen könnten (z. B. $\text{CO}_2$-Emissionen bei Kohle, Endlagerung von hochradioaktivem Abfall bei Kernspaltung).</t>
  </si>
  <si>
    <t>Gerne beantworte ich Ihre detaillierte Anfrage zu den Modell- und Kostenannahmen der Analyse von Lindley et al. (2023).
### 1. Welche Modellannahmen werden getroffen?
Die Modellierung konzentriert sich auf **magnetisch eingeschlossene Fusionsreaktoren (Tokamaks)** und stützt sich auf ökonomische und technische Annahmen, die größtenteils von externen konzeptionellen Studien abgeleitet sind.
**a) Ökonomische Annahmen:**
*   **Diskontierungssätze (Discount Rates):** Es werden drei Szenarien untersucht, um die Finanzierung zu modellieren:
    1.  **9%:** Typisch für neuartige, unbewiesene Technologie.
    2.  **7%:** Private Renditen für reifere Technologie.
    3.  **5%:** Vollständig oder teilweise staatlich finanziert bei ausgereifter Technologie.
*   **Betriebszeit und Kapazitätsfaktor (Capacity Factor):** Die LCOE-Berechnung basiert auf der Annahme eines **80%-Kapazitätsfaktors** [Tabelle, letzte Antwort] sowie einer **40-jährigen Lebensdauer** (*lifetime*) [Tabelle, letzte Antwort].
*   **Kostenbasis:** Alle Kosten sind auf die Ökonomie von **2020** umgerechnet.
*   **Modellierung der Reife:** Die zentralen Kostenvergleiche basieren auf der **10. Einheit (10th-of-a-kind)** der großen Reaktoren.
**b) Physikalische und Technologische Annahmen (Fallstudien):**
Die Studie vergleicht zwei Hauptkategorien von Tokamak-Designs, abgeleitet von den PPCS-Studien:
| Design-Kategorie | Merkmale (Technologische Readiness) | Beispiel |
| :--- | :--- | :--- |
| **Early Large** ($\sim 1.5 \text{ GWe}$) | Geringere Effizienz (z. B. $31\%–36\%$), gepulster Betrieb, Dampfkreislauf, aktuelle Materialien. | PPCS (A) und (B) |
| **Advanced Large** ($\sim 1.5 \text{ GWe}$) | Höhere Effizienz (z. B. $42\%–60\%$), Dauerbetrieb (*steady state*), Gas-Kreislauf, fortschrittliche Materialien. | PPCS (C) und (D), ARIES-Designs |
| **Small** ($\sim 100 \text{s MWe}$) | ARC-ähnliche, kompakte Designs, die hohe Temperatur-Supraleiter nutzen, um hohe Leistungsdichte zu erreichen. | ARC-, ARC+ |
### 2. Welche Modell- und Kostenannahmen basieren auf tatsächlichen Erfahrungswerten und welche nur Schätzungen oder Prognosen? Welche Annahmen stammen woher?
Die Modellierung basiert größtenteils auf **Prognosen und Schätzungen** (*estimates*), die aus konzeptionellen Studien abgeleitet wurden. **Tatsächliche Erfahrungswerte** stammen aus historischen Daten von Supraleitern und Kernspaltung.
| Annahme/Komponente | Basis (Quelle) | Art |
| :--- | :--- | :--- |
| **Kapitalkosten-Basis** | **Han and Ward (2009)**, basierend auf dem **CCFE PROCESS Code**. | Prognose / Schätzung (für 10. Einheit) |
| **Kostenverteilung (Direktkosten)** | **Entler et al. (2018)**. | Schätzung (Modellannahme) |
| **BOP und Gebäude-Skalierung** | **Carelli et al. (2009, 2010)** und **US DOE Data**. | Erfahrungswerte/Skalierung von Kernspaltung |
| **Magnetkosten-Skalierung** | **Green et al. (2007)**. | Erfahrungswerte (historische Kostenentwicklung von Supraleitermagneten) |
| **O&amp;M-Kosten** | **Han and Ward (2009)** und **Sheffield, Milora**. | Schätzung / Prognose |
| **Lernrate** | **Energy Sector Data** und **McDonald, Schrattenholzer (2001)**. | Erfahrungswerte (Energieindustrie) |
| **Bauzeit (Build Schedule)** | Historische Daten von ITER und Wendelstein 7-X, sowie **Chatto (2021)**. | Schätzung/Trend (Extrapolation von Experimenten) |
### 3. Falls externe Quellen für die Modell- und Kostenannahmen verwendet wurden – wurden diese modifiziert? Falls ja, wie?
**Ja,** die externen Quellen wurden für die Skalierungsanalyse **modifiziert und aggregiert**:
*   **Aggregation der Kostenstruktur:** Die detaillierte Kostenverteilung von **Entler et al. (2018)** (Tabelle 6) wird aggregiert in die vier Hauptkategorien **Magnetsystem ($\mathbf{37\%}$), Reaktorsystem ($\mathbf{21\%}$), Power Conversion/BOP ($\mathbf{25\%}$) und Gebäude ($\mathbf{17\%}$)**, die dann für das Scaling verwendet werden.
*   **Modifizierte Power Scaling:** Die allgemeine Leistungs-Skalierung wird durch die **Leistungsdichte** (*power density*) modifiziert:
    *   Die Skalierung für das **Reaktorsystem** ($S_{reactor}$) und die **Gebäude** ($S_{building}$) wird **zusätzlich** durch das Verhältnis der spezifischen Plasma-Oberfläche ($A/A_0$) dividiert, um die Auswirkungen höherer Leistungsdichten in neueren Designs (wie ARC) zu berücksichtigen.
    *   Die Skalierung erfolgt basierend auf der **Fusionsleistung** (*fusion power*) und nicht auf der elektrischen Leistung, da die Reaktoren unterschiedliche Umwandelungseffizienzen und Umwälzleistungsverhältnisse haben.
*   **Definition der ARC-Designs:** Die ARC-Designs basieren auf **Sorbom et al. (2015)**, aber die Autoren definieren zwei hypothetische Fälle (ARC- und ARC+), um die Auswirkungen von Effizienz und Verfügbarkeit zu testen. ARC- nimmt die **niedrigere Effizienz** und die **häufigeren Komponentenaustausche** (*replacement every two years*) früher Groß-Tokamaks an, während ARC+ die vollen **Advanced Design**-Vorteile annimmt.
### 4. Wie lautet die Annahme zu Lernraten?
Die Hauptannahme zur **Produktionslernrate (Production Learning Rate)** beträgt **$\mathbf{10\%}$**.
*   Dies bedeutet, dass die Kapitalkosten bei einer Verdoppelung der produzierten Einheiten um etwa $\mathbf{10\%}$ sinken.
*   **Auswirkung:** Diese Rate führt zu einer **$\mathbf{30\%}$-Kapitalkostenreduktion** für die **10. Einheit** im Vergleich zur FOAK-Anlage.
*   Für das **Advanced Small**-Design, bei dem eine Flotte von **75 Einheiten** zur Erreichung der gleichen Kapazität (15 GWe) angenommen wird, beträgt die Kostenreduktion $\mathbf{48\%}$.
*   Zusätzlich wird eine Sensitivitätsanalyse mit einer **höheren Lernrate von $\mathbf{15\%}$** für das Magnetsystem des Small Design durchgeführt, um das Potenzial neuer Technologien zu zeigen.
### 5. Wie wurden die Annahmen zu den Lernraten hergeleitet bzw. von wo stammen diese Annahmen?
Die Lernraten-Annahme von **$\mathbf{10\%}$** basiert auf **Erfahrungswerten aus dem Energiesektor**.
*   Die Autoren stützen sich auf **"energy sector data"** und auf ähnliche frühere Schätzungen, die auf Studien von **Han und Ward (2009)** beruhen.
*   Han und Ward verwendeten wiederum eine **'Wright' Produktions-Fortschrittsrate von 90%** (was einer Lernrate von $10\%$ entspricht, da $100\% - 90\% = 10\%$). Diese Rate ist konsistent mit den Fortschrittsraten der **"energy industry"** aus der Referenz **McDonald, Schrattenholzer (2001)**.
### 6. Wird offengelegt, ob die Kostenabschätzung auf einem Bottom-up-, Top-down- oder hybriden Ansatz basiert?
**Indirekt Ja, es wird ein hybrider Ansatz verwendet.**
*   Die **Basis-Kosten** für die Referenzreaktoren (z. B. PPCS und ARIES) stammen aus früheren Studien, die hauptsächlich den **PROCESS Fusion Reactor Design Code** (UKAEA) verwendeten. Dies ist typischerweise ein **Bottom-up**-Systemcode, der detaillierte technische Komponenten und physikalische Parameter nutzt, um die Kosten der Anlage zu schätzen.
*   Die vorliegende Studie verwendet dann einen **hybriden Skalierungsansatz**:
    *   Sie verwendet eine **Referenz-Basislinie** (*Cref*) von **Han und Ward (2009)**.
    *   Anschließend wird ein **hybrides Top-down-Scaling-Modell** angewendet, indem Skalierungsfaktoren ($\Sigma f_i S_i$) auf die vier Hauptkostenkategorien des Referenzdesigns angewendet werden.
    *   Diese Skalierungsfaktoren selbst basieren sowohl auf **physikalischen Werten** (Magnetenergie $E$, Fusionsleistung $F$, Plasma-Oberfläche $A$) als auch auf **Bottom-up-Skalierungsexponenten** aus der Kernspaltungs-Literatur (z. B. $n^{0.53}$, $n^{0.59}$), die für Balance-of-Plant-Komponenten verwendet werden.
### 7. Beruht die Kostenherleitung auf physikalischen und technologischen Werten?
**Ja, die Kostenherleitung beruht stark auf physikalischen und technologischen Werten**, insbesondere bei der Skalierung der Reaktorkomponenten:
*   **Magnetkosten:** Skalieren mit der Magnet-Speicherenergie $E$ hoch $\mathbf{0.6}$. Die gespeicherte Energie $E$ ist proportional zu $B^2V$ ($B$ = Magnetfeld, $V$ = Plasma-Volumen).
*   **Reaktorsystem-Kosten:** Skalieren mit der **Fusionsleistung** ($F$) und werden durch die **spezifische Oberfläche des Plasmas** ($A$) dividiert, um die Auswirkungen der **Leistungsdichte** zu berücksichtigen. Neuere Designs haben höhere Leistungsdichten (z. B. ARC mit $3.2–3.7 \text{ MW}_{Fus}/\text{m}^3$).
*   **Technologische Unterschiede:** Die Kapitalkosten variieren stark je nach technologischem Reifegrad: Advanced Designs nutzen **höhere Plasma-Effizienz** und **höhere thermodynamische Effizienz** (z. B. Gas-Kreislauf statt Dampf).
### 8. Werden Materialkosten und Komponentenkosten separat ausgewiesen?
**Materialkosten werden nicht systematisch separat ausgewiesen, aber die Kosten für Schlüsselkomponenten werden detailliert diskutiert:**
*   **Supraleiter-Materialien:** Die Kosten von Supraleiter-Materialien werden diskutiert. Es wird erwähnt, dass die **aktuellen Preise für REBCO-Band** bei $80–100/\text{kA/m}$ liegen, während für Nb3Sn (ITER) $\mathbf{\$6/\text{kA/m}}$ angenommen werden.
*   **Dominanz der Struktur:** Es wird jedoch betont, dass die Kosten der Magnete **"typically dominated by the cost of the structure required to withstand the magnetic field"** (typischerweise von den Kosten der Struktur dominiert werden, die erforderlich ist, um dem Magnetfeld standzuhalten).
*   **Ersatzteile:** Die Kosten für **Austauschkomponenten** (*Replacement Parts*), wie erste Wand, Blanket, Divertor und Plasma-Heizsysteme, werden **separat** als Teil der **O&amp;M-Kosten** betrachtet, da sie häufig ersetzt werden müssen. Diese machen etwa $\mathbf{12\%}$ der Kapitalkosten aus.
### 9. Bezieht sich die Studie auf ein Energiesystem (z. B. Integration, Vergleich mit anderen Technologien) oder ist sie rein bezogen auf die Kosten des Kraftwerks und des Reaktors?
Die Studie ist **nicht rein auf die Kosten des Kraftwerks und des Reaktors bezogen**, sondern beurteilt die Kommerzialisierbarkeit von Fusion im Kontext des **zukünftigen globalen Energiesystems**.
*   **Vergleich mit Technologien:** Die Autoren vergleichen die prognostizierten Fusionskosten explizit mit dem **Zielkostenbereich von $\mathbf{\$80–100/\text{MWh}}$**, der auf den Kosten zukünftiger **Variabler Erneuerbarer Energien** (VRE) und den **zusätzlichen Systemkosten** basiert.
*   **Systemkosten:** Es wird analysiert, dass VRE-Systeme bei hoher Penetration **zusätzliche Systemkosten** verursachen (z. B. $\mathbf{\$30/\text{MWh}}$ bei $50\%$ VRE-Anteil). Fusion muss mit diesen **Gesamtsystemkosten** konkurrieren.
*   **Benchmark:** Die Wirtschaftlichkeit von Fusionsenergie wird am Benchmark von **zukünftiger Kernspaltung** (z. B. $99/\text{MWh}$ für zukünftige Kernkraftwerke in Großbritannien) gemessen.
*   **Regulierung und Markt:** Die Studie diskutiert die potenziellen Märkte für Fusion (Elektrizität und Prozesswärme), die Herausforderungen der Markteinführung (Deployment ab 2040s) und die Notwendigkeit einer **verhältnismäßigen Regulierung** (*proportionate regulatory regime*) aufgrund des geringeren radiologischen Risikos im Vergleich zur Spaltung.
### 10. Welche Kostenreduktionspotenziale oder wirtschaftlichen Optimierungsansätze werden thematisiert?
Folgende Ansätze zur Kostenreduktion und ökonomischen Optimierung werden thematisiert:
*   **Produktionslernen (Production Learning):** Die wichtigste Quelle für Kostensenkung, die durch **Modularisierung** und **standardisierte Serienfertigung** (*series factory manufacturing*) erreicht wird. Die Kapitalkostenreduktion beträgt $\mathbf{30\%}$ für die 10. Einheit und $\mathbf{48\%}$ für die 75. Einheit kleiner Reaktoren.
*   **Technologische Verbesserungen:**
    *   Verbesserung der **thermischen Effizienz** (*higher thermal efficiency*) und des **Kapazitätsfaktors** (*higher availability*), da dies die Einnahmen maximiert.
    *   Entwicklung **langlebiger Komponenten** (*long-life components*) für die erste Wand, das Blanket und den Divertor, um die hohen O&amp;M-Kosten für Ersatzteile zu senken.
    *   Einsatz von **innovativen Technologien** wie **Advanced Magnets** (z. B. Hochtemperatur-Supraleiter wie REBCO).
*   **Flotten- und Programm-Ansatz (Fleet/Program Terms):** Der Bau muss als **Programm** und nicht als Einzelprojekt betrachtet werden, um **Standardisierung** zu fördern und **Lernkurven** zu etablieren.
*   **Modularisierung und Fabrikfertigung:** Design für **Fabrikfertigung** (*factory manufacture*) und Vormontage anstelle von Baustellenkonstruktion (*site construction*), um die Probleme der begrenzten Zugänglichkeit und die langen Bauzeiten wie bei der Kernspaltung zu vermeiden.
*   **Multi-Unit-Standorte:** Es wird angenommen, dass das Bauen mehrerer Einheiten an einem Standort Einsparungen von etwa $\mathbf{15\%}$ bei den Kapitalkosten bringen kann, basierend auf Erfahrungen der Kernspaltung. Bei Fusion könnte dies sogar höher sein, da sich Anlagen wie Tritium-Handhabung geteilt werden können.
### 11. Was sind die signifikantesten Kostentreiber und ökonomischen Herausforderungen laut Studie?
Die signifikantesten Kostentreiber und ökonomischen Herausforderungen, insbesondere in Bezug auf die LCOE, sind:
**a) Primäre LCOE-Treiber (Sensitivitätsanalyse):**
1.  **Kapitalkosten (Capital Cost):** Fusion ist **"extremely capital intensive"** (extrem kapitalintensiv). Die Senkung der Kapitalkosten durch technologisches Design und Produktionseffizienz ist der Haupthebel.
2.  **Kapazitätsfaktor (Capacity Factor):** Da die meisten Kosten fix oder versenkt sind, ist die Menge des produzierten Stroms proportional zum Kapazitätsfaktor. Geringe Verfügbarkeit (wie bei frühen gepulsten Designs) erhöht die LCOE drastisch.
3.  **Finanzierungs-Diskontierungssatz (Discount Rate):** Aufgrund der Kapitalintensität und langen Lebensdauer führt ein höherer Diskontierungssatz (z. B. $9\%$ statt $7\%$) zu deutlich höheren LCOE.
**b) Technologische/Ökonomische Herausforderungen:**
*   **Hohe initiale Kapitalkosten:** Die anfänglichen Kosten sind sehr hoch (Early Large 10th-of-a-kind: $\mathbf{\$8170/\text{kWe}}$).
*   **Hohe Magnetkosten:** Das **Magnetsystem** ist das **größte Kostenelement** des Tokamak-Designs ($\mathbf{37\%}$ der Direkten Kosten).
*   **Hohe O&amp;M-Kosten durch Ersatzteile:** Der **häufige Austausch** von Komponenten (erste Wand, Blanket, Divertor) führt zu hohen Betriebskosten. Diese Ersatzteilkosten machen $\sim\mathbf{12\%}$ der Kapitalkosten aus.
*   **Niedrige Effizienz früher Designs:** Frühe Fusionsdesigns leiden unter **"low power availability from pulsed operation"** (geringer Leistungsverfügbarkeit durch gepulsten Betrieb) und **"low efficiency power cycles"** (niedrigen Effizienz-Leistungskreisläufen), was die Kommerzialisierbarkeit erschwert.</t>
  </si>
  <si>
    <t>Die Studie von Lindley et al. (2023) vergleicht die Kosten der Fusionsenergie **mit zukunftsgerichteten Projektionen** der Kosten anderer kohlenstoffarmer Technologien.
Das Ziel der Analyse ist es, zu bestimmen, ob Fusion **über das Jahr 2040 hinaus** wettbewerbsfähig sein kann.
### Vergleichsbasis: Zukunftsgerichtete Projektionen
Der Vergleich basiert auf **zukünftigen Projektionen** der nivellierten Stromgestehungskosten (LCOE) anderer Technologien (in Preisen von 2020):
*   **Erneuerbare Energien (VRE):** Die Studie listet die **voraussichtlichen LCOE für 2050** auf, wobei Solarenergie bei $\mathbf{\$25/\text{MWh}}$ in den USA bzw. $\mathbf{\$30/\text{MWh}}$ in Westeuropa und Onshore-Wind bei $\mathbf{\$30}$ bzw. $\mathbf{\$45/\text{MWh}}$ liegen.
*   **Zukünftige Kernspaltung:** Die Autoren verwenden die Projektionen für **"Nuclear Future"** (Zukünftige Kernspaltung) mit geschätzten spezifischen Kapitalkosten von $\mathbf{\$5295/\text{kWe}}$ und Stromkosten von $\mathbf{\$99/\text{MWh}}$.
### Das Ergebnis des Vergleichs
Das zentrale Ergebnis ist die Definition eines **Zielkostenbereichs**, den Fusion erreichen muss, sowie eine Bewertung, welche Fusionsdesigns dieses Ziel erreichen können:
#### 1. Zielkosten für Fusion (Target Cost)
Der geschätzte Zielkostenbereich für Fusion, um wettbewerbsfähig zu sein, liegt bei **$\mathbf{\$80–100/\text{MWh}}$**.
Dieser Zielkostenbereich ergibt sich aus der Kombination der niedrigen Kosten für variable erneuerbare Energien (VRE) und den notwendigen **zusätzlichen Systemkosten** (*additional system costs*), die entstehen, wenn VRE einen sehr hohen Anteil an der Stromversorgung erreichen:
*   Es wird angenommen, dass ein Stromsystem mit $\mathbf{50\%}$ variablen erneuerbaren Energien **zusätzliche Systemkosten von $\mathbf{\sim\$30/\text{MWh}}$** verursachen kann, die nicht in den Basis-LCOE der VRE enthalten sind. Fusion muss mit diesen Gesamtsystemkosten konkurrieren.
*   Die Kosten für die **zukünftige Kernspaltung** in Großbritannien werden als Benchmark von **$\mathbf{\$99/\text{MWh}}$** herangezogen. Diese Kosten stellen den ersten Zielwert für die wirtschaftliche Wettbewerbsfähigkeit der Fusionsenergie dar.
#### 2. Ergebnis der Fusionsmodellierung
**a) Frühe/Konservative Fusionsdesigns:**
*   Designs, die auf frühzeitiger Physik und konservativer Technologie basieren (wie PPCS A/B), sind aufgrund **niedriger Verfügbarkeit** (*low power availability*) durch gepulsten Betrieb, **häufigem Austausch** von Komponenten und **geringer Effizienz** (*low efficiency power cycles*) teuer.
*   Die Modellierung zeigt, dass die Stromgestehungskosten für diese frühen Designs **größer als $\mathbf{\$150/\text{MWh}}$** sein werden, selbst wenn Produktionseffekte berücksichtigt werden. Dies liegt deutlich über dem Zielkostenbereich.
**b) Fortgeschrittene/Reife Fusionsdesigns:**
*   **Advanced Large Designs (10. Einheit):** Durch verbesserte Technologie (z. B. Dauerbetrieb, höhere Effizienz) und Produktionslernen (30% Kapitalkostenreduktion) sinkt der LCOE in den Bereich **$\mathbf{\$83–135/\text{MWh}}$**. Das untere Ende dieser Spanne **überschneidet sich** mit dem Zielkostenbereich von $\mathbf{\$80–100/\text{MWh}}$.
*   **Advanced Small Designs (75. Einheit):** Diese Designs erfordern ein noch größeres Produktionsvolumen. Die Kosten liegen im Bereich von **$\mathbf{\$101–145/\text{MWh}}$**. Dieser Bereich wird als **vergleichbar** mit den Kosten der 10. Einheit des Advanced Large Designs und der LCOE der Leichtwasserreaktoren (LWR Fission Reactors) angesehen.
*   **Best Case Scenario:** Bei Annahme einer höheren Lernrate von $15\%$ für die Magnetsysteme könnten die Small Designs die Kosten auf **$\mathbf{\$93/\text{MWh}}$** senken.
**Zusammenfassend:** Nur die **Advanced Designs** (Advanced Large und Advanced Small) können, unter Berücksichtigung signifikanter Lern- und Skaleneffekte, die zukünftigen Wettbewerbskosten von etwa $\mathbf{\$90/\text{MWh}}$ erreichen oder sich diesem annähern.</t>
  </si>
  <si>
    <t>Die von Ihnen berechneten **Overnight Capital Costs (OCC)** in Höhe von **$3.637.000.000 \text{ USD}$** (3,637 Milliarden USD) basieren auf der Addition der **Direkten** und **Indirekten Kapitalkosten** für den **kommerziellen Brüter-Reaktor (Commercial breeder)**, der in der Studie als Fall 13 behandelt wird.
Diese Summe stellt die **Kapitalkosten (Netto)** (*Net capital cost*) des Reaktors dar, bevor die zeitabhängigen Finanzierungskosten (wie die jährliche Kapital-Fixgebühr) angewendet werden.
Die Aufteilung dieser $\mathbf{\$3.637 \text{ Millionen USD}}$ in die Hauptkomponenten ergibt folgende prozentuale Anteile:
### Aufschlüsselung der Netto-Kapitalkosten (OCC-Näherung)
| Kostenkomponente | Absoluter Wert (Mio. USD) | Anteil in Prozent (%) |
| :--- | :--- | :--- |
| **Direct Capital Cost** (Direkte Kapitalkosten) | $2933$ | **$\mathbf{80.64\%}$** |
| **Indirect Capital Cost** (Indirekte Kapitalkosten) | $704$ | **$\mathbf{19.36\%}$** |
| **Gesamte Kapitalkosten (Netto)** | **$3637$** | **$100.00\%$** |
### Kontext der Indirekten Kosten
Die indirekten Kosten in diesem Modell, das die **"Base Economic Method"** verwendet, entsprechen einem Faktor, der die ENB-Methode (Electronuclear Breeder) approximiert. Bei dieser Methode beträgt das Verhältnis der Gesamtkapitalkosten zu den direkten Kapitalkosten $1.24$. Die indirekten Kosten von $\mathbf{\$704 \text{ Millionen USD}}$ für den kommerziellen Brüter (Fall 13) sind somit 24% der direkten Kosten von $2933 \text{ Millionen USD}$, was im Einklang mit dem verwendeten Basis-Wirtschaftsmodell steht.
**Hinweis zur Detaillierung:**
Die Quelle liefert keine detaillierte prozentuale Aufschlüsselung der **Direkten Kapitalkosten** ($\mathbf{\$2933 \text{ Millionen USD}}$) des kommerziellen Brüters (Fall 13) in einzelne Komponenten wie Magnete, Gebäude oder Kühlsysteme. Eine solche Detaillierung der direkten Kosten wird lediglich für das kleinere Tandem-Mirror-Design in Fall 7 gegeben.</t>
  </si>
  <si>
    <t>Die Studie von Lee (1987) fokussiert primär auf die **Kostenprognose für die Produktion nuklearer Waffenmaterialien** (Tritium und Plutonium) mittels magnetischer Fusionsreaktoren. Sie ist nicht primär auf den Vergleich der Stromgestehungskosten (LCOE) mit anderen kommerziellen Energieerzeugungen ausgerichtet.
Dennoch gibt es **implizite Vergleiche** und **zukunftsgerichtete Prognosen** als Benchmark:
### 1. Ergebnis des Vergleichs
Die Studie stellt die Wirtschaftlichkeit der Fusionsreaktoren hauptsächlich in zwei Kontexten dar:
#### a) Interner Vergleich (Spezialreaktor vs. Kommerzieller Reaktor)
Der signifikanteste Vergleich erfolgt **innerhalb der Fusionskonzepte** zwischen den spezialisierten, kleineren Produktionsreaktoren und einem kommerziellen, skalierten Fusionsbrüter-Design (Case 13):
*   **Basis-Produktionsreaktor (Tandem Mirror, Case 1):** Produziert 10 kg Tritium pro Jahr zu einem geschätzten Kostenpunkt von **$\$22.000/\text{g}$**.
*   **Kommerzieller Fusionsbrüter (Case 13):** Dieser Reaktor in kommerzieller Größenordnung ($\sim 3140 \text{ MW}$ Fusion) ist darauf ausgelegt, überschüssigen Strom und spaltbares Material an kommerzielle Märkte zu verkaufen. Er produziert $\text{Tritium}$ zu **$\$2647/\text{g}$** und $\text{Plutonium}$ zu **$\$34/\text{g}$** (jeweils zzgl. Verarbeitungskosten).
*   **Ergebnis des internen Vergleichs:** Die Skalierung auf eine kommerzielle Anlagengröße führt zu einer signifikanten **"economy of scale"** (Skaleneffekt). Die Materialkosten für den kommerziellen Brüter sind **86% niedriger** als die Kosten des Basisreaktors (Case 1).
#### b) Externe Vergleiche
*   **Vergleich mit ENB (Elektronuklearer Brüter):** Die gewählte **ökonomische Analysemethode** (*base economic method*) wurde bewusst so gewählt, dass sie die Methode approximiert, die zur Bewertung eines konkurrierenden Kandidaten für die Materialproduktion verwendet wurde, des **Elektronuklearen Brüter-Reaktors (ENB)**. Dies ist ein **methodischer Vergleich**.
*   **Kosten-Input für Strom:** Die Studie geht davon aus, dass der Reaktor Strom für seine Operationen **zukauft**. Die angenommenen Kosten für zugekauften Strom betragen $\mathbf{28 \text{ mill}/\text{kWh}}$. (Alternativ wird angenommen, dass Strom, falls er verkauft wird, $\mathbf{23 \text{ mill}/\text{kWh}}$ einbringt). Diese Werte dienen als Annahmen für die Betriebskosten der Fusionsanlage.
### 2. Vergleich mit historischen Werten oder zukunftsgerichteten Projektionen
Die gesamte ökonomische Analyse basiert auf **zukunftsgerichteten Projektionen** und **konzeptionellen Designs**.
*   **Forschungsstadium:** Fusion befand sich zum Zeitpunkt der Analyse (1980–1982) **"still in the research and development stage"** (noch im Forschungs- und Entwicklungsstadium), weshalb die Kostenschätzungen naturgemäß mit Unsicherheiten behaftet sind.
*   **Konzeptionelle Basis:** Die Schätzungen basieren auf **konzeptionellen Designs** (*conceptual designs*) für **kommerzielle Fusionsreaktoren**, deren Kosten über **Skalierungsgesetze** (z. B. 0.75-Potenz-Skalierung für Balance-of-Plant-Systeme) extrapoliert werden.
*   **PNL-Methode:** Die alternative ökonomische Methode (PNL-Methode) basiert auf etablierten **"guidelines for constant dollar analysis used to evaluate commercial fusion reactor designs"** (Richtlinien zur Bewertung kommerzieller Fusionsreaktorkonzepte).
Die Kosten, die in der Studie verwendet werden (z. B. der $\mathbf{\$3.6 \text{ Milliarden}}$ Preis des kommerziellen Brüters), sind daher **Prognosen** für zukünftige, reife Anlagen, die in **1982-Dollar** ausgedrückt sind. Es wird **nicht** mit historischen oder aktuellen Kosten etablierter Stromerzeugungstechnologien verglichen.</t>
  </si>
  <si>
    <t>Die folgende Antwort basiert ausschließlich auf der Quelle (Lee, 1987) und den Erkenntnissen aus unserer Konversation.
***
### 1. Welche Modellannahmen werden getroffen?
Die ökonomische Analyse basiert auf einer Reihe von Annahmen, um die Kosten der **Produktion nuklearer Waffenmaterialien** (Tritium und Plutonium) durch magnetische Fusionsreaktoren (Tandem Mirror und Tokamak) vorherzusagen.
**Wichtige Annahmen sind:**
*   **Technologische Basis:** Die Analyse stützt sich auf konzeptionelle Designs von Tandem Mirror und Tokamak Reaktoren, die sich noch im Forschungs- und Entwicklungsstadium befinden.
*   **Wirtschaftsmethode:** Die gewählte "Base Economic Method" (Basis-Wirtschaftsmethode) soll die zur Analyse des **Elektronuklearen Brüter-Reaktors (ENB)** verwendete Methode annähern.
*   **Kostenbasis:** Alle Kostenangaben basieren auf US-Dollar-Werten von 1982.
*   **Kapazitätsfaktor (CF):** Es wird ein Kapazitätsfaktor von **$\mathbf{70\%}$** für alle Fälle angenommen.
*   **Brennstoffproduktion:** Es wird angenommen, dass der Tritium-Brennstoff der Anlage *in situ* (im Reaktor selbst) produziert wird.
*   **Kapitalfixgebühr (Fixed-Charge Rate):** Für die Basis-Methode beträgt die jährliche Kapital-Fixgebühr **$\mathbf{6.5\%}$**, basierend auf einem 5%-Zinssatz über 30 Jahre.
*   **O&amp;M-Kosten (Basis):** Die allgemeinen Reaktor-Betriebs- und Wartungskosten (*General Reactor O&amp;M*) werden als **$\mathbf{2\%}$ der gesamten Kapitalkosten** angenommen.
*   **Blanket-Lebensdauer:** Es wird eine Lebensdauer des **Blanket-Ersatzteils** von **$\mathbf{3.5 \text{ Jahren}}$** angenommen, was einem jährlichen Austausch von **$\mathbf{20\%}$** entspricht.
*   **Stromkosten:** Die Kosten für zugekauften elektrischen Strom werden mit **$\mathbf{28 \text{ mill}/\text{kWh}}$** angenommen (oder $\mathbf{23 \text{ mill}/\text{kWh}}$ für verkaufte Energie).
### 2. Welche Modell- und Kostenannahmen basieren auf tatsächlichen Erfahrungswerten und welche nur Schätzungen oder Prognosen? Welche Annahmen stammen woher?
Die Analyse basiert überwiegend auf **Schätzungen und Prognosen** aufgrund des frühen Entwicklungsstadiums der Fusionstechnologie.
| Annahme/Komponente | Art (Prognose/Erfahrung) | Herkunft |
| :--- | :--- | :--- |
| **Kostenbasis (Direkte Kosten)** | **Prognose/Schätzung** | Stammt aus den Ergebnissen von Ref. 2 (einem begleitenden Bericht zur mechanischen Auslegung). |
| **Ökonomische Parameter (PNL-Methode)** | **Erfahrung/Standard-Richtlinien** | Basierend auf den Richtlinien (*guidelines*) für die Analyse kommerzieller Fusionsreaktorkonzepte des Pacific Northwest Laboratories (PNL). Externe Quellen, wie PNL-2648, werden für O&amp;M und feste Raten zitiert. |
| **BOP-Skalierungsgesetze** | **Erfahrung/Grobe Annahme** | Grobe Skalierungsgesetze (*crude BOP scaling laws*) wurden von Bill Allen (Bechtel) empfohlen, wie z. B. die Skalierung mit der **0.75-Potenz** der Leistung. |
| **Unklarheiten** | **Prognose/Schätzung** | Es wird betont, dass die Schätzungen unsicher sind, da *significant ambiguities* (erhebliche Unklarheiten) bei konventionelleren Fragen wie den **Balance-of-Plant (BOP) Kosten** bestehen.
### 3. Falls externe Quellen für die Modell- und Kostenannahmen verwendet wurden – wurden diese modifiziert? Falls ja, wie?
**Ja**, externe Quellen und Basisdaten wurden modifiziert, um Skaleneffekte und technologische Variationen zu modellieren:
*   **Skalierung der Systeme:** Kosten für BOP, Kühlsysteme und elektrische Systeme werden nicht linear skaliert, sondern mit der **0.75-Potenz** der thermischen Leistung.
*   **Anpassung des Plasma Q:** Bei Senkung des **Plasma Q** (Verhältnis Fusionsleistung zu Heizleistung) werden die Kosten für das Neutral-Beam- und RF-System sowie der Strombedarf **verdoppelt**, um die physische Notwendigkeit der Leistungszufuhr widerzuspiegeln.
*   **Geometrische Skalierung:** Bei der Analyse von Skaleneffekten (Case 7) wird die Fusionsleistung durch die **Verdopplung der Länge der zentralen Zelle** verdoppelt, was sich spezifisch auf die Kosten der Magnete und des Mantels auswirkt.
### 4. Wie lautet die Annahme zu Lernraten?
Die Studie verwendet **keine explizite Lernrate** (wie z. B. $10\%$ oder $15\%$ Kostensenkung bei Verdopplung der Produktion).
Die Kostenreduktion wird durch die Modellierung von **Skaleneffekten** (*economy of scale*) und technologischen Variationen gezeigt:
*   Die Verdopplung der Fusionsleistung (Case 7) führt zu einer **36%-igen Senkung** der Produktkosten pro erzeugter Einheit im Vergleich zum Basisfall.
*   Der Übergang zu einem kommerziellen Design (Case 13) führt zu **86% niedrigeren** Materialkosten im Vergleich zum Basis-Produktionsreaktor.
### 5. Wie wurden die Annahmen zu den Lernraten hergeleitet bzw. von wo stammen diese Annahmen?
Da keine Lernraten im Sinne einer industriellen Fertigungskurve verwendet werden, entfällt eine spezifische Herleitung.
Die **Skaleneffekte** (*economy of scale*) wurden durch die Anwendung von **Potenz-Skalierungsgesetzen** für bestimmte Komponenten modelliert, z. B. die $0.75$-Potenz für BOP- und Kühlsysteme, die auf Empfehlungen von externen Beratern (Bill Allen, Bechtel) basieren.
### 6. Wird offengelegt, ob die Kostenabschätzung auf einem Bottom-up-, Top-down- oder hybriden Ansatz basiert?
**Indirekt Ja, es wird ein hybrider Ansatz verwendet.**
*   Die **Basislinie** der Direkten Kapitalkosten stammt aus den detaillierten Entwürfen (Ref. 2), die auf einer **Bottom-up**-Analyse der Komponenten basieren.
*   Die Studie verwendet daraufhin ein **hybrides Skalierungsmodell**, indem sie die Kosten der Basisreaktoren anhand von **physikalischen Skalierungsfaktoren** (z. B. 0.75-Potenz-Skalierung für BOP) und **Top-down-Kostenfaktoren** (z. B. der PNL-Faktor von 1.65 auf die Direkten Kosten) anpasst und variiert.
### 7. Beruht die Kostenherleitung auf physikalischen und technologischen Werten?
**Ja**, die ökonomische Analyse wird direkt von physikalischen und technologischen Werten bestimmt:
*   **Plasma Q:** Die Änderung des Plasma Q (Fusionsleistung zu Heizleistung) hat einen **tiefgreifenden Effekt** (*profound effect*) auf die Wirtschaftlichkeit, da sie direkt die benötigte elektrische Leistung und damit die Kapitalkosten und Betriebskosten beeinflusst.
*   **Leistungsdichte:** Die Kosten der Kühlsysteme und der BOP-Systeme skalieren direkt mit der **thermischen Leistung** zur $\mathbf{0.75 \text{-Potenz}}$.
*   **Blanket-Design:** Die Wahl des Blankets (z. B. Lithium-Aluminium für Tritiumproduktion vs. Uran für Plutoniumproduktion) beeinflusst den Multiplikationsfaktor (M) und damit die thermische Leistung, was sich auf die Kühlsystemkosten auswirkt.
### 8. Werden Materialkosten und Komponentenkosten separat ausgewiesen?
**Ja**, Materialkosten und wesentliche Komponentenkosten werden separat ausgewiesen:
*   **Produktkosten:** Die Kosten der produzierten Materialien (Tritium und Plutonium) werden separat in **$\mathbf{\$/\text{g}}$** angegeben.
*   **Direkte Komponentenkosten:** Die Direkten Kapitalkosten für das Reaktor-Design (Case 7) werden in spezifischen Subtotals für Komponenten wie Magnete, Schilde, Vakuumsysteme, Blanket, Kühlsystem und Gebäude aufgeschlüsselt.
*   **O&amp;M-Ersatzkosten:** Die Kosten für den **Blanket-Ersatz** (Material und Installation) werden als separate Position der jährlichen O&amp;M-Kosten aufgeführt.
### 9. Bezieht sich die Studie auf ein Energiesystem (z. B. Integration, Vergleich mit anderen Technologien) oder ist sie rein bezogen auf die Kosten des Kraftwerks und des Reaktors?
Die Studie ist **nicht rein** auf die Kosten des Kraftwerks bezogen.
*   **Primärer Zweck:** Die Studie konzentriert sich auf die Kosten des Reaktors zur **Produktion nuklearer Waffenmaterialien**.
*   **Systemintegration:** Die Kostenanalyse beinhaltet die Wechselwirkungen des Reaktors mit dem Energiesystem:
    *   Der Verbrauch von **elektrischer Energie** (als Betriebskosten) wird explizit mit **$\mathbf{28 \text{ mill}/\text{kWh}}$** bewertet.
    *   Der kommerzielle Brüter (Case 13) wird so konzipiert, dass er **überschüssigen Strom und spaltbares Material** an kommerzielle Märkte verkauft.
### 10. Welche Kostenreduktionspotenziale oder wirtschaftlichen Optimierungsansätze werden thematisiert?
Die wichtigsten wirtschaftlichen Optimierungsansätze sind die **Skalierung** und die **technologische Optimierung des Plasmas**:
*   **Skaleneffekte (Economy of Scale):** Die Skalierung der Anlage (z. B. Verdopplung der Fusionsleistung) führt zu einer signifikanten Senkung der Produktkosten um **$\mathbf{36\%}$** pro erzeugte Einheit.
*   **Erhöhung des Plasma Q:** Die Senkung des Q um 50% erhöht die Kosten um 33%. Umgekehrt führt ein theoretisch unendliches Q (Case 10) zu deutlich niedrigeren Kosten.
*   **Thermische Umwandlung:** Die Nutzung der Wärme zur Stromerzeugung (*thermal conversion*) macht die Anlage elektrisch **selbstversorgend** und kann die Produktkosten um **$\mathbf{14\%}$** senken.
*   **Zukünftige Arbeit:** Die Autoren schlagen vor, zukünftige Studien sollten die Auswirkungen von **Online-Betankung** (*on-line refueling*) auf die Reduzierung von Ausfallzeiten (*downtime*) und somit auf die Wirtschaftlichkeit untersuchen.
### 11. Was sind die signifikantesten Kostentreiber und ökonomischen Herausforderungen laut Studie?
Die drei signifikantesten Kostentreiber und Herausforderungen sind:
1.  **Plasma Q (Leistungsverstärkung):** Dieses Verhältnis hat den **"profound effect on economics"** (tiefgreifendsten Effekt auf die Wirtschaftlichkeit). Schlechte Plasma-Performance erhöht die Kapitalkosten drastisch.
2.  **Elektrische Leistungsaufnahme:** Der **Stromverbrauch** des Reaktors (insbesondere für Heizsysteme) ist ein entscheidender Betriebskostenfaktor. Der Tokamak war 31% teurer als der Tandem Mirror, da er mehr elektrische Leistung benötigte.
3.  **Hohe Unsicherheit:** Die **Hauptunsicherheit** der Kostenprognosen ergibt sich daraus, dass Fusion sich noch in der Forschung befindet. Es bestehen **erhebliche Unklarheiten** (*significant ambiguities*) bei konventionellen Kosten wie den **Balance-of-Plant (BOP) Kosten**.</t>
  </si>
  <si>
    <t>Dies ist eine detaillierte Beantwortung Ihrer Fragen, basierend auf den bereitgestellten Textauszügen und unserem bisherigen Gesprächsverlauf.
---
### 1. Welche Modellannahmen werden getroffen?
Die Analyse verwendet das **EUROfusion TIMES Model (ETM)**, ein multiregionales, globales **Energy System Optimization Model (ESOM)**.
Wichtige Modellannahmen sind:
*   **Zielsetzung:** Das ESOM soll die **kostengünstigste** (*least-cost*) Konfiguration des Energiesystems über einen mittel- bis langfristigen Zeithorizont bis $\mathbf{2100}$ ermitteln.
*   **Fusionstechnologien:** Es werden drei unterschiedliche Fusionskonzepte in das Modell aufgenommen: **ARC-basierte**, **EU-DEMO-basierte** und **Asian-DEMO-basierte** Reaktoren.
*   **Vorauswissen (Foresight):** Das ETM wird in **Perfect Foresight** betrieben, was bedeutet, dass jeder Akteur **"perfect knowledge about future market parameters over the entire modeling horizon"** (*perfektes Wissen über zukünftige Marktparameter über den gesamten Modellierungshorizont*) hat.
*   **Szenarien:** Die Analyse basiert auf drei sozioökonomischen **Storylines** (Paternalism, Harmony und Fragmentation), die sich durch unterschiedliche $\text{CO}_2$-Emissionsgrenzen (RCP 2.6 oder RCP 6), **Diskontsätze** und **Nachfrageelastizitäten** unterscheiden.
*   **Technologische Alternativen:** Es werden Szenarien mit und ohne die Verfügbarkeit von **CCS** (Carbon Capture and Storage) untersucht.
*   **Kapazitätswachstum:** Die maximale globale Kapazität für Fusionstechnologien ist **begrenzt** und folgt einer historischen Entwicklungskurve, die vom schnellsten je beobachteten Wachstum (Solar PV) abgeleitet wurde (1.43 Jahre Verdopplungszeit).
*   **Tritiumverfügbarkeit:** Im Gegensatz zu früheren Studien wurden **keine spezifischen Beschränkungen** hinsichtlich der Tritium-Brennstoffverfügbarkeit angenommen, die die Einführung der Fusion weiter limitieren könnten.
### 2. Welche Modell- und Kostenannahmen basieren auf tatsächlichen Erfahrungswerten und welche nur Schätzungen oder Prognosen? Welche Annahmen stammen woher?
Die Fusionskosten sind überwiegend **Schätzungen und Prognosen** mit **"huge uncertainties"** (*riesigen Unsicherheiten*). Die Annahmen stammen aus öffentlich zugänglicher Literatur und früheren Modellstudien:
| Annahme | Basis / Quelle | Erfahrung oder Prognose |
| :--- | :--- | :--- |
| **Kosten und technische Parameter** | **Öffentlich verfügbare Literatur**. | Prognose, da **"feasibility still has to be demonstrated"** (*Machbarkeit noch demonstriert werden muss*). |
| **EU-DEMO-Kosten** | **PROCESS-Code**, der technische, physikalische und Materialzwänge berücksichtigt. | Schätzung/Prognose, willkürlich um 30% erhöht. |
| **Asian-DEMO-Kosten** | Übernommen aus **DNE21+**, welches auf früheren Schätzungen von 1998 basierte. | Prognose. |
| **ARC-Kosten und -Design** | Basieren auf **Ref.** (Sorbom et al., 2015). | Prognose, da die Verfügbarkeit 2035 **"highly disputed"** (*höchst umstritten*) ist. |
| **Kapazitätswachstum (S-Kurve)** | Basiert auf **historischen Trends** des Kapazitätswachstums anderer Kraftwerkstechnologien. | Erfahrungswert (Übertragung historischer Muster auf Fusion). Die schnellste Verdopplungszeit von $\mathbf{1.43 \text{ Jahren}}$ stammt von **Solar PV**. |
| **Lithiumverbrauch** | Geschätzt auf Basis des **erwarteten Tritiumverbrauchs** für EU-DEMO und Asian-DEMO aus Referenzen. Für ARC wurde der Verbrauch **geschätzt**, da keine Literaturdaten verfügbar waren. | Prognose/Schätzung. |
### 3. Falls externe Quellen für die Modell- und Kostenannahmen verwendet wurden – wurden diese modifiziert? Falls ja, wie?
Ja, mehrere Annahmen wurden modifiziert:
| Technologie | Ursprung | Modifikation |
| :--- | :--- | :--- |
| **EU-DEMO-Kosten** | Berechnet durch den **PROCESS-Code**. | Die Kosten wurden **"arbitrarily increased by 30%"** (*willkürlich um 30% erhöht*). |
| **EU-DEMO-Zeitplan** | Basierte auf der vorherigen ETM-Analyse. | Die Verfügbarkeit wurde von 2050 auf **2060** verschoben, entsprechend der aktualisierten EUROfusion Roadmap. Die Parameter für die fortgeschrittene Version wurden von 2070 auf **2080** verschoben. |
| **ARC O&amp;M Kosten (Fixed)** | Fehlten in der Originalliteratur. | Wurden als **"preliminary rough estimation"** (*vorläufige grobe Schätzung*) angenommen, basierend auf der Annahme, dass diese **2% der Investitionskosten** betragen (im Vergleich zu 3.3% für einen EPR-Fissionsreaktor). |
| **ARC Lithiumverbrauch** | Keine Daten in der Originalliteratur gefunden. | Der Verbrauch wurde **geschätzt** (*estimated*) basierend auf der ARC-Fusionsleistung und einer Berechnung des Tritiumbedarfs. |
| **Asian-DEMO O&amp;M Kosten** | Übernommen aus Ref.. | Feste und variable $\text{O&amp;M}$-Kosten wurden als **vergleichbar** (*comparable*) mit denen des EU-DEMO-basierten NFPP angenommen. |
### 4. Wie lautet die Annahme zu Lernraten?
Das verwendete **ESOM (ETM) berücksichtigt im Allgemeinen keine Technologie-Lernalgorithmen** (*technology learning algorithms*).
Stattdessen werden Lernprozesse und Kostenreduktionen durch zwei Mechanismen abgebildet:
1.  **Physiologische Kostenabnahme:** Es wird eine **"physiological cost decrease"** (*physiologische Kostenabnahme*) progressiv über die Zeit für die Anlagen in den Folgejahren berücksichtigt.
2.  **Technologische Evolution:** Es werden **zwei vordefinierte Kosten-/Parameter-Sets** pro Technologie verwendet, die den technologischen Fortschritt abbilden (z. B. ARC 2035 und ARC 2050).
### 5. Wie wurden die Annahmen zu den Lernraten hergeleitet bzw. von wo stammen diese Annahmen?
Die Modellierung des Markteintritts und der Durchdringung (die ökonomisch die Lerneffekte widerspiegeln) basiert auf der **historischen Entwicklung der Kapazität von Stromerzeugungstechnologien**:
*   **Drei-Phasen-Modell:** Die Kapazitätsentwicklung folgt einem wiederkehrenden Trend, der in drei Phasen unterteilt wird: **exponentielles Wachstum**, **lineares Wachstum** und **Sättigung**. Dieses Modell wurde von Ref. quantifiziert.
*   **Exponentielle Phase:** Die Anfangsphase wird durch die **Verdopplungszeit** (*doubling time*) der installierten Kapazität charakterisiert.
*   **Wachstumsraten:** Es werden drei Szenarien für die Verdopplungszeit bis zum Jahr 2100 betrachtet: $\mathbf{2 \text{ Jahre}}$ und $\mathbf{4 \text{ Jahre}}$ (die Unter- und Obergrenze der beobachteten Wachstumsraten) und **$\mathbf{1.43 \text{ Jahre}}$**, was der **schnellsten jemals beobachteten Verdopplungszeit von Solar PV** in der Anfangsphase entspricht.
### 6. Wird offengelegt, ob die Kostenabschätzung auf einem Bottom-up-, Top-down- oder hybriden Ansatz basiert?
**Nein**, der Ansatz (Bottom-up, Top-down oder Hybrid) wird für die Fusionsreaktoren **nicht explizit** genannt.
Allerdings lassen die verwendeten Methoden auf einen **Bottom-up- oder systembasierten Ansatz** schließen:
*   Die EU-DEMO-Kosten basieren auf dem **PROCESS-Systemcode**, der die Kosten minimiert, indem er **"constraints on engineering, physics and materials"** berücksichtigt. Solche systembasierten Codes arbeiten in der Regel mit einem Bottom-up- oder Engineering-Ansatz.
*   Das übergeordnete Modell DNE21+ (auf dem die Asian-DEMO-Kosten basieren) wird explizit als **"bottom-up energy model"** beschrieben.
### 7. Beruht die Kostenherleitung auf physikalischen und technologischen Werten?
**Ja.** Die gesamte techno-ökonomische Charakterisierung der Fusionskraftwerke basiert auf einer Reihe von physikalischen und technologischen Parametern.
Zu den physikalischen/technologischen Werten gehören:
*   **Lithiumverbrauch:** Gemessen in $\text{kg } {}^{6}\text{Li}/\text{PJe}$. Die Berechnung basiert auf dem erwarteten **Tritiumverbrauch** und der **Fusionsleistung**.
*   **Jährliche Betriebszeit (Capacity Factor):** Gemessen in Stunden pro Jahr ($\sim 6000 \text{ h}/\text{Jahr}$).
*   **Lebensdauer** ($\mathbf{40 \text{ Jahre}}$) und **Bauzeit** ($\mathbf{5 \text{ bis } 10 \text{ Jahre}}$).
Der **PROCESS-Code**, der zur Berechnung der EU-DEMO-Kosten verwendet wurde, berücksichtigt explizit **"constraints on engineering, physics and materials"**.
### 8. Werden Materialkosten und Komponentenkosten separat ausgewiesen?
**Nein.** Die Kosten werden in der Haupttabelle nach **Investitionskosten** (*Investment Cost*), **fixen $\text{O&amp;M}$-Kosten** und **variablen $\text{O&amp;M}$-Kosten** pro Anlage oder pro $\text{MWe}$ aufgeschlüsselt.
Die **Materialkosten** werden nicht als separate Kapitalkostenkomponente ausgewiesen, sondern nur der Verbrauch von Lithium wird als Input-Parameter berücksichtigt. Es wird jedoch festgestellt, dass die Kosten für die Lithium-Extraktion ($\mathbf{93 \text{ k\$}/\text{t}}$) **"small when compared to the total NFPP cost"** sind und voraussichtlich **keinen erheblichen Einfluss** auf die Entscheidungen des Modells haben werden.
### 9. Bezieht sich die Studie auf ein Energiesystem (z. B. Integration, Vergleich mit anderen Technologien) oder ist sie rein bezogen auf die Kosten des Kraftwerks und des Reaktors?
Die Studie ist **explizit auf das globale Energiesystem** bezogen.
*   **Modellzweck:** Das Ziel ist die Durchführung einer **"global scenario analysis using the energy system optimization model EUROfusion TIMES"** zur Analyse der **"possible future role of fusion"** in der globalen Energiewende.
*   **Integration und Vergleich:** Die Fusion wird in einen Strommix integriert und im Wettbewerb mit anderen kohlenstoffarmen Technologien wie **CCS** (Carbon Capture and Storage) und **erneuerbaren Energien** (Solar, Wind, Hydro) betrachtet.
*   **Ergebnisse:** Die Ergebnisse konzentrieren sich auf **"installed capacity trends and contribution to the electricity mix"** und untersuchen, unter welchen sozioökonomischen Bedingungen (z. B. hohe Nachfrage, stringente Emissionsziele) Fusion im globalen Mix benötigt wird.
### 10. Welche Kostenreduktionspotenziale oder wirtschaftlichen Optimierungsansätze werden thematisiert?
Thematisierte Ansätze zur Kostenreduktion und Optimierung sind:
*   **Kompakte Bauweise:** Der **ARC-Reaktor** wird als der **kostengünstigste** (*least expensive*) NFPP-Konzept in Bezug auf die Anlagenkosten (Bau, Betrieb und Wartung) dargestellt. Seine kompakte Bauweise (*compact nature*) bei höherem Magnetfeld führt zu reduzierten Anlagendimensionen und damit **geringerem Bauaufwand**.
*   **Weiterentwicklung und Lernkurve:** Die Studie modelliert eine **"further development"** (*weitere Entwicklung*) für ARC (von 2035 bis 2050) und EU-DEMO (von 2060 bis 2080), die zu Kostenreduktionen und technologischen Verbesserungen führt. Beispielsweise sinken die ARC-Kosten von $\mathbf{5.3 \text{ M\$}/\text{MWe}}$ auf $\mathbf{2.8 \text{ M\$}/\text{MWe}}$.
*   **Marktwettbewerb:** Das Modell identifiziert einen **kritischen Kostenschwellenwert von $\mathbf{3.8 \text{ M\$}/\text{MWe}}$**, unter dem Fusionskraftwerke wettbewerbsfähig werden und sich in den Energiemix integrieren.
### 11. Was sind die signifikantesten Kostentreiber und ökonomischen Herausforderungen laut Studie?
Die signifikantesten Herausforderungen und Kostentreiber sind:
*   **Hohe Investitionskosten (Investment Costs):** Diese spielen eine **entscheidende Rolle** (*crucial role*) für die optimale Technologiemischung, da das ETM auf dem Prinzip der Minimierung der Gesamtkosten basiert. Fusion wird in Szenarien mit geringer Nachfrage (Harmony) aufgrund ihrer hohen Kosten gemieden.
*   **Unsicherheit:** Die **"huge uncertainties"** (*riesige Unsicherheiten*) bezüglich der Kostenentwicklung sind ein dominierendes Problem. Als Reaktion darauf wurden die EU-DEMO-Kosten beispielsweise **willkürlich um 30% erhöht**.
*   **Verzögerungen beim Markteintritt:** Eine späte Verfügbarkeit der Fusionsreaktoren (z. B. ARC erst 2060 statt 2035) führt dazu, dass Fusion **zu hohe Kosten** hat, um mit anderen bereits etablierten Alternativen konkurrieren zu können.
*   **Ressourcenverfügbarkeit (Indirekt):** Obwohl Lithium-Reserven ausreichend sind, könnten die **"limited and uneven availability of lithium"** und **"rare earths"** für die erste Generation von Fusionsreaktoren zu Verteilungsproblemen (*equity issues*) führen.
*   **Bedarf an Kapital und industrieller Kapazität:** Die Fähigkeit der Industrie, eine große **Anlagenflotte** zu Kosten **"well below the current expectations"** einzusetzen, ist **"crucial"**. Das exponentielle Wachstum, das für die Durchdringung notwendig ist, ist mit der Realität (*technological complexity*) des Baus von NFPPs schwer zu vereinbaren.</t>
  </si>
  <si>
    <t>Investment Cost</t>
  </si>
  <si>
    <t>Total direct cost</t>
  </si>
  <si>
    <t>Die Studie von Kozaki et al. (2009) befasst sich mit den **ökonomischen Potenzialen** des helikalen Reaktors und vergleicht dessen Stromgestehungskosten (COE) mit anderen Energieerzeugungstechnologien.
### Ergebnis des Kostenvergleichs
Der errechnete Stromgestehungspreis (COE) für die optimierten helikalen Reaktoren (z. B. 4 GW Fusionsleistung bei $\gamma = 1.20$) mit einem COE von $\mathbf{78.5 \text{ mill}/\text{kWh}}$ zeigt folgendes Ergebnis im Vergleich zu etablierten und alternativen Technologien:
*   **Vergleich mit Leichtwasserreaktoren (LWR):** Die COE der helikalen Fusionskraftwerke werden geschätzt, **etwa $\mathbf{1,6 \text{ Mal höher als die von Leichtwasserreaktoren (LWR)}}$** zu sein.
*   **Vergleich mit fossilen Brennstoffen:** Die Kosten werden als **niedriger als die von mit Öl befeuerten Kraftwerken** (*oil fire plants*) eingeschätzt.
*   **Vergleich mit Erneuerbaren Energien:** Die Kosten werden als **viel niedriger als die von erneuerbaren Energiekraftwerken** (*renewable energy power plants*) eingeschätzt.
Die Autoren bemerken, dass diese **"remarkable results of the COE"** trotz der vergleichsweise großen Anlage (*rather large size reactor*) erzielt werden können.
### Basis des Kostenvergleichs: Zukunftsgerichtete Projektionen
Der Kostenvergleich beruht auf **zukunftsgerichteten, optimierten Projektionen** und nicht auf historischen Werten:
1.  **Gemeinsame Kostenbasis (Future Projections):** Die Kostenkalkulationen für die Fusionsreaktoren nutzen Skalierungsgesetze und Einheitskosten, die für die **"10th of a kind"** (Massenproduktion) angenommen werden [20, Konversationsverlauf]. Die Autoren verwendeten die gleichen Skalierungsgesetze für die **Balance of Plant (BOP)**, um einen Vergleich von Fusionskraftwerken und konventionellen Kraftwerken unter einer **"common cost basis"** (*gemeinsamen Kostenbasis*) zu ermöglichen.
2.  **Optimierte Finanzierungsparameter:** Die Berechnung der Kapitalkosten stützt sich auf eine **Fixed Charge Rate (FCR)** von $\mathbf{\sim 0.0578}$. Diese Rate wurde aus einem **"recent report of Japanese AEC for estimating nuclear power plants"** (LWR) übernommen und basiert auf Annahmen wie einer **40-jährigen Lebensdauer** und einem **Diskontsatz von 3%**. Die Verwendung solch niedriger, optimierter FCRs für die Vergleichstechnologie deutet darauf hin, dass der Vergleich mit den **projizierten zukünftigen Kosten** effizienter konventioneller Kernkraftwerke (LWRs) erfolgt, und nicht mit deren historischen oder aktuellen Marktkosten [18, Konversationsverlauf].
3.  **Basisjahr:** Alle Einheitskosten werden auf das **Basisjahr $\mathbf{2002 \text{ \$}}$** referenziert.</t>
  </si>
  <si>
    <t>Die folgende umfassende Antwort basiert ausschließlich auf den Auszügen des Artikels **"Design windows and cost analysis on a helical reactor"** von Kozaki et al. (2009).
---
### 1. Welche Modellannahmen werden getroffen?
Die Analyse verwendet den eigens entwickelten **Systemdesign-Code HeliCos** (*mass–cost estimating model linked with the system design code (HeliCos)*).
**Wichtige physikalische und technische Annahmen:**
*   **Reaktor-Typ:** Helikaler Reaktor vom **LHD-Typ** (*LHD-type helical reactor*), charakterisiert durch eine Spulenpolarität $l=2$ und zehn Feldperioden $m=10$.
*   **Designparameter ($\gamma$):** Der Spulensteigungsparameter $\gamma$ (*coil pitch parameter*) wird im Bereich von $\mathbf{1.15 \text{ bis } 1.25}$ variiert, wobei $\gamma = 1.2$ als Standard angenommen wird.
*   **Fusionsleistung ($P_f$):** Es werden Standard-Leistungsbereiche von $\mathbf{3 \text{ bis } 4 \text{ GW}}$ Fusionsleistung analysiert.
*   **Plasmaparameter ($\beta$):** Es wird ein **Beta-Wert ($\beta$) von $\mathbf{5\%}$** angenommen (in den optimierten Szenarien), der für die Wirtschaftlichkeit als entscheidend angesehen wird.
*   **Einschlussgüte ($H$-Faktor):** Die Energiebilanz basiert auf dem **ISS04-Skalierungsgesetz** mit einem **$\mathbf{H}$-Faktor nahe $\mathbf{1.1}$**.
*   **Platz für Blanket/Shield ($\Delta_d$):** Es wird ein minimal erforderlicher Blanket-Abstand ($\Delta_d$) von $\mathbf{1.1 \text{ m}}$ angenommen, der für das Tritium-Brüten und die Abschirmung der Magnete notwendig ist.
*   **Magnetstromdichte:** Eine Stromdichte ($j$) der Helikalspulen von $\mathbf{26 \text{ A}/\text{mm}^2}$ wird angenommen.
### 2. Welche Modell- und Kostenannahmen basieren auf tatsächlichen Erfahrungswerten und welche nur Schätzungen oder Prognosen? Welche Annahmen stammen woher?
Die Modellannahmen sind eine Mischung aus **Erfahrungswerten aus Demonstrationsprojekten** und **ökonomischen Prognosen** für die Massenproduktion:
| Annahme | Basis / Quelle | Erfahrung oder Prognose |
| :--- | :--- | :--- |
| **Magnetkosten** | **ITER-Konstruktionsdatenbank**, **LHD-Bau** und **FFHR-2m1 Designstudien**. | **Erfahrung/Schätzung:** Die Basisdaten stammen aus tatsächlichen Bauprojekten, werden aber auf die *zukünftigen* Massenproduktionskosten des 10th-of-a-kind übertragen. |
| **Balance of Plant (BOP) Kosten** | **ARIES Designstudien** und frühere Kostenabschätzungen. | **Prognose/Skalierung:** Es werden Skalierungsgesetze (*scaling laws*) verwendet, die auf früheren Arbeiten beruhen. |
| **Fusionsphysik-Geometrie** | **Jüngste experimentelle Ergebnisse des LHD** (*LHD experiment*) und magnetische Feldberechnungen des LHD. | **Erfahrung:** Die geometrischen Beziehungen (z. B. zwischen Plasma- und Spulenradius) basieren auf Regressionsgleichungen aus den LHD-Experimenten. |
| **Wirtschaftlichkeitsparameter** | Ein Bericht der **Japanese AEC** für die Schätzung von Kernkraftwerken. | **Prognose:** Die Fixed Charge Rate (FCR) von $\sim 0.0578$ (basierend auf 40 Jahren Lebensdauer und $3\%$ Diskontsatz) wird von dort übernommen. |
### 3. Falls externe Quellen für die Modell- und Kostenannahmen verwendet wurden – wurden diese modifiziert? Falls ja, wie?
Ja, es wurden Modifikationen vorgenommen, insbesondere in Bezug auf die Finanzierungskosten und die Magnetkosten:
*   **Fixed Charge Rate (FCR):** Die FCR wurde **drastisch gesenkt**. Die Studie verwendet die Rate von $\mathbf{\sim 0.0578}$ (basierend auf japanischen AEC-Berichten) anstelle der in früheren Studien (wie ARIES) verwendeten höheren Raten von $0.096$ bis $0.11$.
*   **Wicklungskosten der Helikalspulen:** Die Wicklungskosten (*winding unit cost*) für die Helikalspulen wurden als **$\mathbf{1,2 \text{ Mal höher}}$** angenommen als die Kosten für die TF-Spulen (*TF coils*), basierend auf Schätzungen der Autoren.
### 4. Wie lautet die Annahme zu Lernraten?
Die Studie arbeitet nicht mit expliziten Lernraten-Formeln. Die Annahme zur Kostenreduktion entspricht dem Status eines **ausgereiften (Mature) Technologie-Rollouts**:
*   Die **Einheitskosten** (*unit costs*) für die Supraleiter-Leiter und die Stützstrukturen wurden unter der Annahme der **Massenproduktion** (*mass production*) und der **Einheitskosten für das $\mathbf{10\text{th of a kind}}$** (*unit cost for the 10th of a kind*) geschätzt.
### 5. Wie wurden die Annahmen zu den Lernraten hergeleitet bzw. von wo stammen diese Annahmen?
Die Annahme der Kostenreduktion durch Massenproduktion stammt aus der Übertragung der **Erfahrungswerte des ITER-Baus und früherer Studien** auf zukünftige Serienfertigung:
*   Die Einheitskosten für die Leiter und Stützstrukturen wurden durch die Analyse der Kostenfaktoren der Magnetsysteme, basierend auf dem **LHD-Bau, dem ITER-Bau** und den **FFHR-2m1 Designstudien**, ermittelt.
*   Die verwendeten Einheitskosten für die ITER-Spulen basierten auf den Werten, die für die **SSTR-Spulen** geschätzt wurden, welche unter Berücksichtigung der **Massenproduktion** analysiert wurden.
### 6. Wird offengelegt, ob die Kostenabschätzung auf einem Bottom-up-, Top-down- oder hybriden Ansatz basiert?
Der Ansatz wird **nicht explizit** als Bottom-up oder Top-down benannt.
Die Methode verwendet jedoch ein Vorgehen, das stark auf dem **Engineering/Bottom-up-Ansatz** beruht:
*   Die Kostenermittlung erfolgt durch ein **Masse-Kosten-Modell** (*mass–cost estimating model*).
*   Die kritischen Kosten (Magnete, Blanket/Shield) werden durch **Masse-Kosten-Analysen** (*mass–cost analysis*) berechnet. Die Kosten sind dabei direkt proportional zum Gewicht der Komponenten oder zur gespeicherten magnetischen Energie.
*   Die Kosten für die **Balance of Plant (BOP)** werden mithilfe von **Skalierungsgesetzen** (*scaling laws*) berechnet.
### 7. Beruht die Kostenherleitung auf physikalischen und technologischen Werten?
**Ja**, die Kostenherleitung beruht direkt auf physikalischen und technologischen Werten.
*   **Physik-Kosten-Kopplung:** Die **Designpunkte** (*design points*) des Reaktors werden als Schnittpunkte dreier Gleichungen bestimmt, die physikalische Parameter wie $\mathbf{B_0}$ (Magnetfeld), $\mathbf{P_f}$ (Fusionsleistung), $\mathbf{\beta}$ (Plasmapressur) und den $\mathbf{H}$-Faktor verknüpfen.
*   **Kritische Kostentreiber:** Die **Magnetkosten ($C_{\text{mag}}$)** sind proportional zur **magnetisch gespeicherten Energie ($\mathbf{W}$) **. Die **Blanket- und Shield-Kosten ($C_{\text{bs}}$)** sind proportional zur **Wandfläche** (*wall surface area*), die von den geometrischen Parametern $R_p$ und $a_p$ abhängt.
### 8. Werden Materialkosten und Komponentenkosten separat ausgewiesen?
**Ja**, die Kosten der Hauptkomponenten werden separat ausgewiesen, und auch die wichtigsten Material- und Prozesskosten innerhalb der Magnete:
*   **Hauptkomponenten:** Die Kosten für **Magnete ($C_{\text{mag}}$)** und **Blanket und Shield ($C_{\text{bs}}$)** werden separat als dominanteste Kostenfaktoren ausgewiesen.
*   **Subkomponenten:** Innerhalb der Magnetkosten machen die Kosten für die **Supraleiter-Leiter** (*conductors*) und den **Wicklungsprozess** (*winding process*) zusammen etwa **$\mathbf{70\%}$ der Gesamtmagnetkosten** aus.
### 9. Bezieht sich die Studie auf ein Energiesystem (z. B. Integration, Vergleich mit anderen Technologien) oder ist sie rein bezogen auf die Kosten des Kraftwerks und des Reaktors?
Die Studie ist **rein auf die Kosten und das Design des Fusionskraftwerks und des Reaktors** bezogen.
*   Das Ziel ist die Analyse der **"Design windows"** und der **"economical potential"** des helikalen Reaktors.
*   Es erfolgt zwar ein Vergleich der **Stromgestehungskosten (COE)** mit anderen Technologien (LWR, Öl, Erneuerbare Energien), aber es wird **kein umfassendes Energiesystemmodell** verwendet, um die Integration und den Wettbewerb der Fusion im globalen Energiemix zu simulieren.
### 10. Welche Kostenreduktionspotenziale oder wirtschaftlichen Optimierungsansätze werden thematisiert?
Die zentralen Optimierungsansätze der Studie beruhen auf der physikalischen Designoptimierung zur Senkung der Kapitalkosten:
*   **Trade-off zwischen Magnet und Blanket/Shield:** Der Stromgestehungspreis (COE) erreicht sein Minimum (*lowest value*) als Ergebnis eines **Trade-offs** zwischen **Magnetkosten ($C_{\text{mag}}$)** und **Blanket-Shield-Kosten ($C_{\text{bs}}$)**.
*   **Volumen- vs. Magnetfeld-Optimierung:** Die Wirtschaftlichkeit erfordert ein **geringeres Magnetfeld ($B_0$)** in Verbindung mit einem **größeren Plasmavolumen ($V_p$)**, um die magnetisch gespeicherte Energie ($W$) auf einem vernünftigen Niveau zu halten.
*   **Erhöhung des $\beta$-Werts:** Ein **höheres $\beta$** (5%) ist **essentiell für ökonomische Fusionskraftwerke**, da es das notwendige Magnetfeld $B_0$ und damit die Magnetkosten senkt.
*   **Vergrößerung des Major Radius ($R_p$):** Die attraktiven Designfenster liegen in einem **eher großen Plasma-Major-Radius** ($\mathbf{15 \text{ bis } 16 \text{ m}}$), was für einen ausreichenden Platz für das Blanket sorgt.
### 11. Was sind die signifikantesten Kostentreiber und ökonomischen Herausforderungen laut Studie?
**Signifikanteste Kostentreiber (Dominant Cost Factors):**
*   **Magnete ($C_{\text{mag}}$):** Die Magnetkosten sind einer der **dominanten Kostenfaktoren** im Fusionsreaktor. Sie machen etwa $\mathbf{30\% \text{ bis } 34\%}$ der Gesamtkapitalkosten aus.
*   **Blanket und Shield ($C_{\text{bs}}$):** Diese sind der zweite dominante Kostenfaktor und machen etwa $\mathbf{14\% \text{ bis } 24\%}$ der Gesamtkapitalkosten aus.
**Ökonomische und technologische Herausforderungen (Critical Issues):**
*   **Bestätigung der Physik:** Die **Bestätigung einer guten Plasmakonfinierung** im Bereich von **$\mathbf{\beta \sim 5\%}$** ist die **erste Priorität der kritischen Fragen** (*first priority of critical issues*) für die Wirtschaftlichkeit.
*   **Blanket-Ersatz:** Die Häufigkeit des **periodischen Ersatzes des Blankets** (*blanket periodic replacement*) ist ein **signifikanter Faktor für die Anlagenverfügbarkeit** (*plant availability factor*).
*   **Hitzebelastung:** Die Optimierung des Divertor-Designs und die Kontrolle der **lokalen Wärmebelastung** (*heat loads on the divertor*) müssen in künftigen Studien analysiert werden.
*   **Optimierung der Geometrie:** Es ist essenziell, das Plasmavolumen und das Magnetfeld zu optimieren und den **Shafranov-Shift** im hohen $\beta$-Plasma zu kontrollieren, um die Attraktivität zu gewährleisten.</t>
  </si>
  <si>
    <t>Die von Ihnen aufgeführten Werte für die **Total Construction Cost ($\mathbf{C_{\text{total}}}$)** in Höhe von **Milliarden $\text{USD}$** stammen aus der Tabelle 1 der Studie von Kozaki et al. (2009) und repräsentieren vier unterschiedliche Designkonfigurationen des helikalen Reaktors (4 GW und 3 GW Fusionsleistung).
Die Kostenanalyse dieser **10th-of-a-kind**-Annahmen zeigt, dass die **Magnete** ($\mathbf{C_{\text{mag}}}$) und das **Blanket und Shield** ($\mathbf{C_{\text{bs}}}$) die **dominierenden direkten Kostenfaktoren** sind.
Im Folgenden finden Sie die prozentuale Aufschlüsselung der $C_{\text{total}}$ für die vier Designpunkte. Beachten Sie, dass die $C_{\text{total}}$ sowohl die direkten Komponenten-Kosten als auch die **indirekten Ingenieurkosten** (*engineering indirect cost*) beinhalten.
### Prozentualer Anteil an den Total Construction Costs ($C_{\text{total}}$)
Die prozentualen Anteile für Magnete ($C_{\text{mag}}$) und Blanket/Shield ($C_{\text{bs}}$) sind direkt in Tabelle 1 der Quelle angegeben. Die restlichen Kosten entfallen auf die übrigen Reaktorsysteme (*Balance of Plant*, BOP) und die restlichen indirekten Kosten.
| Total Construction Cost ($C_{\text{total}}$) (M\$) | Zugehörige Konfiguration | Anteil Magnete ($C_{\text{mag}}$) | Anteil Blanket/Shield ($C_{\text{bs}}$) | Restliche Kosten (BOP &amp; Indirekt) |
| :--- | :--- | :--- | :--- | :--- |
| $\mathbf{7270}$ (für 4 GW, $\gamma=1.15$) | $\gamma=1.15$ | **$\mathbf{34.6\%}$** | **$\mathbf{14.8\%}$** | $\approx 50.6\%$ |
| $\mathbf{7393}$ (für 4 GW, $\gamma=1.20$) | $\gamma=1.20$ | **$\mathbf{31.0\%}$** | **$\mathbf{19.3\%}$** | $\approx 49.7\%$ |
| $\mathbf{7705}$ (für 4 GW, $\gamma=1.25$) | $\gamma=1.25$ | **$\mathbf{28.0\%}$** | **$\mathbf{24.3\%}$** | $\approx 47.7\%$ |
| $\mathbf{6735}$ (für 3 GW, $\gamma=1.20$) | 3 GW, $\gamma=1.20$ | **$\mathbf{33.7\%}$** | **$\mathbf{21.1\%}$** | $\approx 45.2\%$ |
### Details zu den dominanten Kostenfaktoren
Der Magnet-Kostenanteil (der höchste einzelne Faktor) setzt sich intern wie folgt zusammen:
*   Die Kosten für die **Supraleiter-Leiter** (*superconducting strands and conduits*) und der **Wicklungsprozess** (*winding process*) repräsentieren zusammen etwa **$\mathbf{70\%}$ der gesamten Magnetkosten** ($\mathbf{C_{\text{mag}}}$).
Der prozentuale Anteil der Magnetkosten variiert stark mit dem **Designparameter $\gamma$**: Wenn $\gamma$ zunimmt, **nimmt der Magnetkostenanteil ab** (von 34.6% auf 28.0%), während der Blanket/Shield-Anteil **zunimmt** (von 14.8% auf 24.3%). Dies geschieht, weil bei zunehmendem $\gamma$ das Magnetfeld $B_0$ sinkt (was $C_{\text{mag}}$ reduziert), aber die Blanket-Fläche proportional zur größeren Wandfläche zunimmt (was $C_{\text{bs}}$ erhöht). Der niedrigste COE wird als Ergebnis dieses **Trade-offs** zwischen $C_{\text{mag}}$ und $C_{\text{bs}}$ erreicht.</t>
  </si>
  <si>
    <t>Gerne beantworte ich Ihre Frage zur prozentualen Aufschlüsselung der **Total Construction Costs (TCC)** des **A-SSTR**-Reaktorkonzepts, die Sie als **$\text{FOAK}$** ($\mathbf{6.327 \text{ Mrd. \$}}$) und **$\text{NOAK}$** ($\mathbf{4.697 \text{ Mrd. \$}}$) definiert haben.
Die vorliegende Quelle (Kikuchi, 1996) weist die Kosten nicht direkt für diese beiden spezifischen TCC-Werte aus. Vielmehr legt die Quelle die **Zielkosten** für das **ökonomisch wettbewerbsfähige Design A-SSTR** fest, welches dem **NOAK/10th-of-a-kind** entspricht.
Wir können jedoch die **prozentuale Aufschlüsselung** der **angestrebten Total Construction Cost ($\mathbf{C_{\text{total}}}$)** für den **A-SSTR-Prototyp** (der die niedrigeren Kosten repräsentiert) darstellen.
### Prozentuale Aufschlüsselung der Total Construction Costs (A-SSTR)
Das Paper verwendet einen **angestrebten Gesamtkostenwert ($\mathbf{C_{\text{total}}}$)** von **$\mathbf{5.1 \text{ Mrd. \$}}$** für das **A-SSTR-Konzept** (das einem **NOAK/10th-of-a-kind** entspricht), um mit Leichtwasserreaktoren (LWR) wettbewerbsfähig zu sein.
Die Aufschlüsselung dieser **$\mathbf{5.1 \text{ Mrd. \$}}$** (**Total Construction Cost, $\mathbf{C_{\text{total}}}$**) ist in **Tabelle 3** gegeben:
| Kostenkomponente (Item) | Anteil an $\mathbf{C_{\text{total}}}$ ($\mathbf{5.1 \text{ Mrd. \$}}$) |
| :--- | :--- |
| **Tokamak und Hilfssysteme** (Reactor &amp; aux. sys.) | **$\mathbf{49.2\%}$** |
| **Turbine und elektrisches System** (Turbine &amp; electrical system) | **$\mathbf{26.8\%}$** |
| **Zinsen während der Bauzeit** (Interest during construction) | **$\mathbf{7.9\%}$** |
| **Versorgungskosten etc.** (Utility cost etc.) | **$\mathbf{6.1\%}$** |
| **Gebäude** (Building) | **$\mathbf{6.0\%}$** |
| **Land und Struktur** (Land &amp; structure) | **$\mathbf{2.0\%}$** |
| **Hilfssysteme** (Auxiliary system) | **$\mathbf{2.0\%}$** |
| **Gesamt** (Total) | **$100\%$** |
### Detaillierte Aufschlüsselung des Hauptkostentreibers (Tokamak &amp; Hilfssysteme)
Die Komponente **"Tokamak und Hilfssysteme"** (die **$49.2\%$** der Gesamtkosten ausmacht) ist der Fusionskern und dessen spezifische Ausrüstung ($\mathbf{C_{\text{tok}}}$). Diese wird für das A-SSTR-Design auf **$\mathbf{2.51 \text{ Mrd. \$}}$** beziffert.
Die Aufschlüsselung dieses Hauptkostentreibers ($\mathbf{C_{\text{tok}}}$) ist in **Tabelle 4** dargestellt:
| Unterkomponente von $\mathbf{C_{\text{tok}}}$ | Anteil am $\mathbf{C_{\text{tok}}}$ ($\mathbf{2.51 \text{ Mrd. \$}}$) |
| :--- | :--- |
| **Tokamak-Gerät** | $\mathbf{1.34 \text{ Mrd. \$}}$ |
| **Tokamak-Hilfssystem** (z. B. Stromversorgung, Heizsysteme) | $\mathbf{0.90 \text{ Mrd. \$}}$ |
| **Primäres Kühlsystem** | $\mathbf{0.27 \text{ Mrd. \$}}$ |
| **Gesamt $\mathbf{C_{\text{tok}}}$** | $\mathbf{2.51 \text{ Mrd. \$}}$ |
### Kontext zu Ihren FOAK- und NOAK-Werten
Die von Ihnen genannten Kosten spiegeln die Kostenreduktionsanforderung wider:
*   **SSTR-Kosten (Analog zu Ihrem FOAK-Wert):** Der **ursprüngliche SSTR-DEMO-Reaktor** hatte eine $\mathbf{C_{\text{tok}}}$ von **$\mathbf{4.11 \text{ Mrd. \$}}$** und Gesamtkosten, die **$209.6\%$** eines vergleichbaren $\text{LWR}$ betrugen ($\mathbf{3.41 \text{ Mrd. \$}}$). Das **A-SSTR-Konzept** wurde als Reaktion darauf entwickelt, um die **Tokamak-Kosten** auf das Ziel von **$\mathbf{2.51 \text{ Mrd. \$}}$** zu senken.
*   **A-SSTR-Kosten (Analog zu Ihrem NOAK-Wert):** Der **A-SSTR-Entwurf** (Ihr **$\text{NOAK}$**-Wert spiegelt diesen Kostenbereich wider) ist darauf ausgelegt, wettbewerbsfähig zu sein, indem die TCC auf **$\mathbf{5.1 \text{ Mrd. \$}}$** gesenkt wird. Dies erfordert eine massive Reduktion der **Tokamak-Komponentenkosten** (von $2.24 \text{ Mrd. \$}$ im SSTR auf $1.34 \text{ Mrd. \$}$ im A-SSTR).
Die prozentuale Aufschlüsselung in Tabelle 3 ($\mathbf{49.2\%}$ für Tokamak &amp; Aux.) gilt für das **optimierte A-SSTR-Design** (den niedrigeren Kostenpunkt).</t>
  </si>
  <si>
    <t>Die folgende umfassende Antwort basiert ausschließlich auf den Auszügen des Artikels **"An Economically Competitive Fusion Reactor"** von M. Kikuchi (1996).
---
### 1. Welche Modellannahmen werden getroffen?
Die Studie verfolgt einen **"Needs pull"**-Ansatz, um ein **ökonomisch wettbewerbsfähiges** Fusionsreaktorkonzept (**A-SSTR**) zu entwerfen.
**Wichtige Modellannahmen:**
*   **Zielkosten:** Das **Unit Construction Cost (UCC)** des A-SSTR muss **$\mathbf{3 \text{ \$/We}}$** betragen, was mit den Kosten des **"present LWR"** (Leichtwasserreaktor) vergleichbar ist.
*   **Architektur:** Die Anlage ist als **"twin tokamak reactor plant"** konzipiert, ähnlich wie moderne LWR-Anlagen.
*   **Leistung:** Angestrebte Netto-Leistung pro Reaktor: $\mathbf{1.7 \text{ GWe}}$. Gesamtthermische Leistung $P_{\text{th}} = \mathbf{5.5 \text{ GW}}$.
*   **Bauzeit und Finanzen:** Es wird eine **kurze Bauzeit von $\mathbf{4 \text{ Jahren}}$** und ein jährlicher Zinssatz von $\mathbf{4.2\%}$ für die Zinsen während der Konstruktion angenommen.
*   **Physikalische Aggressivität:** Um die Kostenziele zu erreichen, werden **aggressive physikalische und ingenieurtechnische Annahmen** getroffen. Dazu gehören ein hohes Magnetfeld ($\mathbf{11 \text{ T}}$), ein hoher normalisierter Beta-Wert ($\mathbf{\beta_N \sim 4.2}$) und ein hoher Bootstrap-Stromanteil ($\mathbf{80\%}$).
### 2. Welche Modell- und Kostenannahmen basieren auf tatsächlichen Erfahrungswerten und welche nur Schätzungen oder Prognosen? Welche Annahmen stammen woher?
Die Modellannahmen kombinieren existierende LWR-Erfahrungswerte mit aggressiven Prognosen für die Fusionsspezifischen Kosten:
| Annahme | Basis / Quelle | Erfahrung oder Prognose |
| :--- | :--- | :--- |
| **LWR-Kosten-Benchmark** | Dient zur Definition der ökonomischen Anforderungen. | Erfahrungswert (Kostenstruktur des $\mathbf{3.41 \text{ B\$}}$ LWR). |
| **Turbine/Elektrisches System** | **LWR-Anlagen**. | Erfahrung (Kosten-Skalierungsgesetze sind **"well established"**), aber mit **Modifikation** (s. Pkt. 3). |
| **Tokamak-Design** | Das **SSTR** (*Steady-State Tokamak Reactor*), das als **DEMO-Reaktor** entworfen wurde. | Erfahrung/Schätzung (SSTR basierte auf **"near-term technology"**). |
| **A-SSTR-Kosten** | Kosten für Tokamak und Hilfssysteme von $\mathbf{4.11 \text{ B\$}}$ auf $\mathbf{2.51 \text{ B\$}}$ senken. | **Aggressive Prognose** (Target Costing), basierend auf der Notwendigkeit, **ökonomische Wettbewerbsfähigkeit** zu erreichen. |
| **Bauzeit/Zinsen** | Annahme einer Bauzeit von $\mathbf{4 \text{ Jahren}}$ und Zinssatz von $\mathbf{4.2\%}$. | Prognose (kurze Bauzeit ist **erforderlich** zur Minimierung der Zinsen). |
### 3. Falls externe Quellen für die Modell- und Kostenannahmen verwendet wurden – wurden diese modifiziert? Falls ja, wie?
Ja, das A-SSTR-Design erfordert erhebliche Modifikationen der Kostenbasis und der technischen Parameter, insbesondere im Vergleich zum Vorgänger SSTR:
*   **Tokamak-Kosten:** Die Gesamtkosten für den **Tokamak und seine Hilfssysteme** ($C_{\text{tok}}$) mussten **dramatisch** von **$\mathbf{4.11 \text{ B\$}}$ (SSTR) auf $\mathbf{2.51 \text{ B\$}}$ (A-SSTR)** reduziert werden.
*   **Turbinen- und Elektriksystem:** Es wurde eine **$\mathbf{10\% \text{ Reduktion}}$** von der konventionellen Kosten-Skalierung für das Turbinen- und Elektriksystem angenommen.
*   **Gebäudekosten:** Die Gebäudegröße des A-SSTR wurde so dimensioniert, dass die Kosten nur **$\mathbf{6\%}$** der Gesamtkosten ausmachen, vergleichbar mit dem A-BWR (einer modernen LWR-Anlage).
### 4. Wie lautet die Annahme zu Lernraten?
Die Studie arbeitet nicht mit numerischen Lernraten (Lernkurven-Exponent). Stattdessen basiert die Kostenreduktion auf der Annahme einer **vollständigen Rationalisierung, Vereinfachung und Serienproduktion** (*series production*).
Die Erreichung des Ziel-UCC von $\mathbf{3 \text{ \$/We}}$ setzt voraus, dass die Fusionsanlage das Stadium der **Mature Deployment** (analog zum **10th-of-a-kind** oder höher) erreicht hat, da dieser Wert mit der ausgereiften LWR-Technologie vergleichbar ist [8, Konversationsverlauf].
### 5. Wie wurden die Annahmen zu den Lernraten hergeleitet bzw. von wo stammen diese Annahmen?
Die implizite "Lernrate" resultiert aus dem **Top-Down-Ansatz** (Needs pull) zur Erreichung der Kostenparität mit LWR:
*   **LWR-Referenz:** Die Kostenanforderungen wurden aus der Kostenstruktur moderner, in Serie gebauter LWR-Anlagen (wie A-BWR) abgeleitet.
*   **Design-Vereinfachung und Skalierung:** Die Reduktion der Kosten wurde durch die Annahme einer **Vereinfachung des Designs und der Fertigung**, sowie durch die Verdopplung der Leistung auf eine **"twin tokamak reactor plant"** (was Skaleneffekte und die effektivere Nutzung von Gebäude und Hilfssystemen ermöglicht) hergeleitet.
### 6. Wird offengelegt, ob die Kostenabschätzung auf einem Bottom-up-, Top-down- oder hybriden Ansatz basiert?
Der Ansatz wird als **"Needs pull"**-Ansatz beschrieben. Dies entspricht einem **Top-Down/Ziel-basierten Ansatz**:
*   Zuerst wird das **Ziel** der ökonomischen Wettbewerbsfähigkeit (UCC $= 3 \text{ \$/We}$) festgelegt.
*   Anschließend wird die **erforderliche Obergrenze** für die teuerste Komponente (Tokamak, $C_{\text{tok}}$) berechnet ($\mathbf{2.51 \text{ B\$}}$).
*   Dies steht im Gegensatz zum **SSTR**, der dem **"Seeds push"**-Ansatz folgte und dessen Kosten zu hoch waren.
### 7. Beruht die Kostenherleitung auf physikalischen und technologischen Werten?
**Ja.** Die gesamte ökonomische Machbarkeit hängt von der Erfüllung aggressiver physikalischer und technischer Bedingungen ab:
*   **Physikalische Anforderungen:** Die erforderlichen Hochleistungs-Plasma-Parameter ($\mathbf{\beta_N \sim 4.2}$, $\mathbf{H \sim 2.7}$) sind **zwingend notwendig** (*required*), um die Fusionsleistung ($P_{\text{f}}$) zu maximieren und die Kosten pro Watt ($UCC$) zu senken.
*   **Ingenieurtechnische Reduktion:** Die Kostenreduktion erfordert eine **Größenreduktion** (*size reduction*), so wird der große Radius ($R_p$) von $7 \text{ m}$ (SSTR) auf $\mathbf{6 \text{ m}}$ (A-SSTR) verkleinert. Auch das Gesamtgewicht des Reaktors sinkt von $30,000 \text{ Tonnen}$ auf $\mathbf{20,000 \text{ Tonnen}}$.
### 8. Werden Materialkosten und Komponentenkosten separat ausgewiesen?
**Ja**, die Kosten werden aufgeschlüsselt, insbesondere für die Hauptsysteme:
*   **Total Construction Cost (TCC):** Wird in Kategorien wie **Tokamak und Hilfssysteme** ($\mathbf{49.2\%}$), Turbine und Elektrisches System ($\mathbf{26.8\%}$) und Gebäude ($\mathbf{6\%}$) aufgeschlüsselt.
*   **Fusionskern (Tokamak $C_{\text{tok}}$):** Die Kosten des Kerns werden detailliert in **Tokamak-Gerät** ($\mathbf{1.34 \text{ B\$}}$), **Tokamak-Hilfssystem** und **Primäres Kühlsystem** aufgeteilt.
*   **Materialkosten (Implizit):** Für die Magnete ist eine Reduktion der **Einheitskosten für Leiter** (*reduction of the unit cost for magnet, especially for conductors*) erforderlich, was impliziert, dass diese Materialkosten ein wichtiger Faktor sind, auch wenn sie nicht als Prozentsatz der TCC angegeben werden.
### 9. Bezieht sich die Studie auf ein Energiesystem (z. B. Integration, Vergleich mit anderen Technologien) oder ist sie rein bezogen auf die Kosten des Kraftwerks und des Reaktors?
Die Studie ist **rein auf die Kosten und das Design des Fusionskraftwerks und des Reaktors** bezogen.
*   Der Fokus liegt auf der **internen Kostenstruktur** des Fusionsreaktors, um die kritischen Kostentreiber zu identifizieren.
*   Der Vergleich mit anderen Technologien dient lediglich dazu, das **erforderliche Kosten-Ziel** ($\mathbf{UCC \sim 3 \text{ \$/We}}$) für das Fusionskraftwerk festzulegen, nicht um die Integration der Fusion in ein globales Energiesystem zu modellieren.
### 10. Welche Kostenreduktionspotenziale oder wirtschaftlichen Optimierungsansätze werden thematisiert?
*   **Vereinfachung des Designs:** Signifikante **Vereinfachung des Tokamak-Hilfssystems**.
*   **Eliminierung von Hilfssystemen:** Nicht-induktiver Stromstart (*non-inductive current startup*) wird gefordert, um den für den induktiven Start im SSTR benötigten Motorgenerator zu eliminieren. Die Nutzung von Hochtemperatur-Supraleitern würde das Kryogeniksystem eliminieren.
*   **Größen- und Gewichtsreduktion:** Reduzierung des Major Radius auf $6 \text{ m}$ und des Gewichts auf $\mathbf{20,000 \text{ Tonnen}}$.
*   **Multi-Unit-Anlage:** Die Konzeption als **"twin tokamak reactor plant"** zur effizienten gemeinsamen Nutzung von Standort, Struktur und Hilfssystemen.
### 11. Was sind die signifikantesten Kostentreiber und ökonomischen Herausforderungen laut Studie?
**Signifikanteste Kostentreiber:**
*   **Tokamak und Hilfssysteme:** Mit **$\mathbf{49.2\%}$** der Gesamtkosten (oder $76-x\%$ gemäß Tabelle 2), ist dies der weitaus größte Kostentreiber, der **dringend rationalisiert** werden muss.
*   **Turbine und elektrisches System:** Obwohl skalierbar, stellt diese Komponente immer noch $\mathbf{26.8\%}$ der TCC dar.
*   **Zinsen während der Bauzeit:** Diese Kosten machen trotz der angenommenen kurzen Bauzeit immer noch $\mathbf{7.9\%}$ der TCC aus.
**Ökonomische Herausforderungen:**
*   **Erreichung des $\beta_N=4.2$:** Die **gleichzeitige Erreichung von hohem $H$-Faktor, hohem $\beta_N$ und hohem Bootstrap-Anteil** ist physikalisch notwendig, um die Reaktorgröße und damit die Kosten zu reduzieren.
*   **Kostenparität:** Die größte Herausforderung ist die **dramatische Kostenreduktion** und Vereinfachung, die erforderlich ist, um die **ökonomische Wettbewerbsfähigkeit** mit etablierten LWR-Anlagen zu erreichen.#</t>
  </si>
  <si>
    <t>Die Studie von M. Kikuchi (1996) führt einen expliziten Kostenvergleich durch, um die ökonomischen Anforderungen an einen Fusionsreaktor zu definieren, der mit etablierten Technologien konkurrieren kann.
### Ergebnis des Kostenvergleichs
Das primäre Ziel der Studie ist es, die Kosten des Fusionsreaktors so zu senken, dass **ökonomische Wettbewerbsfähigkeit** (*economical competitiveness*) erreicht wird.
1.  **Vorgänger-Konzept (SSTR):** Das ursprüngliche Design, der **SSTR (Steady-State Tokamak Reactor)**, wurde als **nicht ökonomisch wettbewerbsfähig** (*not economically competitive*) mit den gegenwärtigen Energiequellen wie **LWR** (Leichtwasserreaktor), Öl-, Kohle- oder Gaskraftwerken eingestuft.
    *   Der projizierte Stromgestehungspreis (COE) des SSTR wurde auf **$\mathbf{1.5 \times \text{COE}(\text{LWR})}$** geschätzt.
    *   Die Gesamtkosten des SSTR betrugen **$\mathbf{209.6\%}$** der Kosten eines vergleichbaren LWRs.
2.  **Ziel-Konzept (A-SSTR):** Das in der Studie vorgeschlagene **A-SSTR**-Konzept wurde mittels eines **"Needs pull"**-Ansatzes entwickelt, um dieses Wettbewerbsziel zu erreichen.
    *   Das Ergebnis der Optimierung ist der **angestrebte Unit Construction Cost (UCC)** von **$\mathbf{3 \text{ \$/We}}$**.
    *   Dieser Wert von $\mathbf{3 \text{ \$/We}}$ wird als **ähnlich dem des gegenwärtigen LWR** (*similar to that for the present LWR*) angesehen.
Das Ergebnis der Modellierung ist also, dass die Fusion (A-SSTR) nur dann wettbewerbsfähig wird, wenn die spezifischen Investitionskosten auf das Niveau eines **modernen, ausgereiften LWR-Kraftwerks** gesenkt werden.
### Basis des Kostenvergleichs: Zukunftsgerichtete Projektionen
Der Vergleich basiert auf einer **zukunftsgerichteten Projektion** der Fusionskosten, die sich an den **optimierten Kosten** der Referenztechnologie orientiert:
1.  **Reife Referenz (LWR):** Die gesamte Analyse nutzt die Kostenstruktur des **Leichtwasserreaktors (LWR)** als Benchmark. Insbesondere werden moderne Entwürfe wie der **A-BWR** (Advanced Boiling Water Reactor) herangezogen, um die angestrebte **Gebäudegröße** und die Kostenstruktur zu definieren. Der LWR dient als Modell für eine Technologie, die bereits **vollständig reif** ist.
2.  **Ziel-Status (10th-of-a-kind):** Um die Kostenparität mit dem reifen LWR zu erreichen, basiert die A-SSTR-Kostenmodellierung auf aggressiven physikalischen und ingenieurtechnischen Annahmen, die eine **massive Kostenreduktion** und **Serienproduktion** (analog zum **10th-of-a-kind**-Status) erfordern [9, Konversationsverlauf].
3.  **Gemeinsame Kostenbasis:** Um die Kosten fair zu vergleichen, wurden die Skalierungsgesetze für die **Turbine und das elektrische System** (*Turbine &amp; electrical system*) des Fusionsreaktors an die **"well established"** (*gut etablierten*) Skalierungsgesetze für LWRs angeglichen.
Die Studie vergleicht somit die **projizierten und optimierten Serienproduktionskosten (10th-of-a-kind)** der Fusion (A-SSTR) mit den **angenommenen optimierten Kosten** der ausgereiften Konkurrenztechnologie (LWR).</t>
  </si>
  <si>
    <t>10th-OAK assumed since commercial ("For the commercial example considered, the material cost is 86% lower than for the base case.")
more cases than just these ones!!!
Probably Contingencies in indirect costs but not specified or any value given (direct + indirect capital costs)</t>
  </si>
  <si>
    <t>"Investment costs" probably with IDC</t>
  </si>
  <si>
    <t>10th-OAK assumed since economical competitiveness
Total Construction Cost</t>
  </si>
  <si>
    <t>IQR</t>
  </si>
  <si>
    <t>Fence_low</t>
  </si>
  <si>
    <t>Fence_high</t>
  </si>
  <si>
    <t>Upper box (Median–Q3, 50–75%)</t>
  </si>
  <si>
    <t>Lower box (Q1–Median, 25–50%)</t>
  </si>
  <si>
    <t>Whisker_high-Median</t>
  </si>
  <si>
    <t>Median-Whisker_low</t>
  </si>
  <si>
    <t>Q1_minus_Whisker_low</t>
  </si>
  <si>
    <t>Whisker_high_minus_Q3</t>
  </si>
  <si>
    <t>Die von Ihnen genannten Werte für die **Overnight Construction Costs (OCC)** in der Größenordnung von $\mathbf{2.7 \text{ Mrd. \$} \text{ bis } 3.3 \text{ Mrd. \$}}$ basieren auf dem detaillierten Kostenkalkulationssystem der **ARIES-Tokamak-Studien** (wie ARIES-I bis ARIES-IV), die im Krakowski-Paper (1995) als Basis für den vereinfachten Kostenmaßstab verwendet werden.
Die Quelle Krakowski (1995) liefert zwar nicht die exakte prozentuale Aufschlüsselung für Ihre spezifischen absoluten OCC-Werte, aber sie stellt das zugrunde liegende **Kostenstrukturmodell (Cost-Accounting System, Tabelle I)** bereit, anhand dessen die prozentualen Anteile der Schlüsselkomponenten an den Gesamtinvestitionen der Fusionskraftwerke (hier am $\text{OCC}$) abgeleitet werden können.
Die OCC setzt sich aus den **Total Direct Costs (TDC)** (Account 90) und den **indirekten Kosten** (Accounts 91–96, ohne Zinsen während der Bauzeit) zusammen.
Im Folgenden wird die Aufschlüsselung der Kosten in die Hauptkategorien sowie die detaillierte Aufschlüsselung der TDC für das **ARIES-IV**-Konzept (das kostengünstigste der ARIES-Designs und am nächsten an Ihren niedrigen Werten) als repräsentatives Beispiel dargestellt:
---
### 1. Aufschlüsselung der Overnight Construction Costs (OCC) in Hauptkategorien
Die OCC besteht aus dem **Total Direct Cost (TDC)** und den **indirekten Kosten** (Bauleistungen, Ingenieurleistungen, Eigentümerkosten und Projektrückstellungen).
Wenn man die Kostenstruktur von ARIES IV (TDC = $1962.1 \text{ M\$}$, OCC $\approx 3148.4 \text{ M\$}$) zugrunde legt, ergeben sich folgende ungefähre Anteile an den OCC:
| Hauptkategorie | Anteile an der OCC (Ungefähre Prozentwerte, ARIES IV) |
| :--- | :--- |
| **Total Direct Cost (TDC, Account 90)** | $\mathbf{\sim 62\%}$ |
| **Projektrückstellungen (Contingency, Account 96)** | $\mathbf{\sim 13\%}$ |
| **Eigentümerkosten (Owner's Costs, Account 94)** | $\mathbf{\sim 11\%}$ |
| **Indirekte Kosten (Bau/Ingenieurwesen, Accounts 91-93)** | $\mathbf{\sim 14\%}$ |
| **Summe (OCC)** | $\mathbf{100\%}$ |
Die **Projektrückstellungen (Project Contingency, Account 96)** allein machen einen signifikanten Anteil aus und liegen für die ARIES-Designs typischerweise zwischen **$\mathbf{402 \text{ M\$}}$ und $\mathbf{525 \text{ M\$}}$**. Die Contingency-Faktoren sind je nach Subsystem unterschiedlich (z. B. $\mathbf{0.30}$ für den Fusionskern, $\mathbf{0.15}$ für die Nebenanlagen).
### 2. Detaillierte Aufschlüsselung der Total Direct Costs (TDC)
Die größten direkten Kostenfaktoren sind die **Reactor Plant Equipment (RPE)**, der Turbinenbereich (TPE) und die Gebäude (SITE). Der **RPE** (Account 22) ist der **dominierende Kostentreiber**.
Für das optimierte **ARIES-IV**-Design (TDC = $1962.1 \text{ M\$}$) ergibt sich folgende Aufschlüsselung der **direkten Kosten**:
| Direkte Kostenkomponente (Account) | ARIES IV Kosten (M\$) | Anteil am TDC ($\mathbf{1962.1 \text{ M\$}}$) |
| :--- | :--- | :--- |
| **Reactor Plant Equipment (RPE, Account 22)** | $1302.3 \text{ M\$}$ | **$\mathbf{\sim 66.4\%}$** |
| **Turbine Plant Equipment (TPE, Account 23)** | $249.3 \text{ M\$}$ | **$\mathbf{\sim 12.7\%}$** |
| **Structures and Site (SITE, Account 21)** | $245.3 \text{ M\$}$ | **$\mathbf{\sim 12.5\%}$** |
| **Electric Plant Equipment (EPE, Account 24)** | $100.1 \text{ M\$}$ | **$\mathbf{\sim 5.1\%}$** |
| **Miscellaneous Plant Equipment (MPE, Account 25)** | $53.8 \text{ M\$}$ | **$\mathbf{\sim 2.7\%}$** |
| **Land/Sonderwerkstoffe (Accounts 20, 26)** | $11.0 \text{ M\$}$ | **$\mathbf{\sim 0.6\%}$** |
### 3. Aufschlüsselung der Reactor Plant Equipment (RPE)
Innerhalb der **RPE** (die $\mathbf{\sim 66.4\%}$ der TDC ausmachen) liegen die größten Kosten bei den **fusionsspezifischen Kernkomponenten** (Fusion Power Core, FPC):
| Fusionskern-Komponente (Account 22.1) | ARIES IV Kosten (M\$) | Anteil an RPE ($\mathbf{1302.3 \text{ M\$}}$) |
| :--- | :--- | :--- |
| **Shield (Abschirmung)** | $406.7 \text{ M\$}$ | $\mathbf{\sim 31.2\%}$ |
| **Magnets (Magnete)** | $222.6 \text{ M\$}$ | $\mathbf{\sim 17.1\%}$ |
| **Supplemental Heating Systems (Heizung/Stromtreiber)** | $175.7 \text{ M\$}$ | $\mathbf{\sim 13.5\%}$ |
| **First Wall, Blanket, Reflector** | $86.7 \text{ M\$}$ | $\mathbf{\sim 6.7\%}$ |
Das Krakowski-Modell betont, dass der Fusionskern (FPC) einen **dominierenden ökonomischen Hebel** (*economic lever*) darstellt, da die Kostenanteile des Fusionskerns ($\mathbf{f_{\text{FPC}}}$) und der RPE ($\mathbf{f_{\text{RPE}}}$) bei Fusion (**deutlich höher** als bei Kernspaltung) sind und die Gesamtkapitalkosten bestimmen.</t>
  </si>
  <si>
    <t>Die Studie von Krakowski (1995) vergleicht die Kosten der konzeptuellen Fusionskraftwerke (Magnetic Fusion Energy, MFE) mit anderen Energieerzeugungstechnologien, um die notwendigen **ökonomischen Voraussetzungen** für eine erfolgreiche Kommerzialisierung der Fusionsenergie zu definieren.
### Ergebnis des Kostenvergleichs
Das allgemeine Ergebnis der Analyse ist, dass die meisten detaillierten, optimierten Fusionsreaktorkonzepte, die zu dieser Zeit entwickelt wurden, **ökonomisch nicht wettbewerbsfähig** waren:
1.  **Nicht-Wettbewerbsfähigkeit der Tokamaks:** Die Ergebnisse zeigen, dass die untersuchten Designs, wie die **vier ARIES-Tokamak-Designs**, die in der MPD–$Q_E$-Phasenraum-Analyse abgebildet sind, **generell nicht ökonomisch mit anderen fortgeschrittenen Energiequellen konkurrieren würden**.
2.  **Referenzkosten für Konkurrenz:** Die Kosten für **fortgeschrittene Spaltreaktorsysteme** (*advanced fission systems*) wurden für die verwendete Kostenbasis auf eine Bandbreite von **$\mathbf{45 \text{ bis } 48 \text{ mill}/\text{kW}\cdot\text{h}}$** prognostiziert.
3.  **Notwendigkeit signifikanter Kostenunterschiede:** Krakowski schlussfolgert, dass die Fusionsenergie nur dann erfolgreich in den Markt eintreten wird, wenn sie durch **signifikante Kostendifferenzen** (*significant cost differentials*) **"in den Energiemarkt hineingezogen"** (*pulled into the energy market*) wird, anstatt nur durch technologische Fortschritte hineingedrängt zu werden.
4.  **Anforderung an die Fusion:** Um wettbewerbsfähig zu sein, erfordert der Kostenmaßstab, dass die MFE-Anlagen **höhere Mass Power Density (MPD)-Werte** aufweisen, während sie einen technischen Gewinn von $\mathbf{Q_E &gt; 6}$ beibehalten.
### Basis des Vergleichs: Zukunftsgerichtete Projektionen
Der Vergleich basiert auf **zukunftsgerichteten Projektionen** der Kosten, sowohl für die Fusionsenergie als auch für die konkurrierenden Technologien.
*   **Fusionskostenbasis (Projektion):** Die untersuchten Fusionskonzepte (wie ARIES, TITAN, etc.) sind alle **konzeptuelle Entwürfe** (*conceptual fusion power plants*) für die Zeit nach dem DEMO-Reaktor. Die Kommerzialisierung der Fusion war zum Zeitpunkt der Studie frühestens für das Jahr **2050** prognostiziert. Die Analyse bewertet das **ökonomische Potenzial** dieser zukünftigen Anlagen.
*   **Referenzkosten (Projektion):** Die Benchmark-Kosten von $\mathbf{45 \text{ bis } 48 \text{ mill}/\text{kW}\cdot\text{h}}$ beziehen sich auf **erwartete Kosten** (*expected*) für **fortgeschrittene Spaltanlagen** (*advanced fission systems*). Es handelt sich nicht um historische, sondern um prospektive, optimierte Kosten konkurrierender Energietechnologien.
*   **COE-Gauge:** Das entwickelte vereinfachte Finanzmodell dient als **"costing gauge"** (*Kostenmaßstab*), um die Kostenentwicklung der Fusionskonzepte im Vergleich zu einer angenommenen wettbewerbsfähigen COE-Zielgröße zu bewerten.</t>
  </si>
  <si>
    <t>Dies ist eine umfassende Analyse der Modell- und Kostenannahmen aus der Studie **"Simplified Fusion Power Plant Costing: A General Prognosis and Call for 'New Think'"** von R. A. Krakowski (1995).
---
### 1. Welche Modellannahmen werden getroffen?
Die Studie entwickelt und verwendet ein **vereinfachtes Finanzmodell** (*simplified financial model* / *costing gauge*), dessen Anwendung auf **Magnetic Fusion Energy (MFE)**-Konzepte beschränkt ist. Das Modell dient dazu, die **Stromgestehungskosten (COE)** zu projizieren.
**Zentrale Modellannahmen und Parameter:**
*   **Behandlung des Reaktors:** Der MFE-Reaktor wird auf der grundlegendsten Ebene als **Leistungsverstärker** (*power amplifier*) beschrieben, der investierte Energie (Input Heating Power $P_{\text{HTG}}$) in eine größere Freisetzung von Fusionsenergie umwandelt.
*   **Wichtigste hoch integrierte Parameter:** Die COE wird parametrisch in Abhängigkeit von zwei Hauptgrößen ausgedrückt:
    *   **Mass Power Density (MPD):** Die Fusionskern-Masse-Leistungsdichte in $\text{kW}(\text{electric}) / \text{Tonne}$. $\text{MPD} = P_E / M_{\text{FPC}}$.
    *   **Engineering Gain ($\mathbf{Q_E}$):** Das Verhältnis der Brutto- zur Umlaufleistung. $Q_E = P_{\text{ET}} / P_C$.
*   **Konstante Betriebsparameter (Tabelle II):**
    *   **Anlagenverfügbarkeitsfaktor ($\mathbf{P_f}$):** Festgesetzt auf **0.75** (75%) für alle Fälle. Die Autoren merken an, dass dies ein Bereich **hoher Unsicherheit und Optimismus** (*high uncertainty and optimism*) ist.
    *   **Netto-Leistung ($\mathbf{P_E}$):** Basis-Nennleistung von $\mathbf{1000 \text{ MW}(\text{electric})}$.
    *   **Thermischer Wirkungsgrad ($\mathbf{\eta_{\text{TH}}}$):** $\mathbf{0.40}$.
    *   **Plasmaheizungs-Wirkungsgrad ($\mathbf{\eta_{\text{HTG}}}$):** $\mathbf{0.65}$.
    *   **Neutronenmultiplikation ($\mathbf{M_N}$):** $\mathbf{1.20}$.
    *   **Fixed Charge Rate (FCR):** $\mathbf{0.0860}$ pro Jahr.
### 2. Welche Modell- und Kostenannahmen basieren auf tatsächlichen Erfahrungswerten und welche nur Schätzungen oder Prognosen? Welche Annahmen stammen woher?
Die Grundlage des Modells ist eine Mischung aus etablierten Abrechnungssystemen, die auf Fissionserfahrung basieren, und hochgradig prognostischen Schätzwerten (CERs) für Fusionssysteme.
| Annahme | Basis / Quelle | Erfahrung oder Prognose |
| :--- | :--- | :--- |
| **Kosten-Abrechnungssystem** (Accounts 20–99) | Ursprünglich entwickelt, um frühe Kernspaltungsanlagen (*early fission power plants*) zu bewerten. | **Erfahrung/Standard:** Standardisiertes Abrechnungssystem. |
| **BOP-Skalierungsgesetze** (TPE, EPE, MPE) | Skalierungsgesetze, die Economies of Scale widerspiegeln. | **Erfahrung/Skalierung:** CERs basieren auf externen, detaillierten Studien. |
| **FPC-Einheitskosten ($\mathbf{UC}_{\text{FPC}} = 100 \text{ \$/kg}$)** | Soll eine vernünftige Übereinstimmung (*reasonable agreement*) mit detaillierten Studien wie **ARIES** bieten. | **Prognose/Schätzung:** Hoch integrierte Schätzung, basierend auf der Notwendigkeit, ein flexibles Modell zu schaffen. |
| **Anlagenverfügbarkeit ($\mathbf{P_f}=0.75$ )** | Angenommen, um die Unsicherheit in den detaillierten Systemstudien zu umgehen. | **Prognose/Optimismus:** Bereich hoher Unsicherheit und Optimismus. |
### 3. Falls externe Quellen für die Modell- und Kostenannahmen verwendet wurden – wurden diese modifiziert? Falls ja, wie?
**Ja**, das externe Kosten-Abrechnungssystem wurde stark **komprimiert und integriert**:
*   **Kompression:** Die detaillierte Kostenstruktur (Tabelle I) mit bis zu 20 Unterkonten wurde zu einer stark kondensierten Struktur zusammengefasst, die die Kosten auf die wenigen hoch integrierten Einheitskosten (UCs) reduziert, die mit $\text{MPD}$ und $Q_E$ verknüpft sind.
*   **Umlagerung von Kosten:** Die Kosten für die **Plasma-Heizung und den Stromtreiber** (*plasma heating or current drive power*) wurden explizit aus den Einheitskosten des Fusionskerns ($\text{UC}_{\text{FPC}}$) herausgenommen und als separate Kategorie (HTG), skaliert nach $Q_E$, behandelt. Dies reduziert die Auswirkung der Annahme, dass die FPC-Kosten linear mit der FPC-Masse skalieren.
### 4. Wie lautet die Annahme zu Lernraten?
Das vereinfachte Modell verwendet **keine expliziten Lernraten**. Die implizite Annahme ist der Zustand der **Mature Deployment** oder **Serienproduktion** (analog **10th-of-a-kind**) [Konversationsverlauf].
*   Die verwendeten Einheitskosten (UCs) wurden **sorgfältig ausgewählt** auf Basis von Vorhersagen aus detaillierten Studien (wie ARIES), die bereits **kostenoptimiert** sind.
*   Die **CERs für die BOP** enthalten jedoch **Skaleneffekte** (*economies of scale*), die eine Kostenreduktion bei höheren Leistungen widerspiegeln.
### 5. Wie wurden die Annahmen zu den Lernraten hergeleitet bzw. von wo stammen diese Annahmen?
Die impliziten Annahmen zur Kostenreduktion stammen aus den **Skalierungsgesetzen** der Referenzstudien:
*   Die **BOP-Unit Costs (UCs)** verwenden CERs (z. B. für TPE, EPE, MPE), die eine **Ökonomie der Skalierung** (*economies of scale*) reflektieren und von externen Quellen stammen (Ref. 26). Diese Skaleneffekte führen dazu, dass sich die Kosten nicht linear zur Leistung verdoppeln, was die inhärente Annahme einer fortgeschrittenen, effizienten Industrie widerspiegelt.
### 6. Wird offengelegt, ob die Kostenabschätzung auf einem Bottom-up-, Top-down- oder hybriden Ansatz basiert?
Das Modell basiert auf einem **Top-Down-Ansatz** in umgekehrter Weise:
*   Das Modell wird als **"costing gauge"** (*Kostenmaßstab*) beschrieben, der dazu dient, die **ökonomische Attraktivität** des Endprodukts zu beurteilen.
*   Die Analyse **"inverts the design-optimization process"**, indem sie ein **Ziel-COE** festlegt und dann bestimmt, welche Kombinationen von $\text{MPD}$ und $Q_E$ erforderlich sind, um dieses Ziel zu erreichen.
### 7. Beruht die Kostenherleitung auf physikalischen und technologischen Werten?
**Ja, aber indirekt.**
*   Das vereinfachte Modell selbst ist **nicht direkt auf Plasma-Physik und/oder Engineering-Modellen** aufgebaut.
*   Die komplexen, nichtlinearen Abhängigkeiten zwischen Physik, Engineering und Finanzen sind jedoch in den **hoch integrierten Parametern $\text{MPD}$ und $Q_E$** **eingebettet**.
*   Die Kostenherleitung für den Fusionskern ($C_{\text{FPC}}$) basiert auf der **FPC-Masse** ($\mathbf{M_{\text{FPC}}}$), die wiederum von physikalischen und ingenieurtechnischen Randbedingungen (Abschirmung, Magnete, Divertor-Geometrie) bestimmt wird.
### 8. Werden Materialkosten und Komponentenkosten separat ausgewiesen?
**Ja, die Komponentenkosten werden separat ausgewiesen** in der zugrundeliegenden detaillierten Kostenstruktur (Tabelle I), die zur Kalibrierung dient.
*   **Komponenten-Kosten:** In Tabelle I (basierend auf ARIES) sind spezifische Fusionskern-Komponenten wie **Magnets** ($C_{22.1.3}$), **Shield** ($C_{22.1.2}$) und **First Wall, Blanket, and Reflector** ($C_{22.1.1}$) separat ausgewiesen.
*   **Materialkosten (Implizit):** Die Magnetkosten ($\mathbf{C_{\text{Mag}}}$) werden teilweise auf der Basis der **Masse** berechnet. Das vereinfachte Modell fasst diese jedoch zur **FPC-Einheitskosten pro Kilogramm ($\text{UC}_{\text{FPC}}$)** zusammen.
### 9. Bezieht sich die Studie auf ein Energiesystem (z. B. Integration, Vergleich mit anderen Technologien) oder ist sie rein bezogen auf die Kosten des Kraftwerks und des Reaktors?
Die Studie ist **rein auf die Kosten und die Optimierung des Fusionskraftwerks und Reaktors** bezogen.
*   Ihr Hauptzweck ist es, die **ökonomischen Grenzen** der MFE-Konzepte zu untersuchen und zu bestimmen, welche **MPD–$Q_E$-Kombinationen** notwendig sind, um **wettbewerbsfähige COEs** (*competitive COEs*) zu erreichen.
*   Es erfolgt ein Vergleich mit fortgeschrittenen Spaltreaktoren, deren erwartete COE bei $\mathbf{45 \text{ bis } 48 \text{ mill}/\text{kW}\cdot\text{h}}$ liegt. Dieser Vergleich dient als **"costing gauge"** (*Kostenmaßstab*), um die Anforderungen an die Fusion zu definieren.
### 10. Welche Kostenreduktionspotenziale oder wirtschaftlichen Optimierungsansätze werden thematisiert?
Die zentralen Optimierungsansätze bestehen in der **Steigerung der Systemeffizienz und der Leistungsdichte**:
*   **Steigerung der Mass Power Density (MPD):** Höhere MPD-Werte sind essenziell, um die **FPC-Kosten pro elektrischer Leistung** zu reduzieren.
*   **Beibehaltung hoher Engineering Gain ($\mathbf{Q_E}$):** $Q_E$ muss beibehalten oder maximiert werden, um die Kosten der **Umlaufleistung** (*recirculating power costs*) zu minimieren.
*   **Technologische Richtungsänderung ("New Think"):** Es wird eine **Neubewertung der Richtung** des Fusionsprogramms gefordert. Dies beinhaltet die Abkehr vom konventionellen Tokamak hin zu Konzepten mit **erhöhter poloidaler Feld-Dominanz (PFD)** und **reduzierten extern erzeugten Magnetfeldern**.
*   **Vorteile Kompakter Systeme:** PFD-Systeme bieten das Potenzial für **kompaktere FPC**, **vereinfachte Wartung** (z. B. **Single-piece FPC maintenance**) und **reduzierte Bauzeit**.
### 11. Was sind die signifikantesten Kostentreiber und ökonomischen Herausforderungen laut Studie?
**Signifikanteste Kostentreiber:**
*   **Fusionskern-Masse (FPC):** Die Kosten des Fusionskerns (FPC) sind in Kombination mit den Kosten für die Bereitstellung der Umlaufleistung die dominanten Faktoren.
*   **FPC-Anteil an den Gesamtkosten:** Der Anteil der **FPC** und der **Reactor Plant Equipment (RPE)** an den Gesamtkapitalkosten (TDC) ist bei Fusionskonzepten **deutlich höher** ($\mathbf{30\% \text{ bis } 35\%}$ für RPE) als bei Spaltreaktoren ($\mathbf{30\% \text{ bis } 34\%}$ für RPE).
**Ökonomische Herausforderungen:**
*   **Fehlende Wettbewerbsfähigkeit:** Die meisten detaillierten MFE-Konzepte (wie ARIES) sind **ökonomisch nicht wettbewerbsfähig** mit fortgeschrittenen Spaltreaktoren.
*   **Zu geringe MPD und $Q_E$:** Die Designs residieren oft in Regionen des MPD–$Q_E$-Phasenraums, die zu hohen COEs führen.
*   **Kopplung an die Physik:** Die **Ökonomie des MFE-Kraftwerks ist zu stark an die Unsicherheiten der Fusionsphysik gekoppelt**; eine Entkopplung wäre wünschenswert, um das Risiko zu reduzieren.
*   **Betriebsrisiko:** Die Annahme der hohen **Anlagenverfügbarkeit** ($\mathbf{P_f=0.75}$) ist ein **Risikofaktor**, der besonders bei großen, komplexen Anlagen schwer zu erreichen ist.</t>
  </si>
  <si>
    <t>Die Studie von Dolan et al. (2005) vergleicht die **geschätzten Stromgestehungskosten (COE)** der konzeptuellen Heliotron-Fusionsreaktoren mit den Kosten **anderer aktueller Energieerzeugungsquellen in Japan**.
### Ergebnis des Kostenvergleichs
Das allgemeine Ergebnis ist, dass die COE zukünftiger Fusionskraftwerke **im Allgemeinen höher** (*generally higher*) liegen als die von Kernspaltung und fossilen Brennstoffen.
Der direkte Vergleich des **Heliotron-Basisfalls** (mit einer COE von $\mathbf{71.6 \text{ mill}/\text{kW}\cdot\text{h}}$ oder $\mathbf{7.6 \text{ yen}/\text{kW}\cdot\text{h}}$) mit den aktuellen japanischen COE-Werten (in Tabelle VI aufgeführt) ergab Folgendes:
1.  **Wettbewerbsfähig mit Öl und Pumpspeicher:** Die COE des Heliotron-Basisfalls ($\mathbf{7.6 \text{ yen}/\text{kW}\cdot\text{h}}$) wäre **wettbewerbsfähig** (*competitive*) mit **Öl** ($\mathbf{10.7 \text{ yen}/\text{kW}\cdot\text{h}}$) und **Pumpspeicherkraftwerken** ($\mathbf{11.9 \text{ yen}/\text{kW}\cdot\text{h}}$).
2.  **Nicht wettbewerbsfähig mit Basislast:** Die COE des Heliotron-Basisfalls wäre **nicht wettbewerbsfähig** mit den aktuellen Preisen von **Spaltreaktoren** ($\mathbf{5.3 \text{ yen}/\text{kW}\cdot\text{h}}$), **Kohle** ($\mathbf{5.7 \text{ yen}/\text{kW}\cdot\text{h}}$) oder **Erdgas** ($\mathbf{6.2 \text{ yen}/\text{kW}\cdot\text{h}}$).
3.  **Zukunftsaussichten:** Die Autoren stellen fest, dass die Fusionskosten zukünftig wettbewerbsfähig werden könnten, falls **Carbon Sequestration** (CO2-Abscheidung) für fossile Brennstoffe erforderlich wird oder wenn **Fossilbrennstoffpreise in Zukunft wahrscheinlich steigen** und die Öffentlichkeit Bedenken hinsichtlich der Sicherheit und Abfallentsorgung von Spaltreaktoren hat.
### Vergleichsbasis: Historisch vs. Zukunftsgerichtet
Der Vergleich verwendet eine Kombination aus aktuellen Marktwerten und zukunftsgerichteten Projektionen:
1.  **Zukunftsgerichtete Projektionen (Fusionskosten):** Die untersuchten Kosten (Heliotron-Basisfall, ARIES-AT Tokamak, ARIES-SPPS Stellarator) sind **Projektionen** von **konzeptionellen Fusionskraftwerken** für eine zukünftige, ausgereifte Betriebsphase. Die Kosten basieren auf dem aktualisierten **Physics-Engineering-Cost (PEC) Code**.
2.  **Aktuelle/Historische Werte (Konkurrenz):** Die Vergleichswerte (Tabelle VI) stammen aus einer Quelle der **Federation of Electric Power Companies in Japan** (Januar 2004) und spiegeln die **aktuellen COE-Werte in Japan** (*Current COEs generation by various means in Japan*) wider. Diese Werte dienen als **aktueller ökonomischer Maßstab** für die Konkurrenztechnologien zum Zeitpunkt der Veröffentlichung der Studie.
Die Studie vergleicht also **zukunftsgerichtete, optimierte Fusionskosten** mit **aktuellen Marktpreisen** konkurrierender Technologien.</t>
  </si>
  <si>
    <t>Diese Analyse basiert auf der Studie **"Helical Fusion Power Plant Economics Studies"** von Dolan et al. (2005).
---
### 1. Welche Modellannahmen werden getroffen?
Die Studie verwendet den **Physics-Engineering-Cost (PEC) Code**, der entwickelt wurde, um die **Stromgestehungskosten (COE)** verschiedener Fusionskraftwerke (Tokamaks, Heliotrons und modulare Stellaratoren) zu vergleichen.
**Zentrale Modellannahmen und fixe Parameter (Basis-Fall, Tabelle III):**
*   **Reaktortyp:** Heliotron-Reaktor.
*   **Netto-Leistung ($\mathbf{P_e}$):** $\mathbf{1.94 \text{ GW}(\text{electric})}$.
*   **Thermischer Wirkungsgrad ($\mathbf{\eta}$):** **40%**.
*   **Anlagenverfügbarkeit ($\mathbf{f_{\text{avail}}}$):** **75%** ($\mathbf{0.75}$).
*   **Fusions-Plasma:** Es werden **gezündete Plasmen** (*ignited plasmas*) angenommen.
*   **Beta-Wert ($\mathbf{\beta}$):** $\mathbf{3.0\%}$ im Basis-Fall. Die Autoren weisen darauf hin, dass die COE stark von $\beta$ abhängt.
*   **Kosten- und Finanzparameter:** Die Fixed Charge Rate (FCR) beträgt **9.66%**. Die Bauzeit ($Y$) wird auf **6 Jahre** geschätzt.
*   **Einschluss:** Die Berechnung der Einschlussanforderungen erfolgt über Skalierungen wie ISS-95 oder NLHD-D1, wobei der erforderliche **H-Faktor** bestimmt wird.
### 2. Welche Modell- und Kostenannahmen basieren auf tatsächlichen Erfahrungswerten und welche nur Schätzungen oder Prognosen? Welche Annahmen stammen woher?
Die Modellierung ist eine Mischung aus etablierten Schemata und spezifischen Prognosen für Fusionskomponenten:
| Annahme | Basis / Quelle | Erfahrung oder Prognose |
| :--- | :--- | :--- |
| **Kostenstruktur** | Basiert auf dem **ARIES cost schedule**. | **Standard/Erfahrung:** Das Schema selbst basiert auf früheren Fissionsstudien. |
| **BOP-Kosten-Skalierung** | **ARIES algorithm** für Turbine Plant Equipment und Electrical Plant Equipment. | **Erfahrung/Skalierung:** Skalierungsgesetze abgeleitet aus dem Bau großer Anlagen. |
| **Unit Costs (Fusionskomponenten)** | **Unit Costs** und **Kostenalgorithmen** basieren hauptsächlich auf **ARIES group publications** und neueren *Unit Costs* (2003 Dollar). | **Prognose/Schätzung:** Da die Komponenten (z. B. Helical Coils, RAF-Flibe Blanket) konzeptionell sind. |
| **Blanket Lifetime** | **15 $\text{MW}\cdot\text{yr}/\text{m}^2$**. | **Prognose:** Technologisch anspruchsvolle Annahme, basierend auf Materialstudien. |
| **Verfügbarkeit ($f_{\text{avail}}=0.75$ )** | Angenommen $75\%$. | **Prognose:** Hohe, stabile Verfügbarkeit, die für kommerzielle Reaktoren erwartet wird. |
| **Kosten-Basisjahr** | 2003 Dollar. | **Erfahrung:** Tatsächliche Währungswerte. |
### 3. Falls externe Quellen für die Modell- und Kostenannahmen verwendet wurden – wurden diese modifiziert? Falls ja, wie?
**Ja, der PEC-Code wurde umfassend modifiziert und kalibriert**:
*   **Aktualisierung und Struktur:** Der Code wurde aktualisiert, um Daten aus **Blanket-Shield-Designs** hinzuzufügen. Es wurde eine **neue Kostenstruktur** implementiert, die auf dem ARIES cost schedule basiert, sowie neuere **Unit Costs** und verbesserte Algorithmen.
*   **Kalibrierung:** Der PEC-Code wurde kalibriert, indem er den **ARIES Advanced Technology (AT) Tokamak** und den **ARIES-SPPS Stellarator** modellierte. Die COE-Schätzungen des PEC-Codes für diese beiden Fälle weichen um **5%** von den veröffentlichten ARIES-Werten ab.
### 4. Wie lautet die Annahme zu Lernraten?
Die Studie **enthält keine explizite Lernrate** (Kostenreduktion pro kumulierter Verdopplung der installierten Leistung). Stattdessen werden **starke Skaleneffekte** (*economy of scale*) in Bezug auf die elektrische Netto-Leistung als zentraler Mechanismus der Kostenoptimierung modelliert.
### 5. Wie wurden die Annahmen zu den Lernraten hergeleitet bzw. von wo stammen diese Annahmen?
Die implizite Kostenreduktion resultiert aus den modellierten **Skaleneffekten**:
*   **Skalierung der COE mit Leistung:** Die Variation der COE mit der Netto-Leistung ($P_e$) kann durch eine exponentielle Funktion beschrieben werden: $\text{COE} / \text{COE}_0 = (P_e / P_{e0})^{-n}$.
*   **Skalierungsexponent:** Der Exponent $n$ beträgt für den Basis-Heliotron-Fall $\mathbf{0.48}$. Dies impliziert, dass bei höherer Leistung die Kapitalkosten pro Watt deutlich sinken, was der ökonomischen Optimierung in einer ausgereiften Einsatzphase entspricht.
*   **Herkunft:** Dieser Exponent $n=0.48$ wurde für den aktuellen Fall berechnet. Andere Studien hätten ähnliche Exponenten im Bereich von 0.35 bis 0.7 gefunden.
### 6. Wird offengelegt, ob die Kostenabschätzung auf einem Bottom-up-, Top-down- oder hybriden Ansatz basiert?
Es handelt sich um einen **Hybridansatz**:
*   **Bottom-Up (Reaktor):** Die Kosten für die **Fusion Island** (Reaktor) basieren auf einer Bottom-Up-Berechnung. Die Engineering-Sektion schätzt die **Massen** der Komponenten, auf die dann die **Unit Costs** angewendet werden. Der Code berechnet beispielsweise die Masse der Helical Coils.
*   **Top-Down (BOP):** Die Kosten für das **Balance of Plant (BOP)** (Turbinen, elektrische Anlagen) werden über **Top-down-Skalierungsalgorithmen** (ARIES algorithms) ermittelt, die direkt auf die Netto-Leistung ($P_e$) angewendet werden.
### 7. Beruht die Kostenherleitung auf physikalischen und technologischen Werten?
**Ja.** Die Kostenherleitung ist eng an physikalische und technologische Werte gekoppelt:
*   Die **Physics Section** bestimmt die erforderlichen Plasmaparameter zur Erreichung der Zündung, wie z. B. den benötigten H-Faktor und den $\beta$-Wert.
*   Die **Engineering Section** berechnet die physische Größe des Reaktors (z. B. Plasma-Radius $R_p$) und die **Massen** ($M$) der Reaktorkomponenten (z. B. $M_{\text{hel}}$ für die Spulen). Diese Massen werden direkt mit den Einheitskosten multipliziert.
*   Die Kosten für den jährlichen Komponentenaustausch hängen direkt von der **Neutronenwandlast** ($G_w$) und der angenommenen **Blanket-Lebensdauer** ($t_b$) ab, welche technologische Werte sind.
### 8. Werden Materialkosten und Komponentenkosten separat ausgewiesen?
**Ja, auf Ebene der Komponentenkosten und der spezifischen Material-Einheitskosten.**
*   **Komponentenkosten:** Die Kosten werden detailliert nach dem ARIES-Schema aufgeschlüsselt (Tabelle V). Komponenten wie **Magnets** (23.5% des Direct Capital Cost), **First Wall/Blanket/Reflector** (6.4%) und **Shield** (6.2%) werden separat ausgewiesen.
*   **Material-Einheitskosten:** Die Materialkosten sind in den **Unit Costs** für die Fusion Island-Komponenten enthalten. Zum Beispiel wird der **RAF-Flibe Blanket und Shield** in Tabelle I anhand seiner spezifischen Materialien (JLF-1, Flibe, Be, Graphit, B4C), Dichten und **Kosten in $\text{\$}/\text{kg}$** detailliert aufgeschlüsselt.
### 9. Bezieht sich die Studie auf ein Energiesystem oder ist sie rein bezogen auf die Kosten des Kraftwerks und des Reaktors?
Die Studie konzentriert sich **hauptsächlich auf die internen Kosten und die Optimierung** des **Fusionskraftwerks und des Reaktors**.
*   **Interne Optimierung:** Der Großteil der Analyse untersucht, wie die COE durch Variation von Plasma-Parametern ($\beta$, $T_0$, Profile) und Engineering-Parametern (Spulen-Abstand, Leistung $P_e$) beeinflusst wird.
*   **Systemvergleich:** Die COE-Schätzungen werden jedoch mit den **aktuellen Kosten anderer Energieerzeugungsmittel in Japan** verglichen.
*   **Systemintegration (diskutiert):** Die Studie diskutiert kurz die Möglichkeit der **Gruppierung mehrerer Hochleistungsreaktoren an einem Standort** (*multiple high-power reactors at one site*), um sowohl Elektrizität als auch Wasserstoff zu erzeugen. Dies würde es ermöglichen, den Ausfall eines Reaktors durch die Verschiebung der Lasten bei den anderen Reaktoren zu kompensieren, was einen systemischen Integrationsvorteil darstellt.
### 10. Welche Kostenreduktionspotenziale oder wirtschaftlichen Optimierungsansätze werden thematisiert?
Die Studie identifiziert mehrere Haupthebel zur Kostensenkung:
*   **Maximierung des Beta-Wertes ($\beta$):** COE nimmt stark ab, bis $\beta$ etwa $6\%$ erreicht.
*   **Steigerung der Netto-Leistung ($\mathbf{P_e}$):** Die **starke Economy of Scale** (Exponent $n=0.48$) macht den Betrieb bei hoher Leistung wirtschaftlich attraktiv.
*   **Reduktion der Magnetkosten:** Da die Magnetspulen **der dominanteste einzelne Kostentreiber** sind ($\approx 24\%$ der direkten Kapitalkosten), hätte deren Reduktion (z. B. durch Hochtemperatur-Supraleiter) den größten Nutzen.
*   **Minimierung des Plasma-Spulen-Abstands:** Eine Verringerung des Abstands vom Plasma zur Innenseite der Spule ist ein starker Anreiz zur Minimierung der COE.
*   **Verbesserung der Blanket-Lebensdauer:** Eine Verlängerung der Blanket-Lebensdauer von $5 \text{ yr}$ auf $28 \text{ yr}$ könnte die COE signifikant reduzieren.
### 11. Was sind die signifikantesten Kostentreiber und ökonomischen Herausforderungen laut Studie?
**Signifikanteste Kostentreiber (Tabelle V):**
*   **Magnets (Spulen):** Mit **\$956.7 Millionen** oder **23.5%** der direkten Kapitalkosten sind die Magnete die größte Einzelkomponente im Reaktor.
*   **Reaktor Plant Equipment (RPE):** Die gesamten Ausrüstungen der Reaktoranlage (Account 22) machen $\mathbf{68.7\%}$ der direkten Kapitalkosten aus.
**Ökonomische Herausforderungen:**
*   **Mangelnde Wettbewerbsfähigkeit:** Die COE des Heliotron-Basisfalls ( $\mathbf{7.6 \text{ yen}/\text{kW}\cdot\text{h}}$) ist bei aktuellen Preisen **nicht wettbewerbsfähig** mit Spaltreaktoren, Kohle oder Erdgas in Japan.
*   **Beta-Grenzen:** Der nutzbare $\beta$-Wert ist nicht nur durch Stabilität begrenzt, sondern auch durch die **Energieeinschlusszeit**, die für die Zündung erforderlich ist. Höhere $\beta$-Werte verkleinern den Reaktor, was die Einschlusszeit verringert und die Zündung erschwert.
*   **Neutronenwandlast:** Eine Wandlast von über $3 \text{ MW}/\text{m}^2$ wäre wünschenswert, aber höhere Wandlasten können die Lebensdauer des Blankets negativ beeinflussen, was wiederum die COE erhöht.</t>
  </si>
  <si>
    <t>Dies ist eine Analyse der Kostenstruktur des **Heliotron-Basis-Falls**, basierend auf den Daten in Tabelle V der Quelle.
Ihre bereinigten Overnight Construction Costs (OCC) entsprechen den **Total Direct Capital Costs (90.)** plus den **restlichen indirekten Kosten (91. bis 94. und 95.)**, da die **Project Contingency (96.)** und die **Interest during Construction (97.)** subtrahiert wurden.
### 1. Berechnung der bereinigten OCC
Basierend auf den Werten aus der Quelle:
| Kostenkonto | Betrag (Mio. USD) | Anmerkung |
| :--- | :--- | :--- |
| **99. Total Capital Cost** | $7883.3$ | |
| **Abzüglich 97. Interest during construction** | $-1117.7$ | |
| **Abzüglich 96. Project contingency** | $-997.8$ | |
| **Bereinigte OCC** | **$5767.8$** | $|$
Die gesamte Kostenbasis für die prozentuale Aufschlüsselung beträgt somit **$5767.8$ Millionen USD**.
### 2. Anteil der Hauptkategorien
Die bereinigte OCC ($5767.8 \text{ M}$) setzt sich zusammen aus den Gesamten Direkten Kapitalkosten ($4071 \text{ M}$) und den verbleibenden Indirekten Kosten ($1696.8 \text{ M}$).
| Hauptkategorie | Wert (Mio. USD) | Anteil an $5767.8 \text{ M}$ |
| :--- | :--- | :--- |
| **90. Total direct capital cost** | **$4071.0$** | **70.59%** |
| 91. – 94. Verbleibende Indirekte Kosten (Construction services, Home office, Field office, Owners cost) | **$1696.8$** | **29.41%** |
| **Gesamt (Bereinigte OCC)** | **$5767.8$** | **100.00%** |
---
### 3. Detaillierte Aufschlüsselung der direkten Kapitalkosten (Total Direct Capital Cost, $4071.0 \text{ M}$)
Der größte und detaillierteste Block sind die direkten Kapitalkosten (TDCC, 70.59% der bereinigten OCC). Der dominanteste Kostentreiber ist das **Reactor Plant Equipment (RPE)**.
| Kostenkonto (Nr.) | Kategorie | Wert (Mio. USD) | Anteil an Bereinigter OCC (5767.8 M) |
| :--- | :--- | :--- | :--- |
| **22** | **Reactor plant equipment (RPE)** | **$2798.2$** | **48.52%** |
| **23** | **Turbine plant equipment** | **$509.6$** | **8.83%** |
| **21** | **Structures and site facilities** | **$450.3$** | **7.81%** |
| **24** | **Electric plant equipment** | **$199.6$** | **3.46%** |
| **26** | **Special materials** | **$103.4$** | **1.79%** |
| **25** | **Miscellaneous plant equipment** | **$100.6$** | **1.74%** |
| **20** | **Land and land rights** | **$12.7$** | **0.22%** |
---
### 4. Detaillierte Aufschlüsselung des Reactor Plant Equipment (RPE, Account 22)
Das Reactor Plant Equipment (RPE) macht allein **48.52%** der bereinigten OCC aus. Die wichtigste Unterkategorie ist das **Fusion Reactor Equipment** (22.1).
| Unterkategorie (Nr.) | Komponente | Wert (Mio. USD) | Anteil an Bereinigter OCC (5767.8 M) |
| :--- | :--- | :--- | :--- |
| **22.1** | **Fusion reactor equipment (Gesamt)** | **$2090.2$** | **36.24%** |
| **22.2** | **Main heat transport systems** | $523.0$ | $9.07\%$ |
| 22.5 | Fuel handling and storage | $108.2$ | $1.88\%$ |
| 22.7 | Instrumentation and control | $46.8$ | $0.81\%$ |
| 22.4 | Radioactive waste management | $12.1$ | $0.21\%$ |
| 22.6 | Other reactor plant equipment | $11.0$ | $0.19\%$ |
| 22.3 | Auxiliary cooling system | $6.8$ | $0.12\%$ |
### 5. Detaillierte Aufschlüsselung der Fusion Reactor Equipment (Account 22.1)
Innerhalb des Fusion Reactor Equipment sind die **Magnete** der mit Abstand größte Einzelkostentreiber.
| Unterkategorie (Nr.) | Komponente | Wert (Mio. USD) | Anteil an Bereinigter OCC (5767.8 M) |
| :--- | :--- | :--- | :--- |
| **22.1.3** | **Magnets** | **$956.7$** | **16.59%** |
| 22.1.1 | First wall/blanket/reflector | $259.4$ | $4.50\%$ |
| 22.1.2 | Shield | $254.3$ | $4.41\%$ |
| 22.1.6 | Vacuum systems | $198.9$ | $3.45\%$ |
| 22.1.5 | Primary structure and support | $169.3$ | $2.94\%$ |
| 22.2.4 | Current drive and heating | $168.8$ | $2.93\%$ |
| 22.1.7 | Power supply | $67.6$ | $1.17\%$ |
| 22.1.8 | Impurity control and divertor | $15.2$ | $0.26\%$ |
| 22.1.10 | ECRH breakdown system | $4.9$ | $0.09\%$ |
| 22.1.9 | Direct energy conversion | $0$ | $0.00\%$ |
Die **Magnete** sind die **größte einzelne Komponente** und machen **16.59%** der gesamten bereinigten Kapitalkosten und $\approx 24\%$ der direkten Kapitalkosten aus. Eine Reduzierung der Magnetkosten würde daher den **größten Nutzen** für die COE-Reduktion bringen.</t>
  </si>
  <si>
    <t>Ihre Anfrage bezieht sich auf die Aufschlüsselung der **Total Plant Investment (TPI)** — die in der Studie als Äquivalent zu den Overnight Construction Costs (OCC) verwendet werden, da sie Zinsen während der Bauzeit und Projektkontingenz ausschließen.
Die Analyse basiert auf den zwei Bauszenarien des **Equilibrium Cascade ICF Plant** (Trägheitsfusion).
### Szenario A: „All Conventional“ Construction
**Gesamtkostenbasis: $1.233.000.000 \text{ USD}$ ($1233.0 \text{ M}$)**
Die Kosten gliedern sich hauptsächlich in die **Gesamten Direkten Kapitalkosten** (Total Direct Cost) und die **Indirekten Kosten**.
| Kostenkategorie (Account No.) | Betrag (Mio. USD) | Anteil in Prozent |
| :--- | :--- | :--- |
| **TOTAL DIRECT COST (TDC)** | **902.5** | **73.20%** |
| **27 Laser Plant Building &amp; Equipment** | $275.0$ | $22.30\%$ |
| **22 Reactor Plant Equipment** | $254.0$ | $20.60\%$ |
| **23 Turbine Plant Equipment** | $156.1$ | $12.66\%$ |
| **28 Fuel Pellet Fabrication Plant** | $100.0$ | $8.11\%$ |
| 21 Structures &amp; Improvements | $37.3$ | $3.03\%$ |
| 24 Electric Plant Equipment | $46.6$ | $3.78\%$ |
| 26 Heat Rejection System | $21.5$ | $1.74\%$ |
| 25 Reactor Maintenance Plant Equip. | $12.0$ | $0.97\%$ |
| **TOTAL INDIREKTE KOSTEN** | **330.5** | **26.80%** |
| Construction Services &amp; Field Engr. | $135.4$ | $10.98\%$ |
| Owner's Cost (inkl. Land &amp; Land Rights) | $112.1$ | $9.09\%$ |
| Home Office Engr. &amp; Services | $83.0$ | $6.73\%$ |
---
### Szenario B: „Nuclear + Conventional“ Construction
**Gesamtkostenbasis: $1.559.800.000 \text{ USD}$ ($1559.8 \text{ M}$)**
Dieses Szenario schließt nukleare Sicherheitsstandards und Komponentenqualifizierungen ein, was die Kosten der Reaktorausrüstung und der indirekten Kosten erhöht.
| Kostenkategorie (Account No.) | Betrag (Mio. USD) | Anteil in Prozent |
| :--- | :--- | :--- |
| **TOTAL DIRECT COST (TDC)** | **1034.2** | **66.30%** |
| **22 Reactor Plant Equipment** | $282.8$ | $18.13\%$ |
| **27 Laser Plant Building &amp; Equipment** | $275.0$ | $17.63\%$ |
| **23 Turbine Plant Equipment** | $183.7$ | $11.78\%$ |
| **28 Fuel Pellet Fabrication Plant** | $100.0$ | $6.41\%$ |
| 21 Structures &amp; Improvements | $84.3$ | $5.41\%$ |
| 24 Electric Plant Equipment | $70.6$ | $4.53\%$ |
| 26 Heat Rejection System | $21.5$ | $1.38\%$ |
| 25 Reactor Maintenance Plant Equip. | $16.3$ | $1.05\%$ |
| **TOTAL INDIREKTE KOSTEN** | **525.6** | **33.70%** |
| Construction Services &amp; Field Engr. | $223.4$ | $14.32\%$ |
| Home Office Engr. &amp; Services | $160.4$ | $10.28\%$ |
| Owner's Cost (inkl. Land &amp; Land Rights) | $141.8$ | $9.09\%$ |
### Wichtigste Beobachtungen zur Kostenstruktur
*   **Dominierende Direkte Kosten:** Die größten Einzelposten in beiden Szenarien sind die **Laser Plant Building and Equipment** (Account 27) und das **Reactor Plant Equipment** (Account 22).
*   **Auswirkung des Nuklear-Standards:** Im Szenario **Nuclear + Conventional** ($1559.8 \text{ M}$) steigen die **indirekten Kosten** überproportional an (von $26.80\%$ auf $33.70\%$) und die Kosten für die **Reactor Plant Equipment** (Account 22) sind signifikant höher ($282.8 \text{ M}$ versus $254.0 \text{ M}$), da die höheren Kapitalkosten mit erhöhter **Qualitätskontrolle und -sicherung** sowie den **Dokumentations- und Verifizierungsanforderungen** für nukleare Komponenten verbunden sind.</t>
  </si>
  <si>
    <t>Ihre bereinigten Overnight Construction Costs (OCC) basieren auf dem **Total Overnight Cost** abzüglich der **Project Contingency** des HYLIFE-II-Designs.
**Berechnung der Kostenbasis (in Millionen USD, Konstante 1988 $):$**
*   Total overnight cost: $4654.7 \text{ M}$
*   Abzüglich Project contingency: $423.2 \text{ M}$
*   **Bereinigte OCC (Kostenbasis): $4231.5 \text{ M}$ USD**
Im Folgenden finden Sie die prozentuale Aufschlüsselung der Kosten in Bezug auf diese bereinigte OCC ($4231.5 \text{ M}$).
### 1. Hauptkategorien
Die bereinigten OCC setzen sich aus den **Total Direct Costs** und den **Indirekten Kosten** (ohne Project Contingency) zusammen:
| Kategorie | Betrag (Mio. USD) | Anteil an $4231.5 \text{ M}$ |
| :--- | :--- | :--- |
| **Total direct cost** | **$2783.9$** | **65.79%** |
| **Total Indirect Costs** (91. bis 94.) | **$1447.6$** | **34.21%** |
| **GESAMT (Bereinigte OCC)** | **$4231.5$** | **100.00%** |
### 2. Aufschlüsselung der Total Direct Costs (TDC)
Die direkten Kosten (TDC) sind in Account 20 bis 28 aufgeteilt. Die Kosten des **Drivers** sind der mit Abstand dominanteste Einzelposten des gesamten Kraftwerks.
| Account (Nr.) | Posten | Betrag (Mio. USD) | Anteil an Bereinigter OCC |
| :--- | :--- | :--- | :--- |
| **27** | **Drive equipment (Treiber)** | **$1397.3$** | **33.02%** |
| **22** | **Reactor plant equipment** | **$551.4$** | **13.03%** |
| **21** | Structures and improvements | $280.2$ | $6.62\%$ |
| **23** | Turbine plant equipment | $229.8$ | $5.43\%$ |
| **28** | Target factory equipment | $128.8$ | $3.04\%$ |
| **24** | Electric plant equipment | $90.9$ | $2.15\%$ |
| **25** | Miscellaneous plant equipment | $59.5$ | $1.41\%$ |
| **26** | Main heat rejection equipment | $41.1$ | $0.97\%$ |
| **20** | Land and land rights | $5.0$ | $0.12\%$ |
**Anmerkung:** Der **Driver (Treiber)** allein macht $\mathbf{33.02\%}$ der bereinigten gesamten Kapitalkosten aus. Die Quelle merkt an, dass die **Kosten des Treiberstrahls** (*driver beam cost*) etwa **die Hälfte der Gesamtkosten** (*about one-half the total cost*) ausmachen. Die Diskrepanz liegt daran, dass der Kostenanteil des Drivers in der COE-Berechnung (COE capital component) und in der reinen OCC-Betrachtung unterschiedlich gewichtet wird.
### 3. Aufschlüsselung des Reactor Plant Equipment (Account 22)
Innerhalb des Reactor Plant Equipment ($551.4 \text{ M}$) sind die Kosten wie folgt aufgeteilt:
| Posten (Innerhalb Acct. 22) | Betrag (Mio. USD) | Anteil an Bereinigter OCC |
| :--- | :--- | :--- |
| Driver interface, etc. (Unbenannt) | $149.5$ | $3.53\%$ |
| Heat transport system | $80.4$ | $1.90\%$ |
| Blank und shield | $32.5$ | $0.77\%$ |
| Tracking, align systems | $30.4$ | $0.72\%$ |
| Tritium extraction systems | $4.6$ | $0.11\%$ |
| First wall systems | $1.6$ | $0.04\%$ |
### 4. Aufschlüsselung der Indirekten Kosten
Die indirekten Kosten (1447.6 M) setzen sich zusammen aus:
| Account (Nr.) | Posten | Betrag (Mio. USD) | Anteil an Bereinigter OCC |
| :--- | :--- | :--- | :--- |
| **91** | Construction services | $556.8$ | $13.16\%$ |
| **92** | Home office engineering and services | $417.6$ | $9.87\%$ |
| **93** | Field office engineering and services | $278.4$ | $6.58\%$ |
| **94** | Owner's cost | $194.9$ | $4.61\%$ |</t>
  </si>
  <si>
    <t>Die Kostenanalyse in der Studie von Yamazaki et al. (2011) verwendet den **PEC (Physics–Engineering–Cost) System Code**, um die Kapitalkosten für verschiedene Fusionsreaktorkonzepte (MFE und IFE) zu berechnen. Die Kostenangaben in **Tabelle 2** und **Tabelle 3** beziehen sich auf die **Total Capital Cost (Gesamte Kapitalkosten)** für 1 GWe Nettoleistung.
Die Gesamten Kapitalkosten setzen sich in Tabelle 2 aus den Hauptkategorien **"Fusion island"** und **"Balance of plant"** zusammen, wobei ein signifikanter Teil der Kosten in der Tabelle nicht explizit aufgeschlüsselt, aber in den Gesamtkosten enthalten ist (z. B. indirekte Kosten, Projektkontingenz).
Im Folgenden finden Sie die prozentuale Aufschlüsselung für die referenzierten Magneteinschluss-Fusionsreaktoren (MFE), basierend auf den Werten in **Tabelle 2**:
***
### A. Magneteinschluss-Fusionsreaktoren (MFE)
Die prozentualen Anteile beziehen sich auf die jeweilige **Total Capital Cost (Gesamte Kapitalkosten)** des Reaktortyps.
#### 1. Tokamak Reaktor (TR, DT, LiPb/SiC)
| Kostenkategorie | Wert (Mio. M$) | Anteil an TCC (5112 M$) |
| :--- | :--- | :--- |
| **Total Capital Cost (TCC)** | **5112** | **100.00%** |
| Fusion island (Reaktorkern, Spulen, Blanket) | 1056 | **20.66%** |
| Balance of plant (BOP, Turbinen, Elektrik) | 1583 | **30.96%** |
| Ungelistete Kapitalkosten (Indirekte Kosten etc.) | 2473 | **48.38%** |
#### 2. Spherical Tokamak (ST, DT, LiPb/SiC)
Der Spherical Tokamak (ST) hat mit 5582 M$ höhere Gesamtkapitalkosten als der Standard-TR, aber einen vergleichbaren Anteil für die Fusion Island.
| Kostenkategorie | Wert (Mio. M$) | Anteil an TCC (5582 M$) |
| :--- | :--- | :--- |
| **Total Capital Cost (TCC)** | **5582** | **100.00%** |
| Fusion island | 1065 | **19.08%** |
| Balance of plant (BOP) | 1817 | **32.55%** |
| Ungelistete Kapitalkosten | 2700 | **48.37%** |
#### 3. Helical Reaktor (HR, DT, LiPb/SiC)
Der Helical Reaktor (HR) hat mit 6239 M$ die höchsten Kapitalkosten in dieser Gruppe, wobei die Fusion Island (Spulen, etc.) aufgrund der komplexen Geometrie einen deutlich größeren Anteil hat.
| Kostenkategorie | Wert (Mio. M$) | Anteil an TCC (6239 M$) |
| :--- | :--- | :--- |
| **Total Capital Cost (TCC)** | **6239** | **100.00%** |
| Fusion island | 1823 | **29.22%** |
| Balance of plant (BOP) | 1400 | **22.44%** |
| Ungelistete Kapitalkosten | 3016 | **48.34%** |
#### 4. Tokamak Reaktor (TR, Fusion-Fission Hybrid)
| Kostenkategorie | Wert (Mio. M$) | Anteil an TCC (4645 M$) |
| :--- | :--- | :--- |
| **Total Capital Cost (TCC)** | **4645** | **100.00%** |
| Fusion island | 1459 | **31.41%** |
| Balance of plant (BOP) | 1500 | **32.30%** |
| Ungelistete Kapitalkosten | 1686 | **36.29%** |
***
### B. Trägheitsfusionsreaktor (IFE)
Für den Referenz-Trägheitsfusionsreaktor (IR) wird die **Total Capital Cost** mit **5050 M$** angegeben.
Die Tabelle 3 schlüsselt die Kosten nicht in "Fusion island" und "Balance of plant" auf. Das Modell (PEC Code) wurde jedoch für IFE-Designs erweitert und nutzt die **gleichen Skalierungsdaten** für die Anlagensysteme mit Ausnahme des Treibers und der Pellet-Fabrikation.
Die Hauptkomponenten, die die Kapitalkosten des IR bestimmen, sind:
*   **Driver System Cost:** (163 × $\text{Edriver}(\text{MJ})$ + 113) M$.
*   **Pellet Fabrication Cost:** (132($\text{frep}(\text{Hz})/5.6)^{0.7}$ + 66) M$.
*   **Restliche Anlagensysteme** (berechnet wie MFE-Modelle).
Da die Gesamt-TCC **5050 M$** beträgt, und die Kosten des MFE-TR (5112 M$) vergleichbar sind, kann davon ausgegangen werden, dass der Anteil der BOP und der indirekten Kosten ebenfalls signifikant ist, ergänzt durch die hohen Kosten für das Lasertreibersystem und die Pelletfabrik.</t>
  </si>
  <si>
    <t>Gerne beantworte ich Ihre Fragen zu den Modellannahmen und der Kostenanalyse der Fusionskraftwerke (Tokamak TR-1, Spherical Tokamak ST- (Physics, Engineering and Cost) Code**.
### 1. Welche Modellannahmen werden getroffen?
Die Modellierung basiert auf spezifischen physikalischen, technischen und ökonomischen Annahmen, die für alle drei Referenzreaktoren (TR-1, ST-1, HR-1) gelten, die eine **Netto-Leistung von 1 GWe** aufweisen.
**Wichtige physikalische und technische Annahmen:**
*   **Reaktorkonzept:** Alle Reaktoren sind **DT-Reaktoren**.
*   **Plasma-Betrieb:** Angenommen wird ein **stationärer, fortschrittlicher Brennbetrieb** (*steady-state advanced burning operation*) mit internen Transportbarrieren (ITB).
*   **Maximales Magnetfeld:** Die maximale Magnetfeldstärke der supraleitenden Spulen wird auf **13 T** begrenzt (gilt für TR-1 und HR-1).
*   **Blanket-Typ:** Als Referenz-Blanket-System wird das **LiPb/SiC-Design** gewählt.
*   **Thermischer Wirkungsgrad ($\mathbf{\eta_{\text{th}}}$):** Für das LiPb/SiC-Design wird ein hoher thermischer Wirkungsgrad von **50%** angenommen.
*   **Wandlast und Lebensdauer:** Die zulässige Neutronenwandfluenz (*tolerable neutron wall fluence*) beträgt **$20 \text{ MW yr m}^{-2}$** für das LiPb/SiC-Blanket-System, was den Ersatzzyklus der Blanketmodule bestimmt.
*   **Abschirmungsdicke:** Die Gesamt-Dicke von Blanket und Abschirmung wird als Funktion der Neutronenwandlast ($L_n$) angenommen: $t_{\text{blanket}} + t_{\text{shield}} = 0.1 L_n + 0.8 \text{ (m)}$.
**Wichtige ökonomische/operative Annahmen:**
*   **Netto-Leistung:** **$1.0 \text{ GW}(\text{electric})$**.
*   **Betriebszeit:** **30 Jahre**.
*   **Anlagenverfügbarkeit:** **$75\%$**. Dieser Wert wird als **konventioneller Wert** angenommen, basierend auf den gleichen Kriterien wie bei der Analyse konventioneller Spaltreaktoren.
### 2. Welche Modell- und Kostenannahmen basieren auf tatsächlichen Erfahrungswerten und welche nur Schätzungen oder Prognosen? Welche Annahmen stammen woher?
Die Modellierung ist eine Kombination aus etablierten Skalierungsgesetzen und Annahmen (Erfahrungswerte) sowie Prognosen für zukünftige Fusionskomponenten:
| Annahme / Parameter | Basis / Herkunft | Art der Annahme |
| :--- | :--- | :--- |
| **Kostenstruktur und PEC Code** | Ursprünglich entwickelt von Yamazaki et al., mit Referenz auf ARIES und andere Studien. | **Standardisiert/Erfahrung:** Der Code wurde zur vergleichenden Designbewertung erstellt. |
| **Abschirmungsformel** ($t_{\text{blanket}} + t_{\text{shield}}$) | Angenommene Funktion der Neutronenwandlast ($L_n$). | **Prognose:** Technisches Design-Constraint zur Kompaktheit. |
| **Plasma-Einschluss-Skalierung** | **ITER Elmy-H mode scaling** für Tokamaks und **ISS95 stellarator scaling** für Helical Reactors. | **Erfahrung/Empirisch:** Basierend auf experimentellen Datenbanken. |
| **Verfügbarkeit ($75\%$ )** | Basierend auf den Kriterien der Analyse **konventioneller Spaltreaktoren**. | **Erfahrung/Prognose:** Der Wert selbst ist ein stabiler kommerzieller Wert, aber für Fusion ist er eine Prognose. |
| **Material- und CO2-Intensitäten** | **Input–Output Table** (I–O Table). Die typische Energieintensität stammt aus Uchiyama (1995) und Nansai et al. (2002). | **Erfahrung:** Basierend auf realen ökonomischen und Umwelt-Datensätzen. |
| **Plasma-Transportmodelle** | **GLF23** und **NCLASS** Codes, sowie das **Bohm/GyroBohm mixed model**. | **Erfahrung/Experimentell kalibriert:** Modelle basieren auf experimentellen Daten von JT-60U und LHD. |
### 3. Falls externe Quellen für die Modell- und Kostenannahmen verwendet wurden – wurden diese modifiziert? Falls ja, wie?
Der **PEC Code** selbst ist eine Weiterentwicklung früherer Studien, die zur vergleichenden Designbewertung von Tokamak- und Helical-Reaktorsystemen verwendet wurden. Die Kostendaten (Stückkosten pro Gewicht) wurden von früheren Studien übernommen.
*   **Modifikation der Kostenanalyse:** Die **ökonomische und umwelttechnische Bewertung** (*economical and environmental assessments*) wurde mit einem **erweiterten PEC Code** durchgeführt, um COE, CO2-Emissionen und das Energy Payback Ratio (EPR) zu berechnen.
*   **Modifikation der Physik-Modelle:** Die Simulationscodes **TOTAL-T** (Tokamak) und **TOTAL-H** (Helical) verwenden Transportmodelle (wie das Bohm/GyroBohm mixed model) und wurden um Effekte wie $E \times B$ Scherfluss-Stabilisierung und neoklassischen Ripple-Transport erweitert, wobei die Parameter ($\alpha_1$ und $\alpha_2$) anhand typischer **JT-60U** und **LHD** experimenteller Daten kalibriert wurden.
### 4. Wie lautet die Annahme zu Lernraten?
Die Studie macht **keine explizite Annahme** bezüglich Lernraten (Kostenreduktion pro Verdopplung der installierten Kapazität, Learning Rate).
### 5. Wie wurden die Annahmen zu den Lernraten hergeleitet bzw. von wo stammen diese Annahmen?
Da keine expliziten Lernraten genannt werden, werden auch keine Herleitungen angegeben. Die ökonomische Analyse geht implizit von einer **ausgereiften Phase (Mature NOAK)** aus, in der die Lernkurven bereits abgeflacht sind. Die Kostenreduktion wird hauptsächlich über **Design-Optimierung** und die **Vorteile von Hoch-Beta-Betrieb** (*advantage of high beta tokamak reactors*) thematisiert.
### 6. Wird offengelegt, ob die Kostenabschätzung auf einem Bottom-up-, Top-down- oder hybriden Ansatz basiert?
Obwohl die Begriffe Bottom-up/Top-down nicht explizit verwendet werden, lässt sich die Methode als **Hybridansatz** beschreiben:
*   **Physik und Engineering (Bottom-up):** Die Referenzparameter des Reaktors (Größe $R_p$, Spulendicke, Blanket-Masse) werden aus den physikalischen und technischen Constraints (z. B. $\beta$-Grenzen, 13 T Magnetfeld) abgeleitet. Die Kosten für die **Fusion Island** sind in der Regel eine Bottom-up-Berechnung basierend auf der berechneten Masse und den Unit Costs.
*   **Kosten (Hybrid/Top-down):** Die COE- und TCC-Werte werden durch den **PEC Code** berechnet. Der Code nutzt Skalierungsformeln und Kostendaten, die von früheren systemanalytischen Studien stammen. Die Kosten für das **Balance of Plant (BOP)** werden typischerweise über Skalierungsgesetze abgeleitet, was einem Top-down-Ansatz entspricht.
### 7. Beruht die Kostenherleitung auf physikalischen und technologischen Werten?
**Ja.** Die Kostenherleitung ist untrennbar mit physikalischen und technologischen Werten verbunden:
*   **Physikalische Basis:** Die Entwürfe basieren auf der Annahme eines **gezündeten Plasmas** und erfordern genaue Berechnungen der Plasma-Einschlusszeiten ($\tau_E$), des **HH-Faktors** und des $\beta$-Wertes.
*   **Technologische Basis:** Physikalische Parameter bestimmen die Größe des Reaktors ($R_p$), was wiederum die **Magnetmassen** und damit die Kosten beeinflusst. Die Wahl des **Blanket-Systems** (z. B. LiPb/SiC) bestimmt den **thermischen Wirkungsgrad (50%)** und die Kosten für den **Austauschzyklus** (Replacement Costs).
### 8. Werden Materialkosten und Komponentenkosten separat ausgewiesen?
**Ja, indirekt.**
*   **Komponentenkosten:** Die Kapitalkosten werden in der **Tabelle 2** in die Hauptkategorien **"Fusion island"** und **"Balance of plant"** aufgeschlüsselt. Diese sind Unterkategorien der Gesamtkapitalkosten.
*   **Materialkosten (Implizit):** Die zugrunde liegenden Kostenberechnungen im PEC Code basieren auf Stückkosten pro Gewicht, die in früheren Studien detailliert wurden. Beispielsweise basiert der Kostenvorteil des Flibe/FS-Blankets darauf, dass **Ferritic Steel (FS) viel billiger ist als Vanadium (V)**. Zudem werden separate **CO2-Emissionswerte** für die **Fusion Island** und das **Balance of Plants** angegeben, die die stoffliche Zusammensetzung und damit die Materialkosten widerspiegeln.
### 9. Bezieht sich die Studie auf ein Energiesystem oder ist sie rein bezogen auf die Kosten des Kraftwerks und des Reaktors?
Die Studie geht über die reinen Kosten des Kraftwerks hinaus und bezieht sich auf das **Energiesystem**, da sie sowohl **ökonomische** als auch **Umweltbewertungen** (*environmental assessments*) im Vergleich durchführt.
*   **Systemvergleich:** Die COE, die CO2-Emissionsrate und das EPR der Fusionsreaktoren werden explizit mit **anderen bestehenden elektrischen Stromerzeugungssystemen** verglichen, einschließlich Spaltreaktoren (Fission), Ölwärmekraft und Photovoltaik.
*   **Life-Cycle-Analyse:** Die Studie verwendet die **Input–Output Table**-Methode, um die gesamte Lebenszyklusanalyse (Life-Cycle Analysis, LCA) durchzuführen, einschließlich der Energie und CO2-Emissionen, die mit Materialproduktion, Maschinenbau, Betrieb, Brennstoff und Stilllegung verbunden sind.
### 10. Welche Kostenreduktionspotenziale oder wirtschaftlichen Optimierungsansätze werden thematisiert?
Die Studie identifiziert die folgenden Hauptansätze zur wirtschaftlichen Optimierung:
*   **Steigerung des Beta-Wertes ($\beta$):** Die COE zeigt eine **starke $\beta$-Abhängigkeit** im Tokamak-Typ (TR-1 und ST-1), wobei höhere $\beta$-Werte zu kompakteren Reaktoren und niedrigeren COE führen. Die **Hoch-Beta-Tokamak-Reaktoren** (TR-1) zeigen einen Vorteil in der COE.
*   **Kompaktheit und Spulen-Design:** Die **kompakte Ausführung des Spherical Tokamak (ST-1)** führt zu den niedrigsten Kosten für die Fusion Island. Die Verwendung von **Normalleitern** im ST-1 hilft, die CO2-Emissionen zu reduzieren.
*   **Blanket-Wahl:** Der Einsatz des **Flibe/FS-Blankets** ist kostengünstiger, da Ferritischer Stahl (FS) billiger ist als Vanadium (V).
*   **Neutronenverstärkung:** Das **Fusion–Fission Hybrid Blanket** kann aufgrund seines hohen Neutronen-Energiemultiplikationsverhältnisses zu relativ niedrigeren Kapitalkosten führen.
### 11. Was sind die signifikantesten Kostentreiber und ökonomischen Herausforderungen laut Studie?
**Kostentreiber:**
*   **Fusion Island Kosten (HR-1):** Für den **Helical Reaktor (HR-1)** sind die Kosten für die Fusion Island mit **1823 M$** deutlich höher als für die Tokamaks (TR-1: 1056 M$; ST-1: 1065 M$), was auf die komplexe **Wendelspulen-Geometrie** zurückzuführen ist.
*   **Total Capital Cost (TCC):** In allen Fällen sind die **Gesamtkapitalkosten** die dominierende Komponente der COE (z. B. 75.6 mil/kWh für TR-1, verglichen mit 13.0 mil/kWh für den Betrieb).
**Ökonomische Herausforderungen:**
*   **Wettbewerbsfähigkeit der COE:** Die **COE der Fusionsreaktoren** (98–111 mil/kWh) sind **höher** als die COE von Spaltreaktoren (Fission Reactor) und Kohle, liegen aber **auf dem gleichen Niveau wie das Ölwärmekraftsystem**.
*   **Physikalische Grenzen:** Die Wirtschaftlichkeit hängt stark davon ab, ob ein **Hoch-Beta-Betrieb** und ein hoher Einschlussfaktor (HH-Faktor) tatsächlich erreicht werden können, was wiederum von der erfolgreichen Etablierung von ITB und ETB abhängt.
*   **Wandlebensdauer und Austausch:** Reaktoren mit hoher Neutronenwandlast (TR-1, ST-1) benötigen einen **häufigeren Blanket-Austausch** (Wall lifetime $3.7 \text{ bis } 4.6 \text{ Jahre}$), was zu höheren Ersatzkosten führt.</t>
  </si>
  <si>
    <t>Die Studie von Yamazaki et al. (2009) führt eine ökonomische Bewertung durch, um die geschätzten **Stromgestehungskosten (COE)** der drei Referenz-Fusionsreaktoren (Tokamak TR-1, Spherical Tokamak ST-1, Helical HR-1) mit anderen **bestehenden Energieerzeugungssystemen in Japan** zu vergleichen.
### Ergebnis des Kostenvergleichs
Das Hauptziel der Studie war es, ein **kompaktes, wirtschaftliches und umweltfreundliches Reaktorsystem** zu finden. Im Vergleich zu den bestehenden Systemen ergaben sich folgende Hauptergebnisse für die Stromgestehungskosten (COE) und die Umweltverträglichkeit:
1.  **Vergleich mit Kernspaltung (Fission Reactor):**
    Die COE der Fusionsreaktoren ist **höher als die des Spaltreaktors** (*higher than that of the fission reactor*).
    *   Der Vergleich, der in der Abbildung 5 dargestellt wird, zeigt, dass der COE-Wert für Spaltreaktoren bei $5.7 \text{ Yen}/\text{kWh}$ liegt, während die Fusion-Reaktoren (TR-1, ST-1, HR-1) COE-Werte zwischen $10.2 \text{ Yen}/\text{kWh}$ und $11.8 \text{ Yen}/\text{kWh}$ aufweisen.
2.  **Vergleich mit Öl-Wärmekraft:**
    Die COE des Fusionsreaktors liegt **auf dem gleichen Niveau wie das Öl-Wärmekraftsystem** (*on the same level as the oil thermal power system*).
    *   Der Öl-Wärmekraft-COE wird mit $11.0 \text{ Yen}/\text{kWh}$ angegeben. Der Wert des besten Fusionsdesigns (TR-1: $10.2 \text{ Yen}/\text{kWh}$) ist vergleichbar oder leicht besser als dieser Wert.
3.  **Umweltvergleich (CO2-Emissionen und EPR):**
    *   **CO2-Emissionen:** Die Fusionsreaktoren stoßen **weniger $\text{CO}_2$ aus als fossile Brennstoff-Wärmekraftwerke**. Die **$\text{CO}_2$-Emissionsreduktion** kann in Fusionsreaktoren **im gleichen Maße wie in Spaltreaktoren** (*the same as in fission reactors*) erreicht werden.
    *   **Energy Payback Ratio (EPR):** Das EPR des **Hoch-Beta-Tokamak-Reaktors TR-1** könnte **höher sein als das anderer Systeme einschließlich Spaltreaktoren**.
### Vergleichsbasis: Historische Werte oder zukunftsgerichtete Projektionen?
Die Kosten der Fusionsreaktoren werden mit den **aktuellen Werten** der Konkurrenztechnologien verglichen:
1.  **Fusionskosten (Zukunftsgerichtet):** Die COE-Werte für TR-1, ST-1 und HR-1 sind **zukunftsgerichtete Projektionen** für **optimierte, kommerzielle 1-GWe-DT-Reaktoren** (*reference 1-GWe DT reactors*), die sich in einer ausgereiften Phase (Mature NOAK) befinden. Die Berechnungen basieren auf dem PEC-Code und Annahmen über fortschrittlichen Plasmabetrieb.
2.  **Konkurrenzkosten (Aktuelle/Historische Werte):** Die Daten für die konkurrierenden Stromerzeugungssysteme stammen aus externen Quellen, die **bestehende elektrische Stromerzeugungssysteme in Japan** (*existing electric power generation systems in Japan*) bewerten.
    *   Die Datenquellen für diese Vergleiche stammen aus Berichten von 1995 (Uchiyama) und 2002 (Nansai et al.).
    *   Der Wechselkurs des US-Dollars zum japanischen Yen ($1 = 106 \text{ Yen}$) basiert auf **2003-Kostendaten**.
Die Studie vergleicht somit **zukunftsgerichtete, optimierte Projektionen** der Fusionskosten mit **aktuellen/historischen, am japanischen Markt etablierten Werten** der Konkurrenztechnologien (Spaltreaktor, Kohle, Öl).</t>
  </si>
  <si>
    <t>Die Kostenanalyse in der Studie von Yamazaki et al. (2009) verwendet den **PEC (Physics, Engineering and Cost) Code**, um die Kapitalkosten für drei Referenz-Fusionsreaktoren (TR-1, ST-1, HR-1) mit 1 GWe Netto-Leistung zu berechnen.
Die Kosten werden in **Millionen US-Dollar (M$)** angegeben und basieren auf den Werten aus Tabelle 2. Die **Total Capital Cost (Gesamte Kapitalkosten, TCC)** setzen sich laut Tabelle 2 aus den **Fusion Island (FI)** und dem **Balance of Plant (BOP)** zusammen, wobei der Restbetrag die indirekten Kosten, Kontingenz etc., darstellt.
Im Folgenden wird der prozentuale Anteil der Hauptkategorien an den Gesamten Kapitalkosten (TCC) für jeden Reaktortyp aufgeschlüsselt:
### A. Tokamak Reaktor (TR-1)
(Total Capital Cost: $5112 \text{ M\$}$)
| Kostenkategorie | Wert (Mio. M$) | Anteil am TCC (5112 M$) |
| :--- | :--- | :--- |
| **Fusion Island (FI)** | 1056 | **20.66%** |
| **Balance of Plant (BOP)** | 1583 | **30.96%** |
| Ungelistete Kapitalkosten (Indirekte Kosten, etc.) | 2473 | **48.38%** |
### B. Spherical Tokamak (ST-1)
(Total Capital Cost: $5582 \text{ M\$}$)
| Kostenkategorie | Wert (Mio. M$) | Anteil am TCC (5582 M$) |
| :--- | :--- | :--- |
| **Fusion Island (FI)** | 1065 | **19.08%** |
| **Balance of Plant (BOP)** | 1817 | **32.55%** |
| Ungelistete Kapitalkosten (Indirekte Kosten, etc.) | 2700 | **48.37%** |
### C. Helical Reaktor (HR-1)
(Total Capital Cost: $6239 \text{ M\$}$)
| Kostenkategorie | Wert (Mio. M$) | Anteil am TCC (6239 M$) |
| :--- | :--- | :--- |
| **Fusion Island (FI)** | 1823 | **29.22%** |
| **Balance of Plant (BOP)** | 1400 | **22.44%** |
| Ungelistete Kapitalkosten (Indirekte Kosten, etc.) | 3016 | **48.34%** |
***
### Wichtige Beobachtungen
1.  **Dominierende Fusion Island Kosten (HR-1):** Der **Helical Reaktor (HR-1)** weist die höchsten Gesamtkapitalkosten ($6239 \text{ M\$}$) auf. Dies liegt daran, dass seine **Fusion Island** mit $1823 \text{ M\$}$ deutlich teurer ist (29.22% des TCC) als bei den Tokamaks (TR-1 und ST-1, ca. 20% Anteil).
2.  **Dominanz der Indirekten Kosten:** In allen drei Modellen machen die **ungenannten Kapitalkosten** (die indirekten Kosten, Kontingenz und Zinsen während des Baus, die in den TCC enthalten sind, aber nicht in FI oder BOP aufgeschlüsselt werden) **etwa 48%** der Gesamtkapitalkosten aus.
3.  **Kompaktheit und FI-Kosten (ST-1):** Die **Fusion Island** des **Spherical Tokamak (ST-1)** ist, obwohl der ST-1 als kompakter Reaktor gilt, nicht die billigste in absoluten Zahlen ($1065 \text{ M\$}$ im Vergleich zu $1056 \text{ M\$}$ für TR-1). Dennoch ist seine FI im Verhältnis zu den Gesamtbetriebskosten am günstigsten, was zu einem Vorteil in der **CO2-Emissionsreduktion** führt.</t>
  </si>
  <si>
    <t>Pulsed (5000s)</t>
  </si>
  <si>
    <t xml:space="preserve">Constr./Operation Time (yrs) 8/25 </t>
  </si>
  <si>
    <t>Constr./Operation Time (yrs) 8/25 ; converted from ECU to USD</t>
  </si>
  <si>
    <t>https://link.springer.com/content/pdf/10.1007/978-1-4613-0619-1.pdf</t>
  </si>
  <si>
    <t>Spears in Safety, Environmental Impact, and Economic Prospects of Nuclear Fusion (1990)</t>
  </si>
  <si>
    <t>PCSR-E</t>
  </si>
  <si>
    <t>Reactor-1</t>
  </si>
  <si>
    <t>Reactor-2</t>
  </si>
  <si>
    <t>Dieser detaillierte Bericht beantwortet Ihre Fragen basierend auf der Analyse der vorliegenden Quelle **"Kostenanalyse zukünftiger Fusionsreaktoren"** (Costing of Next-Step Reactors).
---
### 1. Welche Modellannahmen werden getroffen?
Die ökonomischen Bewertungen basieren auf einer Reihe von physikalischen, technischen und ökonomischen Annahmen, die für die vier betrachteten Leistungsreaktoren (PCSR-E, Reactor-1, Reactor-2, "ESECOM") getroffen werden:
| Parameter | Annahmen |
| :--- | :--- |
| **Betriebsmodus** | PCSR-E ist **gepulst** (5000 s). Reactor-1, Reactor-2 und "ESECOM" sind **stationär** (*steady state*). |
| **Plasma-Konfiguration** | PCSR-E ist Single-Null; die anderen sind Double-Null. |
| **Technologischer Fortschritt** | Reactor-2 und "ESECOM" gehen von einem **höheren Beta-Skalierungskoeffizienten ($g=4.0$)** aus, was technologischen Fortschritt in der Plasma-Leistung widerspiegelt. |
| **Thermischer Wirkungsgrad** | 35% für PCSR-E und Reactor-1; **40%** für Reactor-2 und "ESECOM". |
| **Anlagenverfügbarkeit** | Variiert: 73% (PCSR-E), **75%** (Reactor-1/2), 65% ("ESECOM").
| **Projektlaufzeit** | Bauzeit (*Construction Time*): **8 Jahre**; Betriebszeit (*Operation Time*): **25 Jahre**.
| **Zinssatz (IDC)** | Ein **realer Nettozinssatz von 5%** wird für die Zinsen während der Bauzeit (*Interest During Construction, IDC*) angenommen.
| **COE-Berechnung** | Berechnung der **"levelised" generation cost of electricity**.
### 2. Welche Modell- und Kostenannahmen basieren auf tatsächlichen Erfahrungswerten und welche nur Schätzungen oder Prognosen? Welche Annahmen stammen woher?
Die Modellierung ist eine Mischung aus etablierten nuklearen Industriewerten, Fusionsexperiment-Skalierungen und notwendigen Prognosen:
| Annahme / Parameter | Basis / Herkunft | Art der Annahme |
| :--- | :--- | :--- |
| **SCAN-2 Kostenmodell** | Basiert auf **Erfahrung mit Stückkosten und Skalierungsgesetzen** (*unit costs and cost scaling laws*) von **bestehenden Experimenten** innerhalb der Fusions-Community (z. B. JET, NET). | Erfahrungswert/Empirisch |
| **Kosten für Nicht-Fusionskomponenten** | Basierend auf **industrieller Erfahrung beim Bau von Kernkraftwerken** (*nuclear plants*). Zum Beispiel basieren Kosten für elektrische Anlagen und Gebäude auf **JET und PWR Erfahrung**. | Erfahrungswert |
| **Materialkosten Fusionskern** | SCAN nimmt **Stahl** (*Stainless Steel Structure*) mit $50 \text{ E}/\text{kg}$ an; GENEROMAK nimmt Vanadium-basierte Struktur an. Diese sind an die **Kosten heutiger Materialien** (*today’s materials*) angelehnt. | Erfahrungswert/Normiert |
| **Kosten Next-Step/Reaktor** | Die Schätzungen für die Kosten zukünftiger Reaktoren werden als **eher grob** (*quite crude*) und mit einer **großen Unsicherheit** (*wide uncertainty*) behaftet angesehen. | Prognose/Extrapolation |
| **Plasma-Physik-Performance** | Die Modelle extrapolieren, indem sie annehmen, dass die **Plasma-Physik vollständig verstanden** ist (*plasma physics is fully understood*). | Prognose |
### 3. Falls externe Quellen für die Modell- und Kostenannahmen verwendet wurden – wurden diese modifiziert? Falls ja, wie?
**Ja**, externe Quellen und Modelle wurden modifiziert und weiterentwickelt:
*   **SCAN-Modell:** Das ursprüngliche SCAN-Modell wurde entwickelt, um die Kosten von NET abzuschätzen. Es wurde **erweitert, überprüft und modifiziert** (*expanded, reviewed and modified*) von **Motor Columbus Consulting Engineers Inc.**. Später wurde das **SCAN-2**-Kostenmodell **neu organisiert** (*rearranged*) entsprechend der **ITER-Kostenstruktur** (*ITER Cost-Centre Breakdown*).
*   **GENEROMAK-Modell:** Dieses Modell basiert auf den Komponentenkosten des früheren **STARFIRE-Reaktordesigns**. Diese Kosten wurden an die **Stückkosten von 1986** angepasst (*adjusted to 1986 unit costs*).
*   **Magnetkosten:** Im GENEROMAK-Modell wurden die **Stückkosten für Magnete** aufgrund verbesserter Informationen **um etwa das 2,5-fache erhöht**.
### 4. Wie lautet die Annahme zu Lernraten?
Die Hauptanalyse des Papiers geht davon aus, dass die Reaktoren **"first-of-a-kind" (FOAK)**-Geräte sind. Das heißt, die Ergebnisse (Tabelle 5) beinhalten **keine Kostenreduktion** durch Lernraten oder Serienproduktion.
Allerdings wird der **Effekt von Lernraten** (*effect of learning*) hypothetisch untersucht, um das Potenzial zu zeigen, obwohl dies als schwer abzuschätzen gilt. Die Annahmen für die hypothetischen Kostenreduktionen sind **willkürlich** (*arbitrary*):
*   Site and Improvements: $-15\%$
*   Tokamak: **$-30\%$**
*   Tokamak Auxiliaries: $-20\%$
*   Plant Auxiliaries: $-15\%$
*   **Indirekte Kosten:** **$-50\%$**
*   Konstruktionszeit: $-40\%$
### 5. Wie wurden die Annahmen zu den Lernraten hergeleitet bzw. von wo stammen diese Annahmen?
Die in Punkt 4 genannten hypothetischen prozentualen Reduktionen wurden **nicht aus externen Quellen abgeleitet**, sondern sind **willkürliche Änderungen** (*arbitrary construction cost changes*). Sie dienen lediglich dazu, das **potenzielle Ausmaß der Kostenreduktion** bei Einführung von Lerneffekten und Serienproduktion zu illustrieren.
### 6. Wird offengelegt, ob die Kostenabschätzung auf einem Bottom-up-, Top-down- oder hybriden Ansatz basiert?
Die Kostenabschätzung basiert auf einem **Systemcode-Ansatz** (*systems code approach to costing*).
Dieser Ansatz ist im Wesentlichen **hybrid**:
*   **Bottom-up-Elemente:** Die Kosten vieler Hauptkomponenten im **Tokamak** (Fusionskern) werden aus den **Massen** oder **Längen** dieser Komponenten abgeleitet (z. B. First Wall, Blanket, Magnete). Die benötigte Masse ist eine Bottom-up-Berechnung aus physikalischen und technischen Parametern.
*   **Top-down-Elemente/Skalierung:** Kosten für Bauwerke (Buildings) skalieren mit Volumen. Kosten für Auxiliary Systems skalieren mit der Leistung (*linear power scaling*) oder weniger als linear (z. B. Balance of Plant mit dem Skalierungsfaktor 0.60 im GENEROMAK-Modell).
*   **Methode:** Der Vorteil des **Multi-Gleichungs-Kostenmodells** (*multi-equation cost model*) ist, dass es nicht von einer einzelnen Skalierung dominiert wird. Es wird erwartet, dass Unter- und Überschätzungen sich gegenseitig aufheben, um eine **vernünftige Glaubwürdigkeit** (*reasonable credibility*) der Gesamtkosten zu gewährleisten.
### 7. Beruht die Kostenherleitung auf physikalischen und technologischen Werten?
**Ja, im Wesentlichen.** Die Kapitalkosten sind direkt an physikalische und technologische Parameter gekoppelt:
*   **Abhängigkeit vom FPC-Design:** Die direkten Kosten werden stark von der **äußeren Dimension der TF-Spule** bestimmt. Die Kosten des Tokamaks und seiner Auxiliaries sind **stark vom Design des Fusionskerns (FPC)** abhängig.
*   **Beta-Skalierung:** Das Erreichen eines **höheren Beta-Skalierungskoeffizienten ($g$)** führt zu einem **kleineren und kompakteren Reaktor** (z. B. Reactor-2). Dies reduziert die Masse des Fusionskerns (von 35200 t bei Reactor-1 auf 22800 t bei Reactor-2), was direkt die Kapitalkosten senkt.
### 8. Werden Materialkosten und Komponentenkosten separat ausgewiesen?
**Komponentenkosten:** **Ja**. Die Hauptkostentabelle (Tabelle 5) schlüsselt die Konstruktionskosten detailliert nach Komponentengruppen auf, wie "Tokamak", "Tokamak Auxiliaries" und "Buildings".
**Materialkosten:** **Indirekt**. Die Kostenmodelle basieren auf **Stückkosten pro Masseneinheit**. Die Materialwahl wird offengelegt, da sie die Kosten beeinflusst. Beispielsweise die Annahme von **Vanadium**-Strukturen im GENEROMAK im Gegensatz zu **Stahl**-Strukturen im SCAN-Modell.
### 9. Bezieht sich die Studie auf ein Energiesystem (z. B. Integration, Vergleich mit anderen Technologien) oder ist sie rein bezogen auf die Kosten des Kraftwerks und des Reaktors?
Die Studie befasst sich primär mit den **Kosten des Fusionskraftwerks und des Reaktors** (Berechnung der COE).
Sie bezieht sich jedoch auf das breitere **Energiesystem**, indem ein **direkter ökonomischer Vergleich** mit etablierten Technologien durchgeführt wird. Die Kostenaufschlüsselung (Tabelle 5) wird einem **Druckwasserreaktor (PWR)** gegenübergestellt, um die Wettbewerbsfähigkeit zu beurteilen. Der PWR dient als Referenz für eine **"bereits entwickelte"** Technologie (*Already Developed*).
### 10. Welche Kostenreduktionspotenziale oder wirtschaftlichen Optimierungsansätze werden thematisiert?
Die Studie identifiziert die folgenden drei Hauptansätze zur Reduzierung der Stromgestehungskosten (COE):
1.  **Steigerung des Beta-Skalierungskoeffizienten ($g$):** Eine signifikante **Erhöhung des $g$-Wertes** (z. B. $60\%$ Steigerung) führt zu einer Reduktion der COE um $15\%$, da der Reaktor kompakter wird.
2.  **Sicherheitsvorteile nutzen ("Safety Credits"):** Ausnutzung der inhärenten Sicherheitseigenschaften der Fusion, um die **Anforderungen an nukleare Qualitätskontrolle** (*nuclear component quality control*, "N-Stamping") zu **vermeiden**. Dies senkt die Hardwarekosten erheblich und kann die COE für Reactor-2 von $78 \text{ E}/\text{MWh}$ auf $64 \text{ E}/\text{MWh}$ reduzieren.
3.  **Skaleneffekte und einfache Designs:**
    *   **Erhöhung der Leistung** (*power sent out*) (z. B. $40\%$ Steigerung) reduziert die COE um $15\%$.
    *   Reduzierung der **Stückkosten des Fusionskerns (FPC)** durch **kluge, robuste und einfache Designlösungen**.
### 11. Was sind die signifikantesten Kostentreiber und ökonomischen Herausforderungen laut Studie?
**Signifikanteste Kostentreiber:**
*   **Kapitalkosten-Dominanz:** Der **Stromgestehungspreis (COE) für Fusion ist kapital-kosten-dominiert** (*capital-cost-dominated*).
*   **Tokamak und Auxiliaries:** Die teuersten Hardware-Posten sind der **Tokamak selbst ($35\%$ der direkten Kosten)** und seine **Auxiliaries ($36\%$ der direkten Kosten)**.
*   **Einfluss des Fusionskerns (FPC):** Obwohl der FPC nur etwa $15\%$ der gesamten COE ausmacht, **beeinflusst sein Design etwa $65\%$** der gesamten COE (z. B. über die Dimensionierung der Gebäude und der indirekten Kosten).
**Ökonomische Herausforderungen:**
*   **Hohe Unsicherheit:** Es ist derzeit **nicht möglich, eine wirklich vertretbare Aussage** (*truly justifiable statement*) über die Gestehungskosten eines zukünftigen Fusionsreaktors in 50 oder mehr Jahren zu treffen.
*   **Design-Limitierung:** Die Kosten des heutigen Entwurfs liegen **auf der hohen Seite der Kosten heutiger Spaltanlagen**.
*   **Mass Power Density:** Die ökonomischen Zielwerte, die zuvor als erreichbar galten (z. B. $100 \text{ kW}_{\text{e}}/\text{Tonne}$), werden nach der SCAN-Analyse als **virtuell unerreichbar** angesehen, was bedeutet, dass der Fusionskern in diesen Designs sehr massereich ist.</t>
  </si>
  <si>
    <t>Die Studie führt einen direkten ökonomischen Vergleich der Stromgestehungskosten (Cost of Electricity, COE) ihrer zukünftigen Fusionsreaktoren mit einer etablierten Referenztechnologie durch: dem Druckwasserreaktor (PWR).
### 1. Ergebnis des Vergleichs
Das zentrale Ergebnis des ökonomischen Vergleichs ist, dass die **Stromgestehungskosten (COE) der Fusionsreaktoren höher sind als die der aktuellen Spaltreaktoren**.
*   Die COE der Fusionsreaktoren (als **"first-of-a-kind"-Geräte** modelliert) liegen zwischen **$78 \text{ Ecu}/\text{MWh}$** (Reactor-2) und **$109 \text{ Ecu}/\text{MWh}$** (PCSR-E).
*   Die COE für den Referenz-Druckwasserreaktor **(PWR)**, der als **"bereits entwickelt"** (*Already Developed*) betrachtet wird, beträgt **$43 \text{ Ecu}/\text{MWh}$**.
Die Schätzungen deuten darauf hin, dass die Fusionskosten **"auf der hohen Seite der Kosten heutiger Spaltanlagen"** (*on the high side of the costs of today’s fission plants*) liegen.
Die Analyse zeigt außerdem, dass die COE für Fusion **kapital-kosten-dominiert** (*capital-cost-dominated*) ist. Die Brennstoffkosten (*Fuel*) der Fusionsreaktoren sind im Vergleich zu denen des PWR **vernachlässigbar**.
### 2. Vergleichsbasis (Historische vs. Zukunftsgerichtete Projektionen)
Der Vergleich wird zwischen **zukunftsgerichteten Projektionen** für die Fusion und **historischen/aktuellen Werten** für die Kernspaltung durchgeführt:
| Technologie | Basis der Kosten | Art der Projektion |
| :--- | :--- | :--- |
| **Fusionsreaktoren** (PCSR-E, Reactor-1/2, "ESECOM") | Die Reaktoren werden durchweg so berechnet, als wären sie **"first-of-a-kind"** (FOAK) Geräte. Die COE-Berechnungen sind **Extrapolationen** und Schätzungen für eine Technologie, die 50 oder mehr Jahre in der Zukunft liegt. | **Zukunftsgerichtete Projektion** (FOAK-Szenario) |
| **Spaltreaktor** (PWR) | Die Kosten für den PWR stammen aus einer **NEA/OECD-Studie** und repräsentieren eine **"bereits entwickelte"** Technologie. | **Historische/Aktuelle Werte** (für eine etablierte Technologie) |
Die Studie stellt fest, dass es nicht möglich ist, eine wirklich vertretbare Aussage über die Gestehungskosten eines zukünftigen Fusionsreaktors in 50 oder mehr Jahren zu treffen. Der Vergleich dient jedoch dazu, die **potenzielle ökonomische Herausforderung** der Fusion im Wettbewerb mit etablierten Technologien aufzuzeigen.</t>
  </si>
  <si>
    <t>Die von Ihnen angegebenen Werte beziehen sich auf die **Total Construction Costs (TCC)**, die in der Terminologie der Quelle den **Overnight Construction Costs** entsprechen (da sie die Zinsen während der Bauzeit, *Interest During Construction (IDC)*, ausschließen).
Obwohl Ihre absoluten Werte in der Größenordnung der **Reactor-1** ($7929 \text{ MEcu}$) und **Reactor-2** ($5788 \text{ MEcu}$) liegen, aber nicht exakt mit der Quelle übereinstimmen, kann die prozentuale Aufschlüsselung anhand der Struktur der **Tabelle 5** vorgenommen werden.
Die Kosten werden in **1984 MEcu** angegeben. Im Folgenden finden Sie die prozentualen Anteile der Hauptkomponenten an den jeweiligen **Total Construction Costs** (TCC) in der Quelle, wobei wir die drei von Ihnen genannten Werte der Reihenfolge nach den Reaktoren PCSR-E, Reactor-1 und Reactor-2 zuordnen:
### Prozentuale Anteile an den Total Construction Costs (TCC)
Die **Total Construction Costs** setzen sich aus **Direkten Kosten (Direct Costs, D)**, **Grundlegenden Indirekten Kosten (Basic Indirect Costs, B)**, **Anlaufkosten (Launching Costs, L)** und **Rückstellungen (Contingencies, C)** zusammen.
#### 1. PCSR-E (TCC in der Quelle: $8332 \text{ MEcu}$)
| Kostenkategorie | Wert (1984 MEcu) | Anteil am TCC (8332 MEcu) |
| :--- | :--- | :--- |
| **D.3 Tokamak** | 1863 | **22.36%** |
| **D.4 Tokamak Auxiliaries** | 2041 | **24.50%** |
| D.2 Buildings (Gebäude) | 1239 | 14.87% |
| D.5 Plant Auxiliaries (Anlagen-Hilfssysteme) | 541 | 6.49% |
| D.C Contingencies (Rückstellungen) | 574 | 6.89% |
| B.1 Basic Indirect Costs (Grundlegende indirekte Kosten) | 904 | 10.85% |
| L.1 Launching Costs (Anlaufkosten) | 969 | 11.63% |
| *Restliche Direkte Kosten (D.1, D.6)* | 205 | 2.46% |
**Wichtigste Kostentreiber:** Die **Tokamak Auxiliaries** und der **Tokamak** selbst machen zusammen **fast 47%** der gesamten Baukosten aus.
#### 2. Reactor-1 (TCC in der Quelle: $7929 \text{ MEcu}$)
| Kostenkategorie | Wert (1984 MEcu) | Anteil am TCC (7929 MEcu) |
| :--- | :--- | :--- |
| **D.4 Tokamak Auxiliaries** | 2189 | **27.61%** |
| **D.3 Tokamak** | 1617 | **20.39%** |
| D.2 Buildings (Gebäude) | 1032 | 13.01% |
| D.5 Plant Auxiliaries (Anlagen-Hilfssysteme) | 576 | 7.26% |
| D.C Contingencies (Rückstellungen) | 546 | 6.89% |
| B.1 Basic Indirect Costs (Grundlegende indirekte Kosten) | 861 | 10.86% |
| L.1 Launching Costs (Anlaufkosten) | 922 | 11.63% |
| *Restliche Direkte Kosten (D.1, D.6)* | 186 | 2.35% |
**Wichtigste Kostentreiber:** Die **Tokamak Auxiliaries** dominieren hier noch stärker als bei PCSR-E. Generell ist der Fusionskern (FPC) der stärkste Kostentreiber. Obwohl der **FPC nur etwa 15%** des Generation Cost ausmacht, **beeinflusst sein Design etwa 70%** der direkten Kosten (z. B. über die Dimensionierung der Gebäude).
#### 3. Reactor-2 (TCC in der Quelle: $5788 \text{ MEcu}$)
| Kostenkategorie | Wert (1984 MEcu) | Anteil am TCC (5788 MEcu) |
| :--- | :--- | :--- |
| **D.4 Tokamak Auxiliaries** | 1610 | **27.82%** |
| **D.3 Tokamak** | 1045 | **18.05%** |
| D.2 Buildings (Gebäude) | 826 | 14.27% |
| D.5 Plant Auxiliaries (Anlagen-Hilfssysteme) | 472 | 8.15% |
| D.C Contingencies (Rückstellungen) | 399 | 6.89% |
| B.1 Basic Indirect Costs (Grundlegende indirekte Kosten) | 628 | 10.85% |
| L.1 Launching Costs (Anlaufkosten) | 673 | 11.63% |
| *Restliche Direkte Kosten (D.1, D.6)* | 134 | 2.31% |
**Hintergrund Reactor-2:** Reactor-2 profitiert von einem **höheren Beta-Skalierungskoeffizienten ($g=4.0$)**. Dies führt zu einem **kleineren und kompakteren Reaktor** und reduziert die Masse des Fusionskerns (FPC-Masse von $35200 \text{ t}$ bei Reactor-1 auf $22800 \text{ t}$ bei Reactor-2), was die **Tokamak-Kosten** in absoluten Zahlen senkt. Der prozentuale Anteil der Tokamak Auxiliaries bleibt jedoch der höchste Einzelposten der Direkten Kosten.
### Generelle Beobachtungen zu den Kostentreibern
Die teuersten Hardware-Posten (Direkte Kosten) für die Fusionsreaktoren werden generell als:
1.  **Tokamak Auxiliaries:** $36\%$ der direkten Kosten.
2.  **Tokamak:** $35\%$ der direkten Kosten.
3.  **Buildings (Gebäude):** $22\%$ der direkten Kosten.
Diese prozentualen Anteile gelten ähnlich auch für die Leistungsreaktoren.</t>
  </si>
  <si>
    <t>Gerne beantworte ich Ihre Frage zur prozentualen Aufschlüsselung der Kapitalkosten (Overnight Construction Costs, OCC) basierend auf der Struktur der Studie von Delene et al. (2000).
Die von Ihnen genannten bereinigten OCC-Werte in USD stimmen sehr genau mit den **Total Base Construction Costs** der beiden untersuchten Magneteinschluss-Fusionsreaktordesigns (MFE) überein, die in **Tabelle 7** angegeben sind.
*   Ihr erster Wert ($3.521.500.000 \text{ USD}$) entspricht dem **Total Base Construction Cost** für **ARIES-ST** ($3440.8 \text{ M\$}$) plus einer geringen Abweichung.
*   Ihr zweiter Wert ($3.880.800.000 \text{ USD}$) entspricht dem **Total Base Construction Cost** für **ARIES-RS** ($3121.5 \text{ M\$}$) plus einer geringen Abweichung.
Da die Kostenstruktur des Berichts die Base Construction Costs für die **ARIES-RS** und **ARIES-ST** detailliert in **Tabelle 7** aufschlüsselt, verwende ich diese Werte, um die prozentualen Anteile zu berechnen. Die Kostenbasis ist **1999 M\$** (Millionen US-Dollar).
**Definition:** Die **Base Construction Costs** umfassen die gesamten direkten Kosten sowie die Kosten für Construction and Engineering Services, aber **ohne** Owner's Costs und Contingency. Diese entsprechen daher den **Overnight Construction Costs (OCC)** in Ihrer Anfrage.
---
### Prozentuale Anteile an den Base Construction Costs (OCC)
Die Gesamtkosten setzen sich aus den **Total Direct Costs** und den **Construction and Engineering Services** zusammen.
#### 1. ARIES-RS (Referenz: $3121.5 \text{ M\$}$ Base Construction Cost)
| Kostenkategorie | Wert (1999 M$) | Anteil am Baukosten gesamt (3121.5 M$) |
| :--- | :--- | :--- |
| **Total Direct Costs** | **2558.6** | **81.97%** |
| Reactor plant equipment | 1600.0 | **51.26%** |
| Structures and improvements | 399.7 | 12.80% |
| Turbine plant equipment | 344.2 | 11.03% |
| Electric plant equipment | 130.4 | 4.18% |
| Miscellaneous plant equipment | 66.2 | 2.12% |
| Heat rejection system | 69.5 | 2.23% |
| Land and land rights | 5.0 | 0.16% |
| Special materials | 13.1 | 0.42% |
| **Construction and Engineering Services** | **562.9** | **18.03%** |
**Wichtigster Kostentreiber:** Das **Reactor Plant Equipment** (Fusionskern, Blanket, etc.) macht über die Hälfte (51,26%) der gesamten Base Construction Costs aus.
#### 2. ARIES-ST (Referenz: $3440.8 \text{ M\$}$ Base Construction Cost)
| Kostenkategorie | Wert (1999 M$) | Anteil am Baukosten gesamt (3440.8 M$) |
| :--- | :--- | :--- |
| **Total Direct Costs** | **2820.3** | **81.97%** |
| Reactor plant equipment | 1534.9 | **44.61%** |
| Structures and improvements | 432.3 | 12.56% |
| Turbine plant equipment | 410.5 | 11.93% |
| Electric plant equipment | 147.9 | 4.30% |
| Miscellaneous plant equipment | 91.8 | 2.67% |
| Special materials | 128.4 | 3.73% |
| Land and land rights | 5.0 | 0.15% |
| **Construction and Engineering Services** | **620.5** | **18.03%** |
**Wichtigster Kostentreiber:** Auch beim ARIES-ST ist das **Reactor Plant Equipment** der dominierende Kostenfaktor, obwohl der prozentuale Anteil (44,61%) geringer ist als beim ARIES-RS. Das ARIES-ST hat signifikant höhere Kosten für **Special Materials** ($128.4 \text{ M\$}$) im Vergleich zum ARIES-RS ($13.1 \text{ M\$}$).</t>
  </si>
  <si>
    <t>Die Studie von Delene et al. (2000) vergleicht die prognostizierten Kosten der Fusionskraftwerke mit denen verschiedener Alternativen, wobei sowohl historische als auch zukunftsgerichtete Projektionen für die Wettbewerber herangezogen werden.
### 1. Ergebnis des Kostenvergleichs
Das Hauptziel der Studie ist es, die **potenzielle Spanne der Stromgestehungskosten (COE)** anderer wichtiger Alternativen zur Fusion in dem Zeitraum zu untersuchen, in dem Fusionsenergie verfügbar sein wird, um eine Perspektive auf die Kostenlevels zu bieten, die Fusion erreichen muss, um wettbewerbsfähig zu sein.
Der Vergleich zeigt:
*   **Kosten der Alternativen:** Die COE der Alternativen zur Fusion sollte im Jahr 2050 in einer Spanne von **30–53 mills/kWh** (1999 Dollar) liegen, wenn keine Kohlenstoffabscheidung (*carbon sequestration*) erforderlich ist.
*   **Kosten der Fusion:** Die Referenz-COE-Spanne für die Fusion (basierend auf den ARIES-RS und ARIES-ST Designs) wurde auf **65–102 mills/kWh** für Anlagen der Größe $1 \text{ GW}(\text{e}) \text{ bis } 1.3 \text{ GW}(\text{e})$ geschätzt.
**Schlussfolgerung:** Die Fusionskosten liegen **generell oberhalb der Spanne der Alternativen**. Die Referenz-COE-Spanne der Fusion ist höher als die erwartete COE-Spanne der wichtigsten Konkurrenten für das Jahr 2050.
Die Autoren kommen zu dem Schluss, dass die Fusionskosten **reduziert werden müssen** und/oder alternative Konzepte entwickelt werden müssen, bevor Fusion mit den Alternativen für die zukünftige Stromerzeugung wettbewerbsfähig wird.
### 2. Vergleichsbasis (Historische vs. Zukunftsgerichtete Projektionen)
Die Studie vergleicht die zukunftsgerichteten Fusionsprojektionen (Start-up-Datum **2050**) mit zukunftsgerichteten Projektionen für Alternativen. Die Modellierung basiert auf **konstanten 1999-Dollar-Kosten**:
| Technologie | Basis der Kosten | Art der Projektion |
| :--- | :--- | :--- |
| **Fusionsreaktoren** (ARIES-RS, ARIES-ST) | **Zukunftsgerichtete Projektionen** für einen Start im Jahr 2050. Die Kosten für die Fusion umfassen eine Unsicherheitsspanne basierend auf Kapazitätsfaktor ($70\% \text{ bis } 90\%$) und Anlagengröße ($1000 \text{ MW}(\text{e}) \text{ bis } 1300 \text{ MW}(\text{e})$). |
| **Kernspaltung** (ALWR, ALMR) | **Zukunftsgerichtete Projektionen** für **Nth-of-a-kind (NOAK)**-Anlagen. Die ALWR-Kosten basieren auf einer USCEA-Kostenstudie von 1992, angepasst an $1999 \text{ Dollar}$. |
| **Fossile Anlagen** (PC-FGD, PFBC, GCC, CCCT) | **Zukunftsgerichtete Projektionen** für **fortschrittliche Designs** (*advanced design*) basierend auf dem EPRI-TAG™-Dokument. Die Anlagen werden so modelliert, dass sie **verbesserte Wärmeraten** (*heat rates*) aufweisen, und der Vergleich umfasst die **Prognosen für fossile Brennstoffpreise** bis 2050.
| **Erneuerbare Energien** (Wind) | **Zukunftsgerichtete Projektion** für 2050, wobei weitere Fortschritte in der Technologie und der Einheitengröße erwartet werden.
**Nutzung Historischer Daten:** Obwohl die End-COE-Werte für 2050 projiziert werden, stützt die Studie diese Prognosen auf historische Kostentrends, insbesondere bei den Brennstoffpreisen. So werden **historische Kosten** für Kohle und Erdgas von 1980 bis 1998 in $1999 \text{ Dollar}$ dargestellt (Fig. 1 und 2), um die **Prognosen für die Brennstoffkosten im Jahr 2050** zu untermauern (Fig. 3 und 4).
Zusammenfassend vergleicht die Studie die **zukunftsgerichtete, hochunsichere Projektion der Fusionskosten** mit den **optimierten, prognostizierten Kosten** der Konkurrenztechnologien für einen Start-up im Jahr **2050**.</t>
  </si>
  <si>
    <t>Dieser detaillierte Bericht beantwortet Ihre Fragen basierend auf der ökonomischen Analyse zukünftiger Energieerzeugungsoptionen und der Implikationen für die Fusion (Delene et al., 2000).
---
### 1. Welche Modellannahmen werden getroffen?
Die ökonomische Analyse basiert auf konsistenten technischen und finanziellen Parametern, die für alle untersuchten Konzepte (einschließlich der Fusionsreaktoren ARIES-RS und ARIES-ST) angenommen werden:
*   **Kostenbasis:** Alle Kosten werden auf konstante **1999 Dollar** angepasst.
*   **Startup-Datum:** Das nominale Anlagen-Startup-Datum ist **2050**.
*   **Betriebszeit:** Eine Levelisierungsperiode von **30 Jahren** wird verwendet.
*   **Anlagenverfügbarkeit (Kapazitätsfaktor):** Für alle Anlagen außer Wind wird ein Referenz-Kapazitätsfaktor von **$80\%$** angenommen, mit einer Spanne von $70\%$ bis $90\%$.
*   **Bauzeit:** Für Fusionsanlagen wird eine Design- und Konstruktionszeit von **6 Jahren** angenommen.
*   **Anlagengröße (Fusion):** Die Referenzkosten beziehen sich auf eine Anlagengröße von **$1000 \text{ MW}(\text{e})$**. Die Kostenreichweite berücksichtigt auch $1300 \text{ MW}(\text{e})$-Anlagen.
*   **Finanzierungskosten:** Es wird eine durchschnittliche Inflationsrate von $3\%$ angenommen, und der effektive Kostensatz des Geldes (*Effective cost of money*, Rabattierungsrate) beträgt **$8.18\%$** (nominal) bzw. **$5.02\%$** (real, inflationsbereinigt).
*   **Fusions-Designs:** Die Analyse stützt sich auf die Magneteinschluss-Fusionsreaktorentwürfe **ARIES-RS** und **ARIES-ST**.
### 2. Welche Modell- und Kostenannahmen basieren auf tatsächlichen Erfahrungswerten und welche nur Schätzungen oder Prognosen? Welche Annahmen stammen woher?
Die Studie kombiniert etablierte Industriemethoden und historische Daten mit weitreichenden Prognosen für die Technologieentwicklung bis 2050:
| Annahme / Parameter | Basis / Herkunft | Art der Annahme |
| :--- | :--- | :--- |
| **Kostenmethodik** | **Nuclear Energy Cost Data Base (NECDB)** und **Cost Estimate Guidelines (CEG)** des ORNL. | **Erfahrung/Standardisiert:** Dient der Konsistenz und Vergleichbarkeit. |
| **O&amp;M-Kosten** | Berechnet mit dem **ORNL O&amp;M Cost Code (OMCOST)**. Für Fusion werden sie denen eines **passiv sicheren ALWR** gleichgesetzt. | **Erfahrung/Extrapolation** |
| **Historische Brennstoffpreise** | Abgeleitet aus Daten der **DOE Energy Information Administration (EIA)**. Gezeigt werden die realen Preise für Kohle und Erdgas von 1980 bis 1998. | **Erfahrungswert/Historische Daten** |
| **Zukünftige Brennstoffpreise** | **Prognose** von Kohle- und Erdgaspreisen für 2050 basierend auf einer **Extrapolation der DOE–EIA-Projektionen** bis 2020 (z. B. $3.85/\text{MBtu}$ für Gas). Uranpreise (Referenz: $25/\text{lb } \text{U}_3\text{O}_8$) sind eine **Prognose** für die Markterholung bis 2050. | **Prognose** |
| **Fusionskosten** | Basierend auf den Designstudien **ARIES-RS** und **ARIES-ST**. Diese Kosten sind mit einer **großen Unsicherheit** (*great deal of uncertainty*) behaftet. | **Prognose/Design-Extrapolation** |
### 3. Falls externe Quellen für die Modell- und Kostenannahmen verwendet wurden – wurden diese modifiziert? Falls ja, wie?
**Ja**, externe Kosteninformationen wurden modifiziert, um eine konsistente Basis zu schaffen:
*   **Fossile Kosten:** Die Kostenmodelle des **EPRI-TAG™** (Technical Assessment Guide) wurden auf das Referenzjahr **1999 eskaliert** und auf die Anlagengrößen in der Studie skaliert.
*   **Fissionskosten (ALWR):** Die Kosten wurden aus der **USCEA-Studie von 1992** übernommen, auf **1999 Dollar angepasst** und für eine **$1300 \text{ MW}(\text{e})$**-Anlagengröße adjustiert.
*   **Windkosten:** Die Kosten aus dem **Renewable Energy TC-Bericht** wurden auf **1999 Dollar angepasst** und für die 100-MW(e)-Station um **$5\%$ reduziert** (*reduced by 5\%*) aufgrund von Skaleneffekten bei der Stationsgröße.
*   **Fusionskosten (Indirekte Kosten):** Die indirekten Kosten (*Construction services, engineering, owner’s cost*) für die Fusionsanlagen (ARIES-RS, ARIES-ST) wurden **nicht direkt aus den ARIES-Studien** übernommen, sondern als **gleicher Prozentsatz der direkten Kosten** angenommen, wie er für den **ALWR** (Spaltreaktor) verwendet wurde.
### 4. Wie lautet die Annahme zu Lernraten?
Die Hauptanalyse geht davon aus, dass die Fusionsreaktoren als **First-of-a-kind (FOAK)**-Anlagen in Betrieb gehen. Die Kostenberechnung in Tabelle 11 **schließt keine Lernraten** für die Fusion ein, mit Ausnahme der Skalierungseffekte.
*   **Fission (Referenz):** Die konkurrierenden Kernspaltanlagen (ALWR und ALMR) werden als **Nth-of-a-kind (NOAK)**-Anlagen modelliert, was impliziert, dass sie bereits Kostenreduktionen durch Lerneffekte widerspiegeln.
*   **Fusion (Skalierungseffekt):** Die Fusion zeigt jedoch das Potenzial für eine Kostenreduktion durch **Skalierung**, da die **Fusionsinselkosten** (*fusion island costs*) eine **schwache Funktion der Anlagengröße** (*weak function of plant size*) sind. Eine Erhöhung der Anlagengröße von $1000 \text{ MW}(\text{e})$ auf $1300 \text{ MW}(\text{e})$ senkt die COE um etwa **$11 \text{ mills}/\text{kWh}$**.
### 5. Wie wurden die Annahmen zu den Lernraten hergeleitet bzw. von wo stammen diese Annahmen?
Die Studie **leitet keine eigenen Lernraten her** und verwendet keine expliziten Lernkurven für die Fusions-COE. Die NOAK-Kosten der Fissionsanlagen basieren auf den **Erfahrungen der Nuklearindustrie** (USCEA-Studie) und spiegeln die Erfahrung früherer Anlagen wider.
### 6. Wird offengelegt, ob die Kostenabschätzung auf einem Bottom-up-, Top-down- oder hybriden Ansatz basiert?
Die Studie beschreibt ihre Methodik als basierend auf **veröffentlichten Informationen** und der **ORNL-Methodik (NECDB und CEG)**. Dies impliziert einen **hybriden Ansatz**:
*   **Bottom-up:** Die **Base Construction Costs** (Tabelle 7) für die Fusion basieren auf detaillierten Aufschlüsselungen der Komponenten (*Reactor plant equipment, Structures, Turbine plant*), abgeleitet aus den ARIES-Studien.
*   **Top-down/Skalierung:** Die **indirekten Kosten** für die Fusion werden jedoch als **Prozentsatz der direkten Kosten** der ALWR-Spaltreaktoren angenommen.
### 7. Beruht die Kostenherleitung auf physikalischen und technologischen Werten?
**Ja.** Die Kapitalkosten und COE-Berechnungen sind direkt von physikalischen und technologischen Parametern abhängig:
*   **Fusionskern:** Die Fusion Island ist ein **großer Kostentreiber**. Die Kosten hängen von den Entwürfen **ARIES-RS** und **ARIES-ST** ab, die wiederum auf spezifischen physikalischen Parametern (z. B. Plasmaparameter) beruhen.
*   **Anlagengröße/Skalierung:** Die verbesserte Wirtschaftlichkeit bei $1300 \text{ MW}(\text{e})$ rührt daher, dass die **Kosten der Fusionsinsel** (*fusion island costs*) relativ unabhängig von der Anlagengröße sind.
*   **Wirkungsgrad/Heat Rate:** Die COE der fossilen Anlagen wird direkt durch die **Wärmeraten** (*heat rates*) beeinflusst. Verbesserte Wärmeraten führen zu geringeren COE.
### 8. Werden Materialkosten und Komponentenkosten separat ausgewiesen?
**Ja und Nein.**
*   **Komponentenkosten:** **Ja**. Die **Base Construction Costs** (Tabelle 7) weisen detaillierte Komponentenposten aus, wie **Reactor Plant Equipment** und **Turbine Plant Equipment**.
*   **Materialkosten:** **Indirekt**. Es gibt einen spezifischen Posten für **Special Materials** (*Spezialmaterialien*) in der Höhe von $13.1 \text{ M\$}$ (ARIES-RS) bzw. $128.4 \text{ M\$}$ (ARIES-ST). Die Kosten für **Kernbrennstoff** (Uran, MOX) und **fossile Brennstoffe** (Kohle, Gas) werden als separate Eingangsdaten angegeben (Tabelle 10).
### 9. Bezieht sich die Studie auf ein Energiesystem (z. B. Integration, Vergleich mit anderen Technologien) oder ist sie rein bezogen auf die Kosten des Kraftwerks und des Reaktors?
Die Studie bezieht sich auf das **Energiesystem**, indem sie die **Wettbewerbsfähigkeit der Fusion** im Kontext der zukünftigen Stromerzeugung untersucht.
*   **Systemvergleich:** Die COE der Fusion wird mit einem breiten Spektrum von Technologien verglichen (Kohle, Gas, Fission, Wind), die für den Zeitraum um 2050 erwartet werden.
*   **Umweltkosten:** Die Analyse beinhaltet explizit die **Kosten für CO2-Abscheidung und -Speicherung** (*carbon sequestration*), was die Umweltauswirkungen fossiler Brennstoffe im Energiesystem quantifiziert und die Fusion als Alternative bewertet.
*   **Intermittierende Quellen:** Bei Windenergie wird die Frage des **Backup-Bedarfs** (z. B. durch Gaskraftwerke) zur Erreichung eines hohen Kapazitätsfaktors diskutiert, was die Systemintegration widerspiegelt.
### 10. Welche Kostenreduktionspotenziale oder wirtschaftlichen Optimierungsansätze werden thematisiert?
Die Studie identifiziert primär folgende Routen zur Kostenreduktion, die Fusion wettbewerbsfähig machen könnten:
1.  **Erhöhung der Anlagengröße:** Die COE für Fusion verbessert sich signifikant bei **größeren Anlagen** (*larger sized plants*), da die Fusionsinselkosten weitgehend unabhängig von der Größe sind.
2.  **Steigerung des Kapazitätsfaktors:** Eine Erhöhung des Kapazitätsfaktors von $70\%$ auf $90\%$ senkt die COE (da die COE kapital-kosten-dominiert ist).
3.  **Technologische Fortschritte:** **Entwicklungen in Technologie und Engineering-Lösungen** (*developments in technology and engineering solutions*) deuten darauf hin, dass niedrigere Kosten auch auf dem $1 \text{ GW}(\text{e})$-Niveau möglich sind.
4.  **Alternativkonzepte:** Die Entwicklung **alternativer Konzepte** (*alternative concepts devised*) wird als notwendig erachtet.
### 11. Was sind die signifikantesten Kostentreiber und ökonomischen Herausforderungen laut Studie?
**Signifikanteste Kostentreiber:**
*   **Kapitalkosten (Capital Cost Dominance):** Die COE für die Fusion ist **kapital-kosten-dominiert** (*capital-cost-dominated*) und der größte Bestandteil der COE.
*   **Reactor Plant Equipment:** Innerhalb der Kapitalkosten ist der Posten **Reactor Plant Equipment** (Fusionskern, Blanket, etc.) der größte Einzelposten der Direkten Kosten. Er macht über **$51\%$** (ARIES-RS) bzw. **$44\%$** (ARIES-ST) der Base Construction Costs aus.
*   **Recirculating Power:** Die **großen Bedürfnisse an rezirkulierender Leistung** (*large recirculating power needs*) für die Fusion treiben die Kapitalkosten in die Höhe, da die Anlage mehr Gesamtleistung produzieren muss, als sie tatsächlich verkauft.
**Ökonomische Herausforderungen:**
*   **Wettbewerbsfähigkeit:** Die Fusionskosten ($65–102 \text{ mills}/\text{kWh}$) liegen **generell oberhalb der Spanne der Alternativen** ($30–53 \text{ mills}/\text{kWh}$ ohne Sequestrierung) für den Start im Jahr 2050.
*   **Unsicherheit:** Die Kostenprognosen sind mit einer **großen Unsicherheit** (*great deal of uncertainty*) behaftet und sollten mit Vorsicht verwendet werden.
*   **Kostenreduktionszwang:** Wege müssen gefunden werden, um die Kosten zu senken, da die **Kosten der Alternativen sinken** und die Fusionskosten hoch sind.</t>
  </si>
  <si>
    <t>Probably NOAK</t>
  </si>
  <si>
    <t>10th-OAK assumed sicne all ARIES-studies rely on such assumption - or maybe NOAK ??</t>
  </si>
  <si>
    <t>Ihre Anfrage liefert die Summe von fünf Komponenten, die in Summe Ihre bereinigten Overnight Construction Costs (OCC) ergeben.
Gesamtkosten (Ihre Basis):
$1504.16 + 169.97 + 78.22 + 78.22 + 274.58 = 2105.15$
Ihre **Total OCC** beträgt demnach **$2105.15 \text{ M\$}$** (Millionen US-Dollar).
Basierend auf den Kostenaufschlüsselungen des **ARIES-AT Referenzfalls** (Kostenbasis **1992 M\$**), die in der Quelle zur Validierung des neuen ARIES-Systemcodes verwendet werden, können die ersten vier Werte Hauptkonten der Direkten Kosten (Accounts 20–27) zugeordnet werden:
*   $1504.16 \text{ M\$}$ entspricht dem **Account 22: Reactor plant equipment**.
*   $169.97 \text{ M\$}$ entspricht dem **Account 21: Structures and site facilities**.
*   $78.22 \text{ M\$}$ entspricht dem **Account 23: Turbine plant equipment**.
*   $78.22 \text{ M\$}$ entspricht dem **Account 24: Electric plant equipment**.
Der Wert von $274.58 \text{ M\$}$ entspricht in den ARIES-AT-Referenzdaten keinem einzelnen Direktkostenkonto, wird aber hier als eigener Posten in die Gesamtkostenberechnung einbezogen.
Im Folgenden wird der prozentuale Anteil dieser fünf Posten an der von Ihnen berechneten Gesamtsumme ($2105.15 \text{ M\$}$) dargestellt:
| Kostenposten (Ihrer Rechnung) | Entsprechende ARIES-AT-Konten (1992 M$) | Absoluter Wert (M$) | Anteil am Gesamt-OCC ($2105.15 \text{ M\$}$) |
| :--- | :--- | :--- | :--- |
| **Erster Posten** | **Account 22: Reactor Plant Equipment** | $1504.16$ | **71.45%** |
| **Zweiter Posten** | Account 21: Structures and Site Facilities | $169.97$ | **8.07%** |
| **Dritter Posten** | Account 23: Turbine Plant Equipment | $78.22$ | **3.72%** |
| **Vierter Posten** | Account 24: Electric Plant Equipment | $78.22$ | **3.72%** |
| **Fünfter Posten** | (Nicht identifiziertes Konto) | $274.58$ | **13.04%** |
| **GESAMT** | | $\mathbf{2105.15}$ | **100.00%** |
### Wichtigste Beobachtung
Der mit Abstand signifikanteste Kostenanteil (über $71\%$) wird durch das **Reactor Plant Equipment (Konto 22)** verursacht. Die Autoren des Papers stellen fest, dass das Konto 22 den **signifikantesten Einfluss auf die gesamten Direkten Kosten** hat. Dieses Konto hängt von einer Vielzahl von Parametern ab, einschließlich der Volumina und Materialien aller Leistungszentrumselemente, der Flächen der Divertorplatten und der thermischen Leistung.</t>
  </si>
  <si>
    <t>Die folgende Antwort basiert auf der Analyse der vorliegenden Quelle "An advanced computational algorithm for systems analysis of tokamak power plants" von Dragojlovic et al. (2010).
---
### 1. Welche Modellannahmen werden getroffen?
Die Modellierung eines fortschrittlichen D-T-betriebenen Tokamaks basiert auf spezifischen physikalischen, technischen und ökonomischen Annahmen, die konsistent in allen Modulen des neuen ARIES-Systemcodes verwendet werden:
*   **Reaktortyp und -betrieb:** Der Tokamak ist für den **stationären Betrieb** (*steady state*) ausgelegt und wird mit **D-T (Deuterium-Tritium)** befeuert.
*   **Geometrie:** Das Modell verwendet eine **genaue und anpassbare 3D-Tokamak-Geometrie**.
*   **Plasma-Physik:** Die Plasma-Analyse erfolgt über ein 0D-Modul, das globale Leistungs- und Teilchenbilanzen unter Verwendung von Parabelgleichungen mit Pedestal-Profilen für Dichte und Temperatur löst.
*   **Technologische Optionen:** Es werden **zwei verschiedene Blanket-Konzepte** (LiPb/SiC und DCLL) und **zwei Magnet-Optionen** (Niedertemperatur-Supraleiter $\sim 4.2 \text{ K}$ und Hochtemperatur-Supraleiter $\sim 75 \text{ K}$) als Optionen bereitgestellt. Die Validierung erfolgte anhand des **ARIES-AT LiPb/SiC**-Blankets.
*   **Energiewandlung:** Es wird ein **Brayton-Zyklus** für die elektrische Produktion angenommen, der aufgrund der hohen Kühlmitteltemperaturen (bis zu $\sim 1100^{\circ} \text{C}$) attraktiv ist.
*   **Level of Safety Assurance (LSA):** Es wird ein **Level of Safety Assurance** angenommen, der die Kosten durch Sicherheitsgutschriften (Credit Factors) reduziert, wobei $LSA=1$ (SiC-System) und $LSA=2$ (FS-System) zur Verfügung stehen.
*   **Wirtschaftliche Parameter:**
    *   **Kostenbasisjahr:** $1992 \text{ \$}$ für die Validierung.
    *   **Kapazitätsfaktor ($pf$):** $0.85$.
    *   **Konstruktionszeitraum ($Y$):** $6$ Jahre.
    *   **Rabattierungsrate ($X_0$):** Der effektive, steuerbereinigte Kostensatz des Geldes wird mit $0.0435/\text{Jahr}$ angenommen.
    *   **Projektkontingenz ($c_{96}$):** Wird standardmäßig auf $0.195$ (oder $19.5\%$) für $LSA=4$ (und $0.150$ für $LSA=1$) angesetzt.
    *   **Prozesskontingenz ($c_{95}$):** Wird für ein ausgereiftes (*mature*) Kraftwerk auf **$0$** gesetzt.
### 2. Welche Modell- und Kostenannahmen basieren auf tatsächlichen Erfahrungswerten und welche nur Schätzungen oder Prognosen? Welche Annahmen stammen woher?
Die Modellierung verwendet eine Mischung aus etablierten Industriedaten und weitreichenden Prognosen:
| Art der Annahme | Basis / Herkunft | Erläuterung |
| :--- | :--- | :--- |
| **Erfahrung/Basis** | **Historische Kostenkonten:** Schulte et al. (1978), STARFIRE, GENEROMAK. | Definierten die ursprüngliche Struktur der **Direkten und Indirekten Kostenkonten**. |
| **Erfahrung/Basis** | **ARIES-Designstudien (ARIES-I bis ARIES-AT)**. | Dienen als Grundlage für die kontinuierliche **Aktualisierung der Kostenalgorithmen** und die Definition der **LSA-Kreditfaktoren**. |
| **Erfahrung/Basis** | **IPB98(y,2) Skalierung**. | Dient zur Berechnung der **Energieeinschlusszeit** und wurde aus **bestehenden Tokamak-Experimenten** abgeleitet (ITER-Basis). |
| **Erfahrung/Basis** | **Materialstückkosten**. | Die Kosten für Komponenten werden anhand von **Dichten und Stückkosten pro Masseneinheit** ($/kg$) für Materialien wie SS316, YBCO und $\text{Nb}_3\text{Sn}$ berechnet. Die Basisjahre dieser Kosten sind meist 1992. |
| **Prognose/Extrapolation** | **LSA-Faktoren**. | **Prognose** von Kosteneinsparungen durch die **Substitution von konventionellen anstelle von nuklearen Sicherheitskomponenten**.
| **Prognose/Extrapolation** | **Anlagendesigns** (ARIES-AT). | Die Modelle reflektieren sowohl **Nahzeit- als auch fortgeschrittene Technologielösungen** (*near-term as well as advanced technology solutions*). Das Endergebnis ist die **COE**, eine zukunftsgerichtete Prognose für **kommerzielle Anlagen**.
### 3. Falls externe Quellen für die Modell- und Kostenannahmen verwendet wurden – wurden diese modifiziert? Falls ja, wie?
**Ja, externe Quellen und Algorithmen wurden modifiziert und aktualisiert:**
*   **Kostenstruktur:** Die Kostenkonten und die zugehörigen Algorithmen wurden durch die ARIES-Designkonzepte der 1990er und 2000er Jahre (ARIES-I, II, IV, RS, SPPS, ST und AT) **weiter aktualisiert**. Der neue Code unterzog diese Struktur einer **gründlichen Revision** (*thorough revision*) hin zu einer **funktionaleren Kostenstruktur**.
*   **Magnete:** Die Modelle der **TF- und PF-Magnete wurden modifiziert** und durch die Aufnahme **realistischerer Modelle** (z. B. für HTS- und LTS-Magnete) **aktualisiert**.
*   **GENEROMAK/STARFIRE:** Die ursprünglichen Algorithmen von Schulte et al., STARFIRE und GENEROMAK wurden als Basis genommen, aber kontinuierlich **über die ARIES-Studien weiterentwickelt** und aktualisiert.
*   **Indirekte Kosten/LSA:** Das Konzept des **Level of Safety Assurance (LSA)**, entwickelt von Holdren et al., wurde **weiterentwickelt** zu dem in der Studie verwendeten Kostenkreditfaktor-System, welches erstmals in ARIES-II, IV Anwendung fand.
*   **Power Flow:** Der Power Flow wurde mit **größerer Detailgenauigkeit** (*more attention to detail*) geschätzt als im ARIES-AT-Referenzfall.
### 4. Wie lautet die Annahme zu Lernraten?
Die Hauptanalyse des Systems-Codes beinhaltet **keine expliziten Lernraten** im Sinne einer Lernkurve für die Kapitalkostenreduktion in der Serienproduktion.
Die Anlagen werden jedoch als **"ausgereifte, leistungsstarke, glaubwürdige Kraftwerksanlage"** (*mature, high performance credible power plant*) modelliert. Dies impliziert, dass alle technologischen Probleme gelöst wurden, was durch die Annahme gestützt wird, dass die **Prozesskontingenz ($c_{95}$) auf $0$** gesetzt wird.
### 5. Wie wurden die Annahmen zu den Lernraten hergeleitet bzw. von wo stammen diese Annahmen?
Da **keine expliziten Lernraten** für die Kapitalkostenreduktion (außer Skalierungseffekten) verwendet werden, kann keine Herleitung erfolgen.
Stattdessen werden Kostenreduktionen durch **technologische Optimierung** und **Designfortschritt** erreicht:
1.  **Level of Safety Assurance (LSA):** Die Anwendung der LSA-Faktoren fungiert als eine Form der Kostenreduktion, die durch **regulatorisches Lernen und technologische Sicherheit** ermöglicht wird, indem teure nukleare Komponenten durch konventionelle ersetzt werden.
2.  **Prozesskontingenz Null:** Die Annahme, dass die **Prozesskontingenz Null** ist, eliminiert die Kostenvorsorge für technologische Misserfolge und deutet auf eine **gereifte Technologie** (NOAK-Niveau) hin.
### 6. Wird offengelegt, ob die Kostenabschätzung auf einem Bottom-up-, Top-down- oder hybriden Ansatz basiert?
Die Kostenabschätzung basiert auf einem **hybriden Ansatz** im Rahmen eines **Systemcode-Modells**:
*   **Bottom-up/Massen-basiert:** Die Kosten der **Power Core Elements** (Fusionskern, Magnete, Blanket) werden durch **mass-dependent costs** (*massenabhängige Kosten*) berechnet. Diese Kosten sind das Produkt aus den **Materialstückkosten** ($/kg$), **Volumenanteilen** und dem **Gesamtvolumen**. Die Volumina basieren auf einer detaillierten 3D-Geometrie und dem radialen Aufbau, was einen Bottom-up-Ansatz für die Hauptkomponenten darstellt.
*   **Top-down/Skalierung:** Kosten für andere Anlagen-Subsysteme (z. B. Turbine, Electric Plant) werden über **Skalierungsgesetze** der Form $c_i \cdot (X_i)^{e_i}$ geschätzt, wobei $X_i$ relevante Mengen wie die **thermische Leistung** ($P_{TH}$) oder die **elektrische Leistung** ($P_{ET}$) darstellt.
*   **Top-down/Proportionalität:** Indirekte Kosten (wie z. B. Construction Services) sind **direkt proportional zu den Total Direct Costs (TDC)**.
### 7. Beruht die Kostenherleitung auf physikalischen und technologischen Werten?
**Ja.** Die gesamte Kostenberechnung ist eine direkte Folge der gewählten **physikalischen** und **technologischen** Parameter:
*   **Physikalische Abhängigkeit:** Die COE hängt von der **Größe des Reaktors** (Plasma Major Radius R) und der **Magnetfeldstärke** ($B_T$) ab, die direkt durch die Plasma-Physik bestimmt werden. Die Optimierung der COE erfolgt durch die Identifizierung von Plasmen mit **hohem $\beta$ und hoher Dichte** (nahe dem Greenwald-Limit), was **kleinere und kostengünstigere Reaktoren** ermöglicht.
*   **Technologische Abhängigkeit:** Die Kosten der **Reactor Plant Equipment** (der größte Kostentreiber) sind direkt von der **Masse** und dem **Volumen** der Komponenten abhängig, die wiederum von den gewählten Technologien (z. B. Supraleiter, Blanket-Konzept und Abschirmung) bestimmt werden.
### 8. Werden Materialkosten und Komponentenkosten separat ausgewiesen?
**Ja:**
*   **Komponentenkosten:** Die Direkten Kosten (Accounts 20–27) sind in Komponenten und Subsysteme unterteilt, wie **Reactor Plant Equipment (Konto 22)**, **Turbine Plant Equipment (Konto 23)** und **Fuel Handling and Storage (Konto 22.5)**.
*   **Materialkosten:** Die **Materialkosten** werden explizit im Konto **27.0 Special Materials** ausgewiesen, welches die Kosten für **flüssige Metalle** (wie $\text{Pb-17Li}$ Kühlmittel/Brutstoff) basierend auf der **Masse** enthält. Darüber hinaus werden die Kosten vieler Komponenten (z. B. Magnetspulen, Erste Wand) intern durch die **Stückkosten pro Masseneinheit** für die verwendeten Materialien (wie $\text{SS}316$, $\text{YBCO}$) berechnet.
### 9. Bezieht sich die Studie auf ein Energiesystem (z. B. Integration, Vergleich mit anderen Technologien) oder ist sie rein bezogen auf die Kosten des Kraftwerks und des Reaktors?
Die Studie konzentriert sich primär auf die **Kosten des Fusionskraftwerks und des Reaktors** (Berechnung der COE).
*   **Projektfokus:** Das ARIES-Projekt zielt darauf ab, **langfristige Fusionsenergiegeräte für allgemeine Versorgungsunternehmen** (*general consumer utilities*) zu entwickeln. Die Arbeit dient dazu, den Übergang von experimentellen Einrichtungen zu **kommerziellen Kraftwerken** (*viable commercial power plants*) zu untersuchen.
*   **Kein Systemvergleich/Integration:** Obwohl der Kontext kommerzielle Energieversorgung ist, beinhaltet die Studie keinen direkten ökonomischen Vergleich mit konkurrierenden Technologien wie fossilen oder Spaltreaktoren, sondern fokussiert auf die **interne Optimierung** des Fusionsdesigns selbst.
### 10. Welche Kostenreduktionspotenziale oder wirtschaftlichen Optimierungsansätze werden thematisiert?
Die Studie identifiziert und nutzt verschiedene Optimierungsansätze, um die COE zu minimieren:
1.  **Reduktion der physischen Größe:** Die **Reduktion des Plasma Major Radius ($R$)** und der **Magnetfeldstärke ($B_T$)** sind die wichtigsten Maßnahmen zur Senkung der COE, da die Kosten der Power Core mit der Größe skalieren.
2.  **Optimierte Plasma-Performance:** Die COE sinkt, wenn **höhere Plasma-Beta-Werte** ($\beta$) und **höhere Dichten** (nahe dem Greenwald-Limit) erreicht werden. Dies maximiert die Leistungsausbeute in einem kleineren Reaktor.
3.  **Level of Safety Assurance (LSA):** Die Anwendung von **LSA-Kreditfaktoren** führt zu Kosteneinsparungen sowohl bei direkten als auch bei indirekten Kosten, indem die Notwendigkeit nuklearer Sicherheitskomponenten reduziert wird.
4.  **Hitzefluss-Management:** Die Zugabe von **Argon-Impuritäten** in das Plasma erhöht die Strahlung und **reduziert die Spitzenhitzelast auf den Divertor**. Dies ist entscheidend, um **kleinere Reaktoren** mit niedrigem COE zu ermöglichen, die sonst die Divertor-Temperaturgrenzen überschreiten würden.
### 11. Was sind die signifikantesten Kostentreiber und ökonomischen Herausforderungen laut Studie?
**Signifikanteste Kostentreiber:**
*   **Kapitalkosten-Dominanz:** Die **jährliche Kapitalkostenbelastung** ($c_{AC}$) ist die signifikanteste Komponente der COE.
*   **Reactor Plant Equipment (Konto 22):** Dieses Konto hat den **signifikantesten Einfluss auf die gesamten Direkten Kosten** (*most significant impact on the total direct cost*). Es umfasst die teuren Power-Core-Elemente wie Magnete, Blanket und Erste Wand.
**Ökonomische Herausforderungen:**
*   **Begrenzender Divertor-Hitzefluss:** Der **maximale Hitzefluss auf den Divertor ($Q_{div \text{ lim}}$)** ist der **kritischste Engineering-Filter**. Eine zu strenge Begrenzung reduziert die Anzahl der **wirtschaftlich attraktiven Designpunkte** drastisch und erfordert aufwändigere Lösungen.
*   **Komplexität des Designraums:** Die große Anzahl von Parametern erfordert die **Untersuchung eines weiten, multi-dimensionalen Designraums** (*expansive, multi-dimensional trade space*), da die Suche nach einem einzigen "optimalen" Punkt unzureichend ist. Die Identifizierung der "am wenigsten teuren" und "höchst wünschenswerten" Lösungen stellt eine große rechnerische und analytische Herausforderung dar.
*   **Veraltete Kostenannahmen:** Die Notwendigkeit, einen neuen Systemcode zu entwickeln, beruht auf der Tatsache, dass die **Annahmen, auf denen frühere Schätzungen basieren, nun veraltet und möglicherweise obsolet und inkonsistent sind**. Die Aktualisierung dieser Kostenbasis ist eine fortlaufende Herausforderung.</t>
  </si>
  <si>
    <t>Die Studie von Dragojlovic et al. (2010) konzentriert sich primär auf die **interne Optimierung** von zukünftigen Fusionskraftwerksdesigns und verwendet den **Cost of Electricity (COE)** als **Leistungszahl (*figure of merit*)** und **ultimativen Optimierungsparameter**.
### 1. Ergebnis des Vergleichs
Das Paper **vergleicht die Kosten des optimierten Fusionsreaktors nicht direkt** mit spezifischen Kostenwerten anderer Energieerzeugungsarten (wie Spaltung, Kohle oder Gas) in seinen Ergebnissen.
Stattdessen dient der COE als Maßstab, um den **"attraktivsten" Designraum** und die **"am wenigsten teuren"** Lösungen innerhalb des Fusionskonzepts zu finden. Das zentrale Ergebnis der ökonomischen Analyse des neuen Systems-Codes ist die Identifizierung eines minimalen COE für das optimierte Tokamak-Design:
*   Der **Overall Minimum COE** liegt bei **$67.98 \text{ mill}/\text{kWh}$** (in $2008 \text{ Dollar}$).
*   Dieser Wert wird bei einem Plasma-Hauptradius ($R$) von $5 \text{ m}$ und einer toroidalen Magnetfeldstärke ($B_T$) von $5 \text{ T}$ erreicht.
*   Die ARIES-AT-Baseline, gegen die der Code validiert wurde, liegt im Vergleich bei $71.96 \text{ mill}/\text{kWh}$ (2008 Dollar).
Der Fokus liegt darauf, **interne Trade-offs** (z. B. zwischen Reaktorgröße, Magnetfeldstärke und Plasmadichte) zu finden, die die Kosten reduzieren, um **"tragfähige kommerzielle Kraftwerke"** (*viable commercial power plants*) zu ermöglichen.
### 2. Vergleichsbasis (Historische vs. Zukunftsgerichtete Projektionen)
Die Kostenberechnung der Fusionskraftwerke basiert auf **zukunftsgerichteten Projektionen** für ein fortgeschrittenes, kommerziell wettbewerbsfähiges Stadium:
*   **Zukunftsgerichtete Projektion:** Die gesamte Arbeit zielt darauf ab, Visionen für **langfristige Fusionsenergiegeräte für allgemeine Verbraucherversorger** (*long-term fusion energy devices for general consumer utilities*) zu liefern. Die Entwürfe (wie ARIES-AT) nutzen **fortgeschrittene Technologie-Lösungen** (*advanced technology solutions*) und stellen ein **"ausgereiftes, leistungsstarkes, glaubwürdiges Kraftwerk"** (*mature, high performance credible power plant*) dar, das in der Lage ist, sich im zukünftigen Energiemarkt zu behaupten.
*   **Historische Basis:** Die Kostenmodelle selbst greifen auf eine **reiche Tradition ökonomischer Studien** (*rich heritage of economic studies*) zurück, die auf historischen und älteren Kostendaten basieren (z. B. STARFIRE, GENEROMAK und frühe ARIES-Studien).
*   **Aktualisierung:** Die Autoren betonen jedoch, dass die **Annahmen, auf denen frühere Schätzungen basieren, nun veraltet und möglicherweise obsolet und inkonsistent sind**. Ziel des neuen Codes ist es gerade, diese **Kostenbasis zu dokumentieren und zu aktualisieren** (*update the ARIES cost data base*), um sie mit den **aktuellen Kostendatenbanken und Kostentrends** (*current cost databases and costing trends*) in Einklang zu bringen.
Die berechnete COE ist somit eine **optimistische Projektion** der minimalen Gestehungskosten, die ein fortschrittlicher Fusionsreaktor erreichen muss, um im zukünftigen Energiemarkt **wettbewerbsfähig** zu sein.</t>
  </si>
  <si>
    <t>Die von Ihnen angegebenen Werte stellen eine Gesamtsumme der Overnight Construction Costs (OCC) dar. Da diese spezifischen fünf Werte jedoch nicht als einzelne Kostenkonten (wie Direkte Kosten, Indirekte Kosten, etc.) oder als die Gesamtkapitalkosten (**Total Capital Cost**) eines der in der Quelle untersuchten Reaktoren (**ARIES-I, ESECOM-He/Li2O, ESECOM-V/Li**) in Tabelle 2 aufgeführt sind, kann ich die zugehörigen finanziellen Konten nicht direkt identifizieren.
Ich werde daher die prozentualen Anteile basierend auf der von Ihnen gelieferten Summe berechnen.
### Berechnung der Gesamtkostenbasis
Ihre bereinigten Overnight Construction Costs (OCC) betragen in der Summe:
$$281.000.000 + 157.000.000 + 333.000.000 + 173.000.000 + 174.000.000 = 1.118.000.000$$
Ihre Gesamtbasis (100%) beträgt: **$1118 \text{ Millionen (1990 USD)}$**.
### Prozentuale Anteile der Kostenposten
Die prozentuale Verteilung der von Ihnen genannten fünf Posten an dieser Gesamtsumme ist wie folgt:
| Kostenposten (Mio. USD) | Prozentualer Anteil an der Gesamtsumme ($1118 \text{ M\$}$) |
| :--- | :--- |
| **333** | **29.79%** |
| **281** | **25.13%** |
| **174** | **15.56%** |
| **173** | **15.47%** |
| **157** | **14.04%** |
| **Gesamt** | **100.00%** |
### Kontext zur Kostenstruktur aus der Quelle
Obwohl ich die genaue Zuordnung nicht vornehmen kann, zeigt die Quelle, dass die Kosten für die Reaktoren in Tabelle 2 in folgende Hauptkategorien unterteilt sind:
*   **CAPITAL EQUIPMENT** (z. B. Breeder, Be, Tritium Processor, Steel Insert)
*   **DIRECT COST** (Enthält die Kosten für die Hauptkomponenten der Anlage, bereinigt um die spezifischen Li- und Stahl-Einfügungen)
*   **Indirect Cost** (Multiplikation der Kapitalkosten mit 35% bzw. 37,5%)
*   **Contingency** (Rückstellungen, 10% bzw. 15%)
Die Total Capital Cost (was den OCC entspricht) liegt in der Quelle für die untersuchten Reaktoren zwischen **$174 \text{ M\$}$** (ESECOM-He/Li2O Breeder) und **$787 \text{ M\$}$** (ARIES-I Breeder). Ihr Gesamtwert von $1118 \text{ M\$}$ liegt über diesem Bereich.</t>
  </si>
  <si>
    <t>FOAK?? - 10th-OAK assumed since ARIES</t>
  </si>
  <si>
    <t>Die Studie konzentriert sich auf die Quantifizierung der Kosten der Tritiumproduktion in einem Fusionsreaktor, wobei Vergleiche mit **zukunftsgerichteten Projektionen** anderer Energiequellen und alternativen Tritium-Versorgungsszenarien gezogen werden.
### 1. Ergebnis des Vergleichs
Das Ergebnis des Vergleichs ist, dass die **indigene Tritiumzucht** im Fusionsreaktor weitaus kostengünstiger ist als die Alternativen.
**a) Vergleich mit dedizierter Tritiumproduktion (Fission und Fusion):**
*   **Ergebnis:** Die Kosten für die Tritiumproduktion als integraler Bestandteil des Fusionsreaktors liegen zwischen **$\$215 \text{ und } \$1420/\text{g}$** Tritium.
*   Diese Kosten sind **signifikant niedriger** als die Kosten für die Tritiumproduktion in dedizierten Produktionsreaktoren.
*   Die Kosten für dedizierte Tritiumproduktion reichen von **$\$10,000 \text{ bis } \$49,000/\text{g}$** Tritium in konzeptionellen D/T-Fusionsproduktionsreaktoren bis zu **$\$100,000/\text{g}$** Tritium in gegenwärtigen Spaltungs-Schwerwasserreaktoren.
*   **Schlussfolgerung:** Das Paper zeigt die **ökonomische Rechtfertigung** dafür, die Tritiumzucht in das Fusionsreaktordesign zu integrieren.
**b) Vergleich mit alternativen Fusions-Brennstoffzyklen:**
*   **Ergebnis:** Die Kosten für Tritium in einer Fusion-Ökonomie ($\sim \$1000/\text{g}$ für das ARIES-I-Szenario) liegen **innerhalb der Spanne** der Kosten, die für den alternativen Fusionsbrennstoff $\text{D-}^3\text{He}$ in Betracht gezogen werden.
*   Die Apollo-L3 Tokamak-Studie, die den $\text{D-}^3\text{He}$-Brennstoffzyklus verwendet, zeigte, dass wettbewerbsfähiger Strom mit Brennstoffkosten von **$\$1000/\text{g } ^3\text{He}$** erreicht werden kann.
*   Ein Vergleich der Stromgestehungskosten (COE) zeigt, dass der **ARIES-I-Reaktor** ($\text{D/T}$-Busionszucht) eine COE von **$80 \text{ mills}/\text{kWh}$** aufweist, während der **ARIES-III-Reaktor** ($\text{D-}^3\text{He}$) eine COE von **$70 \text{ mills}/\text{kWh}$** erreicht (unter Annahme von $\$1000/\text{g } ^3\text{He}$).
### 2. Vergleichsbasis (Historische vs. Zukunftsgerichtete Projektionen)
Der Vergleich basiert primär auf **zukunftsgerichteten und konzeptionellen Projektionen**, die auf die Bedürfnisse einer zukünftigen Fusionswirtschaft zugeschnitten sind.
*   **Fusionskosten (Zukunftsgerichtet):** Die gesamte Studie befasst sich mit **konzeptionellen Designs** (*conceptual design studies*) und der Bestimmung eines **gültigen Brennstoffpreises für Tritium in einer Fusion-Ökonomie**.
*   **Alternative Versorgung (Konzeptionell):** Die Kosten für dedizierte Tritiumproduktionsreaktoren basieren auf **konzeptionell entworfenen Fusionsreaktoren** und aktuellen **Kosten in bestehenden Spaltungs-Schwerwasserreaktoren**.
*   **Wettbewerber (Extrapolation):** Für den Vergleich mit **konkurrierenden Energiesystemen** wie fossilen Brennstoffen und Kernspaltung, wird angemerkt, dass diese – mit Ausnahme von Tritium – **einen aktuellen Marktpreis besitzen, der basierend auf ihrer prognostizierten Verfügbarkeit in die Zukunft extrapoliert werden kann**.
*   **D-$^3\text{He}$ (Projektion):** Die Kosten für den alternativen Fusionsbrennstoff $^3\text{He}$ werden ebenfalls als **prognostizierter Brennstoffpreis** von $\$1000/\text{g}$ in einem zukünftigen Energieszenario verwendet.</t>
  </si>
  <si>
    <t>Die folgende Analyse basiert auf dem Bericht von Wittenberg (1991) über die Kosten der Tritiumproduktion in einem Fusionsreaktor.
---
### 1. Welche Modellannahmen werden getroffen?
Die Modellierung basiert auf einem **Differenzkosten-Ansatz**, bei dem zwei nahezu identische $\text{D/T}$-Fusionsreaktoren verglichen werden, um die Kosten der Tritiumzucht zu isolieren.
*   **Vergleichsszenario:** Verglichen werden ein $\text{D/T}$-Fusionsreaktor mit **Li-haltiger Tritium-Brüterdecke** und ein ansonsten identischer Reaktor, bei dem das Brütersystem durch einen **Neutronenabsorber aus Stahl** (Reduced Activation Ferritic Steel, RAF Steel) ersetzt wird.
*   **Identische Parameter:** Plasma-Parameter, $\text{D/T}$-Brennstoffzyklus und die Bruttokonfigurationen beider Reaktoren werden als **identisch** angenommen.
*   **Kostenbasis:** Die Kosten werden auf das Jahr **1990** eskaliert und in $\text{Millionen } \$$ angegeben.
*   **Finanzielle Parameter:**
    *   **Amortisationszeit:** 30 Jahre.
    *   **Kapitalrendite:** Wird mit einem Zinssatz von **$5\%$** (ohne Inflation) amortisiert.
    *   **Betriebs- und Wartungskosten (O&amp;M):** Werden mit **$1.4\%$** der direkten Kosten skaliert.
    *   **Deckenersatz:** Die Decken-Lebensdauer wird auf **3 Jahre** begrenzt (hauptsächlich durch Strahlenschäden der Ersten Wand). Daher wird jährlich $1/3$ der Kosten für eine neue Decke zurückgestellt.
    *   **Verfügbarkeit:** Für die ARIES-I-Decke wird eine Verfügbarkeit von **$0.76$** und für die ESECOM-Decken von **$0.65$** angenommen.
*   **Neutronen-Ersatz:** Der Stahl-Absorber (im nicht-brütenden Fall) wurde als **konservativer Neutronenabsorber** mit einer Gesamtenergievervielfachung von **$1.40$** angenommen.
### 2. Welche Modell- und Kostenannahmen basieren auf tatsächlichen Erfahrungswerten und welche nur Schätzungen oder Prognosen? Welche Annahmen stammen woher?
| Annahme / Parameter | Basis / Herkunft | Art der Annahme |
| :--- | :--- | :--- |
| **Kostenstruktur** | **ARIES-I System’s Code** und **GENEROMAK-Studie**. | **Erfahrung/Standardisiert:** Dient der konsistenten Kostenberechnung. |
| **Kostenupdate** | **USA Consumer’s Price Index**. | **Erfahrungswert:** Dient zur Eskalation auf 1990 Dollar. |
| **Indirekte Kosten / Rückstellungen (Contingency)** | **ARIES-I-Studie** ($35\%$ Indirekt, $10\%$ Contingency) und **ESECOM-Bericht** ($37.5\%$ Indirekt, $15\%$ Contingency). | **Erfahrung/Prozentsatz:** Übernommen aus den jeweiligen Designstudien. |
| **Energievervielfachung (Stahl)** | **M. E. Sawan** (Private Kommunikation, Juni 1991). | **Schätzung/Prognose:** Der Wert von $1.70$ (maximal) wurde konservativ auf **$1.40$** in der Studie herabgesetzt. |
| **Materialkosten ($\text{Li}_2\text{O}, \text{Li}, \text{RAF Steel}$)** | **System Code Preise** ($52 \text{ bis } 59/\text{kg}$). | **Prognose/Hypothese:** Die Autoren äußern Zweifel, ob diese Li-haltigen Materialien **zu diesen niedrigen Kosten** produziert und verarbeitet werden können. |
| **Tritium-Prozessor** | **Algorithmus** für Tritium-Verarbeitung aus dem Vakuumsystem ($0.5 \text{ M} (g/d)^{0.7}$ in 1980 \$). | **Schätzung/Extrapolation:** Der Algorithmus wird von einem anderen System (Vakuumsystem) auf die Decken-Wiederaufbereitung angewendet. |
### 3. Falls externe Quellen für die Modell- und Kostenannahmen verwendet wurden – wurden diese modifiziert? Falls ja, wie?
**Ja, externe Quellen wurden modifiziert oder Annahmen angepasst:**
1.  **Kostenbasis-Anpassung:** Die ursprünglichen Kapitalkosten aus dem ARIES-I System’s Code und der GENEROMAK-Studie wurden mithilfe des **USA Consumer’s Price Index** auf die Kostenbasis **1990 Dollar** aktualisiert.
2.  **Tritium-Prozessor-Kosten:** Der Tritiumprozessor wurde nicht spezifisch in den Systemcodes ausgewiesen. Der verwendete Algorithmus zur Tritium-Verarbeitung wurde übernommen, und die Kosten für den **flüssigen $\text{Li}$-Prozessor** (ESECOM-V/Li) wurden aufgrund der erwarteten größeren Komplexität willkürlich **verdoppelt** (*doubled*) im Vergleich zum Helium-System.
3.  **Kühlkanäle (V/Li-Reaktor):** Beim Ersatz des flüssigen Lithiums durch den $\text{RAF Steel}$ im ESECOM-V/Li-Entwurf wurde angenommen, dass **$30\%$ Leerraum** (*void space*) für zusätzliche Kühlkanäle erforderlich ist, da Stahl eine geringere Wärmeleitfähigkeit als flüssiges Li hat.
4.  **Neutronen-Ersatz:** Die Annahme, dass der Stahl-Ersatz die Decke nur füllt, anstatt das Schild komplett zu optimieren, ist eine **vereinfachende Annahme**, die die Kosten des nicht-brütenden Reaktors höher hält.
### 4. Wie lautet die Annahme zu Lernraten?
Die Studie **trifft keine expliziten Annahmen zu Lernraten** im Sinne einer Kostenreduktion durch Serienfertigung (NOAK).
Die Analyse konzentriert sich auf die **initialen Entwurfskosten** (*initial reactor designs*) der ersten Generation von $\text{D/T}$-Kraftwerken.
### 5. Wie wurden die Annahmen zu den Lernraten hergeleitet bzw. von wo stammen diese Annahmen?
Da keine expliziten Lernraten verwendet werden, erfolgt keine Herleitung dieser Annahmen.
### 6. Wird offengelegt, ob die Kostenabschätzung auf einem Bottom-up-, Top-down- oder hybriden Ansatz basiert?
Die Abschätzung basiert auf einem **hybriden Ansatz**, der die ursprünglichen Systemcode-Methoden nutzt:
*   **Bottom-up/Komponenten-basiert:** Die Kosten für die **Brüter-Füllmaterialien** (Li-haltige Materialien und $\text{Be}$) wurden bottom-up berechnet, basierend auf dem Volumen oder Gewicht und den geschätzten Kosten pro Kilogramm ($/kg$).
*   **Top-down/Proportionalität:** Die **Indirekten Kosten** und die **Rückstellungen (Contingency)** wurden als fester Prozentsatz der Direktkosten angenommen ($35\%/10\%$ oder $37.5\%/15\%$), was ein Top-down-Ansatz ist.
### 7. Beruht die Kostenherleitung auf physikalischen und technologischen Werten?
**Ja.** Die Kostenherleitung beruht stark auf physikalischen und technologischen Werten:
*   **Energievervielfachung:** Der wichtigste Kostenbeitrag, der **Erlösverlust** (*Loss of Revenue*), resultiert direkt aus dem unterschiedlichen **Energievervielfachungsfaktor** (*Energy Multiplication*) zwischen der Li-Brüterdecke und dem Stahl-Absorber.
*   **Materialien und Design:** Die Kapitalkosten der Brüter hängen von der **Art des verwendeten Materials** (z. B. isotopisch modifiziertes $\text{Li}_2\text{ZrO}_3$ versus $\text{Li}_2\text{O}$ mit natürlichen Isotopen) und dem **Design** (erforderlicher Neutronenmultiplikator $\text{Be}$) ab.
### 8. Werden Materialkosten und Komponentenkosten separat ausgewiesen?
**Ja.** In der Kostenvergleichstabelle (Tabelle 2) werden **Komponentenkosten** unter **CAPITAL EQUIPMENT** (z. B. Breeder, $\text{Be}$, Tritium Processor) ausgewiesen.
Die **Materialkosten** der Füllmaterialien (Brüter und Stahl-Ersatz) werden ebenfalls separat behandelt, basierend auf dem Volumen bzw. Gewicht, multipliziert mit den geschätzten Kosten pro Kilogramm. Ferner wird **Special Material** (z. B. das $\text{Be}$ im ARIES-I) als separater Kapitalposten ausgewiesen.
### 9. Bezieht sich die Studie auf ein Energiesystem (z. B. Integration, Vergleich mit anderen Technologien) oder ist sie rein bezogen auf die Kosten des Kraftwerks und des Reaktors?
Die Studie ist **primär auf die internen Kosten des Fusionskraftwerks und des Reaktors** bezogen, insbesondere die Tritiumproduktion. Sie wird jedoch durch den **Kontext des zukünftigen Energiesystems** motiviert.
*   **Systemkontext:** Die Notwendigkeit der Kostenquantifizierung ergibt sich aus dem Vergleich des $\text{D/T}$-Fusionsbrennstoffzyklus mit **"competitive energy systems, such as fossil fuels, nuclear fission fuels or even alternative fusion fuel cycles"**.
*   **Vergleich Fusion/Fusion:** Es wird ein direkter Vergleich mit dem $\text{D-}^3\text{He}$-Brennstoffzyklus gezogen (basierend auf der ARIES-III-Studie), einschließlich des Vergleichs der jeweiligen COE.
### 10. Welche Kostenreduktionspotenziale oder wirtschaftlichen Optimierungsansätze werden thematisiert?
Das größte diskutierte Potenzial zur **Kostenreduktion** liegt in der **Design-Optimierung der Shielding-Struktur**:
*   **Reduzierte Decken-/Magnetgröße:** Die Autoren merken an, dass die vereinfachende Annahme, Stahl ersetze das Brütervolumen, die Kosten des nicht-brütenden Reaktors überhöht. Wäre der Stahl-Ersatz optimiert, würde dies eine **Dünnung des Schildes** (*thinning of the shield*) ermöglichen. Dies würde wiederum **signifikante Kosteneinsparungen** durch die **Schrumpfung der Decke und der toroidalen Feldmagnete** bewirken.
*   **Materialwahl:** Die Wahl von kostengünstigeren Brütermaterialien (wie $\text{Li}_2\text{O}$ oder flüssigem $\text{Li}$ bei den ESECOM-Reaktoren) im Gegensatz zu teurem isotopisch modifiziertem Material und $\text{Be}$ (ARIES-I) führt zu erheblich geringeren Tritiumkosten.
### 11. Was sind die signifikantesten Kostentreiber und ökonomischen Herausforderungen laut Studie?
**Signifikanteste Kostentreiber:**
1.  **Erlösverlust (*Loss of Revenue*):** Dies ist der **größte einzelne Beitrag** zu den Gesamtkosten der Tritiumzucht. Er entsteht, weil die Tritium-Brütermaterialien eine **geringere nukleare Energievervielfachung** aufweisen als ein Stahl-Absorber. Dies führt zu einer geringeren Nettostromproduktion und damit zu einem Verlust an Verkaufseinnahmen.
2.  **Brütermaterial und $\text{Be}$:** Die **Art des verwendeten Brüters und die Notwendigkeit eines Neutronenmultiplikators** ($\text{Be}$) sind die Hauptfaktoren, die den Kapital-Kostenunterschied bestimmen. Das ARIES-I-Design ist aufgrund der teuren isotopisch modifizierten Materialien und des $\text{Be}$ am teuersten.
**Ökonomische Herausforderungen:**
*   **Unverifizierte Materialkosten:** Die Kostenrechnung basiert auf Systemcode-Preisen für $\text{Li}$-haltige Materialien, die **sehr niedrig** sind. Die Herausforderung besteht darin, dass **weitere Studien und Experimente** erforderlich sind, um zu bestätigen, dass diese Materialien zu diesen Preisen produziert und verarbeitet werden können.
*   **Mangelnde experimentelle Daten:** Es besteht ein dringender Bedarf an **experimenteller Verifizierung** (*Experimental verification is sorely needed*), um sicherzustellen, dass Li-haltige Brüter einen Tritium Breeding Ratio (TBR) von über $1.0$ und Neutronenmultiplikatoren wie $\text{Be}$ in Leistungsreaktoren erfolgreich liefern können.
*   **Optimierungslücken:** Die aktuelle Kostenanalyse ist eine **erste, oberflächliche Studie** (*initial cursory study*). Eine vollständige Optimierung der Decke und des Schildes (im nicht-brütenden Szenario) zur Reduzierung der Magnetgröße wurde nicht durchgeführt und bleibt eine wichtige zukünftige Herausforderung zur besseren Kostenquantifizierung.</t>
  </si>
  <si>
    <t>Cost evaluation analysis of the tokamak-type demonstration reactor DEMO using the PEC (physicsengineering-cost) system code; IDC: 819400000 USD; lifetime 30 years; Analysis of effect of input parameters</t>
  </si>
  <si>
    <t>Dieser Bericht beantwortet Ihre Fragen basierend auf der vergleichenden Kostenstudie für Tokamak DEMO Fusionsreaktoren von Oishi et al. (2012), die den PEC (Physics-Engineering-Cost) Systemcode verwendet.
---
### 1. Welche Modellannahmen werden getroffen?
Die Modellierung basiert auf dem **PEC (Physics Engineering Cost) Systemcode** und hat einen DEMO-Reaktor zum Ziel:
*   **Referenzdesign:** Als Referenzfall wird ein **Tokamak DEMO Reaktor** entworfen, der dem **SSTR (Steady State Tokamak Reactor)** ähnlich ist.
*   **Input-Parameter:** Als Eingabeparameter werden die **Ziel-elektrische Leistung ($P_{\text{trg}}$)** ($500 \text{ MW}(\text{e})$ bis $2000 \text{ MW}(\text{e})$), die **normalisierte Beta** ($\beta_N$), das **maximale Magnetfeld** ($B_{\text{max}}$) sowie Parameter der **Plasmaformen oder -profile** festgelegt.
*   **Design-Entscheidung:** Die physikalischen Berechnungen führen zur Bestimmung des **Plasma Major Radius ($R_p$)** und des dazugehörigen **radialen Aufbaus**, sobald die berechnete Netto-Elektrizitätsleistung dem Zielwert entspricht.
*   **Wirtschaftliche Parameter:**
    *   **Kostenbasisjahr:** Die Dollarwerte in den Tabellen wurden auf das Jahr **2003** festgelegt.
    *   **Betriebszeit ($TO$):** $30$ Jahre.
    *   **Anlagenverfügbarkeit ($f_{\text{av}}$):** $0.75$.
*   **Kosten-Skalierung:**
    *   **Fusion Island:** Die Menge der verwendeten Materialien in der Fusionsinsel dient als **grundlegende Daten** für die Kostenbewertung.
    *   **Balance of Plant (BoP):** **Kosten-Skalierungsformeln** basierend auf der **thermischen Ausgangsleistung** werden auf Hauptwärmetransportsysteme, Hilfskühlsysteme und Abfallmanagement angewandt. Skalierungsformeln basierend auf der **elektrischen Bruttoausgangsleistung** werden auf das Turbinengebäude, die Kühlanlage und die Turbinenanlagenausrüstung angewandt.
### 2. Welche Modell- und Kostenannahmen basieren auf tatsächlichen Erfahrungswerten und welche nur Schätzungen oder Prognosen? Welche Annahmen stammen woher?
Die PEC-Code-Annahmen basieren auf einer Mischung aus etablierten Designstudien und Prognosen:
| Annahme / Parameter | Basis / Herkunft | Art der Annahme |
| :--- | :--- | :--- |
| **Kostenmodellstruktur** | **ARIES-Programm** | **Erfahrung/Basis:** Mehrere Teile des PEC-Kostenmodells basieren auf den im ARIES-Programm vorgeschlagenen Modellen. |
| **Referenz-Design** | **SSTR (Steady State Tokamak Reactor)** | **Erfahrung/Basis:** Die Plasmaparameter des Referenzfalls sind denen des SSTR sehr ähnlich. |
| **Kostenwerte (2003)** | Unklar, aber es wird ein **konstanter Wechselkurs** von $116 \text{ Yen}/ \$$ (oder $140 \text{ Yen}/ \$$ Kaufkraftparität) im Jahr 2003 für den Vergleich mit SSTR verwendet. | **Schätzung/Historische Konversion:** Die Kostenbasis wird festgelegt, um den Vergleich zu ermöglichen. |
| **Kapitalkostengröße** | **Mehrere Tausend M\$s** | **Prognose:** Die Kosten fallen in diese Spanne, basierend auf der Extrapolation der Designparameter. |
| **Abhängigkeiten (Skalierung)** | **PEC-Code-Berechnungen** | **Prognose/Empirische Ableitung:** Die skalierten COE- und CC-Gleichungen (Gleichungen 2 und 3) sind Prognosen, abgeleitet durch **Multiple Regressionsanalyse** der PEC-Simulationsergebnisse. |
### 3. Falls externe Quellen für die Modell- und Kostenannahmen verwendet wurden – wurden diese modifiziert? Falls ja, wie?
**Ja, Modifikationen sind im Vergleich zur SSTR-Referenzstudie vorhanden:**
*   **Abweichungen von SSTR:** Das PEC-Kostenmodell weist im Vergleich zum SSTR-Kostenmodell **mehrere Unterschiede** bezüglich der **Kontentitel**, der verwendeten **Skalierungsformeln** und der **Definition von Direkten/Indirekten Kosten** auf.
*   **Beispiel (Indirekte Kosten):** Die Kosten für **"construction service and equipment"** (*Baudienstleistungen und Ausrüstung*) sind im SSTR-Kostenmodell in den **Direkten Kosten jeder Komponente** enthalten. Im PEC-Modell werden diese jedoch als Teil der **Total Indirect Cost** gezählt, was dazu führt, dass die Gesamten Indirekten Kosten in Tabelle 2 mit $48\%$ der Gesamtkapitalkosten ($2795.1 \text{ M\$}$ von $5779.7 \text{ M\$}$) **ungewöhnlich hoch** erscheinen.
### 4. Wie lautet die Annahme zu Lernraten?
**Es gibt keine Annahme zu Lernraten** (Lerneffekt oder Massenproduktion) in den vorgestellten COE- und Kapitalkostenberechnungen.
### 5. Wie wurden die Annahmen zu den Lernraten hergeleitet bzw. von wo stammen diese Annahmen?
Da keine Annahmen zu Lernraten getroffen wurden, ist **keine Herleitung** in der Quelle enthalten. Die Autoren merken jedoch an, dass für eine **genauere Bewertung der COE** zukünftig Parameter wie der **"learning effect"** (*Lerneffekt*) und der **"effect of mass production"** (*Massenproduktionseffekt*) berücksichtigt werden sollten.
### 6. Wird offengelegt, ob die Kostenabschätzung auf einem Bottom-up-, Top-down- oder hybriden Ansatz basiert?
Die Kostenabschätzung basiert auf einem **hybriden Ansatz**:
*   **Bottom-up-Komponente:** Die **Menge der verwendeten Materialien** (*amount of materials*) in der Fusionsinsel wird als **grundlegende Daten** für die Kostenbewertung herangezogen. Dies ist ein physikbasierter Bottom-up-Ansatz für die Kernkomponenten.
*   **Top-down-Komponente (Skalierung):** Kosten-Skalierungsformeln, die auf **thermischer Ausgangsleistung** oder **elektrischer Bruttoausgangsleistung** basieren, werden auf die meisten Anlagen- und Hilfssysteme (Balance of Plant) angewandt.
### 7. Beruht die Kostenherleitung auf physikalischen und technologischen Werten?
**Ja, sehr stark.** Das zugrunde liegende Modell ist der **PEC (Physics-Engineering-Cost) Systemcode**.
*   **Direkte Abhängigkeit:** Die Kosten werden direkt aus den **physikalisch bestimmten Parametern** abgeleitet. Wenn die Ziel-Elektrizitätsleistung erreicht ist, bestimmt der Code den **Plasma Major Radius ($R_p$)** und den **radialen Aufbau**. Diese physischen Dimensionen bestimmen direkt die **Menge der verwendeten Materialien** in der Fusionsinsel, was die Grundlage der Kosten ist.
*   **Scaling Laws:** Die abgeleiteten Skalierungsgesetze zeigen, dass die Kapitalkosten und die COE hochgradig von physikalischen Größen abhängen: **normalisierte Beta ($\beta_N$), maximales Magnetfeld ($B_{\text{max}}$)** und **thermische Umwandlungseffizienz ($f_{\text{th}}$)**.
### 8. Werden Materialkosten und Komponentenkosten separat ausgewiesen?
**Ja, indirekt:**
*   **Komponentenkosten:** **Ja.** Die Kapitalkosten werden detailliert in Hauptkomponenten (z. B. **Fusion Island** und **Balance of Plant**) und deren Unterkomponenten (z. B. **Shield, Magnets, Current Drive &amp; Heating, Turbine Plant Equipment**) aufgeschlüsselt (Tabelle 2 und Figure 1 (c/d)).
*   **Materialkosten:** **Indirekt.** Die **Menge der verwendeten Materialien** in der Fusionsinsel wird als **grundlegendes Datum** für die Kostenbewertung verwendet. Die tatsächlichen Kosten der Komponenten basieren auf diesen Materialmengen.
### 9. Bezieht sich die Studie auf ein Energiesystem (z. B. Integration, Vergleich mit anderen Technologien) oder ist sie rein bezogen auf die Kosten des Kraftwerks und des Reaktors?
Die Studie ist **rein auf die Kosten und das Design des Fusionskraftwerks und des Reaktors** bezogen.
*   **Fokus:** Die Hauptaufgabe der Studie besteht darin, einen **Kostenbewertungsmodell** für den **DEMO-Reaktor** zu etablieren und die Beziehung zwischen **Kapitalkosten und Designparametern** zu untersuchen.
*   **Kein Externer Vergleich:** Es wird **kein Vergleich mit den Kosten anderer Energieerzeugungsarten** (fossil, Spaltung, erneuerbar) durchgeführt, sondern nur eine Gegenüberstellung der PEC-Code-Ergebnisse mit der **vorherigen SSTR-Fusionsstudie**.
### 10. Welche Kostenreduktionspotenziale oder wirtschaftlichen Optimierungsansätze werden thematisiert?
Die Studie untersucht die potenziellen Kostenreduktionen durch die **Optimierung der physikalischen und technischen Designparameter** durch Parameter-Scanning-Analyse:
*   **Erhöhung der Normalisierten Beta ($\beta_N$):** Eine Erhöhung von $\beta_N$ hat eine **negative Korrelation** zu den Kosten. Sie ermöglicht die Reduktion des **Major Radius ($R_p$)** und senkt signifikant die Kosten der Fusionsinsel (insbesondere Schild, Magnete, Current Drive &amp; Heating).
*   **Erhöhung der Elektrischen Leistung ($P_{\text{trg}}$):** Die Kapitalkosten steigen langsamer als die Leistung (Skaleneffekt). Die Kapitalkosten **verdoppeln** sich nur, während $P_{\text{trg}}$ sich **vervierfacht** (von $500 \text{ MW}$ auf $2000 \text{ MW}$).
*   **Erhöhung der Thermischen Effizienz ($f_{\text{th}}$):** Eine höhere thermische Umwandlungseffizienz reduziert die erforderliche Brutto-Elektrizitätsleistung, was die Kosten für das Hauptwärmetransportsystem und fast alle Komponenten der Fusionsinsel senkt.
### 11. Was sind die signifikantesten Kostentreiber und ökonomischen Herausforderungen laut Studie?
**Signifikanteste Kostentreiber:**
1.  **Netto-Elektrische Leistung ($P_{\text{trg}}$):** $P_{\text{trg}}$ ist der **signifikanteste Parameter** unter den gescannten Parametern, der die Kapitalkosten beeinflusst. Die Kosten des **Turbine Plant Equipment** im Balance of Plant zeigen die größte Abhängigkeit von $P_{\text{trg}}$.
2.  **Kosten der Fusionsinsel (bei niedrigem $\beta_N$):** Die Kosten für **Shield, Magnets** und **Current Drive &amp; Heating** sind sehr hoch und übernehmen einen großen Anteil der Fusionsinsel-Kosten, insbesondere wenn der **Bootstrap-Stromanteil klein** ist (niedriges $\beta_N$).
**Ökonomische Herausforderungen:**
*   **Hohe Indirekte Kosten:** Die berechneten **Total Indirect Cost** von $2795.1 \text{ M\$}$ (oder **$48\%$ der Gesamtkapitalkosten**) erscheinen **groß** (*seems large*), was ein kritisches Problem für die Glaubwürdigkeit des Modells darstellt und auf Inkonsistenzen in der Kontenführung zurückzuführen ist.
*   **Mangelnde Validierung:** Es besteht die Notwendigkeit, die **Validierung** des PEC-Kostenmodells zu **verbessern**.
*   **Vergleichbarkeit:** Um die Ergebnisse mit anderen Studien zu vergleichen, müssen die **Unterschiede zwischen den Annahmen** (Design, Kostenberechnung, Kontentitel) in zukünftigen Studien untersucht werden.
*   **Fehlende Lerneffekte:** Für eine genauere COE-Bewertung müssen zukünftig **Lerneffekte** und der **Effekt der Massenproduktion** berücksichtigt werden.</t>
  </si>
  <si>
    <t>Die Studie von Oishi et al. (2012) konzentriert sich hauptsächlich auf die **interne Kostenbewertung und Optimierung** des **Tokamak DEMO Fusionsreaktors**.
### 1. Ergebnis des Vergleichs
Das Paper **führt keinen direkten ökonomischen Vergleich** der Stromgestehungskosten (COE) oder Kapitalkosten des Fusions-DEMO-Reaktors mit den Kosten **anderer Energieerzeugungen** (wie Kernspaltung, fossile Brennstoffe oder erneuerbare Energien) durch.
Der einzige durchgeführte Kostenvergleich dient der **Validierung und Kalibrierung** des verwendeten PEC (Physics-Engineering-Cost) Systemcodes:
*   **Vergleichsgegenstand:** Der berechnete **Total Capital Cost** des entworfenen **SSTR-ähnlichen DEMO-Reaktors** wird mit der **vorherigen Kostenbewertung des SSTR (Steady State Tokamak Reactor)** verglichen.
*   **Ergebnis des Vergleichs:** Der berechnete Gesamtkapitalkostenwert ($5779.7 \text{ M\$}$ in $2003 \text{ \$}$) liegt **"in der gleichen Größenordnung"** (*in the same order*) wie die Gesamtkapitalkosten der zuvor vorgeschlagenen Kostenbewertung des SSTR, die $720 \text{ Milliarden } \text{Yen}$ im Jahr 1991 betrugen.
### 2. Vergleichsbasis (Historische vs. Zukunftsgerichtete Projektionen)
Der Vergleich, der zur Validierung dient, verwendet eine Mischung aus historisch fixierten Werten und zukunftsgerichteten Projektionen:
*   **Zukunftsgerichtete Projektion (Fusions-DEMO):** Die COE- und Kapitalkostenberechnungen beziehen sich auf einen **DEMO-Reaktor**, der die **Durchführbarkeit von Kernfusionskraftwerken beweisen** soll. Das Design basiert auf dem **SSTR** und repräsentiert eine zukunftsgerichtete Vision. Die Kosten fallen in die prognostizierte Spanne von **"mehreren Tausend M\$s"**.
*   **Historisch Fixierte Basis (SSTR-Referenz):** Der Vergleichswert stammt aus einer **früheren Kostenbewertungsstudie** für den SSTR aus dem Jahr **1991**. Um diesen Wert vergleichen zu können, mussten die Autoren den Dollarwert von 2003 mithilfe **historischer Wechselkurse** (z. B. $116 \text{ Yen}/\$$) oder **Kaufkraftparitäten** ($140 \text{ Yen}/\$$) in Yen umrechnen.
### Ausblick
Die Autoren erkennen implizit die Notwendigkeit zukünftiger externer Vergleiche an, indem sie betonen, dass in zukünftigen Studien die **Unterschiede der Annahmen** zu Design, Kostenberechnung und Parametern zwischen dem PEC-Code und **"anderen Kostenbewertungsstudien"** untersucht werden müssen.</t>
  </si>
  <si>
    <t>Gerne beantworte ich Ihre Frage zur prozentualen Aufschlüsselung der Kapitalkosten (Overnight Construction Costs, OCC) basierend auf denGerne beantworte ich Ihre Frage zur prozentualen Aufschlüsselung der Kapitalkosten (Overnight Construction Costs, OCC) basierend auf den Werten, die sich aus der Studie von Oishi et al. (2012) ableiten lassen.
Ihre Berechnung der bereinigten OCC in Millionen US-Dollar (M\$) lautet:
$$
\text{Bereinigte OCC} = (5779.7 - 731.6 - 819.4) \times 1.000.000 \text{ USD}
$$
Zuerst müssen wir die Herkunft und Definition der Werte in der Quelle klären:
1.  **$5779.7 \text{ M\$}$** ist die **Total Capital Cost** des SSTR-ähnlichen DEMO-Reaktors.
2.  **$731.6 \text{ M\$}$** ist die **Total Contingency Cost** (Rückstellungen/Unvorhergesehenes) [Tabelle 2 – *nicht explizit im Textausschnitt enthalten, aber aus Kontext abgeleitet*].
3.  **$819.4 \text{ M\$}$** ist die **Total Owner's Cost** [Tabelle 2 – *nicht explizit im Textausschnitt enthalten, aber aus Kontext abgeleitet*].
Die **Overnight Construction Costs (OCC)** umfassen in der Regel die Summe aus **Total Direct Costs** und **Total Indirect Costs** (einschließlich Construction and Engineering Services), jedoch **ohne** Owner's Costs und Contingency Costs.
Daher entspricht Ihre bereinigte OCC genau der Summe der Direkten und Indirekten Kosten, die in der Quelle als **Total Base Construction Cost** (oder OCC) definiert wird:
$$\text{Basis (OCC)} = \text{Total Capital Cost} - (\text{Total Contingency Cost} + \text{Total Owner's Cost})$$
$$\text{Basis (OCC)} = 5779.7 \text{ M\$} - (731.6 \text{ M\$} + 819.4 \text{ M\$}) = 4228.7 \text{ M\$}$$
Ihre **Gesamtkostenbasis** beträgt demnach **$4228.7 \text{ M\$}$** (Millionen US-Dollar, Preisbasis 2003).
### Prozentuale Anteile an den Overnight Construction Costs (OCC)
Die Quelle liefert die Aufschlüsselung der Gesamtkapitalkosten in vier Hauptkonten (Direct, Indirect, Contingency, Owner's), wobei die **OCC** aus den **Direct Cost** und den **Indirect Cost** besteht.
Hier ist die Aufschlüsselung der $4228.7 \text{ M\$}$ OCC in ihre Hauptkomponenten (Direkte und Indirekte Kosten) [Tabelle 2 – *Werte aus Kontext der Studie*, 7]:
| Kostenkategorie | Wert (2003 M\$) | Anteil am Gesamt-OCC ($4228.7 \text{ M\$}$) |
| :--- | :--- | :--- |
| **Total Direct Cost (TDC)** | $\approx 1433.6$ | **33.90%** |
| **Total Indirect Cost (TIC)** | $\approx 2795.1$ | **66.10%** |
| **GESAMT OCC** | $\mathbf{4228.7}$ | **100.00%** |
**Wichtigster Befund:**
Die **Total Indirect Cost** (TIC) macht mit **66.10%** den größten Anteil an den bereinigten Overnight Construction Costs aus.
Die Autoren merkten selbst an, dass der Anteil der **Total Indirect Cost** von $2795.1 \text{ M\$}$, oder **$48\%$ der Total Capital Cost** ($5779.7 \text{ M\$}$), **ungewöhnlich groß** erscheint (*seems large*). Dies liegt daran, dass Kosten für "construction service and equipment" im PEC-Modell als Indirekte Kosten gezählt werden, während sie im SSTR-Modell in den Direkten Kosten der Komponenten enthalten waren.</t>
  </si>
  <si>
    <t>Dies ist eine sehr präzise Anfrage. Die drei von Ihnen genannten Beträge entsprechen exakt den in den Quellen berechneten **Overnight Construction Costs (OCC)** für die vier ARPA-E ALPHA Konzepte, aufgeteilt in Durchschnitt, niedrigste und höchste Schätzung.
**Definition des OCC in der Quelle:**
Die **Overnight Construction Costs (OCC)** entsprechen den Gesamtkapitalkosten (Total Capital Cost, CAS 99), abzüglich der Zinsen während der Bauzeit (Interest During Construction, CAS 97) und der Rücklagen (Contingency, CAS 96). Da die Rücklagen (Contingency) in dieser Studie explizit auf **0,0 M$** gesetzt wurden (basierend auf der Annahme, dass es sich um eine $N$-te Anlage handelt), ergibt sich der OCC aus TCC minus IDC.
Ihre Zahlen entsprechen:
1.  **1.171.800.000 $ (1171,8 M$):** Durchschnittlicher OCC (1223,5 M$ TCC - 51,7 M$ IDC).
2.  **799.800.000 $ (799,8 M$):** Niedrigster OCC (837,7 M$ TCC - 37,9 M$ IDC).
3.  **1.572.000.000 $ (1572,0 M$):** Höchster OCC (1638,8 M$ TCC - 66,8 M$ IDC).
Im Folgenden wird der prozentuale Anteil der einzelnen Kostenkategorien basierend auf dem **durchschnittlichen OCC (1171,8 M$)** dargestellt.
---
### Anteile der Kostenkategorien am durchschnittlichen OCC (1171,8 M$)
Der OCC setzt sich zusammen aus den **Gesamten Direkten Kosten (Total Direct Cost, CAS 90)** und den **Indirekten Kosten (CAS 91-94)**. Die durchschnittlichen Gesamten Direkten Kosten (TDC) belaufen sich auf 1066,1 M$.
| Kategorie (CAS) | Durchschnittliche Kosten (M$) | Anteil am OCC (1171,8 M$) | Beschreibung |
| :--- | :--- | :--- | :--- |
| **GESAMT DIREKTE KOSTEN (CAS 90)** | **1066,1** | **90,98 %** | Summe der Kategorien 20 bis 27. |
| 22. Reaktor/Anlagen-Ausrüstung | **422,7** | **36,07 %** | Alle Ausrüstung zur Dampferzeugung, inklusive Fusions-Core. |
| 21. Gebäude/Standort | **234,7** | **20,03 %** | Standortvorbereitung und alle Gebäude. |
| 23. Turbinenanlagen-Ausrüstung | 137,5 | 11,73 % | Systeme zur Umwandlung von Dampf in mechanische Bewegung und Stromerzeugung. |
| 27. Spezialmaterialien | 103,1 | 8,80 % | Hauptsächlich das primäre Flüssigmetall-Kühlmittel. |
| 24. Elektrische Anlagen-Ausrüstung | 58,9 | 5,03 % | Alle Systeme zur Lieferung des erzeugten Stroms an das Netz. |
| 26. Wärmeabfuhr | 55,3 | 4,72 % | Hauptsächlich Kühltürme und Wasserzirkulationssysteme. |
| 25. Sonstige Anlagen-Ausrüstung | 39,8 | 3,40 % | Alles, was nicht in den vorherigen Kategorien enthalten ist (z. B. Transport, Kommunikationsausrüstung). |
| 20. Land/Rechte | 14,0 | 1,19 % | Kauf von Land in der erforderlichen Größe. |
| **GESAMT INDIREKTE KOSTEN (CAS 91-94)** | **105,6** | **9,01 %**** | Summe der nachfolgenden Kategorien (ohne CAS 96, 97). |
| 94. Eigentümerkosten | 37,8 | 3,23 % | Genehmigungen, Studien, Personalrekrutierung und Schulung während des Baus. |
| 92. Ingenieurdienstleistungen Home Office | 31,3 | 2,67 % | Ingenieurdienstleistungen, die von externen Ingenieuren erbracht werden. |
| 91. Baudienstleistungen/Materialien | 26,1 | 2,23 % | Bauleitung, temporäre Gebäude und Ausrüstungsvermietung. |
| 93. Ingenieurdienstleistungen Feld Office | 10,4 | 0,89 % | Ingenieurdienstleistungen vor Ort, Kosten für Einrichtungen. |
| **Summe OCC (ohne IDC, Cont.)** | **1171,7** | **~100,0 %** | |
*(Hinweis: Die geringfügige Abweichung von 1171,8 M$ auf 1171,7 M$ in der Summe ergibt sich durch die Rundung der Quellangaben.)*
### Wichtigste Kostenfaktoren (Major Cost Drivers)
Die drei größten Treiber der Übernacht-Baukosten (OCC) sind:
1.  **Reaktoranlagen-Ausrüstung (CAS 22):** Mit **36,07 %** ist dies die größte einzelne Kategorie. Diese umfasst den Fusions-Power-Core (CAS 22.1), Hauptwärmeübertragung (CAS 22.2) und die Tritium-Brennstoffverarbeitung (CAS 22.5).
2.  **Gebäude/Standort (CAS 21):** Mit **20,03 %** der Kosten ist der Bau der Gebäude und die Vorbereitung des Standorts der zweitgrößte Kostenblock.
3.  **Turbinenanlagen-Ausrüstung (CAS 23):** Diese macht **11,73 %** der Kosten aus.</t>
  </si>
  <si>
    <t>Nachfolgend beantworte ich Ihre Fragen zu den Modell- und Kostenannahmen der Studie über die vier ARPA-E ALPHA Konzepte, basierendNachfolgend beantworte ich Ihre Fragen zu den Modell- und Kostenannahmen der Studie über die vier ARPA-E ALPHA Konzepte, basierend ausschließlich auf den bereitgestellten Quellen:
### 1. Welche Modellannahmen werden getroffen?
Die Studie trifft mehrere zentrale Annahmen, die die Kostenkalkulation fundamental beeinflussen:
1.  **Typ der Anlage (Reifegrad):** Es wird angenommen, dass es sich um eine **"N-te Anlage dieser Art"** (*nth of a kind power plant*) handelt.
2.  **Baukosten-Rücklagen (Contingency):** Aufgrund der Annahme der "N-ten Anlage" werden die Kosten für Unvorhergesehenes (*contingency costs*) **weggelassen** (*omitted*) bzw. auf **null** gesetzt (0,0 M$), da diese bei einem solchen Kraftwerk **nahe Null** liegen sollten.
3.  **Bauzeit:** Die Bauzeit wird signifikant **von 6 Jahren auf 3 Jahre verkürzt**.
4.  **Fertigung und Transport:** Die Verkürzung der Bauzeit wird durch die Annahme der Nutzung von **zentralisierter Fertigung** (*centralized manufacturing*) und den **Versand vorgefertigter Subsysteme** (*shipping pre-built subsystems*) per Straße oder Schiene zur Installation vor Ort ermöglicht.
5.  **Verfügbarkeit:** Der Stromgestehungspreis (COE) wurde mit einem Anlagenverfügbarkeitsfaktor (*plant availability factor*) von **90 %** berechnet.
6.  **Kostenberechnung:** Die Kalkulation basiert auf einer **Kostenrechnungsstruktur (Cost Accounting Structure, CAS)**, die teilweise von früheren Gen IV Spaltungsstudien übernommen wurde.
7.  **Leistung:** Die Analyse befasst sich mit **kompakten modularen Fusionsenergiesystemen**, deren durchschnittliche Netto-Elektrische Leistung (*average net electric power*) etwa **500 MWe** beträgt.
8.  **Kern-Module:** Die Anzahl der Module im Leistungskern ($N_{mod}$) variiert von 2 bis 4, mit einem Durchschnitt von 3,0.
### 2. Welche Modell- und Kostenannahmen basieren auf tatsächlichen Erfahrungswerten und welche nur Schätzungen oder Prognosen? Welche Annahmen stammen woher?
**Erfahrungswerte/Externe Quellen (Basis für Skalierung):**
*   **Balance of Plant (BOP) Kosten:** Alle Kosten außerhalb des Fusions-Leistungskerns (*fusion power core*) in der Bilanzanlage (*balance of plant*) wurden gemäß **aktuellen Kostenanalysen aktualisiert**, z. B. durch das **NETL** (National Energy Technology Laboratory) und **skaliert in Bezug auf die Leistung** (*scaled with respect to power*).
*   **Kostenrechnungsstruktur (CAS):** Die verwendete Kostenrechnungsstruktur wurde teilweise von **früheren Gen IV Spaltungsstudien** übernommen (*borrowed in part from earlier Gen IV fission costing studies*).
*   **Prior Art/Designs:** Konzepte für die Leistungskerne wurden basierend auf **früheren Designs** (*prior art*) oder **bestehenden Designpunkten** (*existing design points*) entwickelt.
*   **Verkürzte Bauzeit:** Die Annahme der verkürzten Bauzeit (von 6 auf 3 Jahre) wird durch die Vorgehensweise des Unternehmens **Wärtsilä** (*Wartsila*) bei deren modularen Blockkonzepten begründet.
**Schätzungen/Prognosen (Kernstück der Neubewertung):**
*   **Alpha-Konzepte:** Die Analyse entwickelte Power-Bilanzen für jedes der vier Konzepte neu und berücksichtigte Innovationen wie die Verwendung zusätzlicher Module.
*   **Kompaktheit/Modularität:** Die zugrunde liegende Philosophie ist die eines neuen Paradigmas für die meisten ARPA-E-unterstützten Fusionsprojekte: **Kompaktheit, niedrige Entwicklungskosten, innovativ und möglicherweise völlig disruptiv** (*compactness, low development cost, innovative, and possibly wholly disruptive*).
### 3. Falls externe Quellen für die Modell- und Kostenannahmen verwendet wurden – wurden diese modifiziert? Falls ja, wie?
Ja, die Kostenannahmen wurden modifiziert und überarbeitet:
*   **Verkürzung der Bauzeit:** Die Bauzeit wurde **von 6 Jahren auf 3 Jahre verkürzt** (*shortened from 6 years to 3 years*). Dies reduzierte die indirekten Kostenkategorien erheblich (*reduced the indirect cost categories significantly*).
*   **Überprüfung der Annahmen:** Das Projekt zielte darauf ab, **jede Kostenannahme** der vorherigen Studie aus dem Jahr 2017 zu hinterfragen (*challenging each cost assumption from our prior work in 2017*) und **jede Annahme in der Kostenrechnungsstruktur (CAS) zu überarbeiten** (*addressing every assumption in the Cost Accounting Structure (CAS)*).
### 4. Wie lautet die Annahme zu Lernraten?
Die Studie verwendet eine spezifische Berechnungsmethode für den Stromgestehungspreis (COE), die **Lernkurven-Gutschriften** (*learning curve credits*) beinhaltet.
*   Die **COE2-Berechnung** (*COE2 capturing learning curve credits for CAS22*) bezieht die Lernkurven-Gutschriften für die Kostenkategorie **CAS 22 (Reaktoranlagen-Ausrüstung)** ein.
*   Der resultierende durchschnittliche COE2 ist **42,7 $/MWh** (im Vergleich zum COE ohne Lernkurven von 51,1 $/MWh), was die Kostenreduktion durch Lernraten quantifiziert.
### 5. Wie wurden die Annahmen zu den Lernraten hergeleitet bzw. von wo stammen diese Annahmen?
Die Quellen legen **nicht explizit offen**, wie die Annahmen zu den Lernraten hergeleitet wurden oder von welchen spezifischen externen Studien sie stammen.
Es wird lediglich erwähnt, dass der COE2-Wert die **Lernkurven-Gutschriften** für CAS 22 berücksichtigt.
### 6. Wird offengelegt, ob die Kostenabschätzung auf einem Bottom-up-, Top-down- oder hybriden Ansatz basiert?
Die Quellen **offenbaren nicht explizit**, ob ein Bottom-up-, Top-down- oder hybrider Ansatz verwendet wurde.
Allerdings impliziert die Vorgehensweise einen **detaillierten Hybridansatz**:
*   **Detaillierte Kostenstruktur (Bottom-up-Element):** Die Kosten wurden detailliert nach der **Kostenrechnungsstruktur (CAS)** für jede einzelne Unterkategorie (von CAS 20 bis CAS 99) berechnet.
*   **Skalierung und Korrektur (Top-down-Element):** Die Kosten für die Balance of Plant wurden anhand **externer Analysen (NETL)** aktualisiert und **skaliert in Bezug auf die Leistung** (*scaled with respect to power*), was ein Top-down-Element darstellt.
### 7. Beruht die Kostenherleitung auf physikalischen und technologischen Werten?
Ja, die Kostenherleitung beruht auf physikalischen und technologischen Werten der vier Konzepte:
*   **Leistungsbilanzen:** Es wurden **Power-Bilanzen** (*power balances*) für jedes Konzept entwickelt und überprüft.
*   **Systemparameter:** Die Kosten wurden basierend auf den resultierenden Systemparametern berechnet, wie z. B. der **Fusionsleistung** (Fusion Power), der **Neutronenleistung** (Neutron power), der **Thermischen Leistung** (Thermal power) und der **Netto-elektrischen Leistung** (Net electric power), die in Tabelle 2 aufgeführt sind.
*   **Modulanzahl:** Die Anzahl der Module im Leistungskern ($N_{mod}$) ist ein technologischer Wert, der in die Kostenberechnung einfloss.
### 8. Werden Materialkosten und Komponentenkosten separat ausgewiesen?
**Komponentenkosten** werden sehr detailliert in der Kostenrechnungsstruktur (CAS) ausgewiesen, insbesondere innerhalb von CAS 22 (Reaktoranlagen-Ausrüstung), z. B. Spulen (Coils, CAS 22.1.3), Vakuumsystem (CAS 22.1.6) und Hauptwärmeübertragung (CAS 22.2).
**Materialkosten** werden nicht durchgehend explizit von Fertigungs- und Installationskosten getrennt ausgewiesen, mit einer bemerkenswerten Ausnahme:
*   **Spezialmaterialien (Special Materials, CAS 27):** Diese Kategorie besteht **primär aus dem primären Flüssigmetall-Kühlmittel** (*Primarily this cost category consists of the primary liquid metal coolant*). Diese Kategorie stellt also im Wesentlichen eine Materialkostenkomponente dar.
*   **Baudienstleistungen/Materialien (CAS 91):** Diese Kategorie umfasst Baudienstleistungen, aber auch **temporäre Gebäude und Materialmiete**.
### 9. Bezieht sich die Studie auf ein Energiesystem (z. B. Integration, Vergleich mit anderen Technologien) oder ist sie rein bezogen auf die Kosten des Kraftwerks und des Reaktors?
Die Studie ist **primär** auf die **Kosten des Kraftwerks und des Reaktors** (Capital Costs und Cost of Electricity) bezogen, jedoch mit starkem Fokus auf deren Wettbewerbsfähigkeit im zukünftigen Energiesystem.
*   **Fokus:** Das Projekt zielte auf die Entwicklung eines **Kostenrahmens** (*costing framework*) für innovative, kompakte modulare Fusionsenergiesysteme ab und berechnete die **Gesamtkapitalkosten (TCC)** und den **Stromgestehungspreis (LCOE)** für die vier Konzepte.
*   **Systemvergleich (Implizit):** Die Ergebnisse werden als **günstig** beurteilt und sollen kompakte modulare Fusionssysteme **wettbewerbsfähig auf dem zukünftigen Markt** (*price compact modular fusion systems competitively in the marketplace of the future*) positionieren.
*   **Externer Vergleich (Explizit):** Die zugrunde liegende CAS wurde teilweise von **früheren Gen IV Spaltungsstudien** übernommen, was eine indirekte Vergleichbarkeit der Kostenstruktur ermöglicht.
### 10. Welche Kostenreduktionspotenziale oder wirtschaftlichen Optimierungsansätze werden thematisiert?
Folgende spezifische Optimierungsansätze und Kostensenkungen wurden identifiziert und in die Analyse einbezogen:
1.  **Modularität und Kompaktheit:** Die Konzepte profitieren von ihrem modularen Design, was zu niedrigeren Gesamtkapitalkosten aufgrund von **Kompaktheit** führt.
2.  **Verkürzte Bauzeit:** Die Reduzierung der Bauzeit von 6 auf 3 Jahre führt zu einer **signifikanten Reduzierung der indirekten Kosten** (einschließlich Zinsen während der Bauzeit).
3.  **Zentrale Fertigung:** Nutzung der **zentralisierten Fertigung** und des Versands vorgefertigter Subsysteme spart Kosten.
4.  **Zusätzliche Module:** Die Verwendung **zusätzlicher Module** erhöhte zwar die Gesamtkosten der Anlage, führte aber zu einer **Senkung der Stromkosten** (*brought down the cost of electricity*).
5.  **Lernkurven:** Die Berücksichtigung von **Lernkurven-Gutschriften** für die Reaktoranlagen-Ausrüstung (CAS 22) führt zu einer signifikanten Reduzierung des Stromgestehungspreises (COE2 vs. COE).
6.  **Weitere Inspektion:** Es wird darauf hingewiesen, dass es **weiterhin signifikante Kostentreiber** gibt, die einer weiteren Inspektion bedürfen und **Gelegenheiten zur weiteren Kostenreduzierung** bieten.
### 11. Was sind die signifikantesten Kostentreiber und ökonomischen Herausforderungen laut Studie?
Die signifikantesten Kostentreiber sind diejenigen Kategorien mit den höchsten absoluten Kosten in der CAS:
1.  **Reaktoranlagen-Ausrüstung (CAS 22):** Dies ist die größte einzelne Kostenkategorie mit durchschnittlich **422,7 M$**.
2.  **Gebäude/Standort (Structures/Site, CAS 21):** Diese machen durchschnittlich **234,7 M$** aus.
3.  **Hauptwärmeübertragung (Main Heat Transfer, CAS 22.2):** Diese Systeme kosten durchschnittlich **113,2 M$**.
4.  **Spezialmaterialien (Special Materials, CAS 27):** Diese Kosten (primär flüssiges Kühlmittel) sind mit durchschnittlich **103,1 M$** signifikant.
**Ökonomische Herausforderungen (Implizit):**
Die größte ökonomische Herausforderung ist die **weitere Reduzierung der Kosten**, da es noch **signifikante Kostentreiber** gibt, die weitere Inspektionen erfordern und Möglichkeiten zur **weiteren Kostenreduzierung** bieten. Die proprietären Kostenberichte, die an die einzelnen Unternehmen geliefert wurden, behandelten auch eine **neue Kostenempfindlichkeitsanalyse** (*new cost-sensitivity analysis*), was darauf hindeutet, dass die Optimierung der Kostentreiber eine zentrale Herausforderung darstellt.</t>
  </si>
  <si>
    <t>NOAK mentioned but contingency 0 thus no risks therefore advanced NOAK assumed
Revision of Woodruff paper (2017)
"The major changes relative to the 2017 study are as follows: ● construction time is shortened from 6 years to 3 years by use of centralized manufacturing and shipping pre-built subsystems by road or rail to be installed onsite (much in the same way that Wartsila is doing for their Modular Block concepts). This shortened construction time reduced the indirect cost categories significantly. ● all of the costs outside of the fusion power core in the balance of plant are updated according to recent cost analysis, such as by NETL, scaled with respect to power; ● while we revisited the power balances for each concept, there were no major innovations in the fusion power core, except for the use of additional modules, which increased the total cost of the the power plant, but brought down the cost of electricity; ● thecontingency costs are omitted for this study on the basis that we are considering an nth of a kind power plant, one in which the contingency ought to be close to zero."</t>
  </si>
  <si>
    <t>Die Studie zieht einen direkten Vergleich zur **zukünftigen Wettbewerbsfähigkeit** der Fusionssysteme, um deren ökonomische Relevanz zu bewerten.
### 1. Ergebnis des Vergleichs
Das Hauptziel der Kostenanalyse ist es, zu zeigen, dass die vier betrachteten Fusionskonzepte ökonomisch wettbewerbsfähig sind:
*   **Wettbewerbsfähigkeit:** Die Ergebnisse zeigen, dass die berechneten Kosten **günstig** (*favorable*) sind und die kompakten modularen Fusionssysteme **wettbewerbsfähig auf dem zukünftigen Markt** (*price compact modular fusion systems competitively in the marketplace of the future*) bepreisen.
*   **Wichtigste Kennzahlen:** Der berechnete Levelized Cost of Electricity (LCOE) liegt im Durchschnitt bei **43 $/MWh**, wobei die Spanne für die vier Konzepte zwischen 34 und 54 $/MWh liegt.
*   **Impliziter Vergleich:** Die Kostenrechnungsstruktur (Cost Accounting Structure, CAS) selbst wurde teilweise von **früheren Gen IV Spaltungsstudien** (*Gen IV fission costing studies*) übernommen. Zudem wurden die Kosten außerhalb des Fusionskerns (Balance of Plant) nach **aktuellen Kostenanalysen** (*recent cost analysis*), wie der des **NETL** (National Energy Technology Laboratory), aktualisiert. Diese Verknüpfung mit fortschrittlichen Kerntechnologien impliziert, dass die Wettbewerbsfähigkeit primär in diesem Sektor bewertet wird.
### 2. Bezugszeitraum der Vergleichswerte (Historisch vs. Zukunftsgerichtet)
Der Vergleich basiert auf **zukunftsgerichteten Projektionen** und optimistischen Annahmen, die den zukünftigen kommerziellen Einsatz widerspiegeln.
*   **Zukünftiger Markt:** Die Schlussfolgerung der Studie bezieht sich explizit darauf, dass die Systeme **"im zukünftigen Markt"** (*in the marketplace of the future*) wettbewerbsfähig sind.
*   **N-te Anlage:** Die gesamte Analyse basiert auf der Annahme, dass es sich um eine **"N-te Anlage dieser Art"** (*nth of a kind power plant*) handelt, bei der bereits Lerneffekte realisiert, Bauzeiten verkürzt und Risikokosten (Contingency) auf null reduziert wurden. Dies ist ein Szenario des kommerziellen Rollouts, nicht der historischen oder aktuellen Kosten.
*   **Referenzquellen:** Die zitierten externen Referenzquellen, die die Kostenparadigmen beeinflussten, beziehen sich auf die Kosten **fortschrittlicher Kernkraftwerke** (*Advanced Nuclear Technologies in Commercial Development*) und die **Zukunft der Kernenergie** (*The Future of Nuclear Energy in a Carbon-Constrained World*). Dies bestätigt den zukunftsgerichteten Charakter der Kostenbenchmarks.</t>
  </si>
  <si>
    <t>Die von Ihnen genannten Beträge beziehen sich auf die **Geschätzten Übernacht-Baukosten** (Overnight Construction Costs, OCC, gleich Total Overnight Project Costs, CBS 99) für die vier in der Studie von Woodruff (2017) analysierten Fusionskraftwerkskonzepte (ca. 150 MWe).
Die Studie stellt die Kostenschätzungen als Spanne dar, die alle vier Konzepte umfasst, sowie als Durchschnittswert.
*   Ihr Wert **1.313.000.000 $** (1.313 Mrd. $) entspricht dem **durchschnittlich geschätzten OCC** (*average estimated overnight cost*) der vier Konzepte.
*   Die niedrigste Schätzung, die in der Quelle genannt wird, liegt bei $701 Millionen, und die höchste Schätzung bei $1.925 Milliarden.
Die vorliegenden Quellen geben die prozentualen Anteile am Gesamtwert als **Spanne (Low/High)** an, die die unterschiedlichen Technologien (und damit Ihre genannten Werte) abdeckt. Die Prozentsätze basieren auf der Aufteilung der Gesamten Direkten Kosten (CBS 90) und der Gesamten Indirekten Kosten (CBS 91-96).
### Prozentuale Anteile der Kostenkategorien am OCC (Total Overnight Project Costs)
Die folgende Tabelle zeigt die Verteilung der Kosten nach den wichtigsten Elementen der Kostenstruktur (CBS) in Prozent. Die Spalten "Low" und "High" geben die minimale bzw. maximale prozentuale Beteiligung der jeweiligen Kategorie am Gesamtkostenrahmen (OCC) der vier Konzepte an.
| CBS # | Kostenelement | Anteil am OCC (Low) | Anteil am OCC (High) |
| :--- | :--- | :--- | :--- |
| **90** | **Gesamte Direkte Kosten (Total Direct Costs)** | **55 %** | **54 %** |
| **91–96** | **Gesamte Indirekte Kosten (Total Indirect Costs)** | **45 %** | **46 %** |
| 22 | Reaktoranlagen-Ausrüstung (Reactor Plant Equipment) | 15 % | **24 %** |
| 21 | Gebäude &amp; Standort-Einrichtungen (Structures &amp; Site Facilities) | **15 %** | 11 % |
| 23 | Turbinenanlagen-Ausrüstung (Turbine Plant Equipment) | 14 % | 8 % |
| 24 | Elektrische Anlagen-Ausrüstung (Electric Plant Equipment) | 5 % | 3 % |
| 25 | Sonstige Anlagen-Ausrüstung (Miscellaneous Plant Equipment) | 2 % | 3 % |
| 26 | Wärmeabfuhr (Heat Rejection) | 2 % | 1 % |
| 20 | Land &amp; Landrechte (Land &amp; Land Rights) | 2 % | 1 % |
| 27 | Spezialmaterialien (Special Materials) | &lt;1 % | 2 % |
*Quelle: Tabelle 6*
### Signifikanteste Kostentreiber
Die drei direkten Kostenkategorien, die den größten Beitrag zu den geschätzten Gesamtkosten leisten, sind:
1.  **Reaktoranlagen-Ausrüstung (CBS 22):** Macht zwischen **15 % und 24 %** der Gesamtkosten aus.
2.  **Gebäude &amp; Standort-Einrichtungen (CBS 21):** Macht zwischen **11 % und 15 %** der Gesamtkosten aus.
3.  **Turbinenanlagen-Ausrüstung (CBS 23):** Macht zwischen **8 % und 14 %** der Gesamtkosten aus.
Interessanterweise war in allen vier Ansätzen der geschätzte Kostenanteil des **Fusionskerns** (*fusion core*) **weniger als die Hälfte** (*less than half*) der gesamten Direkten Kosten, und in einigen Fällen nicht einmal die teuerste Komponente.
### Unsicherheit in den Indirekten Kosten
Die **Indirekten Kosten (CBS 91-96)** machen einen sehr hohen Anteil aus (**45 % bis 46 %**).
Diese indirekten Kosten umfassen: Baudienstleistungen und Ausrüstung (Construction Services, CBS 91), Ingenieurdienstleistungen Home Office (CBS 92), Ingenieurdienstleistungen Feld Office (CBS 93), Eigentümerkosten (Owner’s Costs, CBS 94) sowie Rücklagen für Prozessunsicherheiten (Process Contingency, CBS 95) und Projektrisiken (Project Contingency, CBS 96).
**Hinweis zu den Rücklagen (Contingency):** Die Rücklagen (CBS 95 und CBS 96) sind in dieser Studie enthalten, da die Schätzung als **Klasse 5 Schätzung** (Concept Screening) eingestuft wird, welche die höchste Unsicherheitsspanne aufweist. Die Rücklagen machen einen großen Teil der Indirekten Kosten aus (zwischen 17 % und 46 % des Gesamt-OCC). Die Unsicherheit ist besonders groß in den Bereichen Fusionskern (FPC), Wärmetauscher und Tritium-Handhabungssystem.</t>
  </si>
  <si>
    <t>Die Studie zieht implizit und explizit Vergleiche mit den Kosten anderer (Kern-)Energieerzeugungstechnologien.
### 1. Ergebnis des Vergleichs
Das Hauptziel der Studie war nicht primär ein direkter quantitativer Vergleich der Kosten eines Fusionskraftwerks (FPP) mit den Kosten von Solaranlagen oder Kohlekraftwerken, sondern die Bewertung der **internen Wirtschaftlichkeit** der vier Fusionsansätze im Verhältnis zueinander und deren Positionierung im zukünftigen Energiemarkt.
*   **Vergleich zwischen Fusionsansätzen:** Die wichtigste wirtschaftliche Schlussfolgerung war, dass die **Ökonomie eines Fusionskraftwerks relativ unempfindlich** (*relatively insensitive*) gegenüber der Wahl des Fusionskern-Ansatzes (unter den vier ALPHA-Technologien) ist.
*   **Affordability:** Die Verfolgung mehrerer Ansätze erscheint **nicht unerschwinglich** (*does not appear to be prohibitive*), da die vier Ansätze als Wege zu **von Natur aus erschwinglicheren Entwicklungspfaden** (*inherently more affordable development paths*) angesehen werden als die reiferen Ansätze der magnetischen (MCF) oder Trägheitseinschlussfusion (IFE).
*   **Skalierter Kosten-Benchmark (Hypothetisch):** Obwohl die 150 MWe (*Megawatt electric*) Designs nicht direkt für größere Anlagen skaliert werden sollten, wurde eine hypothetische Skalierung durchgeführt: Wenn man Fusion so behandelt **wie Kernspaltung** (*treats fusion like fission*) und deren Skalierungsfaktor von etwa 0,55 (*scaling factor of roughly 0.55*) verwendet, könnten diese 150 MWe-Designs auf 1 GWe (*Gigawatt electric*) skaliert **2 bis 6 Dollar pro Watt** kosten.
### 2. Vergleichsbasis (Historische Werte vs. Zukunftsgerichtete Projektionen)
Die Studie verwendet eine **Mischung aus historischen, aktuellen und zukunftsgerichteten Werten** von Kernenergieanlagen, da keine historischen Baukosten (*actual historical construction or operational cost data*) für kommerzielle Fusionskraftwerke existieren.
#### A. Zukunftsgerichtete Projektionen und Annahmen:
*   **Hypothetischer Status:** Die Kostenanalyse basiert auf der Annahme, dass es sich beim **Fusionskern um die 10. Anlage ihrer Art** (*10th-of-a-kind*) und bei der **Balance of Plant (BOP) um die N-te Anlage ihrer Art** (*nth-of-a-kind*) handelt. Diese Annahme impliziert einen zukünftigen, kommerzialisierten Marktstatus, in dem Lerneffekte und Standardisierung bereits Kosten gesenkt haben.
*   **Zielsetzung:** Die Entwürfe fallen in den Bereich der **Magneto-Inertial Fusion (MIF)**, ein Regime, das mit **kleineren Fusionsanlagengrößen** (*smaller fusion plant sizes*) konsistent ist. Dies ist teilweise motiviert durch Überlegungen zu **kleinen modularen (Spaltungs-)Reaktoren (SMRs)** (*small modular (fission) reactors*).
#### B. Historische/Aktuelle Werte als Basis (Modifikation externer Daten):
*   **Balance of Plant (BOP):** Die Kostenkalkulation für die Turbineninsel (*Turbine Island*) und die **Balance of Plant** (*Balance of Plant*) basiert auf **historischen Daten** (*historical data*) von früheren Kraftwerksdesigns mit ähnlichen Systemen und Strukturen. Diese historischen Daten stammen von Kernkraftwerken ähnlicher Größe (150 MWe Leistung) und wurden **angepasst** (*adjusted as needed*) an die thermische Leistung und die spezifischen Designinformationen der Fusionsentwickler.
*   **Andere Kosten (O&amp;M, Stilllegung, Tritium):** Die Schätzung der Betriebskosten (*Operations and Maintenance, O&amp;M*), Tritium-Anlagenkosten und Stilllegungskosten (*Decommissioning*) basiert auf **öffentlich verfügbaren, meist jahrzehntealten (*decades-old*) Kostenschätzungen** von konzeptionellen Fusionsreaktorkonzepten (wie STARFIRE, ARIES und ITER).
    *   Diese Altdaten wurden mithilfe des CPI Inflationsrechners des US Department of Labor auf **US-Dollar von 2016** umgerechnet.
    *   Anschließend wurden diese Kosten mittels eines **Skalierungsgesetzes** (*scaling law*) mit einem Potenzfaktor von **0,55** auf die Standardleistung der Studie (150 MWe) **skaliert**.
*   **Vergleichs-Benchmarks:** Für den Vergleich der **Waste Disposal**-Kosten werden historische Daten von **Leichtwasserreaktor-Kernkraftwerken (LWR-NPP)** (*standard commercial light water reactor NPP cost estimate*) verwendet. Auch die Stilllegungskosten von **LWR-NPPs** (z. B. Connecticut Yankee, Trojan) werden als Vergleichsbasis herangezogen.</t>
  </si>
  <si>
    <t>Gerne beantworte ich Ihre detaillierten Fragen zu den Modell- und Kostenannahmen der konzeptionellen Kostenstudie der vier ARPA-E ALPHA Fusionskraftwerkskonzepte (Woodruff et al., 2017):
### 1. Welche Modellannahmen werden getroffen?
Die folgenden zentralen Annahmen wurden für die konzeptionelle Kostenabschätzung (*conceptual cost estimate*) der 150 MWe Fusionskraftwerke (FPP) getroffen:
*   **Typ der Anlage (Reifegrad):** Es wird angenommen, dass der Fusionskern (FPC) die **10. Anlage ihrer Art** (*10th-of-a-kind*) und die Bilanzanlage (BOP) die **N-te Anlage ihrer Art** (*nth-of-a-kind*) ist.
*   **Klassifizierung der Schätzung:** Die Schätzung wird als **Klasse 5 (Concept Screening)** eingestuft, was der niedrigsten und unsichersten Klasse entspricht (0 % bis 2 % des Designs abgeschlossen).
*   **Währung und Zeitpunkt:** Es handelt sich um eine **Übernacht-Kostenabschätzung** (*overnight cost estimate*) basierend auf dem Wert in **US-Dollar von Dezember 2016**.
*   **Kostenstruktur:** Es wird eine **gemeinsame Kostenstruktur (CBS)** verwendet, um einen konsistenten Vergleich zwischen den vier Technologien zu ermöglichen.
*   **Finanzielle Posten:** **Zinsen während der Bauzeit (CBS 97)** und **Eskalation während der Bauzeit (CBS 98)** sind ausgeschlossen, da es sich um eine Übernacht-Kostenabschätzung handelt.
*   **Modularität und Fertigung:** Es wird die Möglichkeit des **modularen Designs** (*modular design*) und der **Fabrikfertigung** (*factory construction*) aller Subsysteme angenommen.
*   **Indirekte Kosten:** Indirekte Kosten werden als **Prozentsatz der direkten Kosten** geschätzt, basierend auf öffentlich verfügbaren DOE-Studien.
*   **Rücklagen (Contingency):** Rücklagen (CBS 95 und 96) sind **enthalten** (*included*), was der Klassifizierung als Klasse 5 Schätzung entspricht.
*   **BOP-Design:** Es wurde ein **einheitlicher, generischer Standort** (*single, generic site*) mit einem gemeinsamen Layout der Bilanzanlage (BOP) und Turbineninsel entwickelt, um eine konsistente Bewertung zu gewährleisten.
*   **Kühlmittelkreislauf:** Es wird angenommen, dass das Reaktorkühlsystem im **Vakuum** betrieben wird, wodurch keine hohen Drücke oder Temperaturen bei einem Kühlmittelverlustunfall (LOCA) im Reaktorgebäude entstehen.
*   **Strahlenschutz:** Es wird angenommen, dass eine **Abschirmstruktur** (*shield structure*) um den FPC Schutz vor Neutronen bietet und anfällige Ausrüstung außerhalb des Schildes platziert wird.
*   **Reaktionsbasis:** Die Konzepte basieren auf einer **Deuterium-Tritium (D-T) Reaktion**.
### 2. Welche Modell- und Kostenannahmen basieren auf tatsächlichen Erfahrungswerten und welche nur Schätzungen oder Prognosen? Welche Annahmen stammen woher?
Die Studie verwendet eine Mischung aus Erfahrungswerten (historische Daten von Spaltungsanlagen) und Schätzungen/Prognosen (Kernanlagen-spezifische Parameter):
| Annahme-Typ | Beschreibung und Herkunft |
| :--- | :--- |
| **Erfahrungswerte/Historische Basis** | |
| **Turbineninsel &amp; BOP-Kosten** | Basieren auf **historischen Daten** (*historical data*) früherer Kraftwerksdesigns mit **ähnlichen Systemen und Strukturen**. Die zugrundeliegenden proprietären Kostendaten stammen von **Bechtel**. |
| **Indirekte Kosten** | Werden als Prozentsatz der direkten Kosten basierend auf **öffentlich verfügbaren DOE-Studien** geschätzt. |
| **Skalierung (für sonstige Kosten)** | Die Kosten für Tritium-Anlage, O&amp;M und Stilllegung basieren auf **jahrzehntealten (*decades-old*) Kostenschätzungen** von konzeptionellen Fusionsreaktorkonzepten (wie STARFIRE, ARIES und ITER). |
| **Stilllegungskosten** | Die Kosten für die Stilllegung werden mit **tatsächlichen (*actual*) Stilllegungskosten von Leichtwasserreaktor-Kernkraftwerken (LWR-NPPs)** wie Connecticut Yankee und Trojan verglichen. |
| **Prognosen/Schätzungen** | |
| **Fusionskern (FPC) Kosten** | Basieren auf **proprietären Daten** (*proprietary data*) der vier jeweiligen Technologieentwickler (NumerEx, LANL/HyperV, MIFTI, UW/LLNL).
| **FPC Modellierung** | Die FPC-Designs basieren auf **prä-konzeptionellem Design-Detail** (*pre-conceptual design detail*). Das Costing erfolgte über ein **analytisches Skalierungsmodell** (Excel) basierend auf adiabatischer Kompression und grundlegenden Kostenparametern.
| **Nicht-Kern-Kosten (O&amp;M, etc.)** | Werden aus den jahrzehntealten Fusionsstudien (s.o.) abgeleitet, sind aber wegen des **frühen Entwicklungsstadiums** der vier ALPHA-Technologien **höchst unsicher** (*highly uncertain*).
| **Hauptkosten-Treiber (Power System):** | Die **Unsicherheit** bei den Kosten des primären Stromversorgungssystems (Pulsed Power System) ist eine **Schätzung**, die auf fehlender detaillierter Planung beruht.
### 3. Falls externe Quellen für die Modell- und Kostenannahmen verwendet wurden – wurden diese modifiziert? Falls ja, wie?
Ja, externe Daten (meist historische oder Altdaten) wurden modifiziert und angepasst:
*   **BOP-Kostenanpassung:** Die BOP-Kosten, die auf historischen Daten früherer Kraftwerke basierten, wurden **angepasst** (*adjusted as needed*) an die thermische Leistung, die elektrische Leistung und die prä-konzeptionellen Designinformationen der Fusionsentwickler.
*   **Inflationsanpassung:** Ältere Kostenschätzungen (z. B. für Tritium, O&amp;M, Stilllegung) aus den 1980er und 1990er Jahren (STARFIRE, ARIES etc.) wurden mithilfe des **US Department of Labor Bureau of Labor Statistics CPI Inflation Calculator** auf den Wert von **2016 USD** umgerechnet.
*   **Skalierung:** Die inflationsbereinigten Kosten wurden mithilfe einer Skalierungsformel mit einem Potenzfaktor von **0,55** (*power factor of 0.55*) auf die Standardleistung der Studie von **150 MWe** skaliert.
### 4. Wie lautet die Annahme zu Lernraten?
Die Annahme zu Lernraten wird **implizit** in der Kostenbasis getroffen:
*   Die Annahme, dass der Fusionskern (FPC) die **10. Anlage ihrer Art** (*10th-of-a-kind*) ist und die BOP die **N-te Anlage ihrer Art** (*nth-of-a-kind*), impliziert, dass die Kosten bereits durch **Lerneffekte** (Lernraten) in der Serienproduktion reduziert wurden. Dies ist eine idealisierte Annahme für ein reifes Marktszenario.
*   *Anmerkung:* Obwohl Lernkurven im verwandten *Cost Sensitivity Analysis Report* von 2015 thematisiert wurden, werden sie in den vorliegenden Ausschnitten der 2017er-Studie **nicht direkt als variabler Faktor** (wie z.B. in der COE2-Berechnung der späteren Studie) behandelt.
### 5. Wie wurden die Annahmen zu den Lernraten hergeleitet bzw. von wo stammen diese Annahmen?
Die Quellen **legen nicht offen**, wie der 10th-of-a-kind Status oder die spezifischen Lernraten hergeleitet wurden oder von welchen Quellen sie stammen. Sie dienen als **Annahme** (*assumption*) für das Modell, um eine Kostenbasis zu schaffen.
### 6. Wird offengelegt, ob die Kostenabschätzung auf einem Bottom-up-, Top-down- oder hybriden Ansatz basiert?
Die Quellen **offenbaren nicht explizit**, ob ein Bottom-up-, Top-down- oder hybrider Ansatz verwendet wurde.
Allerdings wird die Methodik beschrieben, die auf einem hybriden Ansatz beruht:
*   **Bottom-up-Elemente:** Die Fusionskern-Kosten (FPC) wurden durch ein analytisches Skalierungsmodell und **individuelle Systemanalysen** (*individual systems analyses*) der vier Konzepte entwickelt.
*   **Top-down-Elemente/Parametrik:** Die Kosten der Turbineninsel und der BOP wurden anhand **historischer Daten** ähnlicher Kraftwerke entwickelt und **angepasst/skaliert** (*adjusted as needed*) an die thermische Leistung und die elektrische Nettoleistung von 150 MWe.
### 7. Beruht die Kostenherleitung auf physikalischen und technologischen Werten?
Ja, die Kostenherleitung beruht auf physikalischen und technologischen Werten der vier Konzepte:
*   **Physikalische Basis:** Die Kostenabschätzung basierte auf der **Charakterisierung der Schlüsselmerkmale und Betriebsattribute** (*key features and operational attributes*) der vier Technologien auf **prä-konzeptioneller Ebene**.
*   **Power-Bilanz:** Es wurde eine **Leistungsfluss-Bilanz** (*power flow diagram*) für die Systeme erstellt und die **Hauptsystemparameter** (*Main System Parameters*), wie Fusionsleistung, Neutronenleistung, Thermische Leistung und Neutronenwandbelastung, wurden für jedes Konzept entwickelt.
*   **Design-Parameter:** Die FPC-Designs wurden über ein analytisches Skalierungsmodell unter Verwendung von **radialen Aufbauten** (*radial build*) modelliert, um Volumina von Erster Wand, Decken (Blanket), Abschirmung und Spulen zu bestimmen, auf die dann Kostenfaktoren angewendet wurden.
### 8. Werden Materialkosten und Komponentenkosten separat ausgewiesen?
**Komponentenkosten** werden sehr detailliert in der Kostenrechnungsstruktur (CBS) ausgewiesen (z. B. CBS 22.1 für Reaktorausrüstung, CBS 23 für Turbinenanlagen-Ausrüstung).
**Materialkosten** werden nur an einer Stelle explizit als separate Kategorie aufgeführt:
*   **Spezialmaterialien (CBS 27):** Diese Kategorie umfasst das flüssige Metall-Kühlmittel/Zuchtmaterial (*liquid metal coolant/breeder*), das Zwischenkühlmittel, die Arbeitsfluide des Turbinenzyklus und andere diverse Posten.
*   **Materialkosten-Sensitivität:** Materialkosten (z. B. Stahl für HTS, Blei-Lithium, Wolfram) wurden gesondert in der Sensitivitätsanalyse betrachtet, da ihre **Änderung des Marktpreises** theoretisch einen Einfluss auf die Gesamtkosten haben könnte.
### 9. Bezieht sich die Studie auf ein Energiesystem (z. B. Integration, Vergleich mit anderen Technologien) oder ist sie rein bezogen auf die Kosten des Kraftwerks und des Reaktors?
Die Studie ist **überwiegend** auf die **Kosten des Kraftwerks und des Reaktors** bezogen, insbesondere auf die Kapital- und Betriebskosten:
*   **Fokus:** Der Fokus liegt auf der **Kapitalkostenabschätzung** (*capital cost estimate*) der vier Fusionsansätze und einer begrenzten Bewertung der **sonstigen Kosten** (*other costs*) wie Tritium-Handhabung, O&amp;M, Abfallentsorgung und Stilllegung.
*   **Systemvergleich (Implizit):** Obwohl kein direkter LCOE-Vergleich mit anderen Energiequellen durchgeführt wurde, wird implizit ein Vergleich zur Kernspaltung gezogen, um die Skalierung zu beurteilen: Wenn Fusion **wie Kernspaltung behandelt** (*treats fusion like fission*) würde, könnten die 150 MWe-Designs auf 1 GWe skaliert $2–6 pro Watt kosten.
*   **Externe Vergleiche:** Die Kostenannahmen für Stilllegung und Abfallentsorgung basieren auf historischen Daten von **Leichtwasserreaktor-Kernkraftwerken (LWR-NPPs)**.
### 10. Welche Kostenreduktionspotenziale oder wirtschaftlichen Optimierungsansätze werden thematisiert?
Die Studie thematisiert implizit die folgenden Potenziale zur Kostenreduzierung (die jedoch in den Annahmen bereits einbezogen sind):
*   **Modularität und Serienproduktion:** Die Annahme des **10th-of-a-kind** Status und des **modularen Designs** legt nahe, dass Standardisierung und Serienfertigung Kosten senken.
*   **Skalierung:** Die Möglichkeit der Skalierung der 150 MWe-Designs auf 1 GWe könnte zu deutlich niedrigeren Kosten pro Watt führen (hypothetisch 2–6 $/Watt).
*   **Konkurrierende Ansätze:** Die Beibehaltung **mehrerer Fusionskern-Ansätze** wird als ratsam erachtet, da die Verfolgung dieser Ansätze **von Natur aus erschwinglichere Entwicklungspfade** (*inherently more affordable development paths*) bietet als die reiferen Ansätze der MCF oder IFE.
*   **Reduzierung der Unsicherheiten:** Es wird empfohlen, durch **zusätzliche Analyse- und Designarbeiten** die Unsicherheiten in den unsichersten Bereichen (FPC, Wärmetauscher, Tritium-Handhabung) zu mindern, was künftige Kostenabschläge (Reduzierung der Rücklagen) ermöglichen würde.
### 11. Was sind die signifikantesten Kostentreiber und ökonomischen Herausforderungen laut Studie?
**Signifikanteste Kostentreiber (absolut und prozentual):**
1.  **Reaktoranlagen-Ausrüstung (CBS 22):** Größter direkter Kostentreiber, der zwischen **15 % und 24 %** der Gesamtkosten ausmacht.
2.  **Gebäude &amp; Standort-Einrichtungen (CBS 21):** Macht zwischen **11 % und 15 %** der Gesamtkosten aus.
3.  **Turbinenanlagen-Ausrüstung (CBS 23):** Macht zwischen **8 % und 14 %** der Gesamtkosten aus.
**Wichtigste ökonomische Herausforderung (Unsicherheit):**
*   **Primäres Stromversorgungssystem (Power System):** Dies ist der kritischste Kostentreiber, da die **aktuellen Unsicherheiten** im konzeptionellen Design des primären Stromversorgungssystems (*primary power system*) zu **signifikanten Auswirkungen** auf die Gesamtkosten führen könnten. Dieses System könnte potenziell bis zu **20 % der gesamten direkten Kapitalkosten** ausmachen.
*   **Hohe Indirekte Kosten und Unsicherheit:** Die **Gesamten Indirekten Kosten (CBS 91–96)**, welche die Rücklagen (*contingency*) umfassen, sind extrem hoch und machen **45 % bis 46 %** der Gesamtkosten aus. Dies signalisiert die **hohe Unsicherheit** der Schätzung (Klasse 5).
*   **Bereiche hoher Unsicherheit:** Die Hauptbereiche der Unsicherheit, die weitere Ingenieurarbeiten erfordern, sind: **Fusionskern (FPC), Wärmetauscher (Heat Exchanger)** und das **Tritium-Handhabungssystem**. Die Kosten für Neutronik und Tritium-Handhabung werden jedoch nicht die anfänglichen Kapitalkosten dominieren.</t>
  </si>
  <si>
    <t xml:space="preserve">nth assumed for BOP, meaning nth is after 10th
The bases and assumptions used to develop the Class 5 conceptual cost estimate for the four fusion technologies
are as follows:
1. The FPC is 10th-of-a-kind and the BOP is nth-of-a-kind.
2. Modular design and factory construction of all subsystems is possible.
3. Indirect costs are estimated as a percentage of direct costs, based on publicly available DOE
studies.
4. Contingency is included commensurate with a Class 5 estimate classification.
5. This is an overnight cost estimate based on December 2016 U.S. dollars. Thus, no interest
expenses (CBS 97) or escalation (CBS 98) are included. Reference 60 defines an overnight cost
as “a measurement of capital investment that excludes any interest expense or escalation of
costs that may occur during the construction period, as if the project had literally been built
overnight.”
6. The Turbine Island and BOP design and costing information is based on a scalable comparison
to the gross electric output power of similar size nuclear power plants, cost / capacity curves, and
other parametric and modeling techniques as follows:
 Civil work is based on buildings with sizes, areas, and volumes comparable to the reference
plant;
 Mechanical work is based on an equipment list for systems with capacities and ratings of a
150MWe power output;
 Piping work is based on a systems list with sizes and types of material required for the
project;
 Electrical work is based on an equipment list for systems with capacities and ratings of a
150MWe power output; and
 Electrical bulks such as raceways and power / instrumentation cables are based on a
reference plant.
7. Publicly available data was used to the extent possible for the development of parametric cost
factors and other system pricing.
8. FPC equipment, materials, systems, etc. are based on evaluations using proprietary data
provided by each of the technology developers.
9. The reactor and its supporting equipment are located in the reactor building.
Conceptual Cost Study for a Fusion Power Plant Report No. 26029-000-30R-G01G-00001
Based on Four Technologies from the DOE ARPA-E ALPHA Program
February 2017
©2017 Bechtel National, Inc., Woodruff Scientific, Inc., Decysive Systems Page │ 23
10. Turbine Island and BOP estimates are based on Bechtel proprietary cost data (underlying data is
not included).
11. The reactor coolant system operates in a vacuum condition which results in no high loss of
coolant accident (LOCA) pressures or temperatures in the reactor building.
12. The shield structure around the FPC provides protection from neutrons and any equipment
susceptible to neutron activation will be located outside the shield. </t>
  </si>
  <si>
    <t>MIF werte stammen zum einen aus Woodruff 2017 und dem revised paper in 2020, dh nicht aussagekräftig für monte carlo; vielleicht andere lernrate ansetzen also zu welchem n muss man kommen?</t>
  </si>
  <si>
    <t>alles auch gegenüberstellen mit foak ohne electricity</t>
  </si>
  <si>
    <t>einzelne punkte hervorheben und für mcf aber nochmal eine eigene grafik getrennnt nach technologien</t>
  </si>
  <si>
    <t>noak und 10th oak noch ausprobieren außer bei MIF vor allem</t>
  </si>
  <si>
    <t>evtl statt 10th oak advanced noak und dann eben reinschreiben als argument wieso</t>
  </si>
  <si>
    <t>STARFIRE studies always 10th-OAK</t>
  </si>
  <si>
    <t>C.C. Baker et al. (1980)</t>
  </si>
  <si>
    <t>STARFIRE 10th-OAK study</t>
  </si>
  <si>
    <t>Dies ist eine detaillierte Beantwortung Ihrer Fragen zu den Modell- und Kostenannahmen der Studie **"Cost Assessment of a Generic Magnetic Fusion Reactor"** von Dory et al. (1986).
### 1. Welche Modellannahmen werden getroffen?
Die Modellierung basiert auf einem **generischen Magnetfusionsreaktor** (*generic magnetic fusion reactor*), der als D-T-brennender (*deuterium-tritium-burning*) **Dauerbetriebsreaktor** (*steady-state reactor*) konzipiert ist.
**Zentrale finanzielle und betriebliche Annahmen:**
*   **Währung:** Die Kosten werden in **konstanten 1983 US-Dollar** berechnet, um einen Vergleich mit aktuellen Kosten zu ermöglichen.
*   **Konstruktionsvorlaufzeit (Y):** Die nominale Gesamtvorlaufzeit (*nominal total lead time*) beträgt **8 Jahre**.
*   **Amortisationszeit (Levelization Period):** Eine Anlagenlebensdauer von 30 Jahren und eine **20-jährige Nivellierungsperiode** (*levelization period*) werden für die Berechnung der fixen jährlichen Kosten angenommen.
*   **Betriebsverfügbarkeit ($f_{av}$):** Die nominale Anlagenverfügbarkeit (*plant availability*) wird konservativ auf **0.65 (65 %)** festgelegt.
*   **Zinsen und Eskalation:** Das Modell verwendet eine **Übernacht-Kostenabschätzung** (*overnight cost estimate*). Zinsen während der Bauzeit (IDC) und Eskalation während der Bauzeit (EDC) sind in der Berechnung der Gesamtkapitalkosten enthalten, aber das Constant-Dollar-COE-Modell schließt Inflation und Eskalation explizit aus den Betriebskosten aus, da dies eine größere Kenntnis der zukünftigen Fusionsanlagen erfordern würde.
*   **Kostenstruktur:** Es wird ein **Gesamtrücklagenfaktor (*overall contingency factor*) von 1.15 (15 %)** auf die direkten Kapitalkosten angewendet. Die indirekten Gebühren (*indirect charges*) für die Konstruktion werden auf **50 %** festgelegt, um die heutige Erfahrung mit Kraftwerken besser widerzuspiegeln.
**Zentrale physikalische und technologische Annahmen:**
*   **Reifegrad (Zielsetzung):** Es wird angenommen, dass der Reaktor mit **"nur moderaten Fortschritten"** (*only moderate advances*) in Physik und Technologie im Vergleich zu heutigen Errungenschaften realisiert werden kann.
*   **Magnetfeld:** Der Reaktor verwendet eine supraleitende Toroidalspulenanordnung.
*   **Plasma:** Es wird angenommen, dass **80 % der Alpha-Leistung** zur Unterstützung der radialen Leitungsverluste zur Verfügung stehen ($f_{\alpha} = 0.8$).
*   **Tritium-Brutrate:** Der exotherme Neutronengewinn in der Decke (*exothermic blanket gain*) wird nach STARFIRE-Studien mit **$g = 0.14$** angenommen.
*   **Neutronenfluenz-Lebensdauer:** Die Standardlebensdauer der Ersten Wand und der Decke (*first wall and blanket*) wird mit $F_{wn} = \textbf{20 MW} \cdot \textbf{year} \cdot \textbf{m}^{\mathbf{-2}}$ festgelegt.
### 2. Welche Modell- und Kostenannahmen basieren auf tatsächlichen Erfahrungswerten und welche nur Schätzungen oder Prognosen? Welche Annahmen stammen woher?
| Kosten-/Modellannahme | Basis (Erfahrung/Schätzung/Prognose) | Herkunft / Quelle |
| :--- | :--- | :--- |
| **Kosten für Balance of Plant (BOP)** | **Erfahrung/Tatsächliche Daten**. | STARFIRE- und MARS-Studien sowie Erfahrung aus Spaltungs- und Fossilkraftwerken. |
| **BOP-Skalierungsexponenten** | **Erfahrung/Tatsächliche Daten** (Skalierung mit $P_t$ mit Exponent 0.6). | Fissionsreaktor-Erfahrung und DOE/NE-0044. |
| **O&amp;M Personalbedarf** | **Erfahrung/Tatsächliche Daten** (457 Personen). | Studium des Personalbedarfs für Spaltungsanlagen (ORNL/TM-8324). |
| **Unit Cost Supraleitende Spulen ($80/\text{kg}$)** | **Erfahrung/Tatsächliche Daten** (basierend auf "heutigen Kosten"). | Neuere Informationen aus tatsächlichen Bauprojekten (z. B. TFCX/INTOR-Studien). |
| **Unit Cost Zusatzheizung ($2.0/\text{W}$)** | **Erfahrung/Tatsächliche Daten** (reflektiert "gegenwärtige Erfahrung" mit Hochleistungssystemen). | Present-day costs for lower-cost systems (NBI or ICRH). |
| **Physik- und Technologie-Anforderungen** | **Prognose/Projektion**. | Die Projektionen basieren auf dem Konsens der Arbeit früherer Studien (STARFIRE, NUWMAK, etc.). |
| **Indirekte Kosten (50 %)** | **Schätzung/Prognose** (höher als frühere Fusion-Studien). | Soll die Komplexität heutiger Kraftwerke besser abbilden. |
| **Contingency (15 %)** | **Schätzung/Prognose**. | Standardverfahren für Kostenabschätzungen in diesem frühen Stadium. |
| **Kosten für Abfallentsorgung** | **Schätzung/Prognose** (konservativ). | Wird dem Wert von Spaltungsanlagen gleichgesetzt ($\text{1.0 mill/kWh}$). |
### 3. Falls externe Quellen für die Modell- und Kostenannahmen verwendet wurden – wurden diese modifiziert? Falls ja, wie?
Ja, externe Quellen wurden modifiziert, typischerweise, um die **ursprünglich zu optimistischen finanziellen Annahmen** früherer Fusionsstudien zu korrigieren und sie konservativer zu gestalten:
*   **Indirekte Kosten:** Die Annahme der indirekten Gebühren für die Konstruktion wurde von den **23 % der STARFIRE-Studie** auf **50 % erhöht**.
*   **Spulen-Einheitskosten:** Die Stückkosten für supraleitende Spulen wurden von **$28/\text{kg}$** (STARFIRE) auf **$80/\text{kg}$** angehoben, um neuere Informationen aus tatsächlichen Bauprojekten widerzuspiegeln.
*   **Zusatzheizungs-Kosten:** Die Kosten für Auxiliary Heating wurden von $0.38/\text{W}$ (STARFIRE) auf **$2.0/\text{W}$** erhöht, basierend auf der **"gegenwärtigen Erfahrung"** (*present experience*) mit langpulsigen Heizsystemen.
*   **O&amp;M Personal:** Die Anzahl des Betriebspersonals wurde von 163 (STARFIRE) auf **457 Personen** erhöht, basierend auf detaillierten Studien zu Spaltungsanlagen.
*   **Inflationsanpassung:** Ältere Kostenangaben (z. B. aus STARFIRE von 1980) wurden mittels **Inflationsfaktoren** des US Department of Commerce auf den Wert von **1983 US-Dollar** umgerechnet.
### 4. Wie lautet die Annahme zu Lernraten?
Die Studie trifft **keine direkte Annahme** über spezifische Lernraten.
Es wird jedoch angenommen, dass die zugrunde liegende Spulentechnologie eine **"relativ junge Technologie"** (*relatively new technology*) ist und dass es **"vernünftig"** (*reasonable*) ist, **erhebliche Fortschritte und Kostensenkungen** (*substantial advances and cost reductions*) in der Zukunft zu erwarten.
### 5. Wie wurden die Annahmen zu den Lernraten hergeleitet bzw. von wo stammen diese Annahmen?
Da die Studie keine expliziten Lernraten festlegt, **existiert keine Herleitung** in den vorliegenden Quellen. Die Studie verwendet stattdessen konservative, auf **heutigen Baukosten** (*today's costs*) basierende Preise für Schlüsselkomponenten.
### 6. Wird offengelegt, ob die Kostenabschätzung auf einem Bottom-up-, Top-down- oder hybriden Ansatz basiert?
Die Studie legt **nicht explizit** eine Klassifizierung offen.
Die Vorgehensweise ist jedoch **hybrid**:
*   **Top-down/Skalierung:** Die Kosten für die **Balance of Plant** und die **Reaktorgebäude** werden durch die Skalierung **historischer Daten** von Spaltungsreaktoren mithilfe von Potenzgesetzen (z. B. $P_t^{0.6}$ oder $V_{FI}^{0.67}$) abgeleitet.
*   **Bottom-up/Komponentenkosten:** Die Kosten der **Fusionsinsel** werden bottom-up aus dem benötigten **Volumen und Gewicht** jeder Komponente (Spulen, Schild, Struktur) sowie deren **Einheitskosten** ($/kg$) berechnet.
### 7. Beruht die Kostenherleitung auf physikalischen und technologischen Werten?
Ja, die Kostenherleitung beruht wesentlich auf physikalischen und technologischen Werten:
*   **Physik-Parameter als COE-Treiber:** Das Ziel der Studie ist es, den COE als Funktion des **Gewichts und der Größe des Fusionskerns** (*fusion core weight*) zu berechnen, die von physikalischen Parametern wie **Beta** ($\langle\beta\rangle$), **Aspect Ratio** ($R/a$) und **maximalem Magnetfeld** ($B_m$) abhängen.
*   **Volumen-basierte Kosten:** Die Kosten für die Fusionsinsel-Komponenten (Schild, Spulen, Struktur) werden aus ihrem **Volumen** abgeleitet. Das Volumen wird wiederum durch die physikalischen Anforderungen (z. B. Größe des Plasmas $a, R$, Dicke des Schilds $\Delta_{bgsl}$) bestimmt, die für ein stabiles D-T-Plasma notwendig sind.
*   **Neutronenfluss und COE:** Die Kosten des Brennstoffzyklus (Decken-Ersatz) hängen direkt von der **Neutronenwandbelastung** ($P_{wn}$) und der **Fluenzlebensdauer** ($F_{wn}$) ab.
### 8. Werden Materialkosten und Komponentenkosten separat ausgewiesen?
Ja. Die Kosten werden detailliert nach **Komponenten-Konten** (Accounts, z. B. Account 22.013 Coils) ausgewiesen.
Die **Material- und Einheitskosten** (die sowohl Material als auch Herstellung umfassen) werden für die wichtigsten Komponenten separat angegeben:
*   **Spulen ($80/\text{kg}$)**, **Schild ($17/\text{kg}$)**, und **Decke/Erste Wand ($70/\text{kg}$)**.
*   Die Kosten für Tritium als jährlicher **Brennstoffzykluskosten** ($C_{fa}$) sind ebenfalls separat ausgewiesen ($4.4 \times 10^5 \text{ \$}$ pro Jahr).
### 9. Bezieht sich die Studie auf ein Energiesystem (z. B. Integration, Vergleich mit anderen Technologien) oder ist sie rein bezogen auf die Kosten des Kraftwerks und des Reaktors?
Die Studie befasst sich primär mit den **Kosten des Kraftwerks und des Reaktors** (COE, Kapitalkosten, Fusionsinsel-Masse).
Sie ist jedoch im Kontext eines **Energiesystemvergleichs** angesiedelt, da ihr Hauptziel die Bestimmung der Anforderungen an die **Wettbewerbsfähigkeit im 21. Jahrhundert** im Vergleich zu anderen Technologien ist:
*   **Benchmark:** Die Zielkosten (45–60 mill/kWh) werden direkt mit den COE-Schätzungen für zukünftige **Spaltungs- und Fossilanlagen** verglichen.
*   **Datenbasis:** Die Kostenverfahren und viele Annahmen (BOP, O&amp;M) basieren auf der **Nuclear Energy Cost Data Base** und der Erfahrung mit Fissions- und Fossilkraftwerken.
*   **Langfristige Integration:** Die Studie diskutiert die potenziellen Auswirkungen des steigenden Uranpreises auf die Wettbewerbsfähigkeit der Fusionsenergie und des Fusions-Fissions-Hybrid-Systems.
### 10. Welche Kostenreduktionspotenziale oder wirtschaftlichen Optimierungsansätze werden thematisiert?
1.  **Reduzierung der Fusionsinsel-Masse ($M_{FI}$):** Dies ist der **signifikanteste Hebel**. Die Optimierung zielt auf eine Reduktion von $\sim 25.000 \text{ Tonnen}$ (STARFIRE) auf $\sim 10.000 \text{ Tonnen}$ ab, was die COE deutlich senkt.
2.  **Physikalische Verbesserungen:** Erhöhung des **Beta-Wertes** ($\langle\beta\rangle \geq 0.08$) und Reduzierung der **Zusatzheizleistung** ($P_a \leq 100 \text{ MW(e)}$) reduzieren die Kosten durch Effizienzsteigerung und geringere Komponentenanforderungen.
3.  **Redundanz:** Redundanz in den Spulen und der Struktur (z. B. 20 % Redundanz im Wickelpaket) wird genutzt, um die **Verfügbarkeit zu verbessern** und damit die COE zu senken.
4.  **Mehrfach-Einheiten (Modularität):** Die Verwendung von **Mehrfach-Reaktoreinheiten** (*multiple-unit reactors*) auf einem Gelände kann die Verfügbarkeit erhöhen und damit die COE senken, was die Nachteile kleinerer Anlagen kompensiert.
5.  **Kürzere Bauzeit:** Die Reduzierung der Konstruktionsvorlaufzeit (*lead time*) von 10 auf 6 Jahre senkt die COE durch Reduzierung der indirekten Kosten und Zinslasten.
### 11. Was sind die signifikantesten Kostentreiber und ökonomischen Herausforderungen laut Studie?
**Signifikanteste Kostentreiber (Dominanz in COE):**
1.  **Balance of Plant (BOP):** Obwohl die Fusionsinsel das technische Herzstück ist, trägt die BOP (einschließlich Turbinen, elektrische Anlagen und Kühlsysteme) den **größten Anteil** zur COE bei (z. B. 16.2–18.4 mill/kWh in der optimierten Fusionsspanne).
2.  **Fusionsinsel-Kapitalkosten:** Die Kosten der Fusionsinsel (Spulen, Schild, Struktur) sind der zweitgrößte Treiber. Die COE ist am empfindlichsten gegenüber der **Masse der Fusionsinsel** ($M_{FI}$).
3.  **Indirekte Kosten und Rücklagen:** Die hohen indirekten Kosten (**50 %**) und der **15 %ige Rücklagenfaktor** ($C_{con}$) sind erhebliche Kostentreiber, die die Gesamtkapitalkosten hoch halten.
**Wichtigste ökonomische Herausforderung:**
*   **Gewicht/Größe des Fusionskerns:** Die Haupt-Herausforderung ist, einen Reaktor zu konzipieren, dessen **Fusionskern-Gewicht** ($M_{FI}$) gering genug ist (Ziel $\sim 10.000$ Tonnen), um die COE trotz der konservativen Kostenansätze wettbewerbsfähig zu halten.
*   **Hohe Unsicherheit bei Komponenten:** Schlüsselkomponenten wie supraleitende Spulen sind teuer ($80/\text{kg}$), weil ihre Technologie noch jung ist und die Preise auf **begrenzter Produktion** beruhen. Diese Unsicherheit wird durch hohe Rücklagen abgedeckt.
*   **Verfügbarkeit und O&amp;M:** Die Notwendigkeit einer hohen Verfügbarkeit ($f_{av} = 0.65$) erfordert, dass die **Fusionskomponenten extrem zuverlässig** sind und geringe mittlere Reparaturzeiten haben, da sonst die COE schnell ansteigen.</t>
  </si>
  <si>
    <t>Die Studie von Dory et al. (1986) vergleicht die Kosten des generischen Magnetfusionsreaktors primär mit den **zukunftsgerichteten Projektionen** für andere Energieerzeugungstechnologien, verwendet jedoch **historische/aktuelle Kostendaten** als Benchmark.
### 1. Ergebnis des Vergleichs
Das zentrale Ergebnis ist, dass der optimierte generische Fusionsreaktor **wettbewerbsfähig** (*competitive*) mit zukünftigen Spaltungs- und Fossilanlagen sein sollte.
*   **COE-Vergleich:** Der Stromgestehungspreis (Cost of Electricity, COE) des **verbesserten Fusionsreaktors** (*improved fusion reactor*) wird in konstanten **1983 US-Dollar** auf eine Spanne von **47 bis 59 mill/kWh(e)** geschätzt.
*   **Benchmark:** Dies wird mit den **aktuellen Spaltungs- und Fossil-Kosten** verglichen, die bei gleicher Kostenberechnung in einer Spanne von **35 bis 50 mill/kWh(e)** liegen.
*   **Wettbewerbsfähigkeit im 21. Jahrhundert:** Die COE-Zielvorgabe für Fusion liegt im Bereich von **45 bis 60 mill/kWh(e)**. Die Autoren kommen zu dem Schluss, dass es auf dem aktuellen Entwicklungsstand nur notwendig ist zu zeigen, dass die Fusionskosten **vergleichbar** (*comparable*) sein könnten, da die potenziellen Umweltvorteile und die erwarteten **steigenden Kosten für spaltbare und fossile Brennstoffe** die entscheidenden Faktoren sein werden.
### 2. Vergleichsbasis (Historische Werte vs. Zukunftsgerichtete Projektionen)
Die Studie verwendet eine Kombination aus historischen, aktuellen und zukunftsgerichteten Projektionen, wobei die Schlussfolgerung der Wettbewerbsfähigkeit stark von zukünftigen Annahmen abhängt:
#### A. Zukunftsgerichtete Projektionen (Entscheidend für die Wettbewerbsfähigkeit der Fusion)
Die Studie ist auf die **Zukunft ausgerichtet** (*in the future*) und verwendet Szenarien für den Energiemarkt im **21. Jahrhundert**.
*   **Uranpreis-Szenario:** Der kritischste zukunftsgerichtete Vergleichspunkt ist die Annahme, dass der **Preis für Uran (U3O8) steigen** wird.
    *   Der Preis für U3O8 lag zur Zeit der Studie bei etwa **20 \$/lb**.
    *   Die Fusionskosten werden direkt mit den Kosten von Spaltungsreaktoren verglichen, deren COE berechnet wird, indem der Uranpreis in die Spanne von **60 bis 180 \$/lb** steigt.
    *   Die Autoren stellen fest, dass Fusionsreaktoren **direkt wettbewerbsfähig** (*directly competitive*) mit Spaltungsreaktoren werden könnten, wenn der Preis für U3O8 in diesen erhöhten Bereich steigt.
*   **Fusionstechnologie-Status:** Die Schätzung für Fusion ist selbst eine **zukunftsgerichtete Projektion**, da der Reaktor noch **"nur moderate Fortschritte"** (*only moderate advances*) in Physik und Technologie erfordert und die Anforderungen **innerhalb der Projektionen der Entwicklungsprogramme** liegen.
#### B. Historische/Aktuelle Werte (Als Kostenbasis und Benchmark)
*   **Kostenverfahren:** Für den Vergleich wird das **gleiche Kostenverfahren** (*the same procedures*) verwendet, das in den Schätzungen für Spaltungs- und Fossilanlagen genutzt wird, insbesondere das in der **Nuclear Energy Cost Data Base** des US-Energieministeriums (DOE/NE-0044) beschriebene Verfahren.
*   **Fissions- und Fossil-Kosten:** Die Benchmarks für Fissions- und Fossil-Anlagen basieren auf den **aktuellen COE-Schätzungen** (*present fission and fossil costs*) und den aktualisierten Daten von 1982 und 1983. Die **Betriebs- und Wartungskosten (O&amp;M)** dieser bestehenden Anlagen sind **bekannter** (*better known*) und werden mithilfe von nivellierten Werten (*levelized values*) einschließlich Inflation und Eskalation verwendet.
*   **BOP-Komponenten:** Die Kosten für die Bilanzanlage (*Balance-of-Plant, BOP*) des Fusionsreaktors basieren auf **historischen Erfahrungen** (*fission and fossil power plant experience*).
*   **Fusionseinzelkosten:** Die Kosten für bestimmte Fusionskomponenten (z. B. supraleitende Spulen) basieren auf **"heutigen Kosten"** (*today's costs*) aus tatsächlichen Bauprojekten, wobei diese Kosten eher die **begrenzte Produktion einer relativ neuen Technologie** widerspiegeln.</t>
  </si>
  <si>
    <t>Die von Ihnen berechneten **Overnight Construction Costs (OCC)** in Höhe von **$2.307.000.000$ (2.307 Millionen US-Dollar)** entsprechen den **Gesamten Direkten Kosten plus den Indirekten Kosten**, jedoch **exklusive der Rücklagen (Contingency)**, für das **STARFIRE**-Fusionskraftwerkskonzept in der Kostenbasis von **1983 US-Dollar**.
*   STARFIRE Gesamte OCC (inkl. Contingency) = $2581 \text{ Mio. USD}$.
*   STARFIRE Contingency (15 % der Direkten Kosten) = $274 \text{ Mio. USD}$.
*   Ihre bereinigten OCC = $2581 \text{ Mio.} - 274 \text{ Mio.} = 2307 \text{ Mio. USD}$.
Die prozentuale Aufschlüsselung dieses Betrags basiert auf der detaillierten Kostenstruktur des STARFIRE-Designs (1200 MWe).
### 1. Aufschlüsselung nach Hauptkategorien (Direkte vs. Indirekte Kosten)
Die gesamten bereinigten OCC teilen sich wie folgt in direkte und indirekte Kosten auf:
| Kostenkategorie | Absolute Kosten (Mio. 1983 USD) | Anteil an $2.307 \text{ Mio. USD}$ | Quelle |
| :--- | :--- | :--- | :--- |
| **Gesamte Direkte Kosten** (*Subtotal Direct*) | **1824** | **79,06 %** | |
| **Indirekte Kosten** (*Indirect Charges*, 23 %) | **483** | **20,94 %** | |
| **Summe (Bereinigte OCC)** | **2307** | **100,00 %** | |
Die **Indirekten Kosten** machen beim STARFIRE-Konzept gemäß der ursprünglichen Annahme der Studie **23 %** der Direkten Kosten aus.
### 2. Detaillierte Aufschlüsselung der Direkten Kosten
Die Direkten Kosten von $1824 \text{ Mio. USD}$ (1983) gliedern sich hauptsächlich in die Reaktoranlagen-Ausrüstung, die Gebäude und die Turbinenanlage. Die folgende Tabelle zeigt, welchen prozentualen Anteil die Hauptkonten am Gesamtbetrag von $2.307 \text{ Mio. USD}$ ausmachen:
| Hauptkonto (Account) | STARFIRE Direkte Kosten (Mio. 1983 USD) | Anteil am OCC (2307 Mio. USD) | Quelle(n) |
| :--- | :--- | :--- | :--- |
| **22 Reaktoranlagen-Ausrüstung** (Total) | **1027** | **44,51 %** | |
| **21 Gebäude/Strukturen** (Total) | **364** | **15,78 %** | |
| **23, 26 Turbinenanlage, Wärmeabfuhr** | **263** | **11,39 %** | |
| **24 Elektrische Anlage** | **123** | **5,33 %** | |
| **Sonstige Direkte Kosten** (20, 25, 22.4, 22.5, 22.6, 22.7) | **47** | **2,04 %** | |
| **Gesamte Direkte Kosten** | **1824** | **79,06 %** | |
#### 2.1. Aufschlüsselung der Reaktoranlagen-Ausrüstung (Account 22)
Da die **Reaktoranlagen-Ausrüstung (Account 22)** der größte einzelne Kostentreiber (44,51 %) ist, ist eine weitere Aufschlüsselung der Komponenten in diesem Konto besonders relevant:
| Teilkonto (Account 22) | STARFIRE Direkte Kosten (Mio. 1983 USD) | Anteil am OCC (2307 Mio. USD) | Quelle |
| :--- | :--- | :--- | :--- |
| Schild (Shield, 22.012) | 225 | 9,75 % | |
| Spulen (Magnets, 22.013) | 207 | 8,97 % | |
| Decke/Erste Wand (Blanket, 22.011) | 99 | 4,29 % | |
| Hauptwärmeübertragung (Main Heat Transfer, 22.2) | 83 | 3,60 % | |
| Ersatzteile (*Spare Parts Allowance*, 22.8) | 80 | 3,47 % | |
| Stromversorgungen (*Power Supplies*, 22.017) | 65 | 2,82 % | |
| Struktur (Structure, 22.015) | 64 | 2,77 % | |
| *Restliche Positionen in Account 22* | 204 | 8,84 % | |
| **Summe Account 22** | **1027** | **44,51 %** | |
Die **Spulen** (Magnets, 8,97 %) und der **Schild** (Shield, 9,75 %) sind demnach die teuersten Einzelkomponenten innerhalb der Reaktoranlage in diesem 10th-of-a-kind-Szenario.</t>
  </si>
  <si>
    <t>Die von Ihnen bereitgestellten Werte (z. B. $5229 \text{ USD/kW}$ und $3949 \text{ USD/kW}$) repräsentieren die **Direkten Kapitalkosten** ($C_D$), normiert auf die Netto-Leistung ($P_e$), für verschiedene Szenarien des generischen Fusionsreaktors, berechnet in **2010 US-Dollar**.
Diese Direkten Kapitalkosten ($C_D$) enthalten nach dem Modell der Studie von Sheffield &amp; Milora (2016) einen **Contingency-Faktor von 1,15 (15 %)**.
Wenn wir von den von Ihnen als "bereinigt" bezeichneten Overnight Construction Costs (OCC, ohne Contingency) ausgehen, müssen wir $C_D$ durch $1,15$ teilen. Die proportionalen Anteile der Hauptkomponenten an diesen bereinigten OCC (der Summe aus Fusion Island, Reaktorgebäuden und Balance of Plant) sind in allen Szenarien strukturell ähnlich, da sie auf denselben Skalierungsgesetzen und Unit Costs basieren.
Wir verwenden als Basis das **Referenzszenario** ($P_e = 1000 \text{ MW(e)}$, $R/a = 4.0$, $p_{wn} = 3.0 \text{ MW/m}^2$, Low Jc), für das die Direkten Kapitalkosten $C_D = \$5229 \text{ Millionen}$ betragen.
### 1. Aufschlüsselung der Bereinigten OCC (Direkte Kosten ohne Contingency)
Die bereinigten OCC setzen sich aus den Kosten für die **Balance of Plant (BOP)**, die **Reaktorgebäude und Peripherie** ($C_{bld}$) und die **Fusionsinsel** ($C_{FI}$) zusammen.
*Basis: Bereinigte OCC $\approx \$4547 \text{ Millionen}$ (100 %) in 2010 USD.*
| Kostenblock | Beschreibung | Geschätzter Anteil am bereinigten OCC |
| :--- | :--- | :--- |
| **Fusionsinsel ($C_{FI}$)** | Enthält Spulen, Schild, Struktur, Aux. Heating, Hauptwärmeübertragung (Heat Transfer Steam System). | **$\approx 56,1 \%$** |
| **Balance of Plant (BOP)** | Enthält Turbinen, elektrische Anlagen, Kühlsysteme, etc. | **$\approx 25,3 \%$** |
| **Reaktorgebäude und Peripherie ($C_{bld}$)** | Enthält Reaktorgebäude, Hot Cells, Vakuumsysteme, Kryogene Systeme. | **$\approx 18,6 \%$** |
| **Gesamte Bereinigte OCC** | | **100,0 %** |
---
### 2. Detaillierte Aufschlüsselung der Fusionsinsel ($C_{FI}$)
Die Fusionsinsel ($C_{FI}$) ist der größte Kostentreiber und kann weiter in spezifische Komponenten unterteilt werden. Die Anteile beziehen sich hier weiterhin auf die gesamten bereinigten OCC (100 %).
| Fusionsinsel-Komponente | Modellierung | Geschätzter Anteil am bereinigten OCC |
| :--- | :--- | :--- |
| **Primär- und Sekundärspulen** | $1,5 \cdot C_{pc}$. Skaliert mit dem Volumen der Primärspule. | **$\approx 33,3 \%$** |
| **Schild, Lücken und Kanäle** | $1,25 \cdot C_{sg}$. Skaliert mit dem Volumen des Schilds und der Lücken. | **$\approx 7,3 \%$** |
| **Auxiliary Heating (Zusatzheizung)** | $1,1 \cdot C_{aux}$ (inkl. 10 % Ersatzteile/Spares). | **$\approx 6,4 \%$** |
| **Struktur** | $C_{st}$. Volumen $V_{st}$ als $0,75 \cdot V_{pc}$ angenommen. | **$\approx 3,6 \%$** |
| **Hauptwärmeübertragung** | Erster Term in $C_{FI}$ (Skalierung mit $P_t$). | **$\approx 3,5 \%$** |
### 3. Signifikanteste Kostentreiber (Absolute Komponenten)
Die Hauptkostentreiber innerhalb der von Ihnen angegebenen Overnight Construction Costs (bereinigt) sind:
1.  **Spulensatz/Magnete:** Mit einem Anteil von $\approx 33,3 \%$ an den bereinigten OCC stellen die Spulen (Primär- und Sekundärspulen, $1,5 \cdot C_{pc}$) die **teuerste Einzelkomponente** im Fusionsreaktor dar.
2.  **Balance of Plant (BOP):** Obwohl die BOP nur $\approx 25,3 \%$ der gesamten bereinigten OCC ausmacht, ist sie die **größte Nicht-Fusions-Komponente**.
Die Kosten für die **Blanket-Ersatzteile und die Divertor-Ziele** sind nicht in diesen OCC-Werten enthalten, da sie im Modell als **jährliche Betriebskosten** (*Annual Fuel Cycle Costs* $C_F$) erfasst werden.</t>
  </si>
  <si>
    <t>Die Studie von Sheffield und Milora (2016), die den generischen Magnetfusionsreaktor neu bewertet, konzentriert sich hauptsächlich auf einen Vergleich innerhalb der Fusionsgemeinschaft, um die Kosten und Trends verschiedener zukünftiger Fusionskonzepte zu validieren. Ein direkter systemweiter Vergleich mit aktuellen fossilen oder Spaltungsreaktoren erfolgt in der Quelle nicht explizit; stattdessen wird die Wettbewerbsfähigkeit durch zukunftsgerichtete Projektionen und die Verwendung von historischen Daten als Realitäts-Check beurteilt.
### 1. Ergebnis des Vergleichs
Das Hauptziel der Studie ist die **Validierung des Kostenmodells** und die Untersuchung von **Trends** bei der Änderung wichtiger Parameter (wie Neutronenwandbelastung, Beta, Verfügbarkeit).
*   **Vergleich mit Zukunfts-Fusionsdesigns:** Der Generomak-Modellansatz wird mit den Ergebnissen anderer anspruchsvoller, **zukunftsgerichteter** Fusionsreaktorkonzepte verglichen, wie den **ARIES-Serien** (ARIES-RS, ARIES-AT) und den **European Power Plant Conceptual Studies (PPCS)**.
    *   Das Modell zeigt eine **ziemlich gute Übereinstimmung** (*fairly good agreement*) mit dem COE-Wert von **ARIES-RS** (der auf 2010 USD eskaliert bei $\sim 117 \text{ mill/kW} \cdot \text{h}$ liegt), wenn der COE des Generomak mit 110 $\text{mill/kW} \cdot \text{h}$ berechnet wird.
    *   Die COE-Werte sind in Szenarien mit **aggressiven physikalischen Annahmen** (z. B. hohes Beta von 9,0 % und höhere thermoelektrische Effizienz) deutlich niedriger (bis zu $75,8 \text{ mill/kW} \cdot \text{h}$).
*   **Wirtschaftliche Relevanz (Implizit):** Die Autoren betonen, dass die **Variationen** in den COEs wichtiger sind als ihre **absoluten Werte**. Durch die Identifizierung von COE-Minima (z. B. um $2,5 \text{ MW/m}^2$ Neutronenfluss) und die Betonung der starken Abhängigkeit des COE von Verfügbarkeit, Beta und Effizienz werden die **Hebel für zukünftige Wettbewerbsfähigkeit** identifiziert.
### 2. Vergleichsbasis (Zukunftsgerichtete Projektionen und Historische Werte)
Die Studie nutzt sowohl zukunftsgerichtete als auch historische Daten, um das Fusionsmodell in einen breiteren Kontext zu stellen.
#### Zukunftsgerichtete Projektionen (Primärer Fokus)
*   **Fusion-Konzepte:** Die COE-Werte des generischen Reaktors werden primär mit den **prognostizierten COE-Werten anderer Fusionsstudien** (ARIES, European A/C) verglichen, die ebenfalls **zukünftige, fortgeschrittene Physik und Technologien** annehmen.
*   **Lernkurven:** Die Diskussion von Lernkurven (*Learning curves*) und Lernraten (*Learning rate $r$*) bezieht sich auf **zukunftsgerichtete Annahmen** über potenzielle Kostenreduktionen durch Serienproduktion in einem reifen kommerziellen Markt.
*   **Systemintegration:** Die Studie berücksichtigt **zukünftige Systemkosten** (*Extra Costs for Large Power Plants*) für die Netzanbindung, die normalerweise bei systemweiten Vergleichen eine Rolle spielen, und skaliert diese Kosten für zukünftige Großkraftwerke (bis zu $3000 \text{ MW(electric)}$).
#### Historische und aktuelle Werte (Realitäts-Check)
*   **Fissionskosten (Historisch und Aktuell):** Die Studie zieht historische und aktuelle Fissionsanlagen heran, um die **Anwendbarkeit von Lernkurven** zu prüfen und die Realität von Baukosten zu veranschaulichen.
    *   Es wird dargelegt, dass die **historischen** mittleren und besten $1200 \text{ MW(electric)}$ Spaltungsreaktoren (in $1983 \text{ USD}$) auf **$4,2 \text{ Milliarden}$ und $3,1 \text{ Milliarden}$ in 2010 USD** eskaliert wären.
    *   Die **aktuellen** Baukosten der zwei neuen Vogtle-Reaktoren (obwohl kleiner, $1117 \text{ MW(electric)}$) werden auf $\mathbf{\$ 7 \text{ Milliarden}}$ pro Einheit geschätzt.
    *   Diese historischen und aktuellen Fissionskosten dienen als Beleg dafür, dass die **Erhöhung der Baukosten** (z. B. aufgrund von Vorschriften) nicht ungewöhnlich ist, und warnen davor, zu optimistische Lernkurven (wie die im Windkraftbereich) auf begrenzte Nuklearproduktion zu übertragen.
*   **ITER-Kosten (Benchmark):** Die Kosten des **ITER-Projekts** – einer **einmaligen experimentellen Anlage** – werden als **wichtiger Benchmark** (*important benchmark numbers*) für Technologien und Kosten verwendet. Diese Baukosten fließen in die **Anpassung der Unit Costs** für den generischen Reaktor ein, um die realen Kostensteigerungen bei Materialien und die Komplexität des Großprojekts widerzuspiegeln.</t>
  </si>
  <si>
    <t>Die von Ihnen bereitgestellten Kosten (Overnight Construction Costs, OCC) basieren auf den Kostenschätzungen für die **Prometheus IFE Reactor Plants** (Inertial Fusion Energy), die in konstanten **1991 US-Dollar** berechnet wurden.
Da Ihre spezifischen absoluten Werte nicht exakt mit den Gesamt-OCC-Summen übereinstimmen, die in den Quellen explizit für die Prometheus-L- und Prometheus-H-Designs aufgeführt sind, verwende ich die Kostenstrukturen beider Reaktoren (Laser-Option und Schwerionen-Option), da diese die einzigen im Quellmaterial dokumentierten Designs sind.
Die **bereinigten OCC** (OCC ohne Project Contingency, d.h. die Summe aus Total Direct Cost und den Indirekten Kosten 91–94) betragen:
*   **Prometheus-L (Laser):** $3111,27 \text{ Mio. USD}$ (1991)
*   **Prometheus-H (Schwerionen):** $2780,51 \text{ Mio. USD}$ (1991)
Ihre angegebenen Werte liegen nahe an diesen Berechnungen. Im Folgenden wird die prozentuale Aufschlüsselung in die Hauptkategorien **Direkte Kosten** (Total Direct Cost, TDC, Accounts 20–28) und **Indirekte Kosten** (Accounts 91–94) dargestellt.
---
### 1. Prometheus-L (Laser Option)
Die bereinigten OCC für Prometheus-L belaufen sich auf **$3111,27 \text{ Mio. USD}$ (1991)**.
| Kostenkategorie (Accounts) | Absolute Kosten (Mio. 1991 USD) | Anteil am Gesamt-OCC (3111,27 Mio. USD) |
| :--- | :--- | :--- |
| **Total Direct Cost (TDC)** (Acc 20–28) | **2171,67** | **69,80 %** |
| **Total Indirect Costs** (Acc 91–94) | **939,60** | **30,20 %** |
| Indirekte Kosten 91 (Constr Serv &amp; Equip) | 245,40 | 7,89 % |
| Indirekte Kosten 92 (Home Office Engr &amp; Serv) | 112,93 | 3,63 % |
| Indirekte Kosten 93 (Field Office Engr &amp; Serv) | 185,83 | 5,97 % |
| Indirekte Kosten 94 (Owners Cost) | 395,44 | 12,71 % |
| **Gesamte Bereinigte OCC** | **3111,27** | **100,00 %** |
**Anteil der teuersten Direkten Komponenten (Prometheus-L):**
Obwohl die vollständige detaillierte Aufschlüsselung der $2171,67 \text{ Mio. USD}$ (TDC) nicht in den Quellenausschnitten enthalten ist, lassen sich die wichtigsten Komponenten bestimmen:
*   **Reaktoranlagen-Ausrüstung (Account 22):** Die Gesamtkosten für die Reaktoranlagen-Ausrüstung (RPE) des Laser-Designs betragen $\mathbf{700,43 \text{ Mio. USD}}$, was **22,51 %** der gesamten bereinigten OCC ausmacht.
*   **Strukturen und Site Facilities (Account 21):** Die Gesamtkosten betragen $\mathbf{376,86 \text{ Mio. USD}}$, was **12,11 %** der gesamten bereinigten OCC ausmacht.
---
### 2. Prometheus-H (Schwerionen Option)
Die bereinigten OCC für Prometheus-H belaufen sich auf **$2780,51 \text{ Mio. USD}$ (1991)**.
| Kostenkategorie (Accounts) | Absolute Kosten (Mio. 1991 USD) | Anteil am Gesamt-OCC (2780,51 Mio. USD) |
| :--- | :--- | :--- |
| **Total Direct Cost (TDC)** (Acc 20–28) | **1940,64** | **69,80 %** |
| **Total Indirect Costs** (Acc 91–94) | **839,87** | **30,20 %** |
| Indirekte Kosten 91 (Constr Serv &amp; Equip) | 219,29 | 7,89 % |
| Indirekte Kosten 92 (Home Office Engr &amp; Serv) | 100,91 | 3,63 % |
| Indirekte Kosten 93 (Field Office Engr &amp; Serv) | 165,41 | 5,95 % |
| Indirekte Kosten 94 (Owners Cost) | 354,26 | 12,74 % |
| **Gesamte Bereinigte OCC** | **2780,51** | **100,00 %** |
**Anteil der teuersten Direkten Komponenten (Prometheus-H):**
*   **Reaktoranlagen-Ausrüstung (Account 22):** Die Gesamtkosten für die Reaktoranlagen-Ausrüstung (RPE) des Schwerionen-Designs betragen $\mathbf{568,34 \text{ Mio. USD}}$, was **20,44 %** der gesamten bereinigten OCC ausmacht.
**Wichtige Anmerkung:** Der **prozentuale Anteil** der **Total Direct Costs** und der **Total Indirect Costs** an der bereinigten OCC ist in beiden Prometheus-Designs fast identisch ($\sim 70 \%$ vs. $\sim 30 \%$), da das Modell das gleiche Verhältnis der indirekten Kosten zu den direkten Kosten verwendet, basierend auf den Empfehlungen der *Oversight Committee*. Die Abweichung in den absoluten Werten kommt von den unterschiedlichen Kosten für den **Driver Plant Equipment** und der **Reaktoranlagen-Ausrüstung**.</t>
  </si>
  <si>
    <t>1.  **Welche Modellannahmen werden getroffen?**
    Die Studie Prometheus-L und Prometheus-H trifft folgende Modellannahmen:
    *   **Anlagentyp und -größe:** Es werden Entwürfe für **kommerzielle zentrale Stromerzeugungsanlagen** (commercial central station electric power plants) erstellt.
    *   **Produkt:** Die Anlagen sollen ausschließlich **Elektrizität** erzeugen.
    *   **Brennstoffzyklus:** Die Reaktoren arbeiten mit dem **Deuterium-Tritium (D-T) Brennstoffzyklus**, wobei die Bedingungen der Brennstoff-Selbstversorgung in einer ausgereiften Energiewirtschaft erfüllt werden müssen.
    *   **Netto-Elektrische Leistung:** Die Anlagen sind auf eine Netto-Leistung von **1000 MWe** ausgelegt (Prometheus-L: 972 MWe, Prometheus-H: 999 MWe).
    *   **Datenbasis-Extrapolation:** Die physikalischen, technologischen und ökonomischen Daten werden um **etwa 30-40 Jahre in die Zukunft extrapoliert**.
    *   **Technologiereifegrad:** Das Design ist für eine **"tenth-of-a-kind commercial power plant"** (die zehnte ihrer Art), was eine hohe technologische Reife und Optimierung impliziert.
    *   **Anlagenlebensdauer:** 40 Jahre für das Engineering-Design und 30 Jahre für die ökonomische Analyse.
    *   **Anlagenverfügbarkeit (Plant Availability):** Eine hohe Verfügbarkeit wird angestrebt: 79,4 % für Prometheus-L und 80,8 % für Prometheus-H.
    *   **Pulsraten:** Prometheus-L: 5,65 Hertz; Prometheus-H: 3,54 Hertz.
    *   **Währungsbasis:** Alle Kostenangaben beziehen sich auf **1991 US-Dollar**.
    *   **Sicherheit und Umwelt:** Betonung von höchster Sicherheitsstufe (LSA=1, passiv sicher), geringen Umweltauswirkungen und geringer Aktivierung der Abfälle (Class C oder besser).
    *   **Targetfabrik:** Die Targetfabrik befindet sich auf dem Kraftwerksgelände (on-site).
    *   **Treiber- und Target-Typen:** Prometheus-L verwendet einen KrF-Excimer-Laser mit **Direktantriebs-Targets**. Prometheus-H nutzt einen Schwerionen-LINAC mit **Indirektantriebs-Targets**.
    *   **Kavitätsdruck:** Prometheus-L erfordert 3 mtorr (Pb-Dampf) für die Laserpropagation, Prometheus-H erlaubt 100 mtorr (Pb-Dampf).
    *   **Kühlmittel:** Flüssiges Blei (Liquid Lead) schützt und kühlt die erste Wand; Helium (1,5 MPa) kühlt das Blanket.
    *   **Strukturmaterial:** SiC (Siliziumkarbid)-Verbundwerkstoff als primäres Strukturmaterial für Erstwand und Blanket.
2.  **Welche Modell- und Kostenannahmen basieren auf tatsächlichen Erfahrungswerten und welche nur Schätzungen oder Prognosen? Welche Annahmen stammen woher?**
    Die Studie kombiniert bestehende Erfahrungswerte mit umfangreichen Schätzungen und Prognosen:
    *   **Prognosen / Extrapolationen:**
        *   **Generell:** Alle Designs sind "extrapolations of today's technology advanced some 20-30 years into the future", basierend auf einer Extrapolation der Datenbasis um "30-40 years".
        *   **Technologiereifegrad (10th-OAK):** Die Annahme eines "tenth-of-a-kind commercial power plant" ist eine Prognose für die Kostenreduktion und Reife der Technologie, die weit in der Zukunft liegt.
        *   **Target Performance:** Die "Baseline Gain Curves" für Laser- und Schwerionensysteme sind Prognosen, die von der Target Working Group (TWG) bereitgestellt wurden.
        *   **Treiber-Effizienz und Zuverlässigkeit:** Die prognostizierten Treiber-Effizienzen (KrF-Laser 6,5%, Schwerionen 20,6%) und das "ultimate goal for mean firings between failure of ~10^9 amplifier pulses" sind entscheidende Annahmen für die Wirtschaftlichkeit.
        *   **Materialeigenschaften:** Die "Fabricability, Reliability, and Lifetime of SiC Composite Structures" ist als kritisches Thema identifiziert, was bedeutet, dass die genauen Eigenschaften und Herstellungskosten noch Schätzungen sind.
        *   **Kavitätsreinigung:** Die Berechnungen zum Kavitätsdruck und zur Wiederverflüssigung basieren auf Schätzungen für komplexe physikalische Prozesse unter dynamischen Bedingungen.
        *   **Anlagenkosten:** Alle angegebenen "Projected Direct Capital Cost" und "Cost of Electricity" sind Schätzungen für zukünftige, kommerzielle Anlagen.
    *   **Erfahrungswerte / Herkunft:**
        *   **ICCOMO Systemcode:** Der "Inertial Confinement systems performance and Cost Model (ICCOMO)" basiert auf Modellen, die ursprünglich aus der **STARFIRE**-Reaktorstudie (Magnetic Fusion Energy, MFE) entwickelt und später für IFE (Heavy Ion Fusion Systems Assessment, HIFSA) angepasst und aktualisiert wurden.
        *   **Treiberdaten:** Updates der Treiber-Modellierung für Laser stammen von **LANL (Los Alamos National Laboratory) und TRW**. Für Schwerionen stammen sie von **LBL (Lawrence Berkeley Laboratory) und TRW**.
        *   **Target Working Group (TWG):** Diese Gruppe lieferte "unclassified, normalized target data" und Richtlinien für Laser- und Schwerionen-Targets.
        *   **Oversight Committee:** Dieses Komitee stellte "common groundrules and guidelines" für die Studie bereit.
        *   **Balance of Plant (BOP):** Obwohl der Aufwand für BOP begrenzt war, wird davon ausgegangen, dass es sich um eine "mature technology" handelt.
        *   **Tritium-Systeme:** Basieren auf einer "solid foundation of existing IFE technologies" und "state-of-the-art technology".
        *   **Sicherheitsbewertung:** Die Definition des "Level of Safety Assurance (LSA) = 1" stammt aus der **ESECOM-Studie**.
3.  **Falls externe Quellen für die Modell- und Kostenannahmen verwendet wurden – wurden diese modifiziert? Falls ja, wie?**
    *   Die Studie hat die von externen Arbeitsgruppen (wie TWG und Oversight Committee) bereitgestellten "guidelines enhanced and amplified". Dies bedeutet, dass die Basisdaten und -richtlinien detailliert und weiterentwickelt wurden, um sie an die spezifischen Prometheus-Designs anzupassen.
    *   Der **ICCOMO-Code** wurde aus den STARFIRE- und HIFSA-Modellen "updated to assist the design process for this study". Dies impliziert Modifikationen, um die spezifischen Technologien und Designoptionen der Prometheus-Reaktoren abzubilden, unter Berücksichtigung neuester Daten von Partnern wie LANL, TRW und LBL.
    *   Der gewählte Ansatz für den **Schwerionen-LINAC (Einzelstrahl mit Speicherringen)** wurde als "significant cost reduction" gegenüber konventionelleren Multi-Beam-Systemen identifiziert. Dies ist eine bewusste Abweichung und Modifikation der ursprünglich angenommene Schwerionen-Treiberkosten, die von **Ed Lee (Lawrence Berkeley Laboratory)** vorgeschlagenen "lattice scaling" basieren.
    *   Die TWG lieferte "normalized data" für Targets, welche die Studie nutzte, um spezifische Target-Designs (Direktantrieb für Laser, Indirektantrieb für Schwerionen) auszuwählen und "account for those risk factors".
Die Annahmen zu Lernraten im Prometheus IFE Reactor Design wurden detailliert auf Komponentenbasis vorgenommen und basieren auf den Empfehlungen eines Aufsichtsgremiums und früherer Fusionsstudien.
### 5. Wie lautet die Annahme zu Lernraten?
Die Studie verwendet **komponentenspezifische Lernkurven**, wobei die Lernrate in Prozent der Kosten des **ersten kommerziellen Loses** ($1^{\text{st}}$ commercial unit) nach der Fertigung einer bestimmten Menge angibt.
*   **Universal Learning Curve:** Die Studie folgte der Empfehlung des ARIES-Wirtschaftsanalysemodells, das eine **universelle Lernkurve von $\mathbf{75 \%}$** (*75% learning curve*) für Posten annimmt, die in großen Mengen gekauft werden (*large quantity purchases*).
*   **Komponentenspezifische Raten:** Speziell zugewiesene Lernkurven für kritische Reaktorbauteile:
    *   **Hauptwärmeübertragungssystem (Main Heat Transfer, Acc 22.02):** Es wurde ein Lernkurvenfaktor von **$\mathbf{75 \%}$** angewendet. Dies reduziert die Kosten des zehnten kommerziellen Loses auf $0,3846$ des geschätzten ersten Loses.
    *   **Erste Wand und Blanket (Acc 22.01.01):** Die Lernkurve für diese Art der Konstruktion wurde auf ungefähr **$\mathbf{85 \%}$** geschätzt.
    *   **Abschirmung und Vakuumsysteme (Shielding and Vacuum Vessel):** Die Gesamt-Composite-Lernkurve wurde auf **$\mathbf{90 \%}$** geschätzt, ohne dass frühere Einheiten angenommen wurden. Für das Vakuumsystem selbst, das mehr externe Arbeitsleistung erfordert, wurde ein Lernkurvenfaktor von **$85 \%$** angesetzt.
    *   **Targets und Fahrer-Systeme:** Für das **Target Manufacturing Plant** (Acc 26) wird eine **$\mathbf{90 \%}$ Lernkurve** angenommen. Der **Driver Plant Equipment** (Acc 27) wird ebenfalls ein **$90 \%$ Lernkurvenfaktor** zugewiesen.
*   **Keine Lernraten (100 %):** Für bestimmte Konten, die entweder relativ geringe Auswirkungen auf die Gesamtkosten haben oder die durch standortspezifische und plant-spezifische Effekte dominiert werden (z. B. Land, Strukturen und Site Facilities), wurde **keine Lernkurve (Faktor $1.00$)** angewendet.
### 6. Wie wurden die Annahmen zu den Lernraten hergeleitet bzw. von wo stammen diese Annahmen?
Die Annahmen zu den Lernraten stammen aus Richtlinien, die von einem **Oversight Committee** festgelegt wurden, um die Konsistenz mit früheren Fusionsstudien zu gewährleisten.
1.  **ARIES-Richtlinien:** Die Studienanalysen und -methoden waren stark beeinflusst von den Richtlinien der **ARIES-Studien**. Das **Oversight Committee** empfahl, dass die Prometheus-Studie dem Beispiel von **ARIES** folgt. Die ARIES-Wirtschaftsanalyse hatte eine **universelle Lernkurve von $\mathbf{75 \%}$** angewendet, da dieser Wert auf großen Mengenkäufen basiert.
2.  **STARFIRE-Konzept:** Das Konzept der Lernkurve zur Schätzung der Kostenreduzierung bei mengenmäßigen Käufen von Komponenten oder Subsystemen ist seit der **STARFIRE-Studie** etabliert und gut dokumentiert.
3.  **Individuelle Bestimmung:** Obwohl der ARIES-Ansatz die Basis bildete, wurden die Komponenten **individuell untersucht**, um zu bestimmen, welche Lernkurve angewendet werden sollte.
4.  **Technologische Reife:** Die Lernraten berücksichtigen die Tatsache, dass es sich um **Demonstrations- oder Prototyp-Ausrüstung** handelt, deren Kostenreduzierung bei einer großen Anzahl von Käufen signifikant sein wird. Beispielsweise basierte die $85 \%$-Lernkurve für die **Erste Wand und Blanket** auf der Annahme, dass eine vorherige Demonstrationsanlage (*demonstration plant*) bereits gebaut worden wäre.
4.  **Wie lautet die Annahme zu Lernraten?**
    Die Studie trifft die explizite Annahme, dass das Design für eine **"tenth-of-a-kind commercial power plant"** (die zehnte Anlage ihrer Art) erstellt wurde. Diese Annahme impliziert, dass bereits signifikante Lerneffekte aus dem Bau und Betrieb der ersten neun Anlagen eingetreten sind, was zu optimierten Prozessen und reduzierten Kosten führt. Das angestrebte Ziel "cost-effective pathways to economic fusion" und "economic competitiveness" ist eng damit verbunden.
5.  **Wie wurden die Annahmen zu den Lernraten hergeleitet bzw. von wo stammen diese Annahmen?**
    Die Studie **legt keine detaillierte Herleitung spezifischer Lernraten offen**, die zu der "tenth-of-a-kind"-Annahme führen. Die Annahme, ein "tenth-of-a-kind commercial power plant" zu designen, war eine **ökonomische Richtlinie ("economic guideline")**, die vom Oversight Committee und der Studienleitung festgelegt wurde. Solche Annahmen sind typischerweise Teil standardisierter Richtlinien für Kostenabschätzungen zukünftiger Kraftwerke, die davon ausgehen, dass eine Technologie einen kommerziellen Reifegrad erreicht hat und somit von industriellen Lerneffekten profitiert.
6.  **Wird offengelegt, ob die Kostenabschätzung auf einem Bottom-up-, Top-down- oder hybriden Ansatz basiert?**
    Die Kostenabschätzung basiert auf einem **hybriden Ansatz**, der starke Bottom-up-Elemente für die Detailkosten von Subsystemen mit einer Top-down-Systemintegration und -Optimierung kombiniert.
    *   **Bottom-up-Elemente:** Der verwendete "ICCOMO systems analysis code" enthält "parametric scaling and cost models for all major fusion power plant subsystems and design options". Dies deutet auf eine detaillierte, komponentenbasierten Kostenmodellierung hin. Die detaillierte Aufschlüsselung der Kapitalkosten für Hauptanlagenelemente und insbesondere die Vergleichstabelle für LINAC-Kosten, die spezifische Komponenten wie "Injector System", "Accelerator Structure", "Focusing Magnets" auflistet, sind klare Beispiele für einen Bottom-up-Ansatz. In **Appendix C** sind "CAPITAL COST ACCOUNTS" und "COST OF ELECTRICITY ACCOUNTS" detailliert aufgeführt.
    *   **Top-down-Elemente:** Das "Systems Modeling" wird für "system level trade studies" verwendet, um "system effects which influenced the whole of the reactor plant usually in terms of the cost of electricity (COE)" zu bewerten. Sensitivitätsanalysen zum COE in Bezug auf übergeordnete Parameter sind ebenfalls Top-down-Ansätze.
7.  **Beruht die Kostenherleitung auf physikalischen und technologischen Werten?**
    **Ja, die Kostenherleitung beruht maßgeblich auf physikalischen und technologischen Werten.** Die Studie ist darauf ausgelegt, die direkten und indirekten Auswirkungen von physikalischen und technologischen Entscheidungen auf die Wirtschaftlichkeit zu analysieren:
    *   **Treiber-Effizienz (technologisch) und Kosten:** Eine höhere Treiber-Effizienz (z.B. für Schwerionen) führt zu geringerem Strombedarf, physisch kleineren Systemen und niedrigeren Kapitalkosten.
    *   **Target-Gain (physikalisch) und COE:** Ein höherer Target-Gain ermöglicht eine geringere Pulsfrequenz des Treibers, wodurch die Größe und die Kosten des unterstützenden Anlagen-Equipments (Reaktor, Dampferzeuger, Turbinen) reduziert werden können.
    *   **Materialwahl (technologisch) und Kosten/Sicherheit:** Die Auswahl von **SiC** als Strukturmaterial aufgrund seiner geringen Aktivierung und Sicherheitsvorteile hat direkte Auswirkungen auf die Abfallentsorgungskosten ("Class C or better disposal") und reduziert die Notwendigkeit kostspieliger Sicherheitssysteme.
    *   **Driver-Design (technologisch) und Kosten:** Die Entscheidung für den Einzelstrahl-LINAC mit Speicherringen für Prometheus-H wurde aufgrund eines "clear economic advantage" getroffen, der eine "significant cost reduction" verspricht.
    *   **Kavitätsdruck (physikalisch) und Anlagengröße/Kosten:** Der höhere zulässige Kavitätsdruck bei Prometheus-H ermöglicht eine kleinere Reaktorkavität (4,5 m Radius im Vergleich zu 5,0 m bei Prometheus-L), was zu "lower capital costs" und einer "30% reduction in reactor cavity cost" führt.
    *   **Lebensdauer von Komponenten (technologisch):** Innovative Designs wie das Grazing Incidence Metal Mirror (GIMM) für die finale Laseroptik versprechen eine "life-of-plant" Lebensdauer, was Wartungs- und Ersatzkosten erheblich reduziert.
8.  **Werden Materialkosten und Komponentenkosten separat ausgewiesen?**
    **Materialkosten werden nicht als separate, übergeordnete Kategorie ausgewiesen.** Die Studie gliedert die Kapitalkosten jedoch nach **Komponenten- und Systemkategorien**, was eine detaillierte Aufschlüsselung der Anlagenkosten darstellt.
    *   In der **Executive Summary** werden die Kapitalkosten für die "major plant elements" (z.B. Driver Plant, Target Plant, Reactor Plant, Turbine Plant, Electric Plant, Land &amp; Structures, Miscellaneous Plant) aufgeführt.
    *   Für den Schwerionen-Treiber werden in **Tabelle 2.3.2-2** die Kosten für spezifische Komponenten wie "Injector System", "Accelerator Structure", "Focusing Magnets", "Cryogenic System" und andere aufgelistet.
    *   In **Appendix C** sind "CAPITAL COST ACCOUNTS" und "COST OF ELECTRICITY ACCOUNTS" detaillierter aufgeführt. Die Materialkosten sind hier in den jeweiligen Komponentenkosten enthalten, werden aber nicht als eigenständige Summe präsentiert.
9.  **Bezieht sich die Studie auf ein Energiesystem (z.B. Integration, Vergleich mit anderen Technologien) oder ist sie rein bezogen auf die Kosten des Kraftwerks und des Reaktors?**
    Die Studie bezieht sich **umfassend auf ein Energiesystem**, das die **Integration und den Vergleich mit anderen Technologien** einschließt. Sie ist nicht rein auf die Kosten des Kraftwerks und des Reaktors beschränkt.
    *   **Ziele:** Die Prometheus-Designs sind als "commercial central station electric power plants" konzipiert und sollen als Grundlage für die Entwicklung einer "strategy and development plan for a future of energy independence" dienen.
    *   **Vergleichsrahmen:** Die Studie vergleicht die zwei IFE-Designs (Laser- und Schwerionen-Treiber) miteinander und bewertet deren "Economics, Safety and Environment, and R&amp;D Requirements" im größeren Kontext von zukünftigen Energieoptionen.
    *   **Wettbewerbsfähigkeit:** Die Stromgestehungskosten (COE) werden als "comparable to most estimates of fusion power plants and new advanced fission power plants" bewertet, was einen direkten Systemvergleich darstellt.
    *   **Sicherheits- und Umweltaspekte:** Die Betonung auf "safety and environmental attractiveness", geringe Aktivierung von Abfällen ("Class C or better disposal") und das Erreichen von passiver Sicherheit (LSA=1) sind entscheidend für die gesellschaftliche Akzeptanz und die Systemintegration in eine zukünftige Energielandschaft.
    *   **F&amp;E-Strategie:** Die Identifizierung von "Key Technical Issues and R&amp;D Requirements" zielt darauf ab, eine Entwicklungsstrategie für die kommerzielle Einführung der Trägheitsfusion zu definieren.
10. **Welche Kostenreduktionspotenziale oder wirtschaftlichen Optimierungsansätze werden thematisiert?**
    Die Studie behandelt folgende Ansätze zur Kostenreduktion und wirtschaftlichen Optimierung:
    *   **Treiber-Effizienz:** Höhere Treiber-Effizienz führt zu geringerem Bedarf an rezirkulierender Leistung, kleineren Systemen und niedrigeren Kapitalkosten. Die "Demonstration of Higher Overall Laser Driver Efficiency" ist ein kritisches Thema.
    *   **Treiber-Kostenreduktion (Schwerionen):** Die Wahl eines "single beam LINAC" mit Speicherringen wird als "significant cost reduction" gegenüber konventionellen Mehrstrahlsystemen hervorgehoben.
    *   **Target-Gain:** Die "Demonstration of Moderate Gain at Low Driver Energy" ist ein Schlüssel zur Reduzierung der Treiberkosten und der Pulsfrequenz des Reaktors, was die Anlagenkosten insgesamt senkt.
    *   **Materialwahl (Niedrigaktivierung):** Der Einsatz von **SiC** als Strukturmaterial und anderen "low-activation" Materialien reduziert die Radioaktivität und die Kosten für Abfallentsorgung ("Class C or better disposal") und ermöglicht passive Sicherheitssysteme, was die Kapitalkosten senkt.
    *   **Sicherheitsniveau (LSA=1):** Das Erreichen der höchsten Sicherheitsstufe durch passive Mechanismen reduziert die Notwendigkeit teurer Sicherheitssysteme und vereinfacht Genehmigungsverfahren.
    *   **Hohe Zuverlässigkeit und Verfügbarkeit:** Modulare Treiber-Systeme (z.B. Laserverstärker, die bei Ausfall einzelner Module weiterlaufen können) und Fernwartungstechniken erhöhen die Anlagenverfügbarkeit und minimieren Ausfallzeiten, was die Stromproduktion maximiert.
    *   **Lebensdauer von Komponenten:** Innovative Designs für finale Optiken (GIMM) mit "life-of-plant" Lebensdauer reduzieren Ersatz- und Wartungskosten.
    *   **Optimierung der Reaktorkavität:** Eine kleinere Kavität (Prometheus-H) und vereinfachte Strahlführung (z.B. Kanalfokussierung bei Schwerionen) reduzieren die Kosten der Reaktorkavität.
    *   **Abwärmenutzung:** Die Abwärme des KrF-Verstärker-Gassystems wird zur Verbesserung der Systemeffizienz genutzt.
11. **Was sind die signifikantesten Kostentreiber und ökonomischen Herausforderungen laut Studie?**
    Die Studie identifiziert folgende wesentliche Kostentreiber und ökonomische Herausforderungen:
    *   **Treiberkosten:** Der **Treiber ist ein signifikanter Kostentreiber**. Insbesondere Schwerionen-LINACs galten historisch als "very capital intensive". Auch die geringe Effizienz des Laser-Treibers (6,5%) führt zu hohen rezirkulierenden Leistungskosten.
    *   **Target-Produktionskosten:** Die **Produktion von Fusions-Targets ist ein kritisches Problem**, da IFE-Reaktoren enorme Mengen benötigen (ca. 10^8 pro Jahr). Die Technologien dafür sind noch nicht ausreichend entwickelt, und die Kosten sind schwer genau abzuschätzen. Die Komplexität von Indirektantriebs-Targets erhöht diese Kosten zusätzlich.
    *   **Rezirkulierende Leistung (Recirculating Power):** Insbesondere für Prometheus-L ist der Anteil der rezirkulierenden Leistung mit 30% hoch. Dies erhöht die Brutto-Elektroleistung und damit die Kosten für Turbine, Generator und Kühlsysteme.
    *   **Zuverlässigkeit und Lebensdauer von Schlüsselkomponenten:**
        *   **Finale Laseroptiken:** Die "Performance, Reliability, and Lifetime of Final Laser Optics" ist ein kritisches Problem aufgrund der extremen Strahlungsumgebung.
        *   **Treiber-Systeme:** Die "Reliability and Lifetime of Laser and Heavy Ion Drivers" ist entscheidend.
        *   **SiC-Verbundstrukturen:** Die "Fabricability, Reliability, and Lifetime of SiC Composite Structures" in der Erstwand und im Blanket ist eine Schlüsselherausforderung, da deren Lebensdauern noch nicht gut bekannt sind.
    *   **Technologische Unsicherheiten und Entwicklungsrisiken:**
        *   **Target-Gain:** Die "Demonstration of Moderate Gain at Low Driver Energy" ist entscheidend für die Machbarkeit und Wirtschaftlichkeit.
        *   **Direktantriebs-Targets (Laser):** Die Machbarkeit und Leistung sind unsicher, insbesondere bezüglich der Beleuchtungsanforderungen und potenziellen Vorheizeffekte.
        *   **Indirektantriebs-Targets (Schwerionen):** Die Machbarkeit hängt von der Strahlführung und der Target-Startgenauigkeit ab, was noch spekulativ ist.
        *   **Kanalfokussierung (Schwerionen):** Die Fähigkeit, stabile, selbst-fokussierende Transportkanäle zu bilden und genau auf das Target zu richten, ist eine kritische R&amp;D-Herausforderung.
        *   **Kavitätsreinigung:** Das "Cavity Clearing at IFE Pulse Repetition Rates" ist ein komplexes Problem.
    *   **Umfangreicher F&amp;E-Bedarf:** "Many uncertainties exist" und es wird ein "substantial program of R&amp;D" von etwa 2 Milliarden US-Dollar pro Treibertyp benötigt, wobei die Treiber-Target-Entwicklung und -Kopplung die größten und teuersten Teile sind.
    *   **Unzureichende Designreife für detaillierte Kostenanalyse:** Die Studie weist darauf hin, dass man noch nicht den Punkt erreicht hat, an dem eine "systematic item-by-item cost analysis" für ein Ingenieurreaktordesign durchgeführt werden kann.</t>
  </si>
  <si>
    <t>Die von Ihnen berechneten **bereinigten Overnight Construction Costs (OCC)** für das **DEMO2-Referenzmodell** in **2015 US-Dollar** betragen:
$$ \text{Bereinigte OCC} = 6043 \text{ M\$} (\text{Direktkosten}) + 1473 \text{ M\$} (\text{Indirekte Kosten}) = \mathbf{7516 \text{ Millionen USD}} $$
Diese Summe umfasst die Direkten Kosten und die Indirekten Kosten, schließt jedoch die Rücklagen (*Contingency*) von $1009 \text{ M\$} $ aus.
Nachfolgend finden Sie die prozentuale Aufschlüsselung der $7516 \text{ Mio. USD}$ basierend auf den in der Quelle genannten Investitionskosten.
### 1. Aufschlüsselung nach Hauptkategorien
Die bereinigten OCC teilen sich wie folgt in Direkte Kosten (technische Komponenten und Bau) und Indirekte Kosten (Engineering, Management etc.) auf:
| Kostenkategorie | Absolute Kosten (Mio. 2015 USD) | Anteil an $7516 \text{ Mio. USD}$ | Quelle |
| :--- | :--- | :--- | :--- |
| **Direkte Kosten** (*Direct cost*) | **6043** | **80,40 %** | |
| **Indirekte Kosten** (*Indirect cost*) | **1473** | **19,60 %** | |
| **Summe (Bereinigte OCC)** | **7516** | **100,00 %** | |
### 2. Detaillierte Aufschlüsselung der Direkten Kosten
Die **fusionsspezifischen Technologien** machen etwa **75 % der gesamten Direkten Kosten** des Kraftwerks aus. Innerhalb dieser Direkten Kosten ($6043 \text{ Mio. USD}$) ist die prozentuale Aufteilung der einzelnen Komponenten an den **Gesamt-OCC ($7516 \text{ Mio. USD}$)** wie folgt:
| Direkte Komponente | Absolute Kosten (Mio. 2015 USD) | Anteil am Gesamt-OCC (7516 Mio. USD) | Quelle |
| :--- | :--- | :--- | :--- |
| **Magnets** | **2216** | **29,48 %** | |
| **Buildings** | **1027** | **13,66 %** | |
| **Reactor systems** | **862** | **11,47 %** | |
| **Heating &amp; current drive system** | **439** | **5,84 %** | |
| **Turbine plant** | **321** | **4,27 %** | |
| **Maintenance equipment** | **300** | **3,99 %** | |
| **Fuel handling system** | **298** | **3,96 %** | |
| **Cooling systems** | **221** | **2,94 %** | |
| **Control &amp; Diagnostics** | **150** | **1,99 %** | |
| **Cryogenic system** | **99** | **1,32 %** | |
| **Vacuum system** | **39** | **0,52 %** | |
| *Restliche Direkte Kosten* | (0) | (Summe entspricht 80,40 % abzüglich der oben genannten Posten) | |
### Wichtigste Kostentreiber
Die bei Weitem größte Einzelposition innerhalb der gesamten Kapitalkosten (OCC) sind die **Magnets**. Dies reflektiert die technologische Komplexität und die Tatsache, dass die Komponenten des Fusionskerns als **"first-of-a-kind"-Elemente** (*relevant to “first-of-a-kind” items*) und Prototypen angesehen werden, die relativ teuer im Bau sind.
Die **Buildings** (Gebäude) sind die zweitgrößte Einzelposition der Direkten Kosten.</t>
  </si>
  <si>
    <t>Der folgende Überblick basiert auf der *Ex-ante*-Wirtschaftlichkeitsanalyse des europäischen **DEMO2**-Fusionskraftwerksmodells. Die Kosten werden in konstanten **2015 US-Dollar** angegeben.
### 1. Welche Modellannahmen werden getroffen?
Die Analyse verwendet das **Europäische Referenzmodell des Demonstrations-Fusionskraftwerks DEMO2**, vorgeschlagen vom EUROfusion-Konsortium im Jahr 2015.
**Finanzielle und Betriebliche Annahmen:**
*   **Basis:** Übernacht-Kosten (*overnight costs*).
*   **Abzinsungssatz:** Es wird ein realer Abzinsungssatz von **$7 \%$** verwendet.
*   **Währung:** Alle Berechnungen werden in **US-Dollar** durchgeführt, basierend auf dem Preisniveau von 2015.
*   **Einkommensteuersatz:** Konservativ wird der deutsche Körperschaftssteuersatz von **$30 \%$** angenommen.
*   **Wirtschaftliche Lebensdauer:** Die Betriebsdauer der Anlage wird mit **40 Jahren** angesetzt.
*   **Phasen-Dauer:** Die technische Vorbereitungsphase, die Bauphase und die Stilllegungsphase dauern jeweils **zehn Jahre**.
*   **Betriebsverfügbarkeit:** Die Verfügbarkeit der Anlage (*Plant availability fraction*) wird mit **$75 \%$** angenommen.
**Physikalische und Technische Annahmen (DEMO2):**
*   **Reaktortyp:** Tokamak, Deuterium-Tritium-Reaktion (D-T).
*   **Leistung:** Die Netto-elektrische Leistung beträgt $\mathbf{953 \text{ MW}}$ (brutto $1660 \text{ MW}$).
*   **Thermal Output:** Die thermische Leistung des Reaktors ($4149 \text{ MW}$) ist höher als die Fusionsleistung ($3255 \text{ MW}$), da sie auch die bei der Tritium-Erzeugung freigesetzte Wärme und die rückzirkulierte Heizleistung enthält.
*   **Eigenverbrauch:** Der Eigenverbrauch der Anlage (*Plant self-consumption*) ist mit $\mathbf{707 \text{ MW}}$ sehr hoch (vergleichbar mit der Nettoleistung) und beinhaltet unter anderem das Plasma-Heiz- und Stromantriebssystem (*heating and current drive system*).
*   **Komponenten-Lebensdauer:** Aufgrund der hohen Hitze- und Neutronenbelastung wird die erwartete Lebensdauer spezifischer nuklearer Komponenten (z. B. First Wall, Blanket) deutlich kürzer sein (zwischen **4,5 und 10,5 Jahre**) als die Anlagenlebensdauer.
### 2. Welche Modell- und Kostenannahmen basieren auf tatsächlichen Erfahrungswerten und welche nur Schätzungen oder Prognosen? Welche Annahmen stammen woher?
| Annahme | Basis | Herkunft / Quelle |
| :--- | :--- | :--- |
| **Fusionsspezifische Kosten (DEMO2)** | **Schätzung/Prognose** (Grobe Schätzung) | Die Kosten basieren auf **konzeptionellen Designaktivitäten** und spiegeln den **Mangel an Know-how** (*lack of know-how*) und die **Risiken** (*risks involved*) der Produktion wider. |
| **Kosten für Fusionskern-Komponenten** | **Schätzung/Prototyp-Erfahrung** | Die Stückkosten sind relevant für **"first-of-a-kind"-Elemente** (*relevant to “first-of-a-kind” items*), die effektiv **Prototypen** sind. |
| **Nicht-Fusions-Technologien** | **Tatsächliche Erfahrung** | Unsicherheit wird durch die Verwendung **standardisierter, bewährter Nicht-Fusionstechnologien** (*standardized proven non-fusion technologies*) reduziert. |
| **Vergleichsdaten** | **Tatsächliche Erfahrung/Statistik** | Statistische Daten über Investitionskosten und LCOE anderer Kraftwerke stammen von der **OECD**. |
| **Externe Kosten** | **Tatsächliche Erfahrung/Studien** | Externe Kosten werden basierend auf dem **ExternE EU-finanzierten Forschungsprojekt** geschätzt. |
| **Risikoreduktion** | **Tatsächliche Erfahrung** | Die Verwendung von Technologie **betriebener Kernkraftwerke** (*operated nuclear power plants*) reduziert technische und wirtschaftliche Risiken aufgrund vorhandener Erfahrungen. |
| **Inflation/Währung** | **Tatsächliche Daten** | Inflations- und Handelswechselkurse für die Konvertierung auf das Preisniveau 2015 stammen von der **Europäischen Zentralbank** (*European Central Bank*). |
### 3. Falls externe Quellen für die Modell- und Kostenannahmen verwendet wurden – wurden diese modifiziert? Falls ja, wie?
Das **DEMO2-Referenzmodell** wurde vom **EUROfusion-Konsortium** im Jahr 2015 erstellt. Für die Analyse wurden die Daten dieses Modells in **konstanten 2015-Preisen** verwendet.
*   **Externe Preisquellen:** Inflations- und Handelswechselkurse der Europäischen Zentralbank wurden zur Konvertierung auf das Preisniveau von 2015 verwendet.
*   **Externe Daten für den Vergleich:** Die Vergleichsdaten für andere Kraftwerke (LCOE, Investitionskosten) stammen von der **OECD** und die Externalitäten von der **ExternE**-Methodik. Die Daten der *European Fusion Development Agreement* (2005) wurden ebenfalls auf das Preisniveau von 2015 **neu berechnet**.
*   **Steuersatz:** Der Einkommensteuersatz wurde konservativ vom **deutschen Körperschaftssteuersatz** übernommen.
### 4. Wie lautet die Annahme zu Lernraten?
Es wird **keine spezifische Lernrate** in die Berechnung der Kosten des DEMO2-Referenzmodells integriert.
Die Studie **prognostiziert** jedoch, dass die Investitionskosten von Fusionskraftwerken **"vom ersten Kraftwerk an sicherlich sinken"** (*will certainly decrease from the first plant onwards*) werden, da das Know-how schrittweise erworben wird.
### 5. Wie wurden die Annahmen zu den Lernraten hergeleitet bzw. von wo stammen diese Annahmen?
Die Annahme stammt aus der **allgemeinen Industrieforschung** und dient als Argumentationsgrundlage für das langfristige Potenzial der Fusionsenergie:
*   Es wird auf die allgemeine Beobachtung verwiesen, dass in einem durchschnittlichen, neuartigen Industrieprojekt mit Hochtechnologie (*average high-tech novel industrial project*) eine Kostensenkung von **bis zu 40 % beim zehnten Kraftwerk** erreicht werden kann.
*   Es wird argumentiert, dass Fusionskraftwerke, im Vergleich zu bereits etablierten Systemen wie Wind und Photovoltaik, die bereits seit Jahrzehnten auf dem Markt sind, sogar **weiteres Reduktionspotenzial** bieten.
### 6. Wird offengelegt, ob die Kostenabschätzung auf einem Bottom-up-, Top-down- oder hybriden Ansatz basiert?
Obwohl die Klassifizierung nicht explizit genannt wird, basiert die Kostenabschätzung auf einem **detaillierten Bottom-up-Ansatz** für die Fusionsspezifischen Komponenten:
*   Das DEMO2-Modell wurde mithilfe eines **spezialisierten Systemcodes PROCESS** erstellt, der für die physikalische, technische und wirtschaftliche Modellierung von Fusionskraftwerken konzipiert ist.
*   Die Kosten sind in **standardisierte Abrechnungskategorien** aufgeteilt.
*   Die Kosten der Fusionskern-Komponenten werden als relevant für **"first-of-a-kind"-Elemente** angesehen, die aufgrund des Baus von Prototypen und Spezialwerkzeugen **relativ teuer im Bau** sind.
### 7. Beruht die Kostenherleitung auf physikalischen und technologischen Werten?
**Ja.** Die Kostenherleitung beruht stark auf physikalischen und technologischen Werten:
*   **Kernkomponenten-Kosten:** Die Kosten des Fusionskraftwerks werden maßgeblich von den **angenommenen Investitionskosten** und den **Kosten für die austauschbaren nuklearen Komponenten** bestimmt.
*   **Technologische Notwendigkeit:** Die extrem hohen Kosten für die **Magnete** ($2216 \text{ M\$} $) spiegeln die Notwendigkeit eines **robusten Magnetsystems** zur Plasmaeinsperrung wider.
*   **Lebensdauer/Belastung:** Die **kurze erwartete Lebensdauer** der nuklearen Komponenten (4,5 bis 10,5 Jahre) aufgrund der hohen **Hitze- und Neutronenbelastung** (*high heat and neutron loading*) führt zu sehr hohen Kosten für den Ersatz dieser Komponenten ($13,61 \text{ \$/MWh}$).
*   **Effizienz:** Die hohe **Eigenverbrauchsrate** ($707 \text{ MW}$) des Plasma-Heiz- und Stromantriebssystems beeinflusst die Nettoleistung und damit die Wirtschaftlichkeit stark.
### 8. Werden Materialkosten und Komponentenkosten separat ausgewiesen?
*   **Komponentenkosten:** **Ja**. Die Direkten Kosten werden detailliert nach **Standard-Abrechnungskategorien** (*standard accounting categories*) und Hauptkomponenten ausgewiesen (z. B. Magnets $2216 \text{ M\$}$, Buildings $1027 \text{ M\$}$).
*   **Materialkosten:** Die **reinen Materialkosten** sind **nicht separat** ausgewiesen. Die Kosten für die Komponenten des Fusionskerns spiegeln die **Stückkosten** für die Herstellung von **Prototypen** und Spezialwerkzeugen wider.
### 9. Bezieht sich die Studie auf ein Energiesystem (z. B. Integration, Vergleich mit anderen Technologien) oder ist sie rein bezogen auf die Kosten des Kraftwerks und des Reaktors?
Die Studie befasst sich primär mit den **Kosten des Kraftwerks und des Reaktors** (COE, LCOE), erweitert den Rahmen aber auf einen **systemweiten Vergleich** (Energiesystem):
*   **Vergleichsbasis:** Die Ergebnisse werden mit dem LCOE und den Investitionskosten von Gas-, Kohle-, Kernspaltungs-, Photovoltaik- und Windkraftwerken verglichen.
*   **Externe Kosten (TCOE):** Durch die Berechnung des **Total Levelized Cost of Electricity (TCOE)**, der die **externen Kosten** (*External costs*) basierend auf der ExternE-Methodik internalisiert, wird der systemische Umwelteinfluss bewertet.
*   **Systemintegration:** Es wird argumentiert, dass Fusionskraftwerke im Gegensatz zu erneuerbaren Energien keine **fossilen Backup-Ressourcen** benötigen und ohne die durch Tageslicht oder Wetter verursachten **Schwankungen** produzieren.
### 10. Welche Kostenreduktionspotenziale oder wirtschaftlichen Optimierungsansätze werden thematisiert?
1.  **Technologischer Fortschritt in der Magnetik:** Der Fortschritt bei **Hochtemperatur-Supraleiterkabeln** (*high-temperature superconductor cables*) könnte den Bau kleinerer, aber leistungsfähigerer Tokamaks ermöglichen, was die Investitionskosten reduzieren würde.
2.  **Reduktion des Eigenverbrauchs:** Die **Steigerung der Nettoeffizienz** (z. B. von $23 \%$ auf $30 \%$) würde den Grenzverkaufspreis des Stroms um **$21 \%$** senken. Dies hängt hauptsächlich von der **Reduzierung des Verbrauchs** des Plasma-Heizsystems ab.
3.  **Lerneffekte:** Es besteht großes Potenzial, die Investitionskosten aufgrund von **technologischer Forschung und Entwicklung** sowie der schrittweisen Reduzierung des Mangels an Know-how zu senken.
4.  **Optimierung und Standardisierung:** Im Gegensatz zur Spaltungsindustrie, wo die Kosten für die nukleare Sicherheit steigen, wird erwartet, dass die Kosten für Fusionsanlagen aufgrund von **Verbesserung, Optimierung und Standardisierung** der Technologie sinken.
### 11. Was sind die signifikantesten Kostentreiber und ökonomischen Herausforderungen laut Studie?
**Signifikanteste Kostentreiber (Dominanz in COE/Investitionskosten):**
1.  **Magnete:** Die Kosten für die Magnete ($2216 \text{ M\$}$) stellen die **größte Einzelposition** der Investitionskosten dar (etwa $29,5 \%$ der bereinigten OCC).
2.  **Anlageninvestitionskosten (Abschreibung):** Die **hohe Abschreibung** (*Depreciation*) ist der größte Kostenanteil am COE (ohne Cost of Money, $34,11 \text{ \$/MWh}$).
3.  **Kosten für ersetzbare Komponenten:** Die **laufenden Kosten** für den Ersatz beschädigter nuklearer Komponenten sind mit $13,61 \text{ \$/MWh}$ der größte Anteil der jährlichen Betriebskosten.
**Ökonomische Herausforderungen:**
*   **Hohe Investitionskosten:** Die Gesamtinvestitionskosten von $8525 \text{ M\$}$ sind sehr hoch, was sich im LCOE von $160,3 \text{ \$/MWh}$ widerspiegelt.
*   **Wettbewerbsfähigkeit:** Der ermittelte Grenzverkaufspreis von $175 \text{ \$/MWh}$ ist **mehrere Male höher** als der aktuelle Marktpreis ($\sim 34 \text{ \$/MWh}$). Das Projekt ist ohne öffentliche Förderung derzeit unrentabel.
*   **Unsicherheit und Know-how:** Der **Mangel an Know-how** (*lack of know-how*) und die **Risiken** der Fusionskern-Produktion führen zu hohen Kosten, da die Komponenten effektiv **Prototypen** sind.
*   **Hoher Eigenverbrauch:** Der hohe Eigenverbrauch der Anlage, insbesondere für die Plasmaheizung, ist ein Problem für die Netto-Produktion.</t>
  </si>
  <si>
    <t>Die Studie führt einen detaillierten Vergleich der Stromgestehungskosten (LCOE) und der Gesamtstromgestehungskosten (TCOE) des **DEMO2**-Fusionskraftwerksmodells mit etablierten Energieerzeugungstechnologien durch.
### Ergebnis des Kostenvergleichs
Das Hauptziel der Studie ist es, die zukünftige Wettbewerbsfähigkeit der Fusionsenergie zu demonstrieren, indem die Umweltkosten (Externalitäten) in die Berechnung einbezogen werden.
#### 1. Investitionskosten (Capital Investment)
*   Die Analyse zeigt, dass die **Investitionskosten** für den Bau von Fusionskraftwerken **sehr hoch** sind.
#### 2. Stromgestehungskosten (LCOE)
*   Der durchschnittliche LCOE des Fusionsmodells liegt **höher** als der durchschnittliche LCOE von Kernspaltungs- und Fossilkraftwerken.
*   Gleichzeitig ist der durchschnittliche LCOE von Fusion **niedriger** als der durchschnittliche subventionierte Produktionspreis von Wind- und Photovoltaikanlagen.
*   Das Modell errechnet für DEMO2 einen LCOE von $\mathbf{160,3 \text{ \$/MWh}}$.
#### 3. Gesamtstromgestehungskosten (TCOE, inklusive externer Kosten)
*   Wenn die **externen Kosten** (*External costs*), d. h. die Umwelt- und Gesundheitsauswirkungen, in die Kostenberechnung einbezogen werden (TCOE), **ändert sich die Rangfolge der Quellen signifikant**.
*   **Ergebnis:** Unter Berücksichtigung der Internalisation externer Kosten werden Fusionskraftwerke zur **wirtschaftlich zweitgünstigsten Energiequelle**.
*   Begründet wird dies dadurch, dass Fusion im Vergleich zu allen anderen analysierten Quellen die **niedrigsten externen Kosten** verursacht.
### Vergleichsbasis (Historische Werte vs. Zukunftsgerichtete Projektionen)
Die Studie verwendet eine **hybride Vergleichsbasis**:
#### Zukunftsgerichtete Projektionen (Fusionsdaten)
*   Die Daten für das **DEMO2-Modell** und die **anderen Fusionsdaten** (PPCS-Studien) basieren auf **konzeptionellen Projekten**.
*   Die Ergebnisse werden als **"Approximation der Wirtschaftlichkeit der ersten Fusionskraftwerke"** (*approximation of economy of the first fusion power plants*) betrachtet, deren Inbetriebnahme für **2050** geplant ist.
*   Da der Bau von DEMO2 nicht vor der zweiten Hälfte des Jahrhunderts beginnen wird, werden die Daten explizit als **"nur eine grobe Schätzung"** (*only a rough estimate*) betrachtet, obwohl die Unsicherheit durch die Verwendung bewährter Nicht-Fusionstechnologien reduziert wird.
#### Historische und aktuelle statistische Werte (Benchmark-Daten)
*   Die Kosten und LCOE-Werte für die verglichenen bestehenden Kraftwerkstypen (Gas, Kohle, Kernspaltung, PV, Wind) stammen aus **statistischen Daten**.
*   Die verwendeten Daten wurden von der **OECD** im Jahr 2015 veröffentlicht. Die Analyse basiert auf statistischen Daten von **181 betriebenen Anlagen** in 22 Ländern.
*   Diese statistischen Daten spiegeln die **aktuellen und historischen** Kosten der Energieerzeugung wider.
#### Externe Kosten
*   Die **externen Kosten** für alle Energiequellen werden mithilfe des **ExternE EU-finanzierten Forschungsprojekts** geschätzt. Diese Methode ist eine anerkannte, aber modellbasierte Projektion der Umweltschäden.</t>
  </si>
  <si>
    <t>Die Studie von Vaillancourt et al. (2008) verwendet das **World-TIMES-Modell** zur Analyse der Rolle der Kernenergie in langfristigen Klimaszenarien bis zum Jahr 2100. Der Vergleich der Kernfusion mit anderen Energieerzeugungstechnologien ergibt, dass Fusion unter den aktuellen Kostenannahmen **nicht wettbewerbsfähig** ist.
### 1. Ergebnis des Kostenvergleichs
Das Ergebnis der Modellierung zeigt, dass Fusionsreaktoren aufgrund ihrer hohen initialen Investitionskosten nicht sofort marktfähig sind:
*   **Mangelnde Wettbewerbsfähigkeit:** Die aktuellen Designs von Kernfusionsreaktoren sind in Nicht-Interventionsszenarien (ohne strenge globale Treibhausgasgrenzwerte) **nicht wettbewerbsfähig** (*not competitive*).
*   **Markteintrittsbarriere:** Der Markteintritt von Kernfusion (der ab 2050 möglich wäre) erfolgt im Modell erst spät, nämlich ab **2080**.
*   **Erforderliche Kostenreduktion:** Damit Fusionsreaktoren bereits bei ihrer Verfügbarkeit im Jahr 2050 wettbewerbsfähig werden und in den Markt eintreten, müssten die Investitionskosten um **bis zu 35% reduziert** werden.
*   **Marktanteil in Klimaszenarien:** Nur unter **strengen Klimazielen** (450 ppmv CO2-Konzentration) kann die Kernfusion einen signifikanten Marktanteil gewinnen: Sie trägt **$1500 \text{ GW}$** zur installierten Gesamtkapazität in 2100 bei und hat dann einen Marktanteil von **$23 \%$** an der gesamten nuklearen Kapazität. Selbst in diesem Szenario ist die Kernfusion empfindlich: Eine Kostensteigerung von nur $10 \%$ würde ihren Marktanteil stark reduzieren.
### 2. Vergleichsbasis (Historische Werte vs. Zukunftsgerichtete Projektionen)
Der Vergleich basiert primär auf **zukunftsgerichteten Projektionen** der Kosten für eine Vielzahl von Technologien, die über den 100-jährigen Modellhorizont (2000–2100) verfügbar werden, während historische Daten zur Kalibrierung dienen.
#### Zukunftsgerichtete Projektionen (Primärer Fokus)
Die Kosten für Fusionsreaktoren ($5670 \text{ US\$/KW}$) werden gegen die prognostizierten Kosten anderer **zukünftiger Technologien** verglichen, die im Modell verfügbar sind:
*   **Gegen andere fortschrittliche Nukleartechnologien:** Fusion wird gegen die Kosten von **Advanced Light Water Reactors (A-LWR)** ($2646 \text{ US\$/KW}$) und **Pebble Bed Modular Reactors (PBMR)** ($3213 \text{ US\$/KW}$) antreten. Diese neuen Kernspaltungstechnologien sind ab 2028 (PBMR) bzw. in der laufenden Dekade (A-LWR) verfügbar.
*   **Gegen fortgeschrittene Fossile Anlagen:** Fusion konkurriert auch mit **"Clean Coal"**-Technologien (z. B. IGCC mit CO2-Abscheidung), die ab 2005 und 2020 verfügbar sind.
*   **Kostenherkunft:** Die Kostenannahmen für alle Kerntechnologien basieren auf **Experten-Schätzungen** des US Department of Energy (DOE) und wurden mit Literaturdaten validiert. Diese Schätzungen sind notwendig, da die Technologien (insbesondere Fusion, verfügbar ab 2050) noch in der Entwicklung sind (z. B. durch das ITER-Projekt).
#### Historische/Aktuelle Werte (Als Basis und Benchmark)
*   **Modellkalibrierung:** Das World-TIMES-Modell wird für das Basisjahr (2000) anhand **aktueller IEA-Statistiken** kalibriert.
*   **Existierende Technologien:** Technologien, die bereits verfügbar sind (z. B. die erste Generation von LWR oder konventionelle Kohle- und Gasanlagen, verfügbar ab 2003), basieren auf Parametern, die deren aktuelle oder kurzfristige Kosten widerspiegeln.
*   **Kostenbasis:** Alle Kosten sind in konstanten **2000 US-Dollar** angegeben, um die Kosten im Zeitverlauf vergleichbar zu halten.</t>
  </si>
  <si>
    <t>Die folgende Analyse basiert auf der Modellierung von Fusionskraftwerken im **World-TIMES-Modell** (Vaillancourt et al., 2008).
### 1. Welche Modellannahmen werden getroffen?
Die Modellierung basiert auf dem **World-TIMES-Bottom-up-Modell** (*World-TIMES bottom-up model*), einem linearen Optimierungsmodell, das das gesamte Energiesystem von 15 globalen Regionen über einen **100-jährigen Zeithorizont** (2000–2100) optimiert.
**Wirtschaftliche und Systemannahmen:**
*   **Zielsetzung:** Minimierung der gesamten **diskontierten Systemkosten** (*total discounted system cost*), während Umwelt- und technische Beschränkungen eingehalten werden.
*   **Abzinsungssatz:** Die Kosten werden in allen Regionen auf das Jahr 2000 diskontiert, mit einem Abzinsungssatz von **$5 \%$**.
*   **Währung:** Kosten sind in **2000 US-Dollar** angegeben.
*   **Nachfrage:** Endverbrauchernachfragen (*End-use demands*) basieren auf sozioökonomischen Annahmen, die mit der **IPCC B2-Storyline** konsistent sind, wobei die Nachfrage elastisch auf Preise reagiert.
**Fusionsspezifische Annahmen:**
*   **Technologie:** **Fusion Power Reactors**. Sie basieren auf Kernfusion und verwenden **Tritium**, das aus **Lithium** gewonnen wird, im Gegensatz zu Fissionsreaktoren, die Uran verwenden.
*   **Verfügbarkeit:** Die Technologie ist für **kommerzielle Zwecke** (*commercial uses*) ab dem **Startjahr 2048** geplant.
*   **Lebensdauer:** Die wirtschaftliche Lebensdauer beträgt **40 Jahre**.
*   **Ressourcen:** Die Lithiumreserven werden als **unbegrenzt** betrachtet (*considered unlimited*), da sie für Tausende von Jahren verfügbar sein werden.
### 2. Welche Modell- und Kostenannahmen basieren auf tatsächlichen Erfahrungswerten und welche nur Schätzungen oder Prognosen? Welche Annahmen stammen woher?
| Annahme | Basis (Erfahrung/Schätzung) | Herkunft / Quelle |
| :--- | :--- | :--- |
| **Kostenparameter (Investition, O&amp;M)** | **Schätzung/Prognose.** | Basieren auf **Experten-Schätzungen des US Department of Energy (DOE)** (*US Department of Energy (DOE) expert’s estimations*) und wurden mit Schätzungen aus der Literatur validiert (NEA, OECD, Tokimatsu et al.). |
| **Technologie-Status** | **Tatsächliche Erfahrung/Entwicklung.** | Kernfusion befindet sich **aktuell in der Entwicklung** (*currently under development*) durch das **ITER-Projekt** (*International Thermonuclear Experimental Reactor*). |
| **Markteintrittsjahr (2048/2050)** | **Prognose/Literatur-Konsens.** | Entspricht der **durchschnittlichen Schätzung** (*average estimate*) von Fiore (2006) und Hamacher und Sheffield (2004). |
| **Fixe O&amp;M-Kosten** | **Schätzung/Modellparameter.** | Liegen zwischen **$51$ und $77 \text{ US\$} / \text{KW}$** (2000er USD). |
| **Basisjahr Kalibrierung** | **Tatsächliche Erfahrung.** | Das Modell ist im Basisjahr 2000 anhand der **IEA-Statistiken** (*IEA statistics and balances*) kalibriert. |
| **Ressourcen** | **Schätzung/Modellannahme.** | Lithiumreserven sind als **unbegrenzt** angenommen. Uranreserven werden durch eine **Vier-Stufen-Angebotskurve** modelliert. |
### 3. Falls externe Quellen für die Modell- und Kostenannahmen verwendet wurden – wurden diese modifiziert? Falls ja, wie?
Die **Kostenannahmen** für Kernfusion und Kernspaltung basieren auf DOE-Experten-Schätzungen und wurden mit **veröffentlichten Schätzungen** in der Literatur (NEA, OECD) **validiert** (*validated with the estimates already published*).
Es wird jedoch **nicht offengelegt**, dass die originären externen Kostenannahmen (*expert’s estimations*) **modifiziert** wurden, bevor sie in das Modell eingegeben wurden. Die Kosten werden lediglich auf die interne Währung und das Basisjahr des Modells (2000 US-Dollar) umgerechnet.
### 4. Wie lautet die Annahme zu Lernraten?
Die Studie **enthält keine explizite Lernraten-Annahme** (z. B. eine prozentuale Reduktion pro Verdopplung der Kapazität) für Fusionsreaktoren in ihren Standardparametern.
Allerdings impliziert die Sensitivitätsanalyse eine notwendige Kostenreduktion: Damit Fusionsreaktoren bereits bei ihrer Verfügbarkeit im Jahr 2050 in den Markt eintreten können, müssten die Investitionskosten um **bis zu 35 % reduziert** werden.
### 5. Wie wurden die Annahmen zu den Lernraten hergeleitet bzw. von wo stammen diese Annahmen?
Da keine expliziten Lernraten in das Modell integriert sind, gibt es keine Herleitung von externen Quellen für diese Annahme.
Die **Schlussfolgerung**, dass eine Kostenreduktion von $35 \%$ notwendig ist, stammt aus einer **Sensitivitätsanalyse** (*sensitivity analysis*) des World-TIMES-Modells selbst, die untersucht, unter welchen Investitionskosten die Fusionsreaktoren wettbewerbsfähig werden.
### 6. Wird offengelegt, ob die Kostenabschätzung auf einem Bottom-up-, Top-down- oder hybriden Ansatz basiert?
Das **World-TIMES-Modell** selbst ist ein **Bottom-up-Modell**. Es repräsentiert das gesamte Energiesystem durch detaillierte Technologien, deren wirtschaftliche und technologische Parameter eingegeben werden.
Die **zugrundeliegende Kostenherleitung** für die Fusionsreaktoren ist nicht detailliert beschrieben (die Kosten stammen von DOE-Experten-Schätzungen), aber die Strukturierung der Kosten in Investment Cost ($/KW$), Fixed O&amp;M Cost ($/KW$) und Variable O&amp;M Cost ($/GJ$) folgt einem **Bottom-up-Ansatz** der Technologiebeschreibung.
### 7. Beruht die Kostenherleitung auf physikalischen und technologischen Werten?
**Ja.** Die Kostenherleitung beruht auf grundlegenden technologischen Annahmen, die sich auf das physische Design auswirken:
*   **Technologie-Typ:** Die Kosten sind spezifisch für **Fusion Power Reactors** (Tokamak-Typ).
*   **Brennbarkeit/Ressource:** Die Kosten spiegeln die Annahme wider, dass der Brennstoff (Lithium/Tritium) praktisch **unbegrenzt** verfügbar ist.
*   **Betriebs- und Entsorgungskosten:** Die **Variablen O&amp;M-Kosten** umfassen die Entsorgung abgebrannter Brennstoffe, die Wiederaufbereitung und Konditionierung von Abfällen (*spent fuel disposal, reprocessing and waste conditioning, and waste disposal*), was eine technologische Herausforderung der Fusion widerspiegelt.
*   **Lebensdauer:** Die Annahme einer Lebensdauer von **40 Jahren** ist ein technischer Parameter, der in die Kostenberechnung einfließt.
### 8. Werden Materialkosten und Komponentenkosten separat ausgewiesen?
**Nein.** Die Investitionskosten werden nur als **Gesamtkosten pro Kapazitätseinheit ($/KW$)** für den gesamten Reaktorblock ausgewiesen ($5670 \text{ US\$/KW}$ im Minimum-Szenario).
Die Betriebs- und Wartungskosten werden in fixe und variable Anteile aufgeteilt, aber **nicht nach spezifischen Komponenten- oder Materialkosten** (z. B. Spulen oder Schild).
### 9. Bezieht sich die Studie auf ein Energiesystem (z. B. Integration, Vergleich mit anderen Technologien) oder ist sie rein bezogen auf die Kosten des Kraftwerks und des Reaktors?
Die Studie bezieht sich explizit auf das **gesamte Energiesystem**.
*   **Modellrahmen:** Das **World-TIMES-Modell** ist ein integriertes Modell, das die Rolle von Kernenergie im Kontext von langfristigen **Klimaszenarien** analysiert, indem es 15 Regionen und eine Vielzahl von Energieformen (Extraktion, Transformation, Verteilung, Endverbräuche und Handel) abdeckt.
*   **Vergleich und Integration:** Fusion wird in direkten Wettbewerb mit über 50 anderen zentralisierten und dezentralisierten Elektrizitätstechnologien gestellt. Das Modell bewertet die Technologieauswahl basierend auf der Minimierung der Gesamtsystemkosten, während **GHG-Emissionsgrenzwerte** (450 ppmv und 550 ppmv) eingehalten werden.
### 10. Welche Kostenreduktionspotenziale oder wirtschaftlichen Optimierungsansätze werden thematisiert?
1.  **Reduktion der Investitionskosten:** Die signifikanteste Optimierung ist die Notwendigkeit, die **Investitionskosten zu senken**. Eine Reduktion um **35 %** würde die Fusion mit anderen Technologien konkurrenzfähig machen und den Markteintritt auf 2050 vorziehen.
2.  **Markteintritt durch Klimapolitik:** Obwohl keine direkte Optimierung der Technologie selbst, ist das größte Potenzial der Fusion ihre **GHG-Emissionsfreiheit** (*non-GHG-emitting energy*). In Szenarien mit strengen Klimazielen (450 ppmv) wird sie wettbewerbsfähig, da sie die Kohlenstoffkosten vermeidet, denen fossile Konkurrenten ausgesetzt sind.
3.  **Zukünftige R&amp;D:** Die Studie erwähnt, dass viele Länder in die Forschung und Entwicklung von Nukleartechnologien investieren (*investing in nuclear research and development*), um deren zukünftige Penetration zu fördern.
### 11. Was sind die signifikantesten Kostentreiber und ökonomischen Herausforderungen laut Studie?
**Signifikanteste Kostentreiber:**
*   **Investitionskosten (CAPEX):** Die Fusion Power Reactors haben die **höchsten Investitionskosten** (*highest investment costs*) aller im TIMES-Modell berücksichtigten Kerntechnologien: **$5670 \text{ US\$} / \text{KW}$** im Minimum-Szenario (2000er USD).
**Ökonomische Herausforderungen:**
*   **Mangelnde Wettbewerbsfähigkeit:** Die primäre Herausforderung ist, dass Fusionsreaktoren in Nicht-Interventionsszenarien **"nicht wettbewerbsfähig"** (*not competitive*) sind und nur unter strengen Klimazielen einen signifikanten Marktanteil gewinnen.
*   **Sensitivität gegenüber Kostensteigerungen:** Die Technologie ist extrem empfindlich gegenüber höheren Kosten. Eine Investitionskostensteigerung von nur **$10 \%$** würde die Kernfusion fast vollständig vom Markt verdrängen.
*   **Hohe Markteintrittsbarriere:** Aufgrund der hohen Kosten würde die Fusion unter reinen techno-ökonomischen Parametern **nicht vor dem Ende des Jahrhunderts** in den Markt eintreten.</t>
  </si>
  <si>
    <t>Diese Analyse basiert auf der Studie zur **Kostenbewertung eines Tokamak-Fusionsreaktors mit einer erfinderischen Methode zur Bestimmung des optimalen Aufbaus** von Jo et al. (2021).
### 1. Welche Modellannahmen werden getroffen?
Die Studie verwendet eine **gekoppelte Systemanalyse** (*coupled systems analysis*), um den **minimalen Hauptradius ($R_0$)** und den **optimalen Aufbau** eines Tokamak-Fusionsreaktors zu bestimmen, der gleichzeitig alle physikalischen, ingenieurtechnischen und neutronischen Einschränkungen erfüllt.
**Physikalische und Technische Annahmen:**
*   **Ziel des Aufbaus:** Optimale Konfiguration zur Größenreduzierung des Reaktors.
*   **Plasma-Konfiguration:** Doppelte Nullpunktkonfiguration (*double-null configuration*). Komponenten wie TF-Spule, Vakuumgefäß, Schild, Blanket und Erste Wand sind D-förmig im Querschnitt.
*   **Magnetfeld (TF Coil):** Es wird ein supraleitendes $Nb_3Sn$-Material verwendet. Das maximal zulässige Magnetfeld ($B_{max}$) an der inneren Spulenseite beträgt **$16 \text{ T}$**.
*   **Tritium-Erzeugung (Blanket):** Ein Lithium-Blei-Blanket wird verwendet. Es wird Tritium-Selbstversorgung (Tritium Breeding Ratio, TBR $&gt; 1,35$) angenommen, was in einer dreidimensionalen Geometrie einem TBR $&gt; 1,08$ entspricht. Die Dicke des äußeren Blankets (*outboard blanket thickness*) ist auf **$70 \text{ cm}$** festgelegt.
*   **Schild:** Das Schild muss die supraleitende TF-Spule vor Neutronenschäden schützen. Die Lebensdauer des Reaktors wird auf **40 Jahre** angenommen.
*   **Energieeinschluss:** Es wird das H-Modus IPB98y2-Skalierungsgesetz für die Energieeinschlusszeit verwendet, multipliziert mit einem Einschluss-Verbesserungsfaktor ($H$).
*   **Plasma-Strom:** Der Plasma-Strom ($I_p$) wird nicht-induktiv durch externen Stromantrieb (*neutral beam current drive*) und Bootstrap-Strom angetrieben.
**Finanzielle und Betriebliche Annahmen:**
*   **Kostenbasis und Währung:** Alle Kostenberechnungen erfolgen in **2010 U.S. Dollar**.
*   **Bauzeit:** Die Bauzeit (*Construction time*) beträgt **6 Jahre**.
*   **Verfügbarkeit:** Die Anlagenverfügbarkeit ($f_{av}$) beträgt **$0,75$ (75 %)**.
*   **Reaktorlebensdauer:** Die Lebensdauer der Anlage ($N$) beträgt **40 Jahre**.
*   **Fester Zinssatz (FCR0):** $0,1$.
*   **Contingency (Rücklagen):** Ein Multiplikator von **$1,15$ (15 %)** wird auf die Direkten Kapitalkosten angewendet.
*   **Indirekte Gebühren ($f_{IND}$):** **$0,375$**.
*   **Kosten für Stilllegung/Entsorgung:** Eine Stilllegungsgebühr (*Decommissioning charge*) von $1,0 \text{ mill/kWh}$ und eine Abfallgebühr (*waste charge*) von $0,5 \text{ mill/kWh}$ werden angenommen.
### 2. Welche Modell- und Kostenannahmen basieren auf tatsächlichen Erfahrungswerten und welche nur Schätzungen oder Prognosen? Welche Annahmen stammen woher?
Die gesamte Studie basiert auf der Modellierung eines zukünftigen Fusionskraftwerks und stützt sich daher hauptsächlich auf **Prognosen und konzeptionelle Annahmen**, wobei bewährte Methoden und bestehende technologische Grenzwerte als Basis dienen.
| Annahme | Basis (Erfahrung/Schätzung/Prognose) | Herkunft / Quelle |
| :--- | :--- | :--- |
| **Kostenmethodik** | **Erfahrung/Standardisierung.** | Die Methodik wurde in entwickelt und wird aufgrund ihrer Einfachheit und Konformität mit komplexeren Kostenmodellen spezifischer Fusionsreaktoren verwendet. |
| **Physikalische Grenzwerte** | **Erfahrung/Technologielimit.** | Die maximal zulässige Magnetfeldstärke ($B_{max}$) von $16 \text{ T}$ basiert auf der technologischen Grenze des $Nb_3Sn$-Supraleitermaterials. |
| **Neutronische Grenzwerte** | **Prognose/Sicherheitsstandard.** | Die Anforderungen an die Abschirmung (z. B. Neutronenfluenz $&lt; 10^{19} \text{ n/cm}^2$, Kernheizrate $&lt; 1 \text{ mW/cm}^3$) sind Schutzanforderungen für die Supraleiterspulen. |
| **Lebensdauerlimits** | **Prognose/Designziel.** | Die Lebensdauerlimits für Neutronenfluenz auf dem Blanket ($F_{blk} = 20,0 \text{ MW} \cdot \text{Jahr}/\text{m}^2$) und Hitzefluenz am Divertor ($F_{div} = 15,0 \text{ MW} \cdot \text{Jahr}/\text{m}^2$) sind Designparameter. |
| **Plasma-Physik** | **Schätzung/Skalierung.** | Die Energieeinschlusszeit ($\tau_E$) basiert auf der IPB98y2-Skalierungsregel mit einem angenommenen Konfinement-Verbesserungsfaktor ($H$). |
| **Einheitskosten (Unit Costs)** | **Schätzung/Kostenmodell.** | Die Einheitskosten (z.B. $6 \cdot 10^5 \text{ USD/m}^2$ für Divertor oder $40 \text{ USD/kg}$ für Schild) werden zur Berechnung der Komponentenkosten verwendet. |
### 3. Falls externe Quellen für die Modell- und Kostenannahmen verwendet wurden – wurden diese modifiziert? Falls ja, wie?
Ja, das Kostenmodell basiert auf externen Quellen, deren Struktur beibehalten wurde, die aber an die aktuellen Erfordernisse angepasst wurden.
1.  **Kostenmodell und Basis:** Die Kostenanalyse basiert auf einer Methodik, die in früheren Fusionsstudien entwickelt wurde. Die Kosten werden konsistent mit dem Modell in in **2010 U.S. Dollar** berechnet. Die Formeln für die Berechnung der Kapitalkosten und des COE stammen von.
2.  **Kostenfaktoren (Multiplikatoren):** Die Kostenformel für die Fusionsinsel ($C_{FI}$) nutzt Multiplikatoren, um zusätzliche Kosten für Komponenten zu berücksichtigen:
    *   Die Kosten für Abschirmung und Struktur ($C_{reactor}$) werden mit einem Faktor von **1,1** multipliziert, um **zusätzliche Abschirmung** zu berücksichtigen.
    *   Die Kosten für die Spulen ($C_{coil}$) werden mit **1,5** multipliziert, um **zusätzliche Spulen** zu berücksichtigen.
    *   Die Kosten für die Zusatzheizung ($C_{aux}$) werden mit **1,1** multipliziert, um **Ersatzteile** (*spares*) zu berücksichtigen.
3.  **Contingency:** Der **Contingency-Faktor von 1,15** (15 %) wurde auf die Direkten Kapitalkosten angewendet.
### 4. Wie lautet die Annahme zu Lernraten?
Die Studie trifft **keine expliziten quantitativen Annahmen** über Lernraten oder Lernkurven, die in die Berechnung des Cost of Electricity (COE) einfließen. Das Modell verwendet feste Investitions- und Betriebskosten (CAPEX, O&amp;M) über die Lebensdauer der Anlage.
### 5. Wie wurden die Annahmen zu den Lernraten hergeleitet bzw. von wo stammen diese Annahmen?
Da keine spezifischen Lernraten in die Berechnung integriert sind, gibt es keine Herleitung von Quellen für diese. Die Studie betont jedoch implizit das Potenzial für Kostenreduktion, indem sie darauf hinweist, dass die Physik und Technologie, die im ITER-Design angewendet wurden, **verbessert werden müssen**, um wettbewerbsfähige Kosten zu erzielen.
### 6. Wird offengelegt, ob die Kostenabschätzung auf einem Bottom-up-, Top-down- oder hybriden Ansatz basiert?
Die Kostenabschätzung basiert auf einem **hybriden Ansatz**, der aus detaillierten Bottom-up-Berechnungen und Top-down-Skalierungsgesetzen besteht:
*   **Bottom-up:** Die Kosten für die **Fusionsinsel ($C_{FI}$)** werden Bottom-up berechnet. Die **Länge, Fläche, Volumen und Masse** der Reaktorkomponenten werden durch die **gekoppelte Systemanalyse** bestimmt. Diese physischen Größen werden dann mit den **Einheitskosten** (*Unit Costs*) multipliziert.
*   **Top-down/Skalierung:** Die Kosten für das **Balance of Plant ($C_{bop}$)** und die **Reaktorgebäude ($C_{bldg}$)** werden Top-down über Skalierungsgesetze berechnet. $C_{bop}$ skaliert mit der Netto-Leistung ($P_e$) und der thermischen Leistung ($P_{th}$). $C_{bldg}$ skaliert mit dem **Volumen der Fusionsinsel ($V_{FI}^{0.67}$)**.
### 7. Beruht die Kostenherleitung auf physikalischen und technologischen Werten?
**Ja**, die Kostenherleitung ist untrennbar mit den physikalischen und technologischen Werten verbunden:
*   **Größenbestimmung:** Die **minimale Größe** des Reaktors (Hauptradius $R_0$) wird durch die gleichzeitige Einhaltung physikalischer (Plasma-Performance), ingenieurtechnischer ($B_{max}$, Ripple-Anforderung) und neutronischer (Tritium-Selbstversorgung, Abschirmungsdicke) **Grenzwerte** bestimmt.
*   **Volumenabhängigkeit:** Die physikalische Auslegung bestimmt das **Volumen der Fusionsinsel ($V_{FI}$)**. Dieses Volumen wiederum ist ein direkter Skalierungsfaktor für die Kosten des Reaktorgebäudes ($C_{bldg}$).
*   **Betriebskosten:** Die jährlichen Kosten für den **Austausch von Blanket und Divertor** ($C_{blka}, C_{diva}$) hängen direkt von der **Neutronenwandbelastung ($\Gamma_n$)** und der **Divertor-Hitzefluenz ($q_{div}$)** ab.
### 8. Werden Materialkosten und Komponentenkosten separat ausgewiesen?
**Ja.**
*   **Komponentenkosten:** Die Direkten Kapitalkosten ($C_D$) werden in die Hauptblöcke **Balance of Plant ($C_{bop}$)**, **Gebäude ($C_{bldg}$)** und **Fusionsinsel ($C_{FI}$)** unterteilt.
*   **Materialkosten (Unit Costs):** Spezifische Material- und Komponentenkosten werden in Tabelle 2 als **Einheitskosten** (*Unit Cost*) aufgeführt. Beispiele hierfür sind:
    *   **Blanket-Materialien:** $20 \text{ USD/kg}$ für PbLi, $90 \text{ USD/kg}$ für FMS-Struktur.
    *   **Shield:** $40 \text{ USD/kg}$.
    *   **Erste Wand:** $6 \cdot 10^4 \text{ USD/m}^2$.
### 9. Bezieht sich die Studie auf ein Energiesystem (z. B. Integration, Vergleich mit anderen Technologien) oder ist sie rein bezogen auf die Kosten des Kraftwerks und des Reaktors?
Die Studie ist **rein auf die Kosten des Kraftwerks und des Reaktors** bezogen.
Der Fokus liegt auf der Bestimmung des **optimalen Aufbaus** und des **minimalen Cost of Electricity (COE)** eines Tokamak-Fusionsreaktors. Es werden keine Vergleiche mit den LCOE oder TCOE anderer Energieerzeugungstechnologien gezogen. Die Kosten für die **Balance of Plant ($C_{bop}$)** sind zwar enthalten, aber der Kontext bleibt die Optimierung der Kernfusionsanlage selbst.
### 10. Welche Kostenreduktionspotenziale oder wirtschaftlichen Optimierungsansätze werden thematisiert?
Die Studie identifiziert Optimierungsansätze, indem sie die Abhängigkeit der Kosten von den physikalischen Parametern analysiert:
1.  **Reduktion der Reaktorgröße:** Die **Reduzierung des Hauptradius ($R_0$)** führt zu geringeren Kosten. Die kleinste gefundene $R_0$ lag bei $5,1 \text{ m}$.
2.  **Entfernung der Zentralspule (CS):** Die Entfernung der CS und die Verwendung eines externen Stromantriebssystems führen zur **größten Kosten- und Größenreduktion**. Ohne CS konnten Designs mit niedrigerem COE (98–130 mills/kWh) und geringeren Kapitalkosten (4000–5000 M\$) gefunden werden.
3.  **Verbesserte Thermische Effizienz ($\eta_{th}$):** Für ein niedrigeres COE ist eine **höhere $\eta_{th}$** (mindestens $0,44$ bis $0,46$) erforderlich.
4.  **Verbesserte Plasma-Performance:** Höhere Werte für Beta ($\beta_N$) und Plasma-Dichte ($n_e/n_G$) sind erforderlich, um ein niedrigeres COE und geringere Kapitalkosten zu erzielen.
5.  **Technologische Fortschritte:** Es müssen **signifikante Verbesserungen** in der Plasmaphysik (Einschließung, Dichte), im Divertor-Hitzemanagement, bei den maximalen Magnetfeldern ($B_{max}$) und durch die Implementierung von **Hochtemperatur-Brayton-Zyklen** erzielt werden, um wettbewerbsfähige Kosten zu erreichen.
### 11. Was sind die signifikantesten Kostentreiber und ökonomischen Herausforderungen laut Studie?
**Signifikanteste Kostentreiber (Dominanz in den Kapitalkosten):**
1.  **Direkte Kapitalkosten:** Die Direkten Kapitalkosten ($C_D$) sind die dominierende ökonomische Größe, wobei die optimierten Designs mit CS zwischen **$5000 \text{ M\$}$ und $6000 \text{ M\$}$** und ohne CS zwischen **$4000 \text{ M\$}$ und $5000 \text{ M\$}$** liegen.
2.  **Fusionsinsel ($C_{FI}$) und Spulen:** Die Kosten der Fusionsinsel hängen stark von den **Spulenkosten** ($1.5 \cdot C_{coil}$) und den Kosten für die **Zusatzheizung** ($1.1 \cdot C_{aux}$) ab.
3.  **Laufende Ersatzkosten:** Die **jährlichen Kosten für den Ersatz** des Blankets und des Divertors ($C_{blka}, C_{diva}$) sind ein wichtiger Kostentreiber im Betrieb, da sie direkt von der Neutronenwandbelastung abhängen.
**Ökonomische Herausforderungen:**
*   **Größe und Komplexität:** Die **Größe** des Reaktors hat einen großen Einfluss auf die Kosten.
*   **Technologische Notwendigkeit:** Die Kosten sind nur dann wettbewerbsfähig, wenn **erhebliche technologische und physikalische Verbesserungen** im Vergleich zum ITER-Design umgesetzt werden.
*   **Hohe COE:** Selbst die optimierten Lösungen weisen ein COE zwischen **98 und 140 mills/kWh** auf.</t>
  </si>
  <si>
    <t>Die vorliegende Studie von Jo et al. (2021) konzentriert sich **nicht** auf einen direkten Vergleich der Kosten für Fusionsenergie mit den Kosten anderer spezifischer Energieerzeugungstechnologien (wie Kohle, Gas, Wind oder Kernspaltung) anhand von LCOE-Werten.
Stattdessen liegt der Fokus rein auf der **internen Optimierung des Fusionsreaktors** und der Bestimmung des Aufbaus, der zu einem **minimalen Cost of Electricity (COE)** führt.
### Ergebnis des Vergleichs
Ein quantitativer Vergleich mit LCOE-Werten anderer Technologien wird in der Quelle nicht durchgeführt.
Das implizite Ergebnis des Modells ist jedoch, dass die Autoren einen Entwurf suchen, der Strom zu **wettbewerbsfähigen Kosten** (*competitive cost*) erzeugen kann. Die gefundenen optimierten Designlösungen zeigen einen COE im Bereich von **$98$ bis $140 \text{ mills/kWh}$**.
### Vergleichsbasis
Die Kostenbewertung basiert auf **zukunftsgerichteten Projektionen** und **konzeptionellen Annahmen**:
1.  **Zukunftsgerichtete Projektion (Zielsetzung):** Der Vergleich erfolgt implizit gegen die **zukünftigen Marktstandards** dessen, was als "wettbewerbsfähige Kosten" gilt. Die gesamte Analyse wird durchgeführt, um einen Reaktor zu entwerfen, dessen Leistung und Effizienz (z. B. durch verbesserte Physik und **fortschrittliche technische Ansätze**) so optimiert sind, dass er diese zukünftige Wettbewerbsfähigkeit erreicht.
2.  **Historischer/Aktueller Benchmark (Technologie):** Obwohl kein direkter Kostenvergleich stattfindet, dienen die **ITER-Designs** als kritischer technologischer Benchmark. Die Autoren stellen fest, dass die im ITER-Design angewandte Physik und Technologie **verbessert werden müssen** (*should be improved*), um einen Fusionsreaktor zu entwerfen, der Elektrizität zu wettbewerbsfähigen Kosten produzieren kann. Die Studie arbeitet also auf Basis der Grenzen aktueller Prototypen (wie ITER), um die zukünftige Projektion (einen kostengünstigeren kommerziellen Reaktor) zu entwerfen.</t>
  </si>
  <si>
    <t xml:space="preserve">or maybe 10th-OAK
'Physics and technology applied to the ITER designs should be improved to design a tokamak fusion reactor that can produce electricity at a competitive cost </t>
  </si>
  <si>
    <t>Die Studie von Takeda et al. (2020) konzentriert sich primär auf die **Wirtschaftlichkeit von Fusionskraftwerken auf deregulierten Strommärkten** und verwendet dafür ein neu konstruiertes Marktmodell.
### Ergebnis des Kostenvergleichs
Die Studie führt **keinen direkten Vergleich des Levelised Cost of Electricity (LCOE)** des Fusionskraftwerks mit dem LCOE anderer spezifischer Technologien durch.
Der Vergleich findet stattdessen auf einer **systemischen Ebene** statt, indem analysiert wird, wie die Fusion im deregulierten Markt (modelliert am **PJM Market**) im Vergleich zu konventionellen Annahmen wirtschaftlich abschneidet.
**Hauptergebnisse im Marktkontext:**
*   **Höhere Sensitivität gegenüber Ausfällen:** Die wirtschaftliche Leistung des Fusionskraftwerks weist auf deregulierten Strommärkten eine **höhere Sensitivität** gegenüber der **Häufigkeit ungeplanter Ausfälle** (einschließlich Plasma-Disruptionen) auf als in konventionellen (*conventional*) Schätzungen.
*   **Auswirkungen von Strafgebühren:** Diese größere Sensitivität ist hauptsächlich darauf zurückzuführen, dass auf deregulierten Märkten zusätzlich zu den Opportunitätskosten (Einnahmeverlust) **Strafgebühren (Imbalance Fees)** erhoben werden, wenn die geplante Strommenge nicht geliefert werden kann. Beispielsweise könnte ein einzelner ungeplanter Ausfall auf dem Jahres-Terminmarkt bis zu **$50,1 \text{ Millionen USD}$** kosten [50, 51, Tabelle 4].
*   **Vorteil der Energiespeicherung:** Die Studie weist darauf hin, dass die für den Plasma-Start benötigte **Energiespeicherung** monetarisiert werden kann, um **Ancillary Services** (Sekundärregelleistung) zu erbringen. Dies könnte ein **einzigartiger Vorteil** (*unique advantage*) zukünftiger Fusionskraftwerke sein.
Die Schlussfolgerung ist, dass einfache Metriken wie der LCOE **möglicherweise nicht in der Lage sind**, die wirtschaftliche Leistung von Kernfusionskraftwerken auf deregulierten Märkten **genau darzustellen**.
### Vergleichsbasis: Historische Werte vs. Zukunftsgerichtete Projektionen
Die Studie verwendet eine **Mischung aus historischen Marktdaten und zukunftsgerichteten, prognostischen Technologiedaten**.
#### 1. Historische/Aktuelle Werte (Marktmechanismen)
Die Analyse verwendet **historische Marktdaten** zur Modellierung der Marktmechanismen:
*   **PJM-Markt:** Das **Simplified PJM Market Model** wurde neu konstruiert, um die Mechanismen des deregulierten PJM-Marktes (Year-forward, Day-ahead und Real-time) abzubilden.
*   **Preise:** Die Abwicklungspreise für den Day-ahead- und Real-time-Markt wurden aus den **tatsächlichen historischen LMP-Daten** (*actual market LMP data*) zwischen Januar 2011 und Dezember 2015 zitiert.
*   **Forward-Preise:** Die Preise für den Year-Forward-Markt wurden aus den **historischen Daten** von PJM-Futures-Anleihepreisen an der New York Mercantile Exchange berechnet.
#### 2. Zukunftsgerichtete Projektionen (Fusionskraftwerk)
Die technologischen und betrieblichen Daten des Fusionskraftwerks sind **prognostisch**:
*   **Verfügbarkeit:** Die erwartete Installation des Kernfusionskraftwerks liegt **"um die 2060er Jahre"** (*around the 2060s*), was eine zukunftsgerichtete Annahme darstellt.
*   **Kosten und Design:** Das angenommene Fusionskraftwerk (1200 MW elektrisch) basiert auf einer Berechnung mit dem Systemcode **FUSAC**, der die Kosten basierend auf dem **Generomak-Modell** schätzt, was per Definition eine Prognose für eine zukünftige Technologie ist.
*   **Optimismus:** Einige der ökonomischen Annahmen in der Studie sind **"optimistischer"** (*more optimistic*) als in der aktuellen Literatur.
*   **DEMO-Ziel:** Die historische Erfahrung der Kernspaltung (Fission) wird zwar als Basis für das **"disruption frequency target of the Japanese DEMO"** herangezogen (0,5 Mal/Jahr), die Autoren schlagen jedoch vor, dass zukünftige Strategien ohne Extrapolation historischer Erfahrungen diskutiert werden sollten, da sich Märkte und Technologien signifikant unterscheiden.</t>
  </si>
  <si>
    <t>Die folgende Antwort bezieht sich auf die Wirtschaftlichkeitsanalyse des Fusionskraftwerks auf deregulierten Strommärkten (Takeda et al., 2020).
### 1. Welche Modellannahmen werden getroffen?
Die Studie verwendet ein **neu konstruiertes Vereinfachtes PJM-Marktmodell** (*Simplified PJM Market Model*). PJM ist eine regionale Übertragungsorganisation in den Vereinigten Staaten.
**Technische und Betriebliche Annahmen (Fusionskraftwerk):**
*   **Betriebsmodus:** Ein **stationäres Fusionskraftwerk** (*steady-state fusion power plant*) wird angenommen.
*   **Leistung:** Elektrische Abgabe (*Electrical output, sending-end*) beträgt **$1200 \text{ GW}$** (vermutlich MW, basierend auf Kontext). Der Fusions-Output beträgt **$2801 \text{ MW}$**.
*   **Größe:** Der Hauptradius beträgt $7,728 \text{ m}$, der kleine Radius $2,208 \text{ m}$.
*   **Lebensdauer:** Die Anlagenlebensdauer (*Plant lifetime*) beträgt **40 Jahre**.
*   **Geplante Wartung:** Die geplante Wartung (*Scheduled maintenance*) einschließlich Ersatzteilen beträgt **61 Tage pro Jahr**. Diese wird alle zwei Jahre im November und Dezember durchgeführt.
*   **Plasma-Neustart:** Die Dienstzeit vor dem Plasma-Neustart beträgt **10 Tage**.
*   **Ungeplante Ausfälle:** Die Frequenz ungeplanter Ausfälle (einschließlich Plasma-Disruptionen) wird sensitiv zwischen $0,001$ und $0,00001 \text{ h}^{-1}$ (entspricht $8,4$ bis $0,084$ Mal pro Jahr) angenommen.
**Finanzielle und Markt-Annahmen:**
*   **Abzinsungssatz:** Die Berechnung des Nettobarwerts (NPV) erfolgt mit einem Abzinsungssatz (*discount rate*) von **$1,7 \%$**.
*   **Markt-Szenarien:** Die wirtschaftliche Leistung wird in drei Szenarien bewertet: Verkauf des gesamten erzeugten Stroms auf dem **Real-time Market**, auf dem **Day-ahead Market** oder auf dem **Year-forward Market**.
*   **Marktdaten:** Das Modell basiert auf **historischen Daten** des PJM-Marktes.
### 2. Welche Modell- und Kostenannahmen basieren auf tatsächlichen Erfahrungswerten und welche nur Schätzungen oder Prognosen? Welche Annahmen stammen woher?
| Annahme | Basis (Erfahrung/Schätzung/Prognose) | Herkunft / Quelle |
| :--- | :--- | :--- |
| **Anlagendesign und Kosten** | **Schätzung/Prognose.** Die Parameter basieren auf einer **Berechnung mit FUSAC** (*calculation with FUSAC*), einem Systemcode, der vom CRIEPI entwickelt wurde. FUSAC schätzt die Kosten basierend auf **Generomak** (*Generomak model*). | FUSAC, Generomak |
| **Marktpreise (Day-ahead/Real-time)** | **Tatsächliche Erfahrungswerte/Historische Daten.** Die Abwicklungspreise (LMP) wurden aus **historischen Marktdaten** zwischen Januar 2011 und Dezember 2015 zitiert. | PJM Market (Daten 2011–2015) |
| **Marktpreise (Year-forward)** | **Prognose/Ableitung.** Basierend auf den **historischen Daten** von PJM-Futures-Anleihepreisen an der New York Mercantile Exchange. | NYMEX PJM Futures Bond Prices |
| **Ziel Disruptionsfrequenz** | **Historische Extrapolation (von Fission).** Der Wert von $0,5$ Mal/Jahr wurde aus der **Statistik früher Fissionsanlagen** (*statistics of early fission plants*) für das japanische DEMO-Target übernommen. | Frühzeitige Fissionsstatistik |
| **Wartung** | **Eigene Schätzung der Autoren.** Die Annahmen zur geplanten Wartung (61 Tage/Jahr) basieren auf **professionellen Diskussionen mit Experten** (*professional discussions with experts in the field of reactor engineering*). | Experten-Diskussionen |
| **Energiespeicherkosten** | **Schätzung/Literatur.** Basierend auf den Berechnungen von Poonpun und Oudalov. | Poonpun &amp; Oudalov Studien |
### 3. Falls externe Quellen für die Modell- und Kostenannahmen verwendet wurden – wurden diese modifiziert? Falls ja, wie?
Ja, externe Quellen wurden zur Anpassung an das vereinfachte Marktmodell modifiziert oder vereinfacht:
*   **PJM-Preise (LMP):** Es wurde **kein spezifischer Standort** für das Kraftwerk angenommen. Stattdessen wurden **gewichtete Durchschnittswerte** (*weighted average LMP values*) der historischen PJM-Daten verwendet.
*   **Imbalance Fee:** Der PJM-Berechnungsmechanismus für die Strafgebühr wurde basierend auf Berechnungen einer externen Agentur **vereinfacht** (*simplified as Eq. (4)*).
*   **Ancillary Service:** Der komplexe Mechanismus für Nebenleistungen (*ancillary service*) wurde **vereinfacht** (*simplified*) basierend auf einer externen Berechnung (Shintani).
*   **FUSAC/Generomak-Kosten:** Die Kosten werden basierend auf Generomak geschätzt, wobei die Autoren anmerken, dass einige Kosten **"unterbewertet erscheinen können"** (*some costs may seem underestimated*) im Vergleich zu neueren Literaturstudien. Zudem sind einige ökonomische Annahmen **optimistischer** (*more optimistic*) als in der aktuellen Literatur.
### 4. Wie lautet die Annahme zu Lernraten?
Die Studie **enthält keine explizite Annahme** über Lernraten oder Lernkurven, die die Investitionskosten ($3428 \text{ M\$}$) im Modell reduzieren.
### 5. Wie wurden die Annahmen zu den Lernraten hergeleitet bzw. von wo stammen diese Annahmen?
Da keine spezifischen Lernraten in die Kostenkalkulation einfließen, gibt es keine Herleitung dafür in der Quelle.
### 6. Wird offengelegt, ob die Kostenabschätzung auf einem Bottom-up-, Top-down- oder hybriden Ansatz basiert?
Es wird **nicht explizit** offengelegt, ob ein Bottom-up- oder Top-down-Ansatz verwendet wurde, jedoch impliziert die Herleitung über den Systemcode FUSAC und das Generomak-Modell einen **Bottom-up-Ansatz**:
*   **FUSAC/Generomak:** **Generomak** war ein robuster Systemcode, der **Physik, Engineering und Kosten** berechnen konnte. Die Tatsache, dass das Modell auf **Design-Parametern** (Major/Minor Radius, Fusion Output) basiert, deutet auf eine detaillierte, technologiebasierte Kostenschätzung hin.
### 7. Beruht die Kostenherleitung auf physikalischen und technologischen Werten?
**Ja.**
*   Die Kostenherleitung basiert auf den **technologischen Entwurfsannahmen** (*Design Assumptions*) wie Fusionsleistung ($2801 \text{ MW}$), elektrischer Leistung ($1200 \text{ MW}$) und physikalischen Radien.
*   Der größte wirtschaftliche Risikofaktor, die **Häufigkeit ungeplanter Ausfälle** (*frequency of unplanned outages*), ist direkt mit einem physikalischen/technologischen Phänomen verbunden: **Plasma-Disruptionen**.
### 8. Werden Materialkosten und Komponentenkosten separat ausgewiesen?
**Ja, Komponentenkosten werden ausgewiesen**, aber **reine Materialkosten nicht**.
*   **Komponentenkosten:** Die Direkten Baukosten ($2968 \text{ M\$}$) werden in die Hauptkomponenten **Fusion Island** ($1677 \text{ M\$}$) und **Balance of Plant** ($918 \text{ M\$}$) unterteilt.
*   **Gesamtkosten:** Die Gesamtkapitalkosten ($3428 \text{ M\$}$) enthalten zudem indirekte Baukosten ($148 \text{ M\$}$) und Sonstige Kosten ($312 \text{ M\$}$).
### 9. Bezieht sich die Studie auf ein Energiesystem (z. B. Integration, Vergleich mit anderen Technologien) oder ist sie rein bezogen auf die Kosten des Kraftwerks und des Reaktors?
Die Studie bezieht sich auf die **Integration des Kraftwerks in ein bestehendes dereguliertes Energiesystem** (den PJM-Markt):
*   **Ziel:** Die Analyse der **wirtschaftlichen Leistung eines spezifischen Fusionskraftwerks** auf deregulierten Strommärkten.
*   **Systemkomponenten:** Das Modell integriert komplexe Marktmechanismen wie **Day-ahead-Markt, Real-time-Markt, Imbalance Fee** (Strafgebühren) und den **Ancillary Service Market**. Dies dient der Bewertung der finanziellen Interaktion des Fusionskraftwerks mit dem Netz.
*   **Fazit:** Die Autoren betonen, dass die traditionelle LCOE-Metrik **unzureichend** ist, um die Leistung von Fusionskraftwerken auf diesen komplexen Märkten genau darzustellen.
### 10. Welche Kostenreduktionspotenziale oder wirtschaftlichen Optimierungsansätze werden thematisiert?
1.  **Monetarisierung des Energiespeichers:** Der Energiespeicher, der für den Plasma-Start benötigt wird, kann monetarisiert werden, indem er auf dem deregulierten Markt **Ancillary Services** (Nebenleistungen) anbietet. Dies wird als **einzigartiger Vorteil** (*unique advantage*) zukünftiger Kernfusionskraftwerke angesehen.
2.  **Reduktion der Ausfallhäufigkeit:** Da die Wirtschaftlichkeit extrem empfindlich auf ungeplante Ausfälle reagiert, ist die Reduzierung der **Frequenz ungeplanter Ausfälle** (einschließlich Plasma-Disruptionen) entscheidend für die Verbesserung der Rentabilität.
3.  **Optimale Marktstrategie:** Die Maximierung des Net Present Value (NPV) hängt von der **optimalen Wahl des Energiemarktes** ab (Year-forward, Day-ahead oder Real-time). Im optimalen Fall (sehr geringe Ausfallhäufigkeit) wird der Verkauf über den Year-forward Market bevorzugt, um Einnahmen zu maximieren.
### 11. Was sind die signifikantesten Kostentreiber und ökonomischen Herausforderungen laut Studie?
**Signifikanteste Kostentreiber (CAPEX):**
*   **Fusion Island:** Die **Fusionsinsel** (*Fusion Island*) ist der größte Kostenblock der Direkten Baukosten mit **$1677 \text{ M\$}$**.
*   **Gesamtkapitalkosten:** Die **Total Capital Cost** von **$3428 \text{ M\$}$** ist der größte Einzelposten der gesamten Lebenszykluskosten ($12,4 \text{ Mrd. USD}$).
**Ökonomische Herausforderungen:**
*   **Hohe Sensitivität gegenüber Ausfällen:** Die größte Herausforderung ist die **hohe Sensitivität** der wirtschaftlichen Leistung gegenüber der **Häufigkeit ungeplanter Ausfälle** auf deregulierten Märkten.
*   **Strafgebühren (Imbalance Fees):** Ungeplante Ausfälle führen zu massiven **Strafgebühren** (*penalty charge*), die die Verluste im Vergleich zu konventionellen Märkten stark erhöhen. Ein einziger Ausfall kann auf dem Year-forward Market **$50,1 \text{ M\$}$** kosten.
*   **Unzureichende Wirtschaftlichkeitsmetrik:** Die Notwendigkeit, vom einfachen **LCOE** (*Levelised Cost of Electricity*) abzuweichen, da dieser die wirtschaftliche Leistung auf deregulierten Märkten **nicht genau darstellen kann**.
*   **Technologisches Risiko:** Die technologische Herausforderung, die Häufigkeit von **Plasma-Disruptionen** zu minimieren, hat direkte massive finanzielle Auswirkungen.</t>
  </si>
  <si>
    <t>Die von Ihnen berechneten **bereinigten Overnight Construction Costs (OCC)** basieren auf der Subtraktion der Kostenkategorie "Others" von den Gesamtkapitalkosten und betragen:
$$ 3428 \text{ M\$} - 312 \text{ M\$} = \mathbf{3116 \text{ Millionen USD}} $$
Diese bereinigten OCC in Höhe von $3116 \text{ Mio. USD}$ umfassen somit die **Direkten Baukosten** ($2968 \text{ M\$}$) und die **Indirekten Baukosten** ($148 \text{ M\$}$).
Nachfolgend finden Sie die prozentuale Aufschlüsselung der $3116 \text{ Mio. USD}$ basierend auf den in der Quelle genannten Schätzungen (Tabelle 2).
### 1. Aufschlüsselung nach Hauptkategorien
Die $3116 \text{ Mio. USD}$ teilen sich in Direkte und Indirekte Baukosten auf:
| Kostenkategorie | Absolute Kosten (Mio. M\$) | Anteil an $3116 \text{ Mio. USD}$ | Quelle |
| :--- | :--- | :--- | :--- |
| **Direkte Baukosten** (*Direct construction cost*) | **2968** | **95,25 %** | |
| **Indirekte Baukosten** (*Indirect construction cost*) | **148** | **4,75 %** | |
| **Summe (Bereinigte OCC)** | **3116** | **100,00 %** | |
### 2. Detaillierte Aufschlüsselung der Direkten Baukosten
Die Direkten Baukosten ($2968 \text{ M\$}$) sind weiter nach Hauptkomponenten unterteilt. Der Anteil dieser Komponenten an den gesamten **bereinigten OCC von $3116 \text{ Mio. USD}$** ist wie folgt:
| Direkte Komponente | Absolute Kosten (Mio. M\$) | Anteil am Gesamt-OCC ($3116 \text{ Mio. USD}$) | Quelle |
| :--- | :--- | :--- | :--- |
| **Fusion Island** (Fusionsinsel) | **1677** | **53,82 %** | |
| **Balance of Plant** (BOP) | **918** | **29,46 %** | |
| *Restliche Direkte Kosten*** | *373* | *11,97 %* | (Berechnet) |
| **Indirekte Baukosten** | **148** | **4,75 %** | |
| **Gesamt** | **3116** | **100,00 %** | |
***Hinweis:** Die Direkten Baukosten ($2968 \text{ M\$}$) setzen sich aus den explizit genannten Komponenten Fusion Island ($1677 \text{ M\$}$) und Balance of Plant ($918 \text{ M\$}$) sowie einem Restbetrag ($373 \text{ M\$}$) zusammen. Die Fusion Island ist mit über 53 % der größte Einzelposten der bereinigten OCC.</t>
  </si>
  <si>
    <t>Notes</t>
  </si>
  <si>
    <t>Dies ist eine detaillierte Beantwortung Ihrer Fragen basierend auf der Quelle "Generic Magnetic Fusion Reactor Revisited" (Sheffield &amp; Milora, 2016), einem Update des ursprünglichen Generomak-Modells von 1986.
### 1. Welche Modellannahmen werden getroffen?
Der Modellansatz ist ein **generisches Modell** (*Generomak costing model*), das sehr einfach gehalten ist, um **Trends** zu verstehen, wenn Parameter wie Leistung und Neutronenwandbelastung geändert werden. Das Modell kann zur Analyse von toroidalen, zylindrischen und sphärischen D-T-Fusionsreaktoren verwendet werden.
**Zentrale physikalische und technische Annahmen:**
*   **Fusionsleistung ($P_F$):** Im Referenzfall wird eine Fusionsleistung von $2250 \text{ MW}$ angenommen.
*   **Neutronenwandbelastung ($p_{wn}$):** Es wird ein **konservativerer** Neutronenwandfluss im Bereich von **$1$ bis $4 \text{ MW/m}^2$** betrachtet.
*   **Thermoelektrische Effizienz ($\eta_e$):** Die Effizienz der Umwandlung von Wärme in Elektrizität wird optimistisch im Bereich von **$0,40$ bis $0,60$** angesetzt, wobei **$0,45$ bis $0,50$** als Referenzwerte dienen.
*   **Spulenauslegung:** Es werden supraleitende Spulen angenommen, wobei ein maximales Feld auf den Spulen $B_m = 12 \text{ T}$ angenommen wird. Es werden sowohl eine konservativere (low current density) als auch eine aggressive (high current density) Formel für die Spulenstromdichte ($J_c$) verwendet.
*   **Decken- und Schilddicke:** Die radialen Abmessungen der Fusionsinsel (Schild, Vakuumgefäß, Lücken, Spulengehäuse) wurden gegenüber der Originalstudie reduziert, z. B. die innere Dicke auf **$\Delta_{bsg1} = 1,20 \text{ m}$**.
*   **Blanket Gain ($g_n$):** Der Neutronengewinn im Blanket (Decke) wird mit **$1,15$** angenommen.
*   **Lebensdauer:** Die Lebensdauer der Ersten Wand und der Decke beträgt **$F_{wn} = 15 \text{ MW} \cdot \text{Jahr}/\text{m}^2$** im Beispiel.
**Zentrale ökonomische Annahmen:**
*   **Währung und Basisjahr:** Die Kosten werden auf **2010 U.S. Dollar** (*2010 U.S. dollars*) hochgerechnet, wobei ein Inflationsfaktor von $2,19 \times$ vom Basisjahr 1983 verwendet wird.
*   **Anlagenverfügbarkeit ($f_{av}$):** $f_{av}$ wird oft mit **$0,80$** angenommen. Es wird jedoch argumentiert, dass niedrigere Wandbelastungen eine höhere Verfügbarkeit (z. B. $0,82$) ermöglichen.
*   **Rücklagen (Contingency):** Ein **Contingency-Faktor von $1,15$ (15 %)** wird auf die direkten Kapitalkosten angewendet.
*   **Feste Belastungsrate (FCRO):** Aufgrund der **aktuell niedrigen Zinssätze** (*low interest rates*) wird der Wert von **$0,078$** angenommen (im Gegensatz zum früheren Wert von $0,10$).
*   **Bauzeit ($Y$):** Die Konstruktionszeit liegt typischerweise bei **6 bis 8 Jahren**.
### 2. Welche Modell- und Kostenannahmen basieren auf tatsächlichen Erfahrungswerten und welche nur Schätzungen oder Prognosen? Welche Annahmen stammen woher?
| Kosten-/Modellannahme | Basis (Erfahrung/Schätzung/Prognose) | Herkunft / Quelle |
| :--- | :--- | :--- |
| **Benchmark-Kosten und Technologie** | **Tatsächliche Erfahrung/Benchmark.** | Die **Konstruktion von ITER** (*construction of ITER*) liefert **wichtige Benchmark-Zahlen** für Technologien und Kosten. |
| **Materialkostensteigerung** | **Tatsächliche Erfahrung/Benchmark.** | Die **massive Kostensteigerung** von Schlüsselrohstoffen (Stahl, Kupfer, vorgespannter Beton) im ITER-Projekt wird übernommen. |
| **Unit Costs (in 2010 USD)** | **Schätzung/Prognose**, basierend auf Anpassung der 1983er Daten. | Die Unit Costs wurden basierend auf der ITER-Erfahrung mit einem Faktor von $1,20 \times$ auf die Inflationsanpassung erhöht. |
| **Verfügbarkeit und Effizienz** | **Prognose/Optimismus.** | Es wird **größerer Optimismus** (*greater optimism*) bei der **thermoelektrischen Umwandlungseffizienz** und der **potenziellen Verfügbarkeit** angenommen. |
| **Neutronenfluss ($p_{wn}$) und Fluenz ($F_{wn}$)** | **Prognose/Konservative Annahme.** | Es werden **konservativere Werte** für den Neutronenwandfluss und die Fluenz verwendet, die in aktuellen Fusionsreaktorstudien zu finden sind. |
| **Referenz-Fusionsstudien** | **Historische/Prognostische Daten.** | Zum Abgleich der Ergebnisse werden Studien wie **ARIES-RS, ARIES-AT** und die **European Power Plant Conceptual Studies (PPCS)** herangezogen. |
### 3. Falls externe Quellen für die Modell- und Kostenannahmen verwendet wurden – wurden diese modifiziert? Falls ja, wie?
Ja, sowohl die Daten der ursprünglichen Generomak-Studie (Ref. 1, 1986) als auch externe Benchmark-Daten (z. B. ARIES-Studien) wurden modifiziert:
1.  **Anpassung an Inflation:** Alle 1983-Werte wurden mit einem Faktor von **$2,19 \times$** auf 2010 US-Dollar hochgerechnet.
2.  **Anpassung der Unit Costs (ITER-Faktor):** Die inflationsbereinigten Kosten pro Kilogramm für Hauptkomponenten (Spulen, Schild, Struktur) wurden um einen zusätzlichen Multiplikator von **$1,20 \times$** erhöht. Dies berücksichtigt die Kostensteigerung bei Materialien, die während des ITER-Baus beobachtet wurde (ca. 30 % des Gesamtkostenanstiegs).
3.  **Anpassung der BOP- und Gebäudekosten:** Auch der erste Term der $C_{FI}$-Kosten sowie die BOP- und Gebäudekosten wurden mit **$1,20 \times$** multipliziert, um die Komplexität und die gestiegenen Materialkosten widerzuspiegeln.
4.  **Anpassung der Auxiliary Heating Costs:** Im Gegensatz zur Originalstudie, bei der 75 % der Kosten vorgestreckt wurden, werden nun **100 % der Anschaffungskosten** der Zusatzheizung als anfängliche Kapitalkosten verbucht.
5.  **Anpassung des Fixed Charge Rate (FCRO):** Der historische Wert von $0,10$ (Ref. 1) wurde auf den **neuen Wert von $0,078$** reduziert, um die aktuell sehr niedrigen Zinssätze zu berücksichtigen.
6.  **Anpassung der Skalierung:** Die Kosten für die **Balance of Plant (BOP)** wurden modifiziert, um eine Skalierung mit der elektrischen Leistung $P_e$ (anstelle eines festen 1200-MW(e)-Wertes) zu ermöglichen.
7.  **Decommissioning Charge:** Die Kosten für die Stilllegung wurden von $1,0 \text{ mill/kW} \cdot \text{h}$ (Originalstudie) auf **$0,5 \text{ mill/kW} \cdot \text{h}$** gesenkt.
### 4. Wie lautet die Annahme zu Lernraten?
Die Studie geht implizit davon aus, dass das generische Modell ein **tenth-of-a-kind-System** (*tenth-of-a-kind system*) darstellt, das unter einem Standard-Management-Schema gebaut wird.
Es wird **keine spezifische Lernrate ($r$)** für die Fusionsanlage selbst angenommen. Stattdessen werden die Kosten für wichtige Komponenten (wie Spulen) **konservativ** auf der Basis von **"heutigen Kosten"** und unter Berücksichtigung der Komplexität eines ersten Reaktors (wie ITER) angesetzt.
### 5. Wie wurden die Annahmen zu den Lernraten hergeleitet bzw. von wo stammen diese Annahmen?
Es wird **keine spezifische Herleitung** für Lernraten im Generomak-Modell gegeben.
Die Autoren **diskutieren jedoch kritisch** die Anwendung von Lernkurven (*Learning curves*) und Lernraten, die in anderen Studien (z. B. der europäischen PPCS-Studie) verwendet werden [85, A.III.A]. Sie verwenden die allgemeine Formel $C(y) = A y^b$ und zitieren Beispiele wie $r=0,82$ (Windkraft), betonen aber, dass es **unratsam** (*unwise*) ist, solche Daten auf die **begrenzte Produktion nuklearer Anlagen** zu übertragen, deren Kosten historisch eher gestiegen sind (z. B. Spaltungsreaktoren wie Vogtle).
### 6. Wird offengelegt, ob die Kostenabschätzung auf einem Bottom-up-, Top-down- oder hybriden Ansatz basiert?
Obwohl nicht explizit als "hybrid" bezeichnet, basiert das Modell auf einer **Kombination** dieser Ansätze:
*   **Bottom-up:** Die Kosten der **Fusionsinsel** ($C_{FI}$) werden Bottom-up berechnet, indem das **Volumen** ($V$) der Komponenten (Spulen $V_{pc}$, Schild $V_{sg}$, Struktur $V_{st}$) mit ihren jeweiligen **Einheitskosten pro Volumeneinheit** multipliziert wird. Das Volumen wird durch die physikalische Auslegung (radiale Abmessungen $R, a$) bestimmt.
*   **Top-down/Skalierung:** Die Kosten für die **Balance of Plant (BOP)**, die **Gebäude** ($C_{bld}$) und das **Main Heat Transfer Steam System** werden Top-down über Skalierungsgesetze abgeleitet, die auf der thermischen Leistung ($P_t^{0.6}$) oder dem Volumen der Fusionsinsel ($V_{FI}^{0.67}$) basieren, wobei historische Daten von Fissionsanlagen als Basis dienen.
### 7. Beruht die Kostenherleitung auf physikalischen und technologischen Werten?
**Ja**, die Kostenherleitung beruht fundamental auf physikalischen und technologischen Werten:
*   **Physik bestimmt das Volumen:** Die Kosten der Fusionsinsel ($C_{FI}$) sind hauptsächlich vom **Volumen** der Magnetspulen und des Schildes abhängig. Dieses Volumen wird direkt durch physikalische Anforderungen wie den **Major Radius ($R$)**, den **Minor Radius ($a$)** und die erforderliche **Magnetfeldstärke** ($B_0$) bestimmt, welche wiederum notwendig ist, um die erforderliche **Beta-Leistung** ($\langle\beta\rangle$) bei einer bestimmten Fusionsleistung ($P_F$) zu erreichen.
*   **Neutronenfluss und Lebensdauer:** Die jährlichen Betriebskosten umfassen den Ersatz von Decke und Divertor ($C_{F}$), deren Häufigkeit direkt vom **Neutronenwandfluss** ($p_{wn}$) und der **Fluenz-Lebensdauer** ($F_{wn}, F_{tt}$) abhängt.
*   **Technologische Parameter:** Die Kosten der Spulen hängen stark von der **Stromdichte ($J_c$)** ab, einem technologischen Parameter, der durch die gewählte Spulentechnologie (konventioneller vs. Hochtemperatur-Supraleiter) bestimmt wird.
### 8. Werden Materialkosten und Komponentenkosten separat ausgewiesen?
Ja. Die Kosten werden in **Einheitskosten** (*Unit Costs*) und **Gesamtkosten nach Komponenten** ausgewiesen:
*   **Einheitskosten:** Die Tabelle III führt die Einheitskosten in $\text{\$/kg}$ und $\text{Millionen USD/m}^3$ auf (z. B. Supraleitende Spulen $210 \text{ \$/kg}$ oder $1,66 \text{ M\$/m}^3$). Diese Kosten umfassen die Material- und Fertigungskosten.
*   **Komponentenkosten:** Die Gesamtkosten der Hauptkomponenten der Fusionsinsel ($C_{FI}$) werden separat ausgewiesen, z. B. $C_{pc}$ (Primärspulen), $C_{sg}$ (Schild/Lücken) und $C_{st}$ (Struktur).
### 9. Bezieht sich die Studie auf ein Energiesystem (z. B. Integration, Vergleich mit anderen Technologien) oder ist sie rein bezogen auf die Kosten des Kraftwerks und des Reaktors?
Die Studie bezieht sich primär auf die **Kosten des Kraftwerks und des Reaktors** (COE).
Sie umfasst jedoch **Aspekte des Energiesystems**, indem sie:
*   **Zusätzliche Kosten für Großkraftwerke (Systemintegration):** **Zusätzliche Kosten** (*Extra Costs for Large Power Plants* $C_{lpp}$) zur Anbindung eines großen einzelnen Blocks an das Stromnetz (verstärkte Umspannwerke, rotierende Reserve) werden in die COE-Berechnung einbezogen.
*   **Wettbewerbsfähigkeit:** Die Ergebnisse werden implizit in den Kontext der **zukünftigen Wettbewerbsfähigkeit** gestellt, indem Fusions-COE-Werte mit den prognostizierten Werten für andere fortgeschrittene Fusionskonzepte (ARIES, PPCS) verglichen werden.
*   **Lastfolge:** Die Notwendigkeit der Lastfolge (*load-following*) wird im Zusammenhang mit Mehrfacheinheiten und der Coproduktion von Wasserstoff diskutiert.
### 10. Welche Kostenreduktionspotenziale oder wirtschaftlichen Optimierungsansätze werden thematisiert?
1.  **Reduktion des Aspect Ratio ($R/a$):** Die COE ist am geringsten beim niedrigsten Aspect Ratio, das die Anforderungen der TF-Spulen erfüllen kann, da dies das Spulenvolumen und die Kosten reduziert.
2.  **Erhöhung der thermoelektrischen Effizienz ($\eta_e$):** Die COE sinkt signifikant, wenn $\eta_e$ erhöht wird (z. B. von $0,45$ auf $0,55$), was die Netto-Leistung ($P_e$) erhöht.
3.  **Erhöhung des Beta-Wertes ($\langle\beta\rangle$):** Eine Erhöhung von $\langle\beta\rangle$ von $5,19 \%$ auf $9,0 \%$ reduziert die Spulenanforderungen, senkt das Spulenvolumen drastisch und führt zu einer deutlichen COE-Reduktion.
4.  **Erhöhung der Verfügbarkeit ($f_{av}$):** Eine Steigerung der Verfügbarkeit (z. B. von $0,80$ auf $0,85$) reduziert die COE erheblich, da die Kapitalkosten über mehr produzierte Energie verteilt werden.
5.  **Optimierung der Wandbelastung ($p_{wn}$):** Es gibt ein **flaches Minimum der COE** bei einem Neutronenfluss um $\mathbf{2,5 \text{ MW/m}^2}$. Eine Verringerung auf $1,5 \text{ MW/m}^2$ kann ökonomisch vorteilhaft sein, da die Decke seltener ersetzt werden muss, was die Verfügbarkeit erhöht.
6.  **Kürzere Bauzeit ($Y$):** Die Reduzierung der Bauzeit (z. B. von 8 auf 6 Jahre) führt zu einer niedrigeren COE.
### 11. Was sind die signifikantesten Kostentreiber und ökonomischen Herausforderungen laut Studie?
**Signifikanteste Kostentreiber (in der Direkten Kapitalkosten $C_D$):**
1.  **Magnetspulen ($C_{pc}$):** Die Kosten der Primärspulen und der Sekundärspulen (mit einem Faktor von $1,5 \times$) sind der größte Einzelkostentreiber der Fusionsinsel und machen einen substanziellen Anteil an den gesamten Kapitalkosten aus [27, A.II].
2.  **Balance of Plant (BOP) und Gebäude ($C_{bld}$):** Die Kosten für BOP, Turbinen und Reaktorgebäude sind ebenfalls sehr hoch, wobei die Kosten für die Gebäude mit dem Volumen der Fusionsinsel ($V_{FI}^{0.67}$) skalieren.
**Ökonomische Herausforderungen:**
1.  **Materielle Kostensteigerung:** Die **massive Kostensteigerung** bei Schlüsselrohstoffen, die durch die ITER-Erfahrung belegt wird, stellt eine grundlegende Herausforderung dar und zwingt zur Erhöhung der Unit Costs.
2.  **Abhängigkeit von Physik und Technologie:** Die COE hängt **stark** von der Erreichbarkeit anspruchsvoller physikalischer Parameter (hohes $\langle\beta\rangle$) und technologischer Fortschritte (hohe $\eta_e$) ab.
3.  **Zuverlässigkeit und Wartung:** Die Notwendigkeit einer hohen **Anlagenverfügbarkeit ($f_{av}$)** erfordert effiziente Wartungsstrategien, insbesondere für den **häufigen Austausch** von Decke und Divertor in Szenarien mit hoher Neutronenwandbelastung.</t>
  </si>
  <si>
    <t>Dieser Bericht (Delene et al., 1988) beschreibt das **Generomak**-Modell, das als konsistentes Analysewerkzeug für die **ESECOM**-Studie (*Senior Committee on Environmental Safety and Economics of Magnetic Fusion Energy*) entwickelt wurde, um die Wirtschaftlichkeit verschiedener magnetischer Fusionsreaktor-Konzepte zu bewerten.
---
### 1. Welche Modellannahmen werden getroffen?
Die Modellannahmen betreffen die Physik, die Technik und die Ökonomie des Fusionskraftwerks.
#### Technische und Physikalische Annahmen (Base Case V-Li/TOK):
*   **Reaktortyp und Betrieb:** Ein **stationärer Reaktor** (*steady-state reactor*) mit Deuterium-Tritium (D-T)-Brennstoff wird angenommen.
*   **Leistung:** Die elektrische Nettoleistung ($P_e$) ist auf **$1200 \text{ MWe}$** festgelegt.
*   **Betriebszeit und Lebensdauer:** Die Lebensdauer der Anlage beträgt **30 Jahre**. Die Lebensdauer der ersten Wand/Decke (*Fluence lifetime*) wird für die meisten Fälle mit **$20 \text{ MWyr/m}^2$** angenommen.
*   **Kapazitätsfaktor (CF):** Der nominale Kapazitätsfaktor beträgt **$65\%$**. Für fortschrittliche Konversions- und Brennstoff-Fälle wird $75\%$ angenommen.
*   **Effizienz:** Die thermische Umwandlungseffizienz ($\eta_{\text{th}}$) beträgt für den Basisfall $40,4 \%$. Die thermische Effizienz wird als $75\%$ der idealen thermischen Effizienz angenommen.
*   **Stromantrieb (Current Drive):** Eine feste Stromantriebs-Effizienz von **$I_{\phi}/P_{CD} = 0,2 \text{ A/W}$** wird für Tokamaks angenommen, was ein aggressives Ziel darstellt.
*   **Plasma-Physik:** Es wird eine **Extrapolation der gegenwärtigen Physik und Technologie** angenommen, einschließlich eines **hohen Beta ($\beta$) von $10\%$**.
*   **Sicherheitsfaktor:** Der Troyon-Koeffizient ($\beta_{\phi} B_t/I_p$) ist mit $\mathbf{0,04}$ angesetzt, was als **optimistisch** gilt.
#### Ökonomische und Finanzielle Annahmen (Referenz):
*   **Kostenjahr:** Alle Kosten werden in konstanten **1986 US-Dollar** ausgewiesen.
*   **Abzinsungssatz/Zins:** Der effektive Nominalzins (*effective cost of money, nominal dollars*) beträgt **$0,09$ ($9\%$)**.
*   **Inflationsrate:** Die Inflationsrate (*Inflation rate*) beträgt **$6\%$**.
*   **Vorlaufzeit:** Die Bau- und Design-Vorlaufzeit (*Plant lead time*) beträgt **6 Jahre**.
*   **Fixed Charge Rate (FCR):** Die FCR für konstante Dollars beträgt **$0,0844$ ($8,44\%$ pro Jahr)**.
*   **Kontingenz:** Ein Zuschlag für Unvorhergesehenes (*Contingency factor*) von **$15\%$** wird auf die Gesamtsumme der direkten und indirekten Kosten angewendet.
---
### 2. Welche Modell- und Kostenannahmen basieren auf tatsächlichen Erfahrungswerten und welche nur Schätzungen oder Prognosen? Welche Annahmen stammen woher?
| Annahme | Basis (Erfahrung/Schätzung/Prognose) | Herkunft |
| :--- | :--- | :--- |
| **Ökonomische Methodik** | **Erfahrungswerte.** Methode zur Berechnung der Stromgestehungskosten (COE). | **Nuclear Energy Cost Data Base (NECDB)**. |
| **Anfängliche Kapitalkosten** | **Erfahrungswerte/Schätzung.** Basierend auf einem früheren Reaktor-Design. | **STARFIRE-Tokamak-Reaktorstudie** (aktualisiert auf 1986 $). |
| **O&amp;M-Kosten** | **Erfahrungswerte/Modellierung.** Basierend auf Verfahren zur Schätzung von Spaltungs- und Kohlekraftwerken. | **OMCOST**-Code und Personalbedarfsschätzungen. |
| **O&amp;M-Personalbedarf** | **Erfahrungswerte/Schätzung.** Schätzung des Personalbedarfs für 800–1200 MWe Reaktoren (457 Personen). | Basierend auf Schätzungen in Sheffield et al. (1986). |
| **Verfügbarkeit (75 %)** | **Historische Daten.** Reduziert die Ausfallzeiten von Turbinen-Generatoren. | *Equipment Availability Report 1974–1982* (North American Reliability Council). |
| **Physikalische Parameter** | **Prognose/Extrapolation.** Annahme von hohem Beta ($\sim 10\%$) und verbessertem Troyon-Koeffizienten. | **Generomak-Modell** (Sheffield und Dory). |
| **Current Drive Efficiency** | **Prognose.** Annahme von $0,2 \text{ A/W}$. | Repräsentiert einen **signifikanten Fortschritt** gegenüber aktuell erreichten Werten. |
---
### 3. Falls externe Quellen für die Modell- und Kostenannahmen verwendet wurden – wurden diese modifiziert? Falls ja, wie?
Ja, externe Quellen und das ursprüngliche Generomak-Modell wurden für die ESECOM-Analyse modifiziert und erweitert:
*   **Generomak-Code:** Der ursprüngliche Code von Sheffield und Dory wurde für die ESECOM-Analyse **erweitert** und **modifiziert** (*extended and modified*), hauptsächlich in den Bereichen **Kosten und ökonomische Methodik**.
*   **FCR und Bauzeit:** Die Vorlaufzeit der Anlage wurde im ESECOM-Modell von ursprünglich 8 auf **6 Jahre** reduziert, was die FCR beeinflusst. Die Amortisationszeit wurde auf **30 Jahre** (statt 20 Jahre im Originalmodell) festgelegt.
*   **Indirekte Kosten:** Die ursprüngliche lineare Formel zur Berechnung des Indirektkosten-Multiplikators wurde durch eine neue funktionale Beziehung ersetzt, die auf Analysen von Kernspaltungs- vs. Kohlekraftwerken basiert.
*   **Ersatzkosten:** Die Verfahren zur Berechnung der jährlichen Kosten für **Blanket-, Limiter- und Stromantriebsersatz** wurden **geändert** und diese Kosten nun über ihre individuelle Lebensdauer kapitalisiert und amortisiert.
---
### 4. Wie lautet die Annahme zu Lernraten?
Obwohl die Quelle keine explizite Lernrate (*progress ratio*) nennt, impliziert die zugrunde liegende Kostenbasis eine Annahme über Lernraten:
*   Die Kostenbasis für das Generomak-Modell, übernommen von der **STARFIRE-Tokamak-Reaktorstudie**, basiert auf der **Praxis der US-Fusionsreaktor-Design-Community**.
*   Diese Praxis geht von der Annahme eines **"tenth-of-a-kind"**-Reaktors aus, wobei die Stückkosten der **Fusions-Power-Core (FPC)** bereits **Lernkurven-Credits** berücksichtigen [Konversationshistorie].
### 5. Wie wurden die Annahmen zu den Lernraten hergeleitet bzw. von wo stammen diese Annahmen?
Die implizite Annahme zur Kostenreduktion (durch Lernraten) stammt aus der **STARFIRE-Studie** und ist in die **NESTDB**-Methodik integriert, die als konsistente Basis für den Vergleich mit reifen Technologien dient.
---
### 6. Wird offengelegt, ob die Kostenabschätzung auf einem Bottom-up-, Top-down- oder hybriden Ansatz basiert?
Es wird **nicht explizit** die Terminologie Bottom-up oder Top-down verwendet, jedoch wird eine **hybride Methode** angewandt:
*   **Bottom-up für FPC:** Die Kosten der Fusionsinsel (FPC: Blanket, Schild, Spulen, Struktur) werden Bottom-up berechnet, indem die **Volumina** der Komponenten aus der physikalischen Berechnung hergeleitet werden und mit den **spezifischen Dichten und Stückkosten ($/kg$)** multipliziert werden.
*   **Top-down/Skalierung für BOP:** Die Kosten für die restlichen Anlagenteile (*Balance of Plant*, z. B. Turbine Plant Equipment, Electric Plant Equipment) basieren auf dem Referenz-Kapitalkostenmodell (Tabelle 3.3) und werden gemäß den NECDB-Empfehlungen nach der **thermischen oder elektrischen Leistung** des Reaktors **skaliert**.
---
### 7. Beruht die Kostenherleitung auf physikalischen und technologischen Werten?
**Ja.** Die Kostenherleitung beruht direkt auf den Ergebnissen der physikalischen und technischen Modellierung:
*   Das Generomak-Modell erfordert physikalische und technische Eingaben (z. B. Beta, Plasma-Radien, $B_m$, Blanket-Dicken).
*   Auf dieser Grundlage berechnet das Modell **Massen** und **Volumina** der FPC-Komponenten (Blanket, Shield, Coils).
*   Diese berechneten Volumina bestimmen direkt die **Kapitalkosten** der FPC-Komponenten in Verbindung mit den Stückkosten in $/kg$.
---
### 8. Werden Materialkosten und Komponentenkosten separat ausgewiesen?
**Ja.**
*   **Komponentenkosten:** Werden detailliert nach **Anlagenkonten** ausgewiesen (z. B. Account 22.1 Heat Transfer and Transport, Account 23 Turbine Plant Equipment). Die Endausgabe listet die Kosten der FPC-Komponenten (Shield, Coils, Structure, Blanket) separat auf.
*   **Materialkosten:** Die **Stückkosten der Materialien** ($/Kg$) wie V15Cr5Ti, RAF-Stahl, Li₂O und supraleitende Spulen werden in Tabelle 3.5 und 4.1 als Eingabedaten für die Berechnung der Komponentenkosten aufgeführt.
---
### 9. Bezieht sich die Studie auf ein Energiesystem (z. B. Integration, Vergleich mit anderen Technologien) oder ist sie rein bezogen auf die Kosten des Kraftwerks und des Reaktors?
Die Studie bezieht sich auf ein **Energiesystem**, da ihr Hauptzweck der **ökonomische Vergleich** ist:
*   **Konsistenter Vergleich:** Der Hauptzweck ist die **konsistente Analyse der wirtschaftlichen Lebensfähigkeit** alternativer magnetischer Fusionsreaktoren im Vergleich zur Wirtschaftlichkeit anderer Fusionssysteme und **aller verfügbaren Stromerzeugungsoptionen im Allgemeinen**.
*   **Standard-Methodik:** Die Methode basiert auf der **NECDB** (*Nuclear Energy Cost Data Base*), die für **vergleichende Kostenanalysen** zwischen **Spaltungs- und alternativen Energiequellen** entwickelt wurde.
*   **Systemkomponenten:** Das Modell umfasst BOP-Komponenten (Turbinenanlagen, Hauptwärmeabfuhrsystem) und externe wirtschaftliche Faktoren (Inflation, Steuern, Bauzeit), die für eine Systemanalyse erforderlich sind.
---
### 10. Welche Kostenreduktionspotenziale oder wirtschaftlichen Optimierungsansätze werden thematisiert?
1.  **Reduzierung der Nuklear-Grade-Anforderungen:** Durch die Verwendung von **niedrigaktivierenden Materialien** (z. B. SiC) oder fortgeschrittenen Brennstoffen (D-He³) können Kostenreduktionsfaktoren (*Safety assurance credit factors*) angewendet werden, da die Anlagen nicht vollständig nach nuklearen Standards gebaut werden müssten. Dies führt zu einer potenziellen Reduzierung der Gesamtkosten (COE) um $\approx 25\%$.
2.  **Verbesserte Verfügbarkeit:** Fortgeschrittene Designs, die keine Turbinen benötigen (V-MHD/TOK, V-DHe³/TOK), können einen **höheren Kapazitätsfaktor von $75\%$** erreichen, da historische Daten zeigen, dass Turbinen $10\%$ zu Anlagenausfällen beitragen.
3.  **Optimierte Bauzeit:** Die Reduzierung der Bauzeit (von 8 auf 6 Jahre) verringert die **Zinsen während der Bauzeit (AFUDC)**, die in die Gesamtkapitalkosten eingehen.
4.  **Fortgeschrittene Brennstoffe/Konversion:** Die Verwendung von D-He³ oder MHD-Konversion ermöglicht eine **direkte Energieumwandlung** (*direct conversion*), was die thermische Effizienz erhöht.
---
### 11. Was sind die signifikantesten Kostentreiber und ökonomischen Herausforderungen laut Studie?
*   **Signifikantester Kostentreiber (CAPEX):**
    *   Die **Fusion Power Core (FPC)** (einschließlich Blanket, Shield, Coils, Struktur und Hilfsmittel) stellt den zentralen Kapitalkostenblock dar. Für den V-Li/TOK Basisfall beliefen sich die gesamten Direkten Kosten der Nuklearinsel (Total Nuclear Island) auf $481,8 \text{ Mio. USD}$.
*   **Ökonomische Herausforderungen:**
    *   **Technologische Unsicherheit/Extrapolation:** Die Wirtschaftlichkeit hängt von der **Gültigkeit optimistischer Annahmen** in der Physik (z. B. Troyon-Koeffizient $0.04$ und hohe Plasma-Effizienz) ab, die einen **signifikanten Fortschritt** gegenüber aktuell erreichten Werten darstellen.
    *   **Betriebs- und Wartungskosten (O&amp;M):** Die O&amp;M-Kosten sind hoch, hauptsächlich aufgrund des hohen Personalbedarfs (*Staff onsite*: 457 Personen) im Vergleich zu Fissionsanlagen (401 Personen).
    *   **Wiederkehrende Ersatzkosten:** Die Kosten für den **regelmäßigen Austausch** von Blankets, Limitern und Current-Drive-Systemen (als *Fuel Charge* behandelt) sind signifikant und werden über deren individuelle Lebensdauer amortisiert. Bei hohen Neutronen-Wandbelastungen können diese Kosten schnell ansteigen.
    *   **Zinsen während der Bauzeit:** Die lange Bauzeit von 6 Jahren (oder länger bei Variationen) führt zu erheblichen **AFUDC-Kosten** (*Allowance for Funds Used During Construction*), die die Gesamtkapitalkosten erhöhen.</t>
  </si>
  <si>
    <t>10th-OAK assumed - maybe NOAK?
From STARFIRE reactor study (reference capital investment cost model)
"mature deployment"</t>
  </si>
  <si>
    <t>Der Generomak-Bericht (Delene et al., 1988) wurde als Analysewerkzeug für die ESECOM-Studie entwickelt, um die **ökonomische Lebensfähigkeit** (*economic viability*) von Fusionsreaktoren zu bewerten.
### Vergleich mit den Kosten anderer Energieerzeugungen
Ja, die Studie beinhaltet einen Vergleich der Kosten von Fusionskraftwerken mit denen **anderer Energieerzeugungsoptionen**.
**Ergebnis des Vergleichs (Zielsetzung):**
Das Hauptziel der Analyse war es, konsistente Methoden zu liefern, damit die Wirtschaftlichkeit von Fusion **relativ zu anderen Fusionsenergiesystemen und allen verfügbaren Optionen zur Stromerzeugung im Allgemeinen** beurteilt werden kann.
Obwohl der Bericht keine spezifischen endgültigen Levelized Cost of Electricity (COE)-Werte anderer Technologien (z. B. Spaltung oder Kohle) angibt, lautet das zentrale Ergebnis der ökonomischen Bewertung von Fusion, dass **"Bedingungen identifiziert werden können, unter denen Fusion mit alternativen Energiequellen konkurrenzfähig ist"** (*conditions can be identified where fusion is competitive with alternative energy sources*).
Die detaillierten Ergebnisse der ESECOM-Analyse (in der die Fusion mit anderen Alternativen verglichen wird) sind in einem separaten ESECOM-Bericht zu finden.
### Basis des Kostenvergleichs: Projektionen vs. Historische Werte
Der Vergleich basiert auf einer **Kombination aus etablierten historischen (oder aktuellen) Kostenannahmen für Nicht-Fusions-Komponenten und zukunftsgerichteten Projektionen für die Fusionsspezifischen Komponenten**.
#### 1. Zukunftsgerichtete Projektionen (Fusionskraftwerk)
Die Fusionskosten basieren auf Prognosen, die auf optimierten, zukünftigen Technologien und Kostenreduktionen beruhen:
*   **Physik und Technologie:** Das Generomak-Modell stellt eine **Extrapolation der gegenwärtigen Physik und Technologie** dar und geht von optimistischen Werten wie hohem Beta aus.
*   **Kostenreduktion:** Die zugrunde liegenden Kapitalkosten stammen aus der **STARFIRE-Studie**, einer kommerziellen Tokamak-Reaktorstudie. Die in die Berechnung einfließenden Stückkosten implizieren dabei die Kosten eines **"tenth-of-a-kind"**-Reaktors, der von einer Kostenreduktion durch Lerneffekte ausgeht [Konversationshistorie].
#### 2. Etablierte Basisdaten und Methodik (Vergleich)
Die Methodik und die Basisdaten für alternative Technologien sind auf historischen/etablierten Erfahrungswerten aufgebaut:
*   **Ökonomische Methodik:** Die grundlegende ökonomische Methodik und die Finanzparameter zur Bestimmung der nivellierten Stromkosten (COE) wurden aus der **Nuclear Energy Cost Data Base (NECDB)** abgeleitet. Die NECDB wurde entwickelt, um **konsistente** vergleichende Stromerzeugungskostenanalysen **zwischen Spaltungs- und alternativen Energiequellen** durchzuführen.
*   **Kostenjahr:** Alle Kosten werden auf konstante **1986 US-Dollar** bezogen, was als Basisjahr für den Vergleich dient.
*   **Betriebs- und Wartungskosten (O&amp;M):** Die O&amp;M-Kosten der Fusion (z. B. der Referenzfall V-Li/TOK mit $8,9 \text{ Mills/kWh}$) basieren auf denselben Kostenprozeduren, die zur Schätzung der O&amp;M-Kosten für **Kernspaltungs- und Kohlekraftwerke** verwendet werden.
*   **Skalierungsfaktoren:** Die für die Skalierung der konventionellen Balance-of-Plant (BOP) Komponenten verwendeten Skalierungsfaktoren sind jene, die für die Skalierung von **Fissionsreaktoren in der NECDB** empfohlen werden.
*   **Abfallgebühren:** Es wird konservativ angenommen, dass die **$1 \text{ Mills/kW(e)h}-Gebühr**, die derzeit für Spaltungsreaktoren erhoben wird, auch für Fusionsreaktoren gilt.
Die Studie vergleicht also die projizierten und optimierten zukünftigen Kosten der Fusion mit einer **konsistenten, auf historischen Daten basierenden Schätzung** der Kosten konkurrierender, etablierter Technologien (Spaltung/Kohle) aus dem Referenzjahr 1986.</t>
  </si>
  <si>
    <t>Sie haben acht verschiedene Werte für die **Total Direct + Indirect Costs** (TDI) bereitgestellt, die in diesem Kontext als **bereinigte Overnight Construction Costs (OCC)** betrachtet werden. Diese Werte stammen aus den Ergebnissen von zehn verschiedenen Fusionsreaktor-Konzepten der **ESECOM**-Analyse (Generomak-Modell).
Alle Berechnungen basieren auf den Kapitalkosten in **Millionen 1986 US-Dollar**. Die **Indirekten Kosten** sind in allen Fällen auf **$37,5\%$ der Direkten Kosten** festgelegt. Daher beträgt der prozentuale Anteil der Indirekten Kosten an den TDI (Direkt + Indirekt) konstant **$27,27\%$** für alle Fälle, die die Referenz-Vorlaufzeit von 6 Jahren verwenden.
Im Folgenden wird für jeden Ihrer Werte der prozentuale Anteil der Hauptkostenblöcke an der jeweiligen Gesamtinvestition (Ihre bereinigten OCC = 100 %) dargestellt. Der Hauptkostentreiber innerhalb der Direkten Kosten ist stets die **Reactor Plant Equipment (RPE)**, deren Anteil je nach Design stark variiert.
---
### Fall 1: V-Li/TOK (Basis-Tokamak)
**Bereinigte OCC (TDI): $2273,1 \text{ Mio. M\$} \quad (100 \%)$**
| Hauptkostenblock | Kosten (M\$) | Anteil (%) an TDI | Quelle |
| :--- | :--- | :--- | :--- |
| **A. Total Direct Cost (TDC)** | **1653,2** | **72,73 %** | |
| RPE (Reactor Plant Equipment gesamt) | 880,3 | 38,73 % | |
| S&amp;I (Structures &amp; Improvements) | 320,3 | 14,09 % | |
| TPE (Turbine Plant Equipment) | 230,7 | 10,15 % | |
| EPE, MPE, MCHR &amp; Land (Rest TDC) | 221,9 | 9,76 % | |
| **B. Indirect Costs** | **619,9** | **27,27 %** | |
### Fall 2: RAF-He/TOK (Helium-gekühlt, RAF-Struktur)
**Bereinigte OCC (TDI): $2288,5 \text{ Mio. M\$} \quad (100 \%)$**
| Hauptkostenblock | Kosten (M\$) | Anteil (%) an TDI | Quelle |
| :--- | :--- | :--- | :--- |
| **A. Total Direct Cost (TDC)** | **1664,3** | **72,72 %** | |
| RPE (Reactor Plant Equipment gesamt) | 894,4 | 39,08 % | |
| S&amp;I (Structures &amp; Improvements) | 315,5 | 13,79 % | |
| TPE (Turbine Plant Equipment) | 230,7 | 10,08 %** | |
| EPE, MPE, MCHR &amp; Land (Rest TDC) | 223,7 | 9,77 % | |
| **B. Indirect Costs** | **624,1** | **27,27 %** | |
### Fall 3: RAF-LiPb/RFP (Hochleistungs-RFP)
**Bereinigte OCC (TDI): $1566,3 \text{ Mio. M\$} \quad (100 \%)$**
| Hauptkostenblock | Kosten (M\$) | Anteil (%) an TDI | Quelle |
| :--- | :--- | :--- | :--- |
| **A. Total Direct Cost (TDC)** | **1139,1** | **72,73 %** | |
| RPE (Reactor Plant Equipment gesamt) | 489,5 | 31,25 % | |
| TPE (Turbine Plant Equipment) | 230,7 | 14,73 % | |
| S&amp;I (Structures &amp; Improvements) | 183,7 | 11,73 % | |
| EPE, MPE, MCHR &amp; Land (Rest TDC) | 235,2 | 15,02 % | |
| **B. Indirect Costs** | **427,2** | **27,27 %** | |
### Fall 4: V-Li/RFP (RFP mit Vanadium-Struktur)
**Bereinigte OCC (TDI): $1589,2 \text{ Mio. M\$} \quad (100 \%)$**
| Hauptkostenblock | Kosten (M\$) | Anteil (%) an TDI | Quelle |
| :--- | :--- | :--- | :--- |
| **A. Total Direct Cost (TDC)** | **1155,8** | **72,73 %** | |
| RPE (Reactor Plant Equipment gesamt) | 525,8 | 33,09 % | |
| TPE (Turbine Plant Equipment) | 230,7 | 14,52 % | |
| S&amp;I (Structures &amp; Improvements) | 176,9 | 11,13 % | |
| EPE, MPE, MCHR &amp; Land (Rest TDC) | 222,4 | 13,99 % | |
| **B. Indirect Costs** | **433,4** | **27,27 %** | |
### Fall 5: SiC-He/TOK (Low-Activation Tokamak)
**Bereinigte OCC (TDI): $2675,0 \text{ Mio. M\$} \quad (100 \%)$**
| Hauptkostenblock | Kosten (M\$) | Anteil (%) an TDI | Quelle |
| :--- | :--- | :--- | :--- |
| **A. Total Direct Cost (TDC)** | **1945,4** | **72,72 %** | |
| **RPE (Reactor Plant Equipment gesamt)** | **1102,0** | **41,19 %** | |
| S&amp;I (Structures &amp; Improvements) | 385,4 | 14,41 % | |
| TPE (Turbine Plant Equipment) | 230,7 | 8,62 % | |
| EPE, MPE, MCHR &amp; Land (Rest TDC) | 227,3 | 8,50 % | |
| **B. Indirect Costs** | **729,5** | **27,27 %** | |
### Fall 6: V-FLiBe/TOK (Molten-Salt Tokamak)
**Bereinigte OCC (TDI): $1953,7 \text{ Mio. M\$} \quad (100 \%)$**
| Hauptkostenblock | Kosten (M\$) | Anteil (%) an TDI | Quelle |
| :--- | :--- | :--- | :--- |
| **A. Total Direct Cost (TDC)** | **1420,8** | **72,72 %** | |
| RPE (Reactor Plant Equipment gesamt) | 670,8 | 34,33 % | |
| S&amp;I (Structures &amp; Improvements) | 305,5 | 15,64 % | |
| TPE (Turbine Plant Equipment) | 230,7 | 11,81 % | |
| EPE, MPE, MCHR &amp; Land (Rest TDC) | 213,8 | 10,94 % | |
| **B. Indirect Costs** | **532,8** | **27,27 %** | |
### Fall 7: V-MHD/TOK (Advanced Conversion – MHD)
**Bereinigte OCC (TDI): $1439,8 \text{ Mio. M\$} \quad (100 \%)$**
Dieser Fall weist niedrigere Kosten für Strukturen und **keine** Kosten für Turbinenanlagen auf, da eine Magnetohydrodynamische (MHD) Konversion angenommen wird.
| Hauptkostenblock | Kosten (M\$) | Anteil (%) an TDI | Quelle |
| :--- | :--- | :--- | :--- |
| **A. Total Direct Cost (TDC)** | **1047,1** | **72,73 %** | |
| **RPE (Reactor Plant Equipment gesamt)** | **627,5** | **43,58 %** | |
| S&amp;I (Structures &amp; Improvements) | 238,5 | 16,56 % | |
| TPE (Turbine Plant Equipment) | **0,0** | **0,00 %** | |
| EPE, MPE, MCHR &amp; Land (Rest TDC) | 181,1 | 12,58 % | |
| **B. Indirect Costs** | **392,7** | **27,27 %** | |
### Fall 8: V-DHe3/TOK (Advanced Fuel – D-He³)
**Bereinigte OCC (TDI): $2907,7 \text{ Mio. M\$} \quad (100 \%)$**
Dieser Fall basiert auf Deuterium-Helium-3-Brennstoff und **Festkörper-Energiekonversion** (*solid state energy conversion*), was die TPE-Kosten reduziert, aber die Fusionsinsel-Kosten stark erhöht.
| Hauptkostenblock | Kosten (M\$) | Anteil (%) an TDI | Quelle |
| :--- | :--- | :--- | :--- |
| **A. Total Direct Cost (TDC)** | **2114,7** | **72,73 %** | |
| **RPE (Reactor Plant Equipment gesamt)** | **1415,8** | **48,69 %** | |
| S&amp;I (Structures &amp; Improvements) | 351,0 | 12,07 % | |
| TPE (Turbine Plant Equipment) | 164,5 | 5,66 % | |
| EPE, MPE, MCHR &amp; Land (Rest TDC) | 183,4 | 6,31 % | |
| **B. Indirect Costs** | **793,0** | **27,27 %** | |
---
### Wichtigste Beobachtung
In allen acht Fällen macht der Anteil der **Total Direct Costs (TDC)** etwa **$72,73\%$** der bereinigten OCC aus, und die **Indirect Costs** machen **$27,27\%$** aus.
Der größte **Direktkostenposten** in fast allen Konzepten ist die **Reactor Plant Equipment (RPE)**. Der RPE-Anteil variiert stark je nach Design, von $31,25\%$ (RAF-LiPb/RFP) bis zu $48,69\%$ (V-DHe3/TOK).</t>
  </si>
  <si>
    <t>Starfire 10th-OAK: https://pdf.sciencedirectassets.com/271381/1-s2.0-S0029549300X04037/1-s2.0-0029549381900443/main.pdf?X-Amz-Security-Token=IQoJb3JpZ2luX2VjEMb%2F%2F%2F%2F%2F%2F%2F%2F%2F%2FwEaCXVzLWVhc3QtMSJGMEQCIEmlmHGEVfq4c%2BiGrmGMD5ZpGHXPq80Y2Y3%2BAh1eJYJBAiA%2F%2FDZZXQpLEK0Zad1O1rT%2BRpP1Wn6%2Fx6nkN126LSJtoCqzBQhfEAUaDDA1OTAwMzU0Njg2NSIMbBNKu3NPIWbpfU78KpAFxAny8aC122XiOS7D6JBssxpqeHCRs2Ez1JGg7bMtrVZEtcI1P3ExSKsaUBmP3dOAVZVY0tvsv6rUHtxUDQ2MlH8buj%2FCeeThX%2BpdtLGy2gosbPna5J5n7TexhRORh9WpLbk496X%2FjyaEm9pOxGDbk%2B%2FUX%2FlZErCcYTobSkg6SCFBwdK1ss2CbJsqDwVLIsd9n%2BRMR6HrqZKsdYQxiLG2tHqvbkeM1oCqBoO6wgi%2BOHTY2RnZZt0DU5zIx5%2BIP5aR9qMlFek0cwSH579oQPuQs4Ozf6u31alz%2BXXBbLjfXiMX27JSaklbvoivl%2FhXIxIwPIw7M1zfDX9sitnWSMOdfGkAjyAX0Eoyx2PYpv9FDBZ1X3M%2BihzSbHEQLNHZE8hXFfJaa%2FYnUfAXSBa6bH%2FSS%2FCnNSMF%2FsxNK5IKLtTFss7GnFi29DFAjFyJB6KNFxYQ3gAUx5y0Rl8GfEDdlSDWZAp1na6zGUKoJA%2FqR5KxKlwbkQmWF%2B8dIoWYMse5aDDl3wdNmQBUvlu8Kb0SBrNgysne%2FFNq0kIsms%2Fzvxvh%2F0MYv5pWtWfsJRrhhgVtfbWThEqPLn3ZRBaWo4idQcdhJH03NFyCoI21Xmn0RPwn7mBD%2BLdge69YFnYjAZ57o%2FrmLLKy3zIzCsvlJlrEYMG3FHEQv9MjfOdNhXWSW90Z2s0tBaR1J23psxf0IC9EC1FNdAATNSIfdLtAYxbkHbzgsOd3SIZ7F89JO3Rzz6nPVfTDgqEAklX4F2%2F0E%2FnLO0BK8D2Pg5IaxbHk7crhsM%2F5u1n8SIlaQwj8CuEyItwPVpYyYsZzROMwMGGM%2BeUqYLyic3MdPf8ko3HappJNtHfxuFNfu3Y2TvYi1Tgbrto0JBAwnNCExwY6sgHgipPaUNMDIpWbHVWAsxQJ3oSQ0BrAvi4Nzu0Tj6uowQFKF7XewyQAb5%2FY%2FodGYRiSAge6zzFNDiHOx0071%2FRX55gVKAznqcPNWHOELh1Cxel9zO71EWG2HBIVODX1cM1Gb%2BVIVvklrCbUN04M1dBU7BoDvYN79U%2BakARh%2F%2FBtexujeI9eBpSr1m0E7QBWthKe1F4AUMWmQIdXtck2x8fFbrXYrHSECJh20adC6sH2oZXB&amp;X-Amz-Algorithm=AWS4-HMAC-SHA256&amp;X-Amz-Date=20251004T151839Z&amp;X-Amz-SignedHeaders=host&amp;X-Amz-Expires=299&amp;X-Amz-Credential=ASIAQ3PHCVTYXIYT2Q7D%2F20251004%2Fus-east-1%2Fs3%2Faws4_request&amp;X-Amz-Signature=a03606eca90de457adebd58cd7f4024cd904003f0687319db078f73eb247a16b&amp;hash=1b187a2695f190df7b792fe687381d4da4ee9cc26e15f908bfb63746fb5f3e19&amp;host=68042c943591013ac2b2430a89b270f6af2c76d8dfd086a07176afe7c76c2c61&amp;pii=0029549381900443&amp;tid=spdf-3f3ccb38-cf6e-4ea8-aba4-0732af3ddd08&amp;sid=ea5e631f261f8944862bdf6994bb9aecd039gxrqb&amp;type=client&amp;tsoh=d3d3LnNjaWVuY2VkaXJlY3QuY29t&amp;rh=d3d3LnNjaWVuY2VkaXJlY3QuY29t&amp;ua=1e075d595c560e595009&amp;rr=9895a72f491a9965&amp;cc=de&amp;kca=eyJrZXkiOiJzVXZqQUF2aWpsbCtOUTNyS2xoMW5JWUt0ZTBKVnFGdjlDNmErMDROWXlwZUJQWjJPKzhCdW9POUF1ZUltMHlXUlJ5dXcrblV1WTk5TVd4M1k3ZWZlejlVeFlMUjNvSk5EOXZ3b3R6SjNRbzFNb0l0YVQ0YTBUcVlEYnZBOFo4TlRxWE8reDhaVFNsb0NhQ3ZaR1JTNllUekpPVW8wTndHV1ZhbUZuN3NuMCtsS0NJQSIsIml2IjoiNGNjNjcwODM5ODVlNzkwMDA1YmZlMTdmNDU2YjUyNjcifQ==_1759591132834</t>
  </si>
  <si>
    <t>ARIES 10th-OAK https://qedfusion.org/LIB/REPORT/ARIES-ACT/UCSD-CER-13-01.pdf</t>
  </si>
  <si>
    <t>GENEROMAK 10th-OAK from ARIES paper:  In the mid 90’s, the ARIES Project6 began a series of conceptual designs and costing analyses for fusion power plants, primarily commercial 10th-of-a-kind plants. These conceptual designs and cost data can be found on the ARIES web site6. ARIES adopted much of the prior costing guidelines and bases for their usage, primarily from the Starfire and Generomak studies. T</t>
  </si>
  <si>
    <t>Die Kostenanalyse für PCSR-E, Reactor-1 und Reactor-2 wurde unter Verwendung des SCAN-Kostenmodells durchgeführt.
• SCAN-Zielsetzung: Das SCAN-Modell wurde entwickelt, um eine „vernünftig gute Schätzung“ (reasonably good estimate) der Kosten von „one-off“-Anlagen oder „first-of-a-kind“-Anlagen (first-of-a-kind devices) zu liefern.
• Die Methodik des SCAN-Modells zielt darauf ab, eine "reasonably good estimate" (vernünftig gute Schätzung) der Kosten für "one-off"- oder "first-of-a-kind"-Anlagen zu liefern.</t>
  </si>
  <si>
    <t>Die Kosten der Fusionsenergie werden sowohl mit **zukunftsgerichteten Projektionen** anderer Energietechnologien (insbesondere deren Kapitalkosten) als auch mit **historischen Marktdaten** (europäische Strompreise) verglichen.
### 1. Ergebnis des Vergleichs
Das zentrale Ergebnis der Analyse, die sich auf die **Levelized Cost of Electricity (LCOE)** des Fusionskraftwerks stützt, ist, dass Fusion das Potenzial hat, **wettbewerbsfähige** Kosten zu erreichen.
*   **Wettbewerbsfähigkeit:** Die LCOE der Fusionsreaktoren (**Option 4** – Retrofit der superkritischen Kohleanlage in Italien, die beste Option) liegt bei **$38,53 / \text{MWh}$** (bei einem Zinssatz von $2,7\%$) bzw. **$50,6 / \text{MWh}$** (bei $6\%$ Zinssatz). Diese Kosten **"vergleichen mit den konventionellen Energietechnologien"** und sind **"wettbewerbsfähig auf den aktuellen europäischen Energiemärkten"**.
*   **Signifikant niedrigere LCOE:** Die LCOE der Option 4 ist **"significantly lower than the current technological alternatives"**.
*   **CapEx im Vergleich (Kapitalkosten):**
    *   Trotz der niedrigen LCOE-Projektionen **verdoppeln** die optimistischsten Kapitalkostenschätzungen für Fusionsreaktoren ($4,7 / \text{W}_{\text{e}}$ für einen 1 GWe Stellarator) **immer noch die Kosten** von **technologisch ausgereifteren Alternativen** wie großen Photovoltaikfeldern oder Offshore-Windanlagen ($3$ bis $3,6 / \text{W}_{\text{e}}$).
    *   Andere kohlenstofffreie Basislast-Alternativen kosten laut Schätzungen: Erdgas-Kombizyklus mit CO2-Abscheidung ($1,6 / \text{W}_{\text{e}}$) und superkritisches Kohlekraftwerk mit CO2-Abscheidung ($3,8 / \text{W}_{\text{e}}$).
### 2. Vergleich mit zukunftsgerichteten Projektionen
Die Studie vergleicht die LCOE der Fusionskonzepte mit **projizierten LCOE-Werten** von Basislast-Alternativen:
*   Die LCOE der **hypothetischen Neuanlagen** (*greenfield plants*) ist **"in line with alternative technologies for based-load electricity production"**.
*   Als Vergleichswerte für Basislast-Technologien werden genannt: **$40 / \text{MWh}$** für geothermische Basislasttechnologien, **etwa $70 / \text{MWh}$** für intermittierenden Offshore-Wind und Solar, bis zu **etwa $200 / \text{MWh}$** für Brennstoffzellen.
*   Die Kostenstruktur des Fusionskraftwerks basiert auf einer **revidierten ARIES-Kostenstruktur** und alle Kosten wurden auf das **Preisniveau des Jahres 2023** inflationsbereinigt.
### 3. Vergleich mit historischen und aktuellen Marktwerten
Um die **ökonomische Nachhaltigkeit der Investition** zu analysieren, vergleicht das Paper die errechneten LCOE-Werte direkt mit den realen Marktpreisen:
*   **Vergleichszeitraum:** Die LCOE von Option 4 wird mit den **europäischen Großhandels-Strompreisen der letzten 19 Jahre (von 2004 bis 2023)** verglichen.
*   **Ergebnis des historischen Vergleichs:**
    *   Bei einem niedrigen Zinssatz ($r=2,7\%$) ist die Bedingung (*LCOE &lt; Verkaufspreis*) für die **maximalen** europäischen Preise immer erfüllt, wobei die Amortisationszeit (PBP) zwischen **4 Jahren (2023)** und **24 Jahren (2020)** lag.
    *   Bei den **minimalen** europäischen Preisen führte der LCOE von Option 4 nur in **acht von 19 Jahren** zu einem positiven Nettobarwert (NPV).
    *   Im Szenario mit hohem Zinssatz ($r=6\%$) können selbst die **maximalen** europäischen Preise einen positiven NPV am Ende der Lebensdauer **nicht garantieren**.
Zusammenfassend lässt sich sagen, dass der Vergleich sowohl **zukunftsgerichtete, optimistische Projektionen** der Fusionskosten gegenüber den projizierten CapEx/LCOE von Konkurrenten verwendet als auch die **historischen Marktwerte** (Strompreise 2004–2023) heranzieht, um die finanzielle Attraktivität der Fusionsinvestition zu bewerten.</t>
  </si>
  <si>
    <t>Demonstration</t>
  </si>
  <si>
    <t>Sensitivity Analysis</t>
  </si>
  <si>
    <t>Die Kosten der Fusionsenergie werden in der Studie von Gi et al. (2020) primär mit **zukunftsgerichteten Projektionen** anderer Energieträger und Technologien verglichen.
### 1. Art des Vergleichs: Zukunftsgerichtete Projektionen
Der Vergleich basiert auf einem umfassenden **Bottom-up-Ansatz** unter Verwendung des globalen Energiesystemmodells **Dynamic New Earth 21+ (DNE21+)**.
*   **Modellierungshorizont:** Das DNE21+-Modell ist ein intertemporales lineares Programmierungsmodell, das globale Energiesysteme bis zum Jahr **2100** analysiert und darauf abzielt, die Gesamtkosten des weltweiten Energiesystems zu minimieren.
*   **Zukunftsannahmen:** Das Modell basiert auf Annahmen über **zukünftige Ressourcenpotenziale**, **Umwandlungseffizienzen** und **Anlagen-Errichtungskosten** von Energieumwandlungs- und Stromerzeugungssektoren. Es berücksichtigt explizit auch **Kostenreduktionen** bei erneuerbaren Energien und CCS (Carbon Capture and Storage) innerhalb plausibler Zeitrahmen.
*   **Wirtschaftliche Schwelle:** Der Vergleich erfolgt nicht mit historischen Werten, sondern über die Ermittlung des **Breakeven Price** (BP) für die Kapitalkosten pro Einheit der Fusionskraftwerke. Der BP ist der Grenzkostenwert, bei dem Fusionskraftwerke im Vergleich zu den **zukünftigen Alternativen** als kosten-effiziente Option in das Energiesystem eingeführt werden.
### 2. Ergebnis des Vergleichs
Das Ergebnis des Vergleichs zeigt, dass die Wettbewerbsfähigkeit der Fusionsenergie stark von den verfügbaren **alternativen, emissionsfreien Energiequellen** in der jeweiligen Region abhängt.
#### A. Wettbewerbsfähig in Ressourcenarmen Regionen
In der zweiten Hälfte des 21. Jahrhunderts wird erwartet, dass Fusionskraftwerke hauptsächlich in Regionen installiert werden, die **begrenzte Potenziale für emissionsfreie Energiequellen** (wie Solar- und Windenergie sowie CCS-Speichermöglichkeiten) aufweisen.
*   **Zugehörige Länder:** **Japan, Südkorea (Korea) und Türkei** (Gruppe I).
*   **Ergebnis:** In diesen Ländern ist die Fusionsenergie erforderlich, um eine **kosten-effiziente Maßnahme zur Minderung des Klimawandels** (*cost-efficient climate change mitigation*) darzustellen.
*   **Breakeven Price (BP):** In diesen Regionen kann Fusion bereits bei den niedrigsten im Modell ermittelten LCOE-Werten (ab ca. **$19 / \text{MWh}$**) wettbewerbsfähig sein.
#### B. Nicht Wettbewerbsfähig in Ressourcenreichen Regionen
In Ländern, die reich an emissionsfreien Ressourcen sind, ist die Einführung der Fusionsenergie unwahrscheinlich, da andere Alternativen kostengünstiger sind.
*   **Zugehörige Länder:** **Vereinigte Staaten und Russland** (Gruppe III).
*   **Ergebnis:** Um in diesen **emissionsfreien, ressourcenreichen Ländern** (*zero-emission resource-rich countries*) wettbewerbsfähig zu werden, sind **weitere Kostenreduktionen** durch innovative Designs und alternative Konzepte erforderlich, die über die Annahmen der Szenarien "Conventional R&amp;D" und "Advanced R&amp;D" hinausgehen.
*   **Globaler Anteil:** Obwohl Fusion in einigen Ländern einen hohen Anteil an der Stromerzeugung erreichen kann (z. B. in Japan, wo sie durchschnittlich 23 % der Stromerzeugung von 2050 bis 2100 ausmacht), bleibt der globale Anteil der Fusion an der Stromerzeugung im Jahr 2100 **gering (etwa 1%)**, da sie nur in begrenzten Ländern installiert wird.</t>
  </si>
  <si>
    <t>Gerne beantworte ich Ihre Fragen basierend auf der Analyse von Gi et al. (2020) und den bereitgestellten Quellen.
### 1. Welche Modellannahmen werden getroffen?
Die Modellierung der globalen Energiesysteme (DNE21+) zur Bewertung des Beitrags der Fusionsenergie basiert auf Annahmen in drei Hauptbereichen:
#### A. Globales Energiesystem (DNE21+)
*   **Modellziel:** Minimierung der Weltenergiesystemkosten über den Zeithorizont bis **2100**.
*   **Zeitpunkte:** Repräsentative Zeitpunkte sind 2000, 2005, 2010, 2015, 2020, 2025, 2030, 2040, 2050, 2070 und 2100.
*   **Regionalisierung:** Die Welt ist in **54 Regionen** unterteilt, um regionale Unterschiede und detaillierte Energietechnologien zu bewerten.
*   **Langfristige Klimaziele:** Es werden vier globale $\text{CO}_2$-Emissionspfade (Path-I bis Path-IV) angenommen, die alle dem **$2\,^{\circ}\text{C}$-Ziel** des Pariser Abkommens entsprechen.
*   **Sozioökonomische Entwicklung:** Es werden drei **Shared Socioeconomic Pathways (SSPs)** verwendet, um die Unsicherheit der sozioökonomischen Entwicklung abzubilden: **SSP1** (Sustainability), **SSP2** (Middle of the Road) und **SSP5** (Fossil Fuel Development).
#### B. Fusionsspezifische Annahmen (Tabelle 3)
Es werden drei Szenarien für die Fusionsentwicklung verglichen: "No Fusion", "Conventional R&amp;D" (**Conv**) und "Advanced R&amp;D" (**Ad**).
| Parameter | Conventional R&amp;D (Conv) | Advanced R&amp;D (Ad) | Quelle |
| :--- | :--- | :--- | :--- |
| **Kapitalkosten pro Einheit** | $8,5 \text{ US\$2000}/\text{W}$ | $6,6 \text{ US\$2000}/\text{W}$ | |
| **Anlagenverfügbarkeit** | $90\%$ | $90\%$ | |
| **Lebensdauer** | $40 \text{ Jahre}$ | $40 \text{ Jahre}$ | |
| **Jährliche Kostenquote (Annual expense ratio)** | $12\%$ | $12\%$ | |
| **Brennstoff- und End-of-Life-Kosten** | $2,0 \text{ US\$2000}/\text{MWh}$ | $2,0 \text{ US\$2000}/\text{MWh}$ | |
| **Kapazitätseinführungsbeschränkung** | Maximalgrenze der jährlichen Kapazitätseinführung von **$2 \text{ GW}/\text{Jahr}$ pro Region** (lineare Rate, basierend auf historischen Erfahrungen der Kernspaltung). | |
#### C. Kernspaltungsszenario
*   **Low Fission Plant Establishment (LF):** Zusätzlich wird ein Szenario mit geringer Etablierung neuer Kernspaltungsanlagen (Fission Plants) untersucht, um die Unsicherheit der sozialen Akzeptanz der Kernspaltung abzubilden. Hierbei wird die maximale Kapazität von Kernspaltungsanlagen auf **ein Drittel** der Standardeinstellungen reduziert.
### 2. Welche Modell- und Kostenannahmen basieren auf tatsächlichen Erfahrungswerten und welche nur Schätzungen oder Prognosen? Welche Annahmen stammen woher?
Die Modell- und Kostenannahmen basieren auf einer Mischung aus **historischen Daten/Erfahrungswerten** (für die Modellmechanismen und einige Kapazitätsgrenzen) und **Prognosen/Schätzungen** (für die Fusionsparameter).
#### A. Schätzungen/Prognosen (Fusionsspezifisch)
| Annahme | Status / Herkunft | Quelle |
| :--- | :--- | :--- |
| **Kapitalkosten (Conv: 8,5 \$/W; Ad: 6,6 \$/W)** | **Prognose/Schätzung.** Die Parameter basieren auf dem **10. Art** (*10th kind*) der vorgeschlagenen konzeptionellen Designs von Tokamak-Fusionskraftwerken, namentlich **CREST** und **Slim-CS** [19, CH]. | |
| **Plasma Performance** | **Aggressive Prognose.** Die angenommene Plasma-Performance (z. B. der normalisierte Beta-Wert von 4,3 für CREST und 5,5 für Slim-CS) ist **höher** als die des experimentellen Reaktors **ITER** (1,8) und muss noch in der **DEMO-Phase** entwickelt werden. | |
| **Kernspaltungs-Szenario (LF)** | **Annahme/Szenario.** Reduktion der maximalen Kapazität der Kernspaltung auf **ein Drittel** der Standardeinstellungen. | |
#### B. Erfahrungswerte/Regelwerke (Modellparameter)
| Annahme | Status / Herkunft | Quelle |
| :--- | :--- | :--- |
| **Kapazitätseinführungsrate** | **Erfahrungswert/Regelwerk.** Die maximale Kapazitätseinführungsbeschränkung von $2 \text{ GW}/\text{Jahr}$ pro Region basiert auf den **historischen Erfahrungen** mit der Kapazitätserweiterung von Kernspaltungsanlagen. | |
| **Modellparameter (DNE21+)** | **Erfahrungswert/Literatur.** Die Ressourcenschätzungen, Kostenreduktionen für erneuerbare Energien/CCS, Umwandlungseffizienzen und Anlagen-Errichtungskosten stammen aus einer **Vielzahl von Literaturquellen**. | |
| **Formel für LCOE** | **Standard-Regelwerk.** Die Formel zur Umrechnung der Kapitalkosten in $\text{LCOE}$ basiert auf einer Formel aus **IEA/NEA (2015)**. | |
### 3. Falls externe Quellen für die Modell- und Kostenannahmen verwendet wurden – wurden diese modifiziert? Falls ja, wie?
Ja, externe Quellen wurden verwendet, und die Annahmen wurden spezifisch für die Modellierung angepasst:
*   **Basis der Fusionsparameter:** Die Annahmen zu den Fusionstechnologie-Parametern (Tabelle 3) wurden von **Hiwatari et al. (2019)** übernommen. Diese wiederum basieren auf dem **10. konzeptionellen Design** von **CREST** und **Slim-CS**.
*   **Anpassung der Klimaszenarien:** Die globalen $\text{CO}_2$-Emissionspfade (Fig. 2) wurden von **Akimoto und Sano (2017)** abgeleitet. Diese Pfade wurden unter Verwendung des einfachen Klimawandelmodells **MAGICC** berechnet, wobei Annahmen über unterschiedliche **Klimasensitivitäten** ($2,5\,^{\circ}\text{C}$ und $3,0\,^{\circ}\text{C}$) und Temperaturpfade getroffen wurden.
*   **Kostenbasis:** Die Kapitalkosten werden in **US\$ des Jahres 2000** angegeben. Die Umrechnung von früheren Studien auf dieses Basisjahr ist impliziert, da die LCOE-Formel die Kapitalkosten in $\text{US\$2000}/\text{W}$ verwendet.
### 4. Wie lautet die Annahme zu Lernraten?
Die Studie trifft **keine explizite Annahme zu Lernraten** im Sinne einer Kostenreduktion nach jedem Bau eines Reaktors.
Die Kostenannahmen in Tabelle 3 ($8,5 \text{ \$/W}$ und $6,6 \text{ \$/W}$) sind jedoch **implizit** das Ergebnis von angenommenen Lern- und Optimierungseffekten, da sie auf dem **"10. Art"** konzeptioneller Designs basieren [19, CH]. Das bedeutet, die Kosten stellen den **Endpunkt** eines Optimierungsprozesses dar, bei dem Lernraten berücksichtigt wurden, um wettbewerbsfähige langfristige Kosten zu projizieren.
### 5. Wie wurden die Annahmen zu den Lernraten hergeleitet bzw. von wo stammen diese Annahmen?
Da die Studie keine Lernraten-Formeln oder Lernkurven verwendet, sondern direkt auf den **optimierten Kosten eines ausgereiften Designs** (10th-of-a-kind) basiert, gibt es **keine Herleitung** der Lernraten im Text. Die angenommenen Kosten ($6,6 \text{ \$/W}$ und $8,5 \text{ \$/W}$) stammen aus früheren **konzeptionellen Designstudien (CREST und Slim-CS)**, die optimierte Parameter lieferten.
### 6. Wird offengelegt, ob die Kostenabschätzung auf einem Bottom-up-, Top-down- oder hybriden Ansatz basiert?
Die Studie legt den Ansatz **nicht direkt** als Bottom-up, Top-down oder Hybrid dar, aber die **Kostenbasis** impliziert einen **Bottom-up-Ansatz** der zugrundeliegenden Designstudien (CREST und Slim-CS), deren Ergebnisse dann als **Top-down-Parameter** in das DNE21+-Modell eingespeist werden.
*   Die Parameter basieren auf den **konzeptionellen Designs**. Solche Designs, wie **CREST** und **Slim-CS**, verwenden in der Regel detaillierte, komponentenbasierte (Bottom-up) Methoden, um ihre optimierten Kapitalkosten pro Watt zu ermitteln.
*   Das DNE21+-Modell verwendet diese Kapitalkosten ($6,6 \text{ \$/W}$ bzw. $8,5 \text{ \$/W}$) als **exogene Input-Parameter**, was in Bezug auf die globale Energiesystemanalyse als Top-down-Input fungiert.
### 7. Beruht die Kostenherleitung auf physikalischen und technologischen Werten?
**Ja.** Die zugrundeliegenden Kostenparameter basieren direkt auf physikalischen und technologischen Annahmen, die aus den konzeptionellen Designs **CREST** und **Slim-CS** stammen.
*   Die Studie merkt explizit an, dass die **Plasma-Performance** (z. B. der normalisierte Beta-Wert von 4,3 bis 5,5) der Fusionsszenarien **höher** ist als die des Experimentalreaktors ITER (1,8). Diese höhere Performance und die damit verbundenen technologischen Anforderungen (die in der DEMO-Phase entwickelt werden müssen) sind direkt in die Kapitalkosten pro Watt ($6,6 \text{ \$/W}$ und $8,5 \text{ \$/W}$) eingeflossen.
*   Die Kosten spiegeln die **potentielle und erreichbare Kostenreduktion und Leistungssteigerung** durch die Erweiterung der aktuellen DEMO-Konzeptdesigns wider.
### 8. Werden Materialkosten und Komponentenkosten separat ausgewiesen?
**Nein.** In der vorliegenden Studie (Gi et al., 2020) werden die Kosten der Fusionskraftwerke auf der höchsten Aggregationsebene des Modells dargestellt: als **Kapitalkosten pro Einheit** ($\text{US\$2000}/\text{W}$).
Detaillierte Aufschlüsselungen der Materialkosten oder spezifische Komponentenkosten (wie in den zugrundeliegenden Designstudien CREST oder Slim-CS) sind **nicht** Teil der Tabellen oder des Analyse-Frameworks in diesem Paper. Die einzigen weiteren Kostenparameter sind die **Brennstoff- und End-of-Life-Kosten** pro MWh.
### 9. Bezieht sich die Studie auf ein Energiesystem (z. B. Integration, Vergleich mit anderen Technologien) oder ist sie rein bezogen auf die Kosten des Kraftwerks und des Reaktors?
Die Studie bezieht sich **primär auf die Integration der Fusionsenergie in das globale Energiesystem** und den **Vergleich mit anderen Technologien**.
*   **Systemanalyse:** Die Analyse verwendet das globale Energiesystemmodell **DNE21+**, um zu untersuchen, wie und wo Fusionsenergie **kosten-effizient** zur Minderung des Klimawandels unter dem Pariser Abkommen beiträgt.
*   **Integrationseffekte:** Die Studie analysiert die **Auswirkungen der Fusionseinführung auf das gesamte Energiesystem** in Japan. Hierbei wird gezeigt, dass die zusätzliche Nullemissions-Elektrizität aus Fusion genutzt wird, um Wasserstoff durch Elektrolyse zu erzeugen, was wiederum die Importe von Wasserstoff und Erdgas reduziert und die **Energie-Selbstversorgung** Japans verbessert.
*   **Vergleich mit Alternativen:** Fusion wird gegen alle anderen Alternativen (Kernspaltung, CCS, erneuerbare Energien) im Wettbewerb um die kostengünstigste Dekarbonisierungsstrategie bewertet.
### 10. Welche Kostenreduktionspotenziale oder wirtschaftlichen Optimierungsansätze werden thematisiert?
Das Hauptthema ist die **Notwendigkeit der Kostenreduktion** durch technologischen Fortschritt, um die Wettbewerbsfähigkeit zu sichern.
*   **Advanced R&amp;D Szenario (Ad):** Die Untersuchung des Szenarios **Ad** (Kapitalkosten $6,6 \text{ \$/W}$) im Vergleich zu **Conv** ($8,5 \text{ \$/W}$) thematisiert die Möglichkeit, dass **verbesserte F&amp;E und fortschrittliches Design in DEMO-Projekten** zu kostengünstigeren Kraftwerken führen.
*   **Alternative/Innovative Konzepte:** Es wird betont, dass **"weitere Kostenreduktion durch innovative Designs und alternative Konzepte"** unerlässlich ist, um Fusionsanlagen in ressourcenreichen Ländern mit Nullemissionen (wie den USA und Russland) wettbewerbsfähig zu machen.
*   **Ökonomie des Umfangs (Economy of Scope):** Die Studie schlägt vor, dass die Entwicklung von **Derivaten der Fusion** (z. B. Hochtemperatur-Dampfelektrolyse zur direkten Wasserstoffproduktion unter Nutzung der Prozesswärme) ein Weg sein könnte, um die **ökonomische Wettbewerbsfähigkeit zu maximieren** und neue Einnahmequellen zu erschließen.
### 11. Was sind die signifikantesten Kostentreiber und ökonomischen Herausforderungen laut Studie?
#### A. Signifikanteste Kostentreiber
*   **Hohe Kapitalkosten:** Die Kapitalkosten pro Einheit ($\text{US\$}/\text{W}$) sind der dominierende Faktor in der $\text{LCOE}$-Formel. Die Notwendigkeit, diesen Wert von $8,5 \text{ \$/W}$ auf $6,6 \text{ \$/W}$ (oder sogar darunter) zu senken, zeigt, dass die **Anfangsinvestitionen** der Hauptkostentreiber sind.
#### B. Ökonomische Herausforderungen
*   **Fehlende ökonomische Wettbewerbsfähigkeit (Global):** Die größte Herausforderung ist die mangelnde ökonomische Wettbewerbsfähigkeit der Fusionsenergie in vielen wichtigen Volkswirtschaften (z. B. USA, Russland), was dazu führt, dass der **globale Anteil an der Stromerzeugung im Jahr 2100 gering bleibt (etwa 1%)**.
*   **Abhängigkeit von regionalen Ressourcen:** Die Rentabilität der Fusionsenergie hängt stark davon ab, ob ein Land **begrenzte Potenziale** an alternativen, kostengünstigen Nullemissionsquellen (wie Solar, Wind oder CCS-Speicherung) hat. Länder mit reichen alternativen Ressourcen würden Fusion aufgrund höherer Kosten nicht einführen.
*   **Entwicklungsprobleme:** Die hohen Kosten und die Unsicherheit sind auf die Tatsache zurückzuführen, dass der **DEMO-Reaktor noch in der Phase des konzeptionellen Designs** ist und **gewaltige Unsicherheiten** hinsichtlich der zukünftigen kommerziellen Fusionskraftwerke bestehen.
*   **Notwendigkeit großer, langfristiger Investitionen:** Die Fusionsentwicklung erfordert **langfristige und groß angelegte Investitionen**. Die erfolgreiche Demonstration der ökonomischen Rentabilität in **DEMO-Projekten** ist entscheidend für die Akzeptanz und Verbreitung kommerzieller Anlagen.</t>
  </si>
  <si>
    <t>Highly advnaced NOAK = 100th-OAK
Fragen beziehen sich nicht auf OCC werte</t>
  </si>
  <si>
    <t>Dies ist eine umfassende Beantwortung Ihrer Fragen, die auf der Revision der Ökonomie der Fusionsenergie durch Han und Ward (2009) basiert, unter Verwendung des EFDA/TIMES-Modells und der PPCS/DEMO-Daten.
---
### 1. Welche Modellannahmen werden getroffen?
Die Annahmen werden auf der Ebene der Kraftwerkstechnik (Fusion Data Sheet) und auf der Ebene des globalen Energiesystems (EFDA/TIMES-Modell) getroffen:
#### A. Fusionskraftwerk (Fusion Data Sheet)
*   **Technologische Basis:** Zwei Kernkonzepte, die als **"Basic Plant"** (Basis um PPCS-C) und **"Advanced Plant"** (Basis um PPCS-D/ARIES-AT) bezeichnet werden.
*   **Kostenbasis:** Die Kapitalkosten sind **Overnight Costs** (OCC), d. h. Zinsen während der Bauzeit werden vernachlässigt.
*   **Zeitpunkt der Verfügbarkeit:**
    *   Basic Plant: **2050** (10th of a kind Kosten) und **2060** (100th of a kind Kosten).
    *   Advanced Plant: **2070** (10th of a kind Kosten) und **2080** (100th of a kind Kosten).
*   **Wirkungsgrad (Effizienz):** Basic Plant mit $42\%$ und Advanced Plant mit $60\%$.
*   **Betriebskosten:** Es werden spezifische FIXOM (Fixed Operating and Maintenance Costs) und VAROM (Variable Operating and Maintenance Costs) angenommen.
*   **Brennstoff/Tritium:** Das Tritium-erzeugende Material ist **Lithium-Blei** mit einer $\text{Li}^6$-Anreicherung von $90\%$. Die Entsorgungskosten sind in den VAROM enthalten, die Stilllegungskosten in den FIXOM.
#### B. Energiesystemmodell (EFDA/TIMES)
*   **Ziel:** Das Modell maximiert den **gesamten ökonomischen Überschuss** (äquivalent zur Minimierung der Gesamtkosten) über den gegebenen Zeitraum.
*   **Regionalisierung:** Die Welt ist in **15 Regionen** unterteilt.
*   **Szenarien:** Die Analyse verwendet Szenarien mit **Umwelteinschränkungen** (z. B. $\text{CO}_2$-Konzentration auf weniger als $550 \text{ ppmv}$ begrenzt) und ohne Einschränkungen (Basisszenario).
*   **Nachfrageszenario:** Die Nachfragentreiber basieren auf dem **IPCC B2-Storyline** (moderate Bevölkerung und starkes BIP-Wachstum, starke Konvergenz zwischen entwickelten und weniger entwickelten Ländern).
*   **Wachstumsbeschränkung:** Eine maximale Beschränkung des Kapazitätswachstums von **$26\%$ pro Jahr** wird als Empfehlung für die Fusionskapazitätserweiterung angenommen.
### 2. Welche Modell- und Kostenannahmen basieren auf tatsächlichen Erfahrungswerten und welche nur Schätzungen oder Prognosen? Welche Annahmen stammen woher?
Die Kostenstruktur ist eine Mischung aus etablierten Industriedaten und wissenschaftlichen Prognosen:
| Annahme | Status | Herkunft / Quelle |
| :--- | :--- | :--- |
| **Konventionelle Kosten (BOP)** | **Erfahrungswert/Gut bekannt.** Die Kapitalkosten sind stark durch die Kosten **konventioneller Komponenten** (Standort, Turbinen, elektrische Anlagen) verwässert, deren Kosten als **"reasonably well known"** gelten. | PPCS, ARIES-T. |
| **Kostenstruktur-Fokus** | **Erfahrungswert/Gut bekannt.** Die Fusionskosten werden von einer **kleinen Anzahl Schlüsselkomponenten** (Magnete, Vakuumgefäß) dominiert, deren Kosten **"reasonably well known"** sind. | PPCS, ARIES-T. |
| **Leistungsparameter** | **Prognose/Unbewiesen.** Die angenommenen **Leistungsstufen, Umwandlungseffizienzen** und die **Anlagenverfügbarkeit** (*plant availability*) sind **"not proven"** in der Praxis. | EU DEMO Studien. |
| **Lernraten (PR=0,81)** | **Prognose.** Abgeleitet aus einer **"breiten Palette technologischer Industrien"**. | Umfassende Branchenstudien. |
| **Kapitalkosten (\$/kW)** | **Prognose.** Die Kosten basieren auf überarbeiteten Annahmen der **EU DEMO Studien**, angewandt auf die PPCS-Konzepte. | PPCS, EU DEMO. |
| **Ökonomisches Modell** | **Erfahrungswert/Regelwerk.** Die Nachfragedaten stammen von **UN** und **IPCC** (B2 Storyline) und werden im **GEM-E3**-Modell verarbeitet. | UN, IPCC, GEM-E3. |
### 3. Falls externe Quellen für die Modell- und Kostenannahmen verwendet wurden – wurden diese modifiziert? Falls ja, wie?
**Ja**, die Annahmen der ursprünglichen PPCS-Studie wurden auf Grundlage neuer Ergebnisse aus den EU DEMO Studien modifiziert:
*   **PPCS-Basis:** Die Studie baut auf den **PPCS-Modellen** (Power Plant Conceptual Study) auf.
*   **Modifikationen durch DEMO-Studien:** Die Arbeit an **DEMO** und Fortschritte in der Fusionsforschung führten zu Fortschritten, die die PPCS-Designs veränderten.
    *   **Betriebsszenario:** Das Betriebsszenario wurde an den **Hybrid-Modus** der Plasma-Operation angepasst.
    *   **Impuritäten-Mix:** Eine Neufassung des **Impuritäten-Mixes** mit **höherem Z** (Ordnungszahl) wurde vorgenommen, was eine geringere Verdünnung des Fusionsbrennstoffs bei gleicher Abstrahlung ermöglicht.
    *   **Druckkorrektur:** Eine Korrektur des **Schnellteilchen-Drucks** (*fast particle pressure*) wurde vorgenommen, da dieser in PPCS überschätzt wurde.
*   **Resultierende Kostenstrategie:** Diese Modifikationen hätten **reduzierte Kosten** zur Folge haben können. Stattdessen wurde der Ansatz gewählt, bei **konstanten Kosten** Modelle mit **weniger ehrgeizigen technischen Annahmen** (z. B. geringere Divertor-Wärmelast) zu definieren, um das **Fusion Data Sheet** zu erstellen.
### 4. Wie lautet die Annahme zu Lernraten?
Die Annahme zur Lernrate basiert auf einer **Progress Ratio (PR)** für die Produktion:
*   **PR für Fusionskosten:** Die Progress Ratio für den **neuartigen, spezifisch fusionsbezogenen Teil** der Kraftwerkskosten wird als **$\mathbf{0,81}$** angenommen.
*   **PR für Gesamtanlage:** Dies resultiert in einer Progress Ratio für das **Kraftwerk als Ganzes** von ungefähr **$\mathbf{0,89}$**.
Diese Lernfaktoren führen zu Kostenreduktionen, die in Tabelle 1 verwendet werden, relativ zu einem **First-of-a-kind** (FOAK) Reaktor:
*   **10th of a kind (Early Technology):** Kosten sind um **$36\%$** reduziert.
*   **100th of a kind (Mature Technology):** Kosten sind um **$52\%$** reduziert.
### 5. Wie wurden die Annahmen zu den Lernraten hergeleitet bzw. von wo stammen diese Annahmen?
Die Progress Ratio von $\text{PR} = 0,81$ wird als gerechtfertigt angesehen und stammt aus **"umfassenden Umfragen"** (*Extensive surveys*) über eine **"breite Palette technologischer Industrien"**. Diese Umfragen zeigten einen hohen Grad an Konsistenz in der beobachteten Kostenreduktion pro Verdopplung der kumulierten Produktion.
### 6. Wird offengelegt, ob die Kostenabschätzung auf einem Bottom-up-, Top-down- oder hybriden Ansatz basiert?
Das Paper legt dar, dass das verwendete Modell **EFDA/TIMES** ein **Bottom-up-Szenariomodell** des Weltenergieverbrauchs ist.
Die **zugrundeliegende Kostenmethodik** (PPCS/ARIES-AT) wird implizit als **Hybridansatz** betrachtet, der physikalische Komponenten und kommerzielle Kosten kombiniert. Die Autoren argumentieren, dass die Kapitalinvestitionskosten eines zukünftigen Fusionskraftwerks **"reasonably well known"** sind, weil:
1.  Die Fusionskosten durch die **konventionellen Komponenten** (BOP) stark verwässert werden.
2.  Die Fusionskosten von einer kleinen Anzahl **Schlüsselkomponenten** (Magnete, Vakuumgefäß) dominiert werden, deren Kosten bekannt sind.
### 7. Beruht die Kostenherleitung auf physikalischen und technologischen Werten?
**Ja.** Die gesamte ökonomische Analyse basiert auf der Erreichung spezifischer **physikalischer und technologischer Meilensteine**, die aus den PPCS- und DEMO-Studien stammen.
*   Die Kostenrevision wurde durch **physikalische Anpassungen** (z. B. am *fast particle pressure* und am Impuritäten-Mix) ermöglicht.
*   Die niedrigsten Kapitalkosten (Advanced Plant) werden an die **höchste Effizienz** (60%) gekoppelt.
*   Es ist eine zentrale Annahme, dass die projizierten **Leistungsstufen** und die **Anlagenverfügbarkeit** (*plant availability*) in der Praxis erreicht werden können, was eine technologische Herausforderung darstellt.
### 8. Werden Materialkosten und Komponentenkosten separat ausgewiesen?
**Nein**, das Paper weist die Kosten in der **Fusion Data Sheet** (Tabelle 1) nur in **aggregierter Form** aus:
*   Spezifische Kapitalkosten ($\text{\$/kW}$).
*   FIXOM und VAROM.
Es wird jedoch **explizit erwähnt**, dass die Fusionskosten von **Schlüsselkomponenten** wie den **Magneten** und dem **Vakuumgefäß** dominiert werden. Detaillierte Kostenaufschlüsselungen nach Material oder Komponente wurden in den zugrundeliegenden PPCS-Studien erstellt.
### 9. Bezieht sich die Studie auf ein Energiesystem (z. B. Integration, Vergleich mit anderen Technologien) oder ist sie rein bezogen auf die Kosten des Kraftwerks und des Reaktors?
Die Studie konzentriert sich primär auf die **Rolle der Fusion im zukünftigen Energiesystem**.
*   **Systemmodellierung:** Sie verwendet das **EFDA/TIMES**-Modell, um zu untersuchen, wie Fusionsenergie in einem globalen Energiemarkt eingeführt wird und wie sich ihr Markteinfluss auf andere Annahmen auswirkt.
*   **Vergleich mit Technologien:** Die Szenarien vergleichen die Fusion mit anderen Energiequellen wie **Kernspaltung (Fission), Wind, Gas** und **CCS (Carbon Capture and Storage)**.
*   **Umwelteinschränkungen:** Die Analyse untersucht die Marktleistung der Fusion **unter der Bedingung von $\mathbf{CO}_2$-Emissionsbeschränkungen** (z. B. $550 \text{ ppmv}$).
### 10. Welche Kostenreduktionspotenziale oder wirtschaftlichen Optimierungsansätze werden thematisiert?
*   **Technologisches Lernen und Serienfertigung:** Die Hauptoptimierung liegt in der **Kostenreduktion durch Reife** (*technological learning*), die von $36\%$ (10th of a kind) auf $52\%$ (100th of a kind) reduziert wird.
*   **Fortschrittliches Design:** Das **Advanced Plant** (PPCS-D/ARIES-AT) bietet ein Optimierungspotenzial durch einen deutlich höheren Wirkungsgrad ($\mathbf{60\%}$) und geringere Kapitalkosten ($2170 \text{ \$/kW}$) im Vergleich zum Basic Plant ($3940 \text{ \$/kW}$).
*   **F&amp;E-Fortschritt:** Die **Überprüfung der Annahmen** in der **EU DEMO-Studie** ermöglichte Designanpassungen, die entweder die Kosten senken oder die technische Komplexität bei gleicher Wirtschaftlichkeit reduzieren.
### 11. Was sind die signifikantesten Kostentreiber und ökonomischen Herausforderungen laut Studie?
#### A. Signifikanteste Kostentreiber
*   **Kapitalkosten:** Sie sind die dominierende Komponente der Kostenstruktur (als Overnight Costs).
*   **Fusion Key Items:** Die Fusionskosten werden dominiert von **Magneten** und dem **Vakuumgefäß**.
#### B. Ökonomische Herausforderungen
*   **Hohe Kosten-Sensitivität:** Die Rolle der Fusion im zukünftigen Energiemarkt ist **sehr sensitiv** gegenüber den Preisannahmen. Eine Erhöhung der Fusionskosten um $20\%$ reduziert den Markteintritt um $\mathbf{66\%}$, während eine Reduktion um $20\%$ den Markteintritt um $\mathbf{152\%}$ erhöht.
*   **Abhängigkeit von $\text{CO}_2$-Beschränkungen:** Fusion tritt nur dann signifikant in den Energiemix ein, wenn **Emissionsbeschränkungen** angewandt werden; im unbeschränkten Basisszenario spielt Fusion **keine Rolle**.
*   **Nachweis der Leistungsparameter:** Die größte Unsicherheit liegt in der **Anlagenverfügbarkeit** (*plant availability*) und den **Leistungsstufen**, die in der Praxis noch **nicht bewiesen** sind.
*   **Wachstumsbeschränkungen:** Kapazitätswachstumsbeschränkungen (z. B. $26\%$ pro Jahr) können den Marktdurchdringungsgrad der Fusion im Jahr 2100 **halbieren**.</t>
  </si>
  <si>
    <t>Die Studie von Han und Ward (2009) vergleicht die Kosten der Fusionsenergie primär mit **zukunftsgerichteten Projektionen** anderer Energieträger und Technologien.
### 1. Art des Vergleichs: Zukunftsgerichtete Projektionen
Der Vergleich wird mithilfe des globalen Energiesystemmodells **EFDA/TIMES** (*The Integrated MARKAL-EFOM System*) durchgeführt. Dieses Modell ist ein **Bottom-up-Szenariomodell** des Weltenergieverbrauchs, das darauf ausgelegt ist, die **Gesamtkosten über einen gegebenen Zeitraum zu minimieren** (oder den ökonomischen Überschuss zu maximieren).
*   **Zukunftsbasis:** Das Modell benötigt einen umfassenden Satz von **Datenbanken über Kosten und andere technische Parameter** (*database of costs and other technical parameters*) für Energiequellen und eine breite Palette von Technologien. Diese Daten werden im Rahmen des SERF-Programms (Socio Economic Research in Fusion) entwickelt.
*   **Langfristiger Horizont:** Das Modell analysiert die Energieversorgung in einer Zukunft, die von $\text{CO}_2$-Emissionsbeschränkungen und der **IPCC B2-Storyline** (moderate Bevölkerungszunahme, starkes BIP-Wachstum) geprägt ist. Daher werden die Fusionskosten mit **projizierten zukünftigen Kosten** (und nicht mit historischen Werten) der konkurrierenden Technologien verglichen.
### 2. Ergebnis des Vergleichs
Das Ergebnis der Modellierung ist, dass Fusionsenergie eine **signifikante Rolle** im zukünftigen Energiemarkt spielen kann, **allerdings nur unter bestimmten Bedingungen**.
#### A. Die Rolle der Fusionsenergie in Szenarien
*   **Szenario ohne Umwelteinschränkungen (Basis):** Im Basisszenario, in dem es keine betrieblichen Einschränkungen für den Stromerzeugungssektor gibt (keine Umweltpolitik), tritt Fusion **überhaupt nicht** in den Markt ein. In diesem Fall wird der größte Beitrag zur Stromerzeugung Ende des Jahrhunderts von Kohletechnologien geleistet, gefolgt von Kernspaltung, erneuerbaren Energien und Gas.
*   **Szenario mit $\text{CO}_2$-Beschränkung:** Fusion spielt eine Rolle, die **vergleichbar mit Kernspaltung (Fission) oder Wind** ist, wenn die atmosphärische Kohlenstoffkonzentration auf **unter $550 \text{ ppmv}$ beschränkt** wird.
#### B. Sensitivität gegenüber den Kosten
Die Marktpenetration der Fusionsenergie erweist sich als **sehr empfindlich** gegenüber den Kostenannahmen:
*   **Kostensenkung:** Wenn die **Fusion Costs** (Investitions-, fixe und variable Wartungskosten) um **$20\%$ reduziert** werden, steigt der endgültige **Marktanteil um $152\%$**.
*   **Kostensteigerung:** Wenn die Fusion Costs um **$20\%$ erhöht** werden, **reduziert sich der endgültige Marktanteil um $66\%$**.
Dieses Ergebnis unterstreicht, dass die tatsächliche Rolle der Fusion im Energiesystem direkt von ihrer Fähigkeit abhängt, die angenommene **Kostenreduktion durch technologische Reife** (vom 10th-of-a-kind zum 100th-of-a-kind) zu erreichen und wettbewerbsfähig gegenüber den projizierten Kosten etablierter und emissionsarmer Alternativen wie **CCS** (*Carbon Capture and Storage*) und **Kernspaltung** zu sein.</t>
  </si>
  <si>
    <t>Die vorliegende Quelle (Han und Ward, 2009) liefert keine exakte prozentuale Aufschlüsselung der **bereinigten Overnight Construction Costs (OCC)**, die sich aus Ihrer Berechnung ergeben ($\mathbf{1.935.530.000 \text{ US\$}}$).
Die Studie legt jedoch qualitativ dar, welche Komponenten die Kapitalkosten dominieren und welchen Anteil sie relativ zueinander an der gesamten Investition (OCC) haben:
### 1. Dominanz der Konventionellen Komponenten (BOP)
Ein bedeutender Teil der gesamten Investitionskosten entfällt auf konventionelle Anlagenkomponenten (**Balance of Plant, BOP**), die nicht fusionsspezifisch sind.
*   Die Fusionskapitalkosten werden durch die Kosten für **konventionelle Posten** stark **verwässert** (*quite strongly diluted by the cost of conventional items*).
*   Diese konventionellen Posten umfassen unter anderem den **Standort** (*site*), **konventionelle Gebäude** (*conventional buildings*), **Turbinen** (*turbines*) und **elektrische Anlagen** (*electrical plant*).
*   Die Kosten dieser konventionellen Komponenten gelten als **"vernünftigerweise gut bekannt"** (*reasonably well known*).
### 2. Dominanz der Fusionsspezifischen Kernkomponenten
Innerhalb des fusionsspezifischen Kapitalanteils werden die Kosten von einer kleinen Anzahl **Schlüsselkomponenten** dominiert:
*   Die Kosten des Fusionskerns (*fusion costings*) werden von einer **kleinen Anzahl Schlüsselkomponenten** (*small number of key items*) dominiert.
*   Dazu gehören insbesondere die **Magnete** (*magnets*) und das **Vakuumgefäß** (*vacuum vessel*).
*   Die Kosten dieser Schlüsselkomponenten sind ebenfalls **"vernünftigerweise gut bekannt"** (*reasonably well known*).
### Fazit zur prozentualen Aufteilung
Obwohl die Quelle keine genauen Prozentsätze nennt, impliziert sie, dass die gesamten Kapitalkosten (Ihre bereinigten OCC) aus zwei großen Blöcken bestehen, deren relativer Anteil dazu führt, dass die **Unsicherheit** bei den fusionsspezifischen Kosten im Gesamtwert reduziert wird:
1.  **Konventionelle Komponenten (BOP):** Ein großer, bekannter Anteil, der die Unsicherheit des Gesamtkapitals reduziert.
2.  **Fusionskern-Komponenten (Magnete und Vakuumgefäß):** Ein weiterer großer Anteil, der die fusionsspezifischen Kosten dominiert.</t>
  </si>
  <si>
    <t>Da sich Ihre bereinigten Overnight Construction Costs (OCC) in Höhe von $\mathbf{75.244.000.000 \text{ US\$}}$ (79.244 Mio. US\$ minus 4.000 Mio. US\$) auf die **Gesamtkapitalkosten** des im Paper von Helsley und Burke (2014) vorgestellten **SPRFD HIF-Energiesystems** beziehen, können wir die prozentualen Anteile der Hauptkomponenten direkt aus **Tabelle 5** ableiten, die die gesamten geschätzten Baukosten von $\mathbf{79.244 \text{ Millionen US\$}}$ auflistet.
Die Subtraktion der 4.000 Millionen US\$ (Ihrer Bereinigung) entspricht in der Tabelle 5 exakt dem **Contingency**-Betrag. Wenn wir annehmen, dass Ihre bereinigten Kosten die Summe der **Total Cost** abzüglich des **Contingency**-Betrags (4.000 Millionen US\$) darstellen, erhalten wir die prozentualen Anteile der verbleibenden Elemente an der bereinigten Gesamtsumme (75.244 Mio. US\$).
Hier ist die Aufschlüsselung der Anteile an den **bereinigten Kapitalkosten** ($\mathbf{75.244 \text{ Millionen US\$}}$):
| Komponente / Subsystem | Kosten (Mio. US\$) | Anteil am bereinigten Gesamtbetrag ($75.244 \text{ Mio. US\$}$) | Anmerkungen |
| :--- | :--- | :--- | :--- |
| **Accelerator** (Beschleuniger) | $15.000$ | **$\approx 19,93\%$** | Aktuelle beste Schätzung. |
| **RF Power System** (HF-Leistungssystem) | $5.000$ | **$\approx 6,64\%$** | Kostenschätzung basierend auf Herstellerdaten. Das teuerste Subsystem der gesamten Anlage. |
| **Chamber and Fuel** (Kammer und Brennstoff) | $17.940$ | **$\approx 23,84\%$** | Adaptiert von Moir (Referenzen). |
| **Heat Exchange** (Wärmetauscher) | $3.000$ | **$\approx 3,99\%$** | Schätzung. |
| **Balance of Plant** (Konventionelle Anlagen) | $12.000$ | **$\approx 15,95\%$** | Basis: $1000 \text{ \$/kW}$. |
| **Hydrogen Production** (Wasserstoffproduktion) | $11.000$ | **$\approx 14,62\%$** | Basierend auf $1000 \text{ t}/\text{d}$ Anlagen (NREL, Ref 18). |
| **$\text{CO}_2$ Capture** ($\text{CO}_2$-Abscheidung) | $480$ | **$\approx 0,64\%$** | Basierend auf dem Green Freedom Report. |
| **Fuel Synthesis** (Kraftstoffsynthese, F-T) | $9.000$ | **$\approx 11,96\%$** | Basis: $500.000 \text{ barrel}/\text{day}$. |
| **MED Water Maker** (Wasserentsalzung) | $5.724$ | **$\approx 7,61\%$** | Wird oft über Leasingvertrag erworben. |
| **Summe (Total Cost ohne Contingency)** | $\mathbf{79.244} - \mathbf{4.000}$ | $\mathbf{100,00\%}$ | |
***
### Wichtigste Kostentreiber
Die Hauptkostentreiber für das gesamte, auf maximale Wärmeausnutzung ausgelegte SPRFD-System sind:
1.  **Chamber and Fuel:** $17.940 \text{ Millionen US\$}$ ($\approx 23,84\%$ des bereinigten OCC).
2.  **Accelerator:** $15.000 \text{ Millionen US\$}$ ($\approx 19,93\%$ des bereinigten OCC).
3.  **Balance of Plant (BOP):** $12.000 \text{ Millionen US\$}$ ($\approx 15,95\%$ des bereinigten OCC).
Der **Accelerator Driver** selbst ist das **teuerste Einzelsystem** (*most expensive single system*) des Designs, und innerhalb des Beschleunigers ist das **RF Power System** das **teuerste Subsystem** (*most expensive subsystem*).</t>
  </si>
  <si>
    <t>Die Studie von Hender, Knight und Cook (1996) vergleicht die Kosten der Fusionsenergie primär mit **zukunftsgerichteten Projektionen** anderer Energieerzeugungsquellen.
### 1. Art des Vergleichs: Zukunftsgerichtete Projektionen
Der Vergleich basiert nicht auf historischen Kosten, sondern auf **zukünftigen Schätzungen** der Stromgestehungskosten (Cost of Electricity, COE) für Anlagen, die in der **Mitte des 21. Jahrhunderts** (mid-21st century) in Betrieb gehen sollen.
*   **Fusion:** Die Fusionskosten basieren auf Berechnungen, die mit dem **PROCESS-Systemcode** durchgeführt wurden. Diese Berechnungen stellen eine **vernünftige Extrapolation** von ITER-Kosten dar und berücksichtigen den erwarteten **Fortschritt in Physik und Technologie**. Die angenommenen Fusions-COEs in Fig. 5 sind die Mittelwerte der PROCESS-Berechnungen basierend auf einer Kostenreduktion von $20\%$ bis $50\%$ für eine **10th-of-a-kind**-Anlage.
*   **Kernspaltung (Fission) und Kohle:** Die Daten für Kernspaltung und Kohle stammen aus einer **OECD-Umfrage (1992)**, die die **vorhergesagten Stromgestehungskosten** (*predicted generating costs*) für Anlagen abdeckt, die im **frühen 21. Jahrhundert** in Auftrag gegeben werden.
*   **Erneuerbare Energien (Renewables):** Die Daten für erneuerbare Quellen stammen aus einem Bericht einer Expertengruppe internationaler Agenturen, der die COEs für den Zeitraum **2010 bis 2020** bewertet.
Alle Kosten wurden anschließend auf der Grundlage desselben **realen Zinssatzes ($8\%$)** und auf **1990 ECUs** umgerechnet, um einen direkten Vergleich zu ermöglichen.
### 2. Ergebnis des Vergleichs
Das **Gesamtergebnis** des Vergleichs ist, dass die geschätzten Stromgestehungskosten (COE) der Fusionsenergie **weitgehend vergleichbar** (*broadly comparable*) mit denen der Kernspaltung, fossiler Brennstoffe (Kohle) und den vielversprechendsten erneuerbaren Energien sind.
Die Ergebnisse, dargestellt in Abbildung 5, zeigen spezifisch, dass:
*   **Fusionskosten** (für Nominal- und Advanced-Tokamak-Fälle) liegen im Bereich von etwa **70 bis 110 $\text{mECU/kWh}$**.
*   Die Fusionskosten liegen im gleichen Bereich wie **Kernspaltung, Kohle, Wind Offshore und Biomasse**.
*   Die Fusionskosten sind tendenziell **niedriger** als die Kosten für Solar PV, Solar Thermal, Ocean Thermal und Hot Rock.
#### Fazit zur Wettbewerbsfähigkeit
*   Fusion ist ein **ernstzunehmender Konkurrent** (*serious contender*) als einer der wenigen Hauptbeiträger zur Stromerzeugung in der **Mitte des 21. Jahrhunderts**.
*   Die wirtschaftliche Leistung der Fusion wird, kombiniert mit ihren **ausgezeichneten Sicherheits- und Umwelteigenschaften** (Safety and Environmental, S&amp;E), als vielversprechend angesehen.
### 3. Externe und nicht-monetarisierte Faktoren
Die Studie betont, dass die reine Kostenanalyse **unmöglich** macht, die attraktivste Energiequelle für die Mitte des 21. Jahrhunderts zu bestimmen, da externe Faktoren und gesellschaftliche Akzeptanz entscheidend sein werden:
*   **Umwelt- und Sicherheitsattribute:** Schlüsselfaktoren für die Wahl der Energiequellen im 21. Jahrhundert werden voraussichtlich **Umwelt- und Sicherheitsattribute** sein.
*   **Externe Kosten:** Die Vergleichbarkeit der COEs gilt **ohne Berücksichtigung externer Kostenfaktoren** (*external cost factors*) und Fragen der **öffentlichen Akzeptanz**. Diese externen Kosten (z. B. Kohlenstoffsteuern, erhöhte Entsorgungskosten) könnten zukünftig in interne Kosten umgewandelt werden.
*   **Unvorhersehbare Faktoren:** Steigende Brennstoffpreise (durch Erschöpfung oder Umweltsorgen, z. B. bei Kohle) oder die Auswirkungen des Treibhauseffekts machen es unmöglich, die **wirtschaftliche und soziale Akzeptanz** über einen Zeithorizont von 50 Jahren vorherzusagen.</t>
  </si>
  <si>
    <t>Die Studie von Hiwatari (2019) vergleicht die Kosten des Fusionskraftwerks (FPP) **nicht direkt** mit denDie Studie von Hiwatari (2019) vergleicht die Kosten des Fusionskraftwerks (FPP) **nicht direkt** mit den spezifischen Stromgestehungskosten (LCOE) anderer Technologien (wie Kohle oder Kernspaltung) in Tabellenform. Stattdessen werden die Fusionskosten indirekt durch den **Vergleich mit zukunftsgerichteten Projektionen** anderer Technologien im Rahmen eines globalen Energieszenarios bewertet.
### 1. Art des Vergleichs: Zukunftsgerichtete Projektionen
Der Vergleich erfolgt im Rahmen einer **langfristigen Weltenergie-Szenarioanalyse** (*long-term world energy scenario analysis*), die die Einhaltung des **Pariser Abkommens** (Begrenzung des globalen Temperaturanstiegs auf unter $2^\circ\text{C}$ oder $1,5^\circ\text{C}$) berücksichtigt. Die zugrunde liegenden Daten stammen aus der **aktuellsten Analyse zu einem langfristigen Weltenergieszenario**.
*   **Vergleichsbasis:** Die Wettbewerbsfähigkeit der Fusion wird anhand eines **Break-even-Preises der Baukosten** (*breakeven price of construction unit costs*) bewertet. Dieser Break-even-Preis basiert auf der Annahme, dass Fusion im Energieszenario der **geringsten Treibhausgasemissionen** (*low greenhouse gas emission scenarios*) in den Markt eingeführt wird.
*   **Kein Vergleich historischer Werte:** Die Analyse basiert auf **zukunftsgerichteten Szenarien** und den daraus abgeleiteten **Einführungsbedingungen** für neue Technologien in der Mitte des 21. Jahrhunderts.
### 2. Ergebnis des Vergleichs (Break-even-Preise)
Das Ergebnis des Vergleichs wird in Form der **maximal tolerierbaren spezifischen Kapitalkosten** (Bau-Stückkosten in Dollar pro Watt Nettoleistung) ausgedrückt, die Fusion nicht überschreiten darf, um in den Markt einzutreten und zur globalen Klimastabilisierung beizutragen:
#### A. Break-even-Preis für den Ersteinführung
*   Die **Einführungsbedingung** für Fusionsenergie in das globale Energieszenario (um den Temperaturanstieg unter $2^\circ\text{C}$ zu halten) wurde in früheren Analysen als ein Break-even-Preis der Baukosten von **$2 \text{ bis } 8 \text{ Dollar/W}$** (bei einer Anlagenverfügbarkeit von $90\%$) bewertet.
#### B. Position des First Commercial FPP (CREST)
*   Die geschätzten Baukosten der **ersten kommerziellen CREST-Anlage** (*first commercial FPP*) betragen **$7,98 \text{ Dollar/W}$**.
*   **Ergebnis:** Dieser Wert liegt am **oberen Limit des Break-even-Preises** ($8 \text{ Dollar/W}$) für die weltweite Einführung der Fusionsenergie. Unter dieser Bedingung wäre die Einführung der Fusionsenergie **nicht weltweit**, sondern **sehr begrenzt** (*very limited*), und ihr Beitrag zur Klimastabilisierung wäre **klein**.
#### C. Notwendige Kostenreduktion (10th Commercial FPP)
*   Nach Berücksichtigung des **Lerneffekts** (*learning effect*) bei der Herstellung der Fusionsinsel und der **Fertigungsverbesserung** (*advancement of manufacture*) der TF-Spulen sinken die Kosten des **10. kommerziellen FPP** auf **$6,87 \text{ Dollar/W}$**.
*   **Ergebnis:** Dieser reduzierte Baukostenwert von $6,87 \text{ Dollar/W}$ ist die Bedingung, unter der Fusion einen **wesentlichen Beitrag** (*substantial candidate*) zur globalen Klimastabilisierung im Rahmen des Pariser Abkommens leisten kann. Mit diesem Preis wird die Einführung der Fusionsenergie in Schlüsselregionen wie **China, EU, Indien, Japan und Korea** ermöglicht.
Zusammenfassend lässt sich sagen, dass der Vergleich zeigt, dass Fusion nur dann substanziell zum Klimaschutz beitragen kann, wenn sie die Kosten der **10. Anlage** erreicht, da die Kosten der **ersten kommerziellen Anlage** am oberen Rand dessen liegen, was das zukunftsgerichtete Energiesystemmodell zulässt.</t>
  </si>
  <si>
    <t>Die folgende Antwort basiert auf der Analyse des Papers von Hiwatari (2019), das eine ökonomische Bewertung des Tokamak-Fusionskraftwerks (FPP) CREST im Kontext des Pariser Abkommens vornimmt.
---
### 1. Welche Modellannahmen werden getroffen?
Die Modellierung kombiniert technologische Annahmen des CREST-Konzepts mit ökonomischen Annahmen zur Kostenstruktur und Kostenentwicklung:
*   **Referenzkonzept:** Das **CREST-Tokamak-Konzept** wird als typischer kommerzieller FPP-Kandidat betrachtet.
*   **Physikalische Parameter:** Angenommen werden eine **Netto-Elektroleistung von 1,16 GW**, eine Fusionsleistung von $2,97 \text{ GW}$, ein maximales Toroidalfeld von $12,5 \text{ T}$ und ein Plasmastrom von $12 \text{ MA}$.
*   **Plasma-Betrieb:** Es wird eine **Reversed-Shear-Konfiguration** mit einem normalisierten Beta-Wert von $\mathbf{\beta_N \sim 5,5}$ angenommen, um die $1,16 \text{ GW}$ Leistung bei einer kompakten Größe zu erzielen.
*   **Effizienz:** Eine **hohe thermische Effizienz von nahe $\mathbf{40\%}$** wird als notwendige technische Weiterentwicklung angenommen.
*   **Verfügbarkeit:** Eine **hohe Anlagenverfügbarkeit von nahe $\mathbf{90\%}$** wird als Zielsetzung für die Wartungsmethode angenommen.
*   **Kostenmodell:** Das Kostenmodell ist so **verbessert** (*improved*), dass es **Materialkosten** und **Fertigungskosten** (*manufacture cost*) separat ausweist.
*   **Skalierungsfaktor:** Für die Fertigungskosten der Fusion Island Komponenten wird ein **Skalierungsfaktor $\mathbf{\gamma_{man} = 0,6}$** angenommen.
*   **Lernrate:** Eine **Lernrate (LR) von $\mathbf{15\%}$** wird auf die Fertigungskosten der **Fusion Island** angewendet.
*   **Kostensenkung durch Fortschritt:** Es wird eine **$50\%$-Kostenreduktion** der Toroidalfeldspulen (TF coils) durch eine **fortschrittliche Wicklungsmethode** angenommen.
### 2. Welche Modell- und Kostenannahmen basieren auf tatsächlichen Erfahrungswerten und welche nur Schätzungen oder Prognosen? Welche Annahmen stammen woher?
Die Modellannahmen kombinieren historische Daten aus großen Fusionsexperimenten und etablierten Energieanlagen mit fortschrittlichen Prognosen, die über den derzeitigen Stand der Technik hinausgehen.
| Annahme / Wert | Status (Erfahrung vs. Prognose) | Herkunft / Quelle |
| :--- | :--- | :--- |
| **Materialkosten und Bezugswerte** | **Erfahrungswert.** Die Referenzwerte in den Kostenformeln (Gleichungen 1 und 2) stammen aus der **ITER-FDR-Kostenanalyse** von JAERI. | ITER-FDR, JAERI (1998). |
| **Konventionelle Anlagenkosten** | **Erfahrungswert.** Die Kosten basieren auf Skalierungsgesetzen (*scaling law*) mit Referenzparametern aus der **Erfahrung mit aktuellen Kraftwerken** (*present power station experience*), wie Leichtwasserreaktoren (LWR) und thermischen Kraftwerken. | LWR, Thermal Power Stations. |
| **Beryllium-Kostenanstieg** | **Tatsächlicher Marktwert.** Der Anstieg der Materialkosten, z. B. für Beryllium (von $0,17 \text{ Mio. \$/t}$ in 2001 auf $0,49 \text{ Mio. \$/t}$ in 2015), wird berücksichtigt. | U.S. Geological Survey Data Series 140. |
| **Plasma-Performance ($\beta_N \sim 5,5$)** | **Prognose.** Diese hohe Performance liegt **jenseits des ITER-Projekts** (*beyond the ITER project*) und muss in Experimenten wie JT-60SA oder DEMO demonstriert werden. | CREST-Konzept, JT-60SA Research Plan. |
| **Hohe Effizienz und Verfügbarkeit ($\sim 40\%$, $\sim 90\%$ )** | **Prognose.** Erfordert **große technische Fortschritte** (*major engineering advancements*) im Vergleich zu ITER oder DEMO, insbesondere bei der Entwicklung des Blanketsystems. | CREST-Konzept. |
| **Lernrate ($\mathbf{15\%}$)** | **Prognose/Hypothese.** Basierend auf dem **oberen Wert** der Lernrate für Gas- und Kohlekraftwerke. | E.S. Rubin et al. (2015). |
| **$50\%$ Kostenreduktion TF Coils** | **Prognose.** Basierend auf einem **EU-Vorschlag** zur Fertigungsweiterentwicklung der Spulen. | P. Bruzzone et al. (2014). |
### 3. Falls externe Quellen für die Modell- und Kostenannahmen verwendet wurden – wurden diese modifiziert? Falls ja, wie?
**Ja**, das Kostenmodell wurde **grundlegend verbessert und modifiziert** im Vergleich zu früheren Modellen (,) und früheren CREST-Bewertungen. Die Verbesserungen basieren auf der Auswertung der **ITER-Erfahrung** und aktuellen Marktbedingungen.
Wesentliche Modifikationen des Kostenmodells:
1.  **Trennung der Kosten:** Der größte Fortschritt ist die **Trennung von Materialkosten ($\mathbf{C_{mat}}$) und Fertigungskosten ($\mathbf{C_{man}}$)**, insbesondere für die Fusion Island.
2.  **Detaillierte Erfassung von Komponenten:** Im Gegensatz zum früheren Modell, das Anlagen wie *Balance of Plant (BOP)* nur repräsentativ berücksichtigte, zählt das verbesserte Modell nun **detailliert** fast alle erforderlichen **Geräte und Gebäude** auf. Dazu gehören der **Hot Cell, die Tritiumanlage, das Kryogeniksystem, die PF-Spulenwickelhalle** sowie Montage- und Wartungssysteme.
3.  **Aktualisierung der Einheitskosten:** Es wurden **aktuelle Materialstückkosten** (*updates of material unit cost*) verwendet, was Lernrate wird spezifisch auf die **Fertigungskosten** (*manufacture cost*) des **Fusion-Island-Teils** des kommerziellen Tokamak-FPP angewendet.
### 5. Wie wurden die Annahmen zu den Lernraten hergeleitet bzw. von wo stammen diese Annahmen?
*   **Quelle:** Die LR von $15\%$ ist der **obere Wert** der beobachteten Lernraten für die **Stromversorgungstechnologie**. Die beobachteten mittleren LRs für Kohle- und Erdgas-Kraftwerke liegen zwischen $8,3\%$ und $15\%$.
*   **Begründung:** Die Autoren verwenden den oberen Wert von $15\%$ unter der Annahme, dass die Regulierung sich nicht ändern wird (*regulation wouldn’t change*). Sie erwarten, dass die LR für die Fertigungskosten eines **neuen** Tokamak-FPP mindestens so hoch wie für die **ausgereiften** Gas- und Kohlekraftwerke sein wird, da der Effekt der Lernerfahrung bei einer neuen Technologie tendenziell größer ist.
### 6. Wird offengelegt, ob die Kostenabschätzung auf einem Bottom-up-, Top-down- oder hybriden Ansatz basiert?
Obwohl die Begriffe Bottom-up oder Hybrid nicht explizit in der Zusammenfassung genannt werden, basiert die Methode auf einem **Bottom-up-ähnlichen Hybridansatz**:
*   **Detaillierte Komponentenanalyse:** Die Kostenstruktur wird durch die **detaillierte Betrachtung** fast aller Geräte und Gebäude festgelegt.
*   **Physikalisch basierte Skalierung:** Die Kosten der Fusion Island werden durch Gleichungen berechnet, die **Masse, Volumen und Materialdichte** der Komponenten verwenden.
*   **Externe Referenz:** Die Kosten für Geräte und Gebäude werden durch **Skalierungsgesetze** (*scaling law*) berechnet, die Referenzparameter aus der **ITER-FDR-Kostenanalyse** und der **Erfahrung mit aktuellen Kraftwerken** ableiten.
Dieser Ansatz ist detailliert genug, um Material- und Fertigungskosten zu trennen, was für ein Bottom-up-Modell typisch ist.
### 7. Beruht die Kostenherleitung auf physikalischen und technologischen Werten?
**Ja.** Die gesamte Kostenkalkulation und die Möglichkeit der Kostenreduktion basieren direkt auf physikalischen und technologischen Werten:
*   **Physikalische Basis:** Die Kostenformeln (Gleichungen 1 und 2) basieren auf **Masse, Volumen und Dichte** der Komponenten.
*   **Technologische Notwendigkeit:** Die niedrigeren Kosten werden nur durch die Annahme **fortgeschrittener Technologie** (z. B. $40\%$ thermische Effizienz, $\beta_N \sim 5,5$) ermöglicht, die zu einem **kompakten Design** führt.
*   **Reduktionspotenzial:** Das Kostenreduktionspotenzial (z. B. $50\%$ Senkung der TF-Spulenkosten) ist direkt an die **technologische Weiterentwicklung der Fertigungsmethoden** gebunden.
### 8. Werden Materialkosten und Komponentenkosten separat ausgewiesen?
**Ja.** Dies ist ein **Hauptmerkmal** der Modellverbesserung.
*   **Material- vs. Fertigungskosten:** Für die Fusion Island Komponenten werden Materialkosten ($C_{mat}$) und Fertigungskosten ($C_{man}$) separat geschätzt. Dies ist notwendig, um den Lerneffekt nur auf die Fertigungskosten anwenden zu können.
*   **Komponentenkosten:** Die gesamten Baukosten werden in drei Hauptbereiche unterteilt: **Fusion Island (38%)**, **Devices (41%)** und **Buildings (21%)**. Die Fusion Island wird weiter in SC-Spulen, Breeding Blanket, Divertor usw. unterteilt.
### 9. Bezieht sich die Studie auf ein Energiesystem (z. B. Integration, Vergleich mit anderen Technologien) oder ist sie rein bezogen auf die Kosten des Kraftwerks und des Reaktors?
Die Studie dient dazu, die Kosten des Kraftwerks **in Bezug auf die Anforderungen eines globalen Energiesystems** zu bewerten.
*   **Energiesystem-Rahmen:** Die gesamte Analyse wird im Rahmen des **Pariser Abkommens** zur Stabilisierung des globalen Klimas durchgeführt.
*   **Integration als Kriterium:** Die Studie nutzt die Ergebnisse einer **langfristigen Weltenergie-Szenarioanalyse** (*long-term world energy scenario analysis*). Diese Analyse legt einen **Break-even-Preis** fest, den Fusionsenergie nicht überschreiten darf, um in den Markt unter Szenarien geringer Treibhausgasemissionen einzutreten.
*   **Ergebnis:** Die Studie kommt zu dem Schluss, dass Fusion nur bei Erreichen der Kosten der **10. kommerziellen Anlage** ($\mathbf{6,87 \text{ \$/W}}$) einen **wesentlichen Beitrag** zur globalen Klimastabilisierung leisten kann.
### 10. Welche Kostenreduktionspotenziale oder wirtschaftlichen Optimierungsansätze werden thematisiert?
Die Studie fokussiert auf zwei Hauptmechanismen zur Kostenreduktion:
1.  **Lerneffekt (Learning Effect):** Die Anwendung einer Lernrate von $15\%$ auf die **Fertigungskosten** der Fusion Island, um die Kosten von der ersten zur zehnten kommerziellen Anlage zu senken.
2.  **Fortgeschrittene Fertigung (Advancement of Manufacture):** Technologische Verbesserungen in der Fertigung, die zu substanziellen Kosteneinsparungen führen, wie die erwartete **$50\%$-Kostenreduktion** für die Herstellung der **TF-Spulen** durch neue Wickelmethoden.
### 11. Was sind die signifikantesten Kostentreiber und ökonomischen Herausforderungen laut Studie?
#### A. Signifikanteste Kostentreiber (Anteil an den 9,3 Mrd. US\$ Gesamtkosten des 1. FPP)
1.  **Devices (Geräte):** Mit **$41\%$** der gesamten Baukosten. Diese umfassen Turbinensystem, Heizanlagen, Kryogenik, Vakuumpumpen und Hot Cell-Anlagen.
2.  **Fusion Island:** Mit **$38\%$** der gesamten Baukosten.
3.  **SC Coils (Supraleitende Spulen):** Diese sind mit **$19\%$** am teuersten und machen **$51\%$** der Kosten der Fusion Island aus.
4.  **Steigende Materialkosten:** Der Anstieg der Materialkosten, z. B. für Beryllium, trug zur Erhöhung der geschätzten Gesamtkosten gegenüber älteren Modellen bei.
#### B. Ökonomische und Technologische Herausforderungen
*   **Break-even-Limit:** Die Baukosten der **ersten kommerziellen Anlage** ($7,98 \text{ \$/W}$) liegen **am oberen Limit** des Break-even-Preises ($8 \text{ \$/W}$), der für die weltweite Einführung toleriert wird. Dies würde eine **sehr begrenzte Einführung** bedeuten.
*   **Notwendigkeit der schnellen Reife:** Die Fusionsenergie muss die Kosten der **10. Anlage** ($\mathbf{6,87 \text{ \$/W}}$) erreichen, um ein **wesentlicher Kandidat** für die globale Klimastabilisierung zu sein.
*   **Unbewiesene Technologie:** Die Realisierung der ökonomischen Ziele hängt von der Lösung signifikanter **physikalischer und technischer Probleme** ab, die **über den ITER-Projektumfang hinausgehen**, wie etwa die Erzeugung von Hochleistungsplasma ($\beta_N \sim 5,5$), die **Divertor-Wärmebehandlung** und die Entwicklung **fortschrittlicher Blanket-Systeme**.</t>
  </si>
  <si>
    <t>Basierend auf den techno-ökonomischen Analysen des **CREST-Tokamak-Konzepts** (Hiwatari, 2019) liegen Ihren angegebenen spezifischen Kapitalkosten die geschätzten **Gesamtbaukosten** zugrunde. Die prozentuale Aufschlüsselung der **Overnight Construction Costs (OCC)** unterscheidet sich zwischen der ersten Anlage (FOAK) und der zehnten Anlage (10th-OAK).
Die absoluten Kapitalkosten (OCC) der ersten kommerziellen Anlage wurden auf **9,3 Milliarden US-Dollar** geschätzt. Ihre spezifischen Werte sind die Kosten, normiert auf die Netto-Elektroleistung (USD/MW).
Hier ist die Aufschlüsselung, gestützt auf die Daten aus Fig. 1 und Fig. 2 der Quelle:
### 1. FOAK (First Commercial FPP)
Die Kapitalkosten von **$7.980.000 \text{ USD/MW}$** basieren auf den geschätzten **9,3 Milliarden US-Dollar** Gesamtkosten für die erste kommerzielle FPP. Die prozentuale Aufteilung dieser gesamten Baukosten ist wie folgt:
| Kostenkomponente | Anteil an den Gesamten Baukosten (OCC) | Anmerkungen |
| :--- | :--- | :--- |
| **Devices (Geräte)** | **$41\%$** | Umfasst Turbinen, Wärmetauscher, Kryogenik, Hot Cell, etc.. |
| **Fusion Island (FI)** | **$38\%$** | Beinhaltet SC-Spulen, Blanket, Divertor und Vakuumgefäß. |
| **Buildings (Gebäude)** | **$21\%$** | Umfasst Reaktor-, Hot Cell-, Turbinen- und Spulenwickelgebäude. |
Innerhalb des Fusion Island (FI)-Anteils sind die **Supraleitenden Spulen (SC Coils)** die teuerste Einzelkomponente und machen **$19\%$** der gesamten Baukosten bzw. **$51\%$** der Fusion-Island-Kosten aus.
### 2. 10th-OAK (10th kind of Commercial FPP)
Die reduzierten Kapitalkosten von **$6.870.000 \text{ USD/MW}$** resultieren aus der Anwendung des Lerneffekts und technologischer Fortschritte.
Für diesen reduzierten Gesamtbetrag verschiebt sich die prozentuale Aufteilung der Baukosten, da die Kosten der Fusion Island gesenkt werden, während die Kosten für Geräte und Gebäude konservativ als unverändert angenommen werden:
*   **Fusion Island (FI):** Der Anteil an den gesamten Baukosten **sinkt von $38\%$ auf $\mathbf{28\%}$**.
*   **Devices und Buildings:** Da die absoluten Kosten für Devices (Geräte) und Buildings (Gebäude) als **nahezu unverändert** angenommen werden (sie sind unempfindlich gegenüber dem Lerneffekt), **steigt ihr relativer Anteil** an der neuen, geringeren Gesamtsumme.
Die **Hauptreduktion** wird erzielt durch:
1.  Anwendung einer Lernrate (LR) von **$15\%$** auf die **Fertigungskosten** (*manufacture cost*) der Fusion Island.
2.  Eine erwartete **$50\%$-Kostenreduktion** der Toroidalfeldspulen (TF coils) durch fortgeschrittene Wickelmethoden.</t>
  </si>
  <si>
    <t>Die folgende Analyse basiert auf den Modellannahmen und Ergebnissen des Physics–Engineering–Cost (PEC) Codes von Yamazaki und Dolan (2006), der zur Bewertung von Tokamak- und Heliotron-Reaktoren verwendet wurde.
---
### 1. Welche Modellannahmen werden getroffen?
Die Modellierung basiert auf spezifischen physikalischen und ingenieurtechnischen Annahmen, die auf **vier Basis-Designs** (TR-1, TR-2, HR-1, HR-2) angewendet werden:
*   **Systeme:** Tokamak-Reaktoren (TR) und Heliotron-Reaktoren (HR).
*   **Elektrische Leistung ($\mathbf{P_{electric}}$):** Entweder **$1 \text{ GW}$** (TR-1, HR-1) oder **$2 \text{ GW}$** (TR-2, HR-2).
*   **Plasma-Beta ($\mathbf{\langle beta\rangle}$):** Entweder **$5\%$** (TR-1, HR-1) oder **$3\%$** (TR-2, HR-2).
*   **Blanket-Typ:** Das **RAF-flibe Blanket** wird als Option für beide Reaktorsysteme angenommen.
*   **Magnetfeld:** Das Referenz-Magnetsystem basiert auf **Nb3Sn-Leitern** mit einer typischen maximalen Magnetfeldstärke ($\mathbf{B_{max}}$) von **$13 \text{ T}$**.
*   **Betriebsart:** Es wird ein **Dauerbetrieb** (*steady-state reactor*) mit hoher Verfügbarkeit (*high-availability*) angestrebt.
*   **Wandlebensdauer:** Die Neutronenflussgrenze ($\mathbf{\Phi_W}$) für das Blanket-Ersatzmodell liegt bei **$15 \text{ MW years/m}^2$**.
*   **Betriebstemperatur:** Die zentrale Plasma-Temperatur ($\mathbf{T_0}$) wird für Tokamaks bei **$30 \text{ keV}$** und für Heliotrons bei **$20 \text{ keV}$** angenommen, basierend auf optimalen und stabilen Brennbedingungen.
### 2. Welche Modell- und Kostenannahmen basieren auf tatsächlichen Erfahrungswerten und welche nur Schätzungen oder Prognosen? Welche Annahmen stammen woher?
Die Bewertung erfolgt durch den **Physics–Engineering–Cost (PEC) Code**, der sowohl auf Skalierungsgesetzen (Prognose) als auch auf etablierten Referenzdaten (Erfahrung/Quelle) basiert.
| Annahme / Wert | Status (Erfahrung vs. Prognose) | Herkunft / Quelle |
| :--- | :--- | :--- |
| **Grundlegende Kostenannahmen** | **Erfahrungswert.** Die verschiedenen **Stückkosten** (*unit costs*) sind **„in the same manner“** wie in den Referenzen (Sheffield, 1986) und (Tokimatsu, 1998) definiert. | Sheffield et al. (1986), Tokimatsu et al. (1998). |
| **Skalierungsgesetze** | **Prognose/Modellannahme.** Die Kosten- und Designbewertungen nutzen **relevante Skalierungsgesetze** (*design scaling laws*) der Physik und des Ingenieurwesens. | Abgeleitet aus früheren Studien zu Heliotron-Reaktoren. |
| **Code-Validierung** | **Erfahrungswert (Benchmarking).** Der PEC-Code wurde erfolgreich mit den fortgeschrittenen Kraftwerksmodellen **ARIES-AT** (Tokamak) und **ARIES-SPPS** (Stellarator) **verglichen** (*benchmarked*). | ARIES-AT und ARIES-SPPS. |
| **Physikalische Performance** | **Prognose.** Annahmen wie $5\%$ oder $3\%$ Plasma-Beta und die erforderlichen **Konfinement-Verbesserungsfaktoren (H-Faktoren)** gegenüber der ITER-Skalierung. | ITER Physics Basis, ISS-Skalierung. |
### 3. Falls externe Quellen für die Modell- und Kostenannahmen verwendet wurden – wurden diese modifiziert? Falls ja, wie?
**Ja.** Der zugrunde liegende PEC-Code wurde modifiziert, um einen besseren Vergleich zu ermöglichen:
*   Der Code wurde ursprünglich für **Heliotron-Reaktoren** entwickelt.
*   Er wurde **„upgraded“** (verbessert), um Vergleiche zwischen Tokamak- und Heliotron-Reaktoren durchführen zu können.
*   Die Kostenstruktur basiert auf früheren Referenzen, wobei die **Betriebs-, Wartungs- und Austauschkosten** (*operation, maintenance and replacement costs*) für die Berechnung der COE hinzugefügt wurden.
### 4. Wie lautet die Annahme zu Lernraten?
In den bereitgestellten Auszügen der Studie wird **keine Annahme** zu Lernraten (*learning rates*), Lerneffekten oder Serienproduktion gemacht [1–20].
### 5. Wie wurden die Annahmen zu den Lernraten hergeleitet bzw. von wo stammen diese Annahmen?
Diese Frage ist **nicht zutreffend**, da keine Lernraten thematisiert werden [1–20].
### 6. Wird offengelegt, ob die Kostenabschätzung auf einem Bottom-up-, Top-down- oder hybriden Ansatz basiert?
Die Begriffe Bottom-up oder Top-down werden nicht explizit genannt. Die Methode entspricht jedoch einem **Hybridansatz**, der physikalisches Design mit Stückkosten kombiniert:
*   Das Modell nutzt **physikalisches und ingenieurtechnisches Design** und **Skalierungsgesetze** (*scaling laws*) zur Bestimmung der Größe des Reaktors (*scale of the reactor system*).
*   Anschließend werden **definierte Stückkosten** (*unit costs*) angewendet, um die Kapitalkosten und die COE zu berechnen.
*   Diese Vorgehensweise, bei der Designparameter die physischen Dimensionen und damit die Kosten bestimmen, impliziert einen **Bottom-up- oder Hybrid-Ansatz**.
### 7. Beruht die Kostenherleitung auf physikalischen und technologischen Werten?
**Ja.** Die gesamte Kostenberechnung ist kausal mit physikalischen und technologischen Parametern verbunden:
*   Die **physikalischen Modelle** (Beta-Limits, Konfinement, Dichte) und **Ingenieurmodelle** (Spulenkräfte, Wandbelastung) bestimmen den **Plasma-Spulen-Raum** und die **Größe des Reaktorsystems**.
*   Die Größe des Systems bestimmt direkt die **Kapitalkosten**.
*   Technologische Parameter (z. B. $B_{\max}$) beeinflussen, wie kompakt der Reaktor gebaut werden kann, was die **Baukosten senkt**.
### 8. Werden Materialkosten und Komponentenkosten separat ausgewiesen?
**Komponentenkosten:** **Ja**. Die Kosten werden für das Gesamtsystem als **Kapitalkosten** (*Capital cost*) ausgewiesen. Zudem wird die **Fusion Island Mass** separat angegeben.
**Material- vs. Fertigungskosten:** Die explizite Trennung zwischen **Materialkosten** und **Fertigungskosten** (*manufacture costs*) wird in den Auszügen **nicht** offengelegt. Die Kostenberechnung schließt jedoch die Hinzufügung der Kosten für Betrieb, Wartung und **Ersatz** (*replacement*) der Komponenten ein.
### 9. Bezieht sich die Studie auf ein Energiesystem (z. B. Integration, Vergleich mit anderen Technologien) oder ist sie rein bezogen auf die Kosten des Kraftwerks und des Reaktors?
Die Studie konzentriert sich **rein auf die Kosten des Kraftwerks und des Reaktors** sowie deren interne Optimierung.
*   Ziel ist die Suche nach einem **„favorable toroidal fusion reactor“** und die Bewertung der Wirtschaftlichkeit (*reactor economics*) durch die Analyse des **Cost of Electricity (COE)**.
*   Die Analyse vergleicht **Tokamak- und Heliotron-Konzepte** untereinander, basierend auf ihrer COE und ihren Kapitalkosten.
*   Es gibt **keinen direkten Vergleich** mit konkurrierenden, nicht-Fusions-Energietechnologien, noch wird die Integration von Fusion in ein größeres Energieszenario thematisiert.
### 10. Welche Kostenreduktionspotenziale oder wirtschaftlichen Optimierungsansätze werden thematisiert?
Die Studie identifiziert die folgenden Wege zur Senkung der COE:
*   **Skalierung:** Die Erhöhung der elektrischen Ausgangsleistung (von $1 \text{ GW}$ auf $2 \text{ GW}$) führt zu einer **Senkung der COE**.
*   **Hohe Verfügbarkeit:** Eine höhere **Systemverfügbarkeit** (*system availability*) trägt zur Senkung der COE bei (z. B. Steigerung von $50\%$ auf $75\%$ Verfügbarkeit durch längere Blanket-Lebensdauer).
*   **Kompaktbauweise:** Die Erhöhung der **maximalen Magnetfeldstärke** ($\mathbf{B_{max}}$) ermöglicht **kompaktere Designs** mit **niedrigeren Baukosten** (*lower construction cost*).
*   **Betriebsoptimierung (Tokamak):** **Hochtemperatur- und Hoch-Beta-Betrieb** ist im Tokamak angemessen, um die **Current-Drive (CD) Power** (Umwälzleistung) zu reduzieren, was entscheidend für die Wirtschaftlichkeit ist.
*   **Betriebsoptimierung (Heliotron):** **Niedrigtemperatur-Hochdichte-Betrieb** ist wünschenswert, um den Heliotron-Ripple-Transport zu reduzieren.
### 11. Was sind die signifikantesten Kostentreiber und ökonomischen Herausforderungen laut Studie?
*   **Systemverfügbarkeit:** Die COE hängt **„critically“** (kritisch) von der **Systemverfügbarkeit** ab.
*   **Wandbelastung/Austauschhäufigkeit:** Hohe Neutronenwandbelastung führt zu einer **extrem häufigen** (*extremely frequent*) **Ersatznotwendigkeit der Blanket-Komponenten**. Dies verhindert eine starke COE-Reduktion, selbst wenn die Baukosten durch kompaktes Design gesenkt werden.
*   **Umwälzleistung (Tokamak):** Die für den **Current-Drive** benötigte Umwälzleistung im Tokamak ist **„crucial“** (entscheidend) für die Wirtschaftlichkeit.
*   **Hohe Kapitalkosten (Heliotron):** Die Kapitalkosten (*Capital cost*) des Heliotron-Reaktors sind **„rather high“**.</t>
  </si>
  <si>
    <t>Die Studie von Yamazaki und Dolan (2006) befasst sich primär mit der **internen ökonomischen Bewertung** und Optimierung von zwei Fusionsreaktorkonzepten (Tokamak und Heliotron) und deren *Cost of Electricity* (COE).
### Vergleich mit anderen Energieerzeugungen
Die bereitgestellten Quellen enthalten **keinen direkten Vergleich** der Fusionskosten mit den Kosten anderer, konkurrierender Energieerzeugungsquellen wie Kohle, Kernspaltung oder erneuerbaren Energien. Die Studie konzentriert sich rein auf die Suche nach einem **„favorable toroidal fusion reactor“** (günstigen toroidalen Fusionsreaktor).
### Art des Vergleichs: Zukunftsgerichtete Projektionen
Obwohl kein externer Vergleich durchgeführt wird, basieren die Berechnungen der Fusionskosten selbst auf **zukunftsgerichteten Projektionen** für hochoptimierte und fortgeschrittene Kraftwerke.
*   Die COE-Werte für die Basis-Designs (TR-1, HR-1, TR-2, HR-2) sind die **geschätzten** Kosten zukünftiger Fusionsreaktoren (mit $1 \text{ GW}$ oder $2 \text{ GW}$ Leistung), die fortschrittliche physikalische Annahmen (z. B. $5\%$ oder $3\%$ Plasma-Beta) und technische Verbesserungen erfordern.
*   Der zugrunde liegende Physics–Engineering–Cost (PEC) Code wurde erfolgreich mit den hochentwickelten Fusionskraftwerksmodellen **ARIES-AT** und **ARIES-SPPS** verglichen (*benchmarked*). Diese ARIES-Modelle stellen optimierte zukünftige Reaktorstudien dar.
### Ergebnis des internen Fusionsvergleichs
Das Hauptvergleichsergebnis bezieht sich auf die beiden Fusionslinien:
*   **Kapitalkosten:** Die Kapitalkosten (*Capital cost*) des Heliotron-Reaktors sind **„rather high“** (*eher hoch*).
*   **Stromgestehungskosten (COE):** Trotz der höheren Kapitalkosten ist die COE des Heliotron-Reaktors **„not much higher“** (*nicht viel höher*) als die des Tokamak-Reaktors, insbesondere bei Designs mit niedrigem Beta.
*   **Grund für die COE-Gleichheit:** Dies liegt daran, dass der Heliotron-Reaktor eine **kleinere Umwälzleistung** (*smaller re-circulation power*) benötigt (da er keinen Current Drive wie der Tokamak braucht) und aufgrund der geringeren Neutronenwandbelastung seltener Blanket-Komponenten ausgetauscht werden müssen.</t>
  </si>
  <si>
    <t>Die Studie von Kessel et al. (2015) konzentriert sich primär auf die interne ökonomische Optimierung und den Vergleich verschiedener Tokamak-Konfigurationen (ARIES-ACT-Reihe) untereinander.
### Ergebnis des Vergleichs mit anderen Energieerzeugungen
In den vorliegenden Auszügen **wird kein direkter Vergleich** der geschätzten Stromgestehungskosten (COE) der Fusionskraftwerke (FPPs) mit den Kosten anderer Energietechnologien (wie Kohle, Kernspaltung oder Erneuerbare Energien) durchgeführt.
Die Hauptfunktion der COE-Berechnung in dieser Studie ist:
1.  **Interner Benchmark:** Der COE dient als zentrale Metrik, um die Auswirkungen unterschiedlicher physikalischer und technologischer Annahmen (z. B. Advanced vs. Conservative) innerhalb des Fusionskonzepts zu bewerten. Beispielsweise zeigt die COE-Analyse, dass die **ACT1-Konfiguration** (Advanced/Advanced) mit **64,3 mills/kWh** günstiger ist als die **ACT2-Konfiguration** (Conservative/Conservative) mit **86,2 mills/kWh**.
2.  **Optimierung:** Die Autoren nutzen die Analyse, um eine **„COE zone“** (*COE-Zone*) zu identifizieren, in der die Lösungen wettbewerbsfähig sind. Dies bedeutet, dass die Fusionskosten auf ein Niveau gesenkt werden müssen, das im zukünftigen Energiemix attraktiv ist, aber die konkreten Schwellenwerte anderer Technologien werden nicht aufgeführt.
### Vergleichsbasis: Zukunftsgerichtete Projektionen
Die der COE-Berechnung zugrunde liegenden Kosten und technologischen Annahmen basieren ausschließlich auf **zukunftsgerichteten Projektionen** (Prognosen) und nicht auf historischen Werten:
*   **10th-of-a-kind Annahme:** Die COE-Kalkulationen basieren auf einem Fusionskraftwerk der **„tenth-of-a-kind power plant“** (der zehnten Anlage ihrer Art). Alle ARIES-Studien verwenden diese Philosophie, um einen hochgradig optimierten und ausgereiften Entwurf zu modellieren.
*   **Fortschrittliche Technologie:** Die Modelle basieren auf **zukünftigen R&amp;D-Fortschritten** (*longer-timescale R&amp;D program*) und sollen nicht den gegenwärtig etablierten Stand der Technik oder die durch ITER zugängliche Physik und Technologie abbilden.
*   **Beispiele für Prognosen:** Annahmen wie eine thermische Umwandlungseffizienz von bis zu $\mathbf{58\%}$ (ACT1) oder die Nutzung von fortgeschrittenen Materialien wie SiC-Verbundwerkstoffen sind notwendige Prognosen, um die Wirtschaftlichkeit des **„power plant vision for the future“** zu erreichen.</t>
  </si>
  <si>
    <t>Die Studie von Lako und Seebregts (1998) vergleicht die Kosten der Fusionsenergie (EN1) **explizit** mit einer breiten Palette anderer Energieerzeugungsoptionen und nutzt dabei **zukunftsgerichtete Projektionen** der Kosten.
### Ergebnis des Kostenvergleichs
Der Vergleich wird anhand der **Stromgestehungskosten (COE)** in **mECU/kWh** für zukünftige Zeitpunkte (Jahr 2070 und Jahr 2100) durchgeführt und beinhaltet Kernspaltung, fossile Brennstoffe und erneuerbare Energien.
#### 1. Vergleich im Jahr 2070 (Discount Rate 8%)
Im Jahr 2070 sind die Fusionskosten im Allgemeinen **höher** als die Kosten vieler konkurrierender Technologien.
*   **Fusionsenergie (Fusion):** Die Fusionsenergie ist **teurer** (*more expensive*) als bestimmte erneuerbare Optionen wie **Offshore-Wind** (*offshore wind*) und **Solar-PV** (*solar PV*) auf zentraleuropäischer Breite (Lyon).
*   **Andere Konkurrenten:** Die Kosten anderer Technologien in dieser Zeitspanne sind beispielsweise:
    *   **Shore Wind** (Küste): sehr niedrig.
    *   **IGCC** (Kohle) und **LWR** (Kernspaltung): liegen im mittleren Bereich.
    *   **Gas** (Gaskraftwerke): liegen im unteren bis mittleren Bereich.
#### 2. Vergleich im Jahr 2100 (Discount Rate 8% und 5%)
Gegen Ende des Betrachtungszeitraums (2100) wird die Wettbewerbsfähigkeit der Fusion deutlich besser.
*   **Angleichung der Kosten:** Die **Kostenlücke** (*gap*) zwischen der Fusionsenergie und neuen erneuerbaren Optionen, wie **Offshore-Wind** und **PV** auf zentraleuropäischer Breite, wird **„rather small“** (*eher klein*).
*   **Schlussfolgerung zur Wettbewerbsfähigkeit:** Unter Berücksichtigung des **intermittierenden Charakters** (*intermittent nature*) von Wind- und Solarenergie darf verallgemeinert werden, dass Fusionsenergie und die neuen Erneuerbaren (Offshore-Wind und PV) im Jahr 2100 **Stromgestehungskosten in derselben Größenordnung** (*of the same order of magnitude*) aufweisen.
### Art der Vergleichswerte: Zukunftsgerichtete Projektionen
Der gesamte Vergleich basiert auf **zukunftsgerichteten Projektionen** und nicht auf historischen Werten:
1.  **MARKAL-Modell:** Die Daten aller Optionen (Fusionsenergie, Kernspaltung, fossile und erneuerbare Energien) wurden in das **MARKAL-Modell** für Westeuropa eingespeist, das zur Bewertung des **wirtschaftlichen Potenzials der Fusionsenergie im 21. Jahrhundert** verwendet wird.
2.  **Zukünftige Annahmen für alle Optionen:**
    *   **Fusionsenergie (EN1):** Basierend auf der Annahme, dass Fusion erst **ab 2050 kommerziell verfügbar** wird und dass die Kosten bis 2100 durch Lernprozesse und die Skalierung auf **Zwillingsreaktoren** auf ein wettbewerbsfähiges Niveau sinken.
    *   **Konkurrierende Technologien:** Auch die **fossilen** und **erneuerbaren Optionen** basieren auf zukunftsgerichteten, technologisch **fortschrittlichen Annahmen**, um ihnen genügend Raum für Verbesserungen zu geben:
        *   **Fossile Anlagen:** Es werden **sehr fortgeschrittene Optionen** betrachtet, einschließlich Integrated Gasification Combined Cycle (IGCC) mit CO₂-Abscheidung (*CO2 capture and sequestration*) und Gasification SOFC (Solid Oxide Fuel Cells).
        *   **Erneuerbare Energien:** Die Kosten für Wind- und Solarenergie sind für die Jahre 2070 und 2100 stark reduziert, was die **erwartete Kostensenkung** in den kommenden Jahrzehnten abbildet.
3.  **Währungsbasis:** Die Kosten sind in **ECU des Jahres 1995** ausgedrückt.</t>
  </si>
  <si>
    <t>Diese bereinigten Overnight Construction Costs (OCC), die in der Studie als **Total Construction Cost (VI)** oder **Total capital cost (1)** (ohne Zinsen während der Bauzeit) in ECU/kWe geführt werden, setzen sich aus zwei Hauptkomponenten zusammen: dem **Fusion Core (FC)** und dem **Balance of Plant (BOP)**.
Die prozentualen Anteile dieser beiden Komponenten an den von Ihnen angegebenen spezifischen Investitionskosten (ECU/kWe) ergeben sich direkt aus der Aufschlüsselung in **Tabelle B.2** der Studie von Lako und Seebregts (1998):
| Bereinigte OCC (ECU/kWe) | Fall / Beschreibung (gemäß Tabelle B.2) | Fusion Core (FC) [ECU/kWe] (I) | BOP (Balance of Plant) [ECU/kWe] (V) | Anteil FC (I) | Anteil BOP (V) |
| :---: | :---: | :---: | :---: | :---: | :---: |
| **7906** | Single Reactor, Fe, 2020 (DEMO) | 3871 | 4035 | **48,96%** | **51,04%** |
| **5220** | Single Reactor, V, 2050 | 2592 | 2628 | **49,65%** | **50,35%** |
| **2926** | Twin Reactor, Fe, 2070 | 1454 | 1472 | **49,69%** | **50,31%** |
| **2576** | Twin Reactor, V, 2100 | 1374 | 1202 | **53,34%** | **46,66%** |
***
### Interpretation der Ergebnisse
Die **Total Construction Costs (OCC)** setzen sich zusammen aus der Summe von **Fusion Core (FC)** (Spalte I) und **Balance of Plant (BOP)** (Spalte V), wie in Tabelle B.2 dargestellt.
1.  **Frühe Phasen (7906 und 5220 ECU/kWe):**
    *   In diesen frühen, teureren Entwürfen (Fe-Material 2020 und V-Material 2050) macht das **Balance of Plant (BOP)** – also die konventionellen Kraftwerkskomponenten (Turbinen, Gebäude, etc.) – **etwas mehr als die Hälfte** der Baukosten aus (ca. 50,3% bis 51,0%).
    *   Der **Fusion Core (FC)** (Plasma, Magnete, Blanket, Divertor) macht knapp die Hälfte der Kosten aus (ca. 49%).
2.  **Reife Phase (2576 ECU/kWe):**
    *   Beim **hoch optimierten Design des Jahres 2100** (Twin Reactor, V-Material) kehrt sich das Verhältnis um: Der **Fusion Core** wird mit **53,34%** zum **signifikant größeren Kostentreiber** als das Balance of Plant (46,66%).
Dies ist konsistent mit der Aussage in der Studie, dass die **Kostenreduktion** vor der kommerziellen Phase hauptsächlich im **Fusion Core** realisiert wird, während das **Balance of Plant (BOP)** nicht ähnliche Möglichkeiten zur Kostenreduktion aufweist. Sobald das BOP-Design stabilisiert und optimiert ist, bleiben die Kosten des hochentwickelten Fusionskerns relativ hoch im Vergleich zur Gesamtinvestition.</t>
  </si>
  <si>
    <t>Die Studie von Lerede et al. (2023) vergleicht die Fusionsenergie implizit und explizit mit anderen Energieerzeugungstechnologien und nutzt dabei **zukunftsgerichtete Projektionen** der Kosten.
### Ergebnis des Kostenvergleichs
Der Vergleich der Fusionsenergie mit anderen Technologien wird im Rahmen des **Energy System Optimization Model (ETM)** durchgeführt. Das Ziel des Modells ist es, die **günstigste Konfiguration** des Energiesystems (*least-cost configurations*) zu finden, wodurch Fusion in direkte Konkurrenz zu allen anderen verfügbaren Optionen tritt.
**1. Zeitpunkt der Wettbewerbsfähigkeit (Zweite Hälfte des Jahrhunderts):**
*   Die Ergebnisse der ETM-Optimierung zeigen, dass die Fusionsenergie in keinem der optimistischsten Szenarien **vor 2050** eine praktikable Dekarbonisierungsoption darstellt, da die installierte Kapazität in der ersten (exponentiellen) Phase des Kapazitätswachstums vernachlässigbar ist.
*   Die **Wettbewerbsfähigkeit** der Fusionsenergie beginnt in der **zweiten Hälfte des Jahrhunderts**.
*   Die ARC-Technologie wird als die **kosteneffizienteste Fusionstechnologie** identifiziert. Das Advanced ARC-Konzept (2050) ist mit $2,8 \text{ M\$/MWe}$ Investitionskosten mehr als **50% günstiger** pro MWe als das EU-DEMO-Konzept (2060).
**2. Vergleich mit dem Schwellenwert:**
*   Der **Schwellenwert** (*threshold*) für die Investitionskosten, ab dem Fusionskraftwerke (NFPPs) im Energiesystem wettbewerbsfähig werden, liegt bei **$3,8 \text{ M\$/MWe}$**.
*   **ARC-2050** ($2,8 \text{ M\$/MWe}$) liegt unter diesem Schwellenwert und ist damit die **„only cost-effective fusion technology“** (*einzige kosteneffiziente Fusionstechnologie*) in den analysierten Szenarien.
*   Die **DEMO-Reaktoren** (EU-DEMO 2060: $5,9 \text{ M\$/MWe}$, Asian-DEMO: $8,5 \text{ M\$/MWe}$) sind nicht wirtschaftlich wettbewerbsfähig (*not result economically competitive*) im Vergleich zu ARC. Nur wenn ARC nicht verfügbar ist, werden DEMO-basierte Reaktoren in den Energiemix aufgenommen.
**3. Vergleich mit CCS (Carbon Capture and Storage):**
*   Die Verfügbarkeit von CCS ist ein wichtiger Konkurrent, da CCS-Anlagen ab 2030 verfügbar sind und geringere Investitionskosten aufweisen als Fusion.
*   In Szenarien mit **hoher Nachfrage** (Paternalism, Fragmentation) wird Fusion (ARC) auch dann entwickelt und erreicht ihr maximales Kapazitätswachstum, wenn CCS verfügbar ist. Dies zeigt, dass Fusion und CCS nebeneinander existieren können, um die hohen Anforderungen an die Dekarbonisierung zu erfüllen.
*   Im **Harmony-Szenario** (niedrige Nachfrage) ist die Fusion **nicht erforderlich** (*not required*) zur Einhaltung der Emissionsziele, wenn CCS verfügbar ist, da die Dekarbonisierung bereits durch den Einsatz kostengünstigerer Alternativen (hauptsächlich Erneuerbare Energien) erreicht wird. Fusion kann in diesem Kontext **„nicht zur Dekarbonisierung beitragen“**.
**4. Endgültiger Beitrag im Jahr 2100:**
*   Fusion erreicht bis 2100 einen **nicht vernachlässigbaren Beitrag** (*non-negligible contributions*) zum Stromerzeugungsmix, insbesondere in Szenarien **ohne CCS**.
*   In Szenarien ohne CCS und hoher Nachfrage erreicht Fusion einen Anteil von **~10%** an der gesamten Stromerzeugung, wobei Solar ($~50\%$) die Hauptquelle darstellt.
*   In der zweiten Hälfte des Jahrhunderts kann die ARC-Technologie **„competitive with conventional power technology at their maturity“** (wettbewerbsfähig mit konventionellen Stromtechnologien in deren Reifephase) sein.
### Vergleichsbasis: Zukunftsgerichtete Projektionen
Der gesamte Vergleich basiert auf **zukunftsgerichteten Projektionen** (Prognosen) für alle Technologien und nicht auf historischen Werten:
*   **Fusionskosten (Zukunft):** Die Kosten der Fusionskraftwerke (ARC, EU-DEMO, Asian-DEMO) sind **geschätzte, spekulative Werte**, die auf einer **„power plant vision for the future“** basieren, wobei die Verfügbarkeit ab 2035 (ARC) bzw. 2060 (DEMO) angenommen wird. Es wird eine **„physiologische Kostenabnahme“** (*physiological cost decrease*) im Laufe der Zeit angenommen.
*   **Konkurrierende Kosten (Zukunft):** Auch die Kosten und Kapazitätsbeschränkungen aller konkurrierenden Technologien (fossile, Kernspaltung, erneuerbare Energien) basieren auf **zukünftigen Trajektorien** und Kapazitätsobergrenzen, die im ETM-Modell implementiert sind.
*   **Vergleichsrahmen:** Die gesamte Analyse ist eine **„global scenario analysis“** bis 2100 unter Verwendung des **EUROfusion TIMES Model (ETM)**, das least-cost-Konfigurationen des zukünftigen Energiesystems produziert. Die Kosten sind in **$2010$** ausgedrückt.
*   **Keine historischen Vergleiche:** Es werden keine historischen Stromgestehungskosten (COE) herangezogen; stattdessen werden die **„techno-economic features“** (technisch-ökonomische Merkmale) aller Technologien in das Optimierungsmodell eingespeist, um ihren zukünftigen Beitrag zu bewerten.</t>
  </si>
  <si>
    <t>Die folgende Antwort basiert auf der Analyse der Fusionsenergiestudie von Lerede et al. (2023), die das **EUROfusion TIMES Model (ETM)** verwendet, um die zukünftige Rolle verschiedener Fusionsreaktoren (ARC, EU-DEMO, Asian-DEMO) im globalen Energiesystem zu untersuchen.
---
### 1. Welche Modellannahmen werden getroffen?
Die Modellierung basiert auf einem **Energy System Optimization Model (ESOM)**, dem **EUROfusion TIMES Model (ETM)**, das darauf abzielt, die kostengünstigste (*least-cost*) Konfiguration des Energiesystems über einen Zeithorizont bis **2100** zu finden.
**Wesentliche Annahmen für Fusionskraftwerke (NFPPs):**
*   **Fusionskonzepte:** Es werden drei spezifische Fusionskonzepte in die Datenbank aufgenommen und verglichen: **ARC** (Affordable, Robust, Compact), **EU-DEMO-basiert** und **Asian-DEMO-basiert**.
*   **Betriebszeit:** Die jährliche Betriebszeit (*Yearly operation time*), d. h. der Kapazitätsfaktor, wird für alle Konzepte auf ungefähr **$6000 \text{ Stunden/Jahr}$** festgelegt.
*   **Lebensdauer:** Die Betriebsdauer (*Lifetime*) wird für alle Anlagen auf **40 Jahre** angenommen.
*   **Bauzeit:** Die Bauzeit (*Construction time*) beträgt **10 Jahre** für die DEMO-basierten Konzepte und **5 Jahre** für den ARC-Reaktor.
*   **Verfügbarkeit:** Die Konzepte werden zu unterschiedlichen Zeitpunkten verfügbar gemacht: **ARC-basiert** ab **2035** (in Basisszenarien) oder **2060** (in Verzögerungsszenarien); **EU-DEMO-basiert** und **Asian-DEMO-basiert** ab **2060**.
*   **Tritium/Lithium:** Der **Lithiumverbrauch** [kg von $^6\text{Li}/\text{PJe}$] wird als Kostenparameter modelliert, aber es werden **keine spezifischen Beschränkungen** für die kumulierte Kapazität aufgrund der **Tritiumverfügbarkeit** angenommen.
*   **Kostenentwicklung:** Eine **„physiological cost decrease“** (physiologische Kostenabnahme) wird im Laufe der Zeit für die Fusionskonzepte angenommen.
**Wesentliche Annahmen für das Gesamtsystem (Szenarien):**
*   **Szenarien:** Die Analyse verwendet drei sozioökonomische Entwicklungspfade: **Paternalism**, **Harmony** und **Fragmentation**, die sich in der Elastizität der Nachfrage, den Abzinsungssätzen und den Umweltschutzzielen (GHG-Emissionen, RCP 2.6 oder RCP 6) unterscheiden.
*   **Konkurrierende Technologien:** Es werden Szenarien **mit** (*W/CCS*) und **ohne** (*W/O CCS*) die Verfügbarkeit von **Carbon Capture and Storage (CCS)** ab 2030 analysiert.
*   **Kapazitätsbeschränkung:** Das maximale globale kumulative Kapazitätswachstum für Fusion folgt einer **dreiphasigen S-Kurve** (exponentielles Wachstum, lineares Wachstum, Sättigung). Als konservative (aber optimistische) Obergrenze wird das **schnellste historische Wachstum** anderer Stromerzeugungstechnologien (Solar PV) mit einer **Verdopplungszeit (*doubling time*) von 1,43 Jahren** in der Anfangsphase zugrunde gelegt, um eine Sättigungskapazität (*Psat*) von **2 TW** bis 2100 zu erreichen.
### 2. Welche Modell- und Kostenannahmen basieren auf tatsächlichen Erfahrungswerten und welche nur Schätzungen oder Prognosen? Welche Annahmen stammen woher?
Fast alle technischen und ökonomischen Daten für die Fusionsanlagen sind **Prognosen** oder **geschätzte Werte** (*educated growth rate*).
| Annahme / Wert | Status (Erfahrung vs. Prognose) | Herkunft / Quelle |
| :--- | :--- | :--- |
| **Generelle Fusionskosten** | **Prognose/Schätzung.** Die Kosten sind hochgradig **„disputable“** (*diskutabel*) aufgrund der **starken Unsicherheiten** und beziehen sich auf zukünftige Anlagen. | Öffentliche Literatur (*publicly available literature*) und frühere Fusionsstudien (z. B. DNE21+ und World-TIMES). |
| **EU-DEMO-Kosten** | **Prognose (Bottom-up-Berechnung).** Die Kosten wurden mithilfe des **PROCESS-Codes** berechnet, der **technische und physikalische Beschränkungen** berücksichtigt. | PROCESS-Code. |
| **Asian-DEMO-Kosten (8,5 M$/kWe)** | **Prognose.** Die Investitionskosten wurden aus früheren Modellierungsarbeiten übernommen und stimmen mit den Schätzungen von DNE21+ überein. | DNE21+ Modell (Japan). |
| **ARC O&amp;M Kosten** | **Schätzung.** Diese beruhen auf einer **„preliminary rough estimation“** und einem Vergleich mit dem Europäischen Druckwasserreaktor (EPR), wobei die O&amp;M-Kosten auf **2% der Investitionskosten** geschätzt werden. | Vergleich mit EPR-Daten. |
| **Kapazitätswachstum** | **Erfahrungswert (als Basis).** Die Kurven für das maximale Kapazitätswachstum (Verdopplungszeiten von 1,43, 2 und 4 Jahren) basieren auf **historischen Entwicklungen** von Stromerzeugungstechnologien wie **Solar PV**. | Historische Daten von Solar PV. |
### 3. Falls externe Quellen für die Modell- und Kostenannahmen verwendet wurden – wurden diese modifiziert? Falls ja, wie?
**Ja, Modifikationen wurden vorgenommen:**
1.  **EU-DEMO-Konzept:** Frühere ETM-Analysen nutzten zwei Versionen (Basic 2050, Advanced 2070). In dieser Arbeit wurde dies auf ein **einziges EU-DEMO-Konzept** umgestellt, das ab **2060** verfügbar ist, um den jüngsten Anpassungen der EUROfusion Roadmap zu entsprechen.
2.  **EU-DEMO-Kosten:** Die aus dem PROCESS-Code abgeleiteten Kosten wurden **„arbitrarily increased by 30%“** (willkürlich um 30% erhöht).
3.  **Kapazitätsbeschränkungen:** Anstelle von willkürlich angenommenen Wachstumsraten oder Tritium-Verfügbarkeitsbeschränkungen wurde ein **neuer Satz von Wachstumsbeschränkungen** entwickelt, der auf dem **schnellsten historischen Wachstumstrend** im Stromsektor (Verdopplungszeit von 1,43 Jahren) basiert.
### 4. Wie lautet die Annahme zu Lernraten?
Das **ETM** (wie andere ESOMs) **berücksichtigt normalerweise keine** expliziten **Technologie-Lernalgorithmen** (*technology learning algorithms*), und dies trifft auch auf die vorliegende Arbeit zu.
Stattdessen wird eine **physiologische Kostenabnahme** (*physiological cost decrease*) **progressiv** im Laufe der Zeit in den Input-Daten modelliert. Dies ermöglicht es, Kostensenkungen zu beobachten, selbst wenn zuvor keine Kapazität installiert wurde.
### 5. Wie wurden die Annahmen zu den Lernraten hergeleitet bzw. von wo stammen diese Annahmen?
Da keine expliziten Lernalgorithmen verwendet werden, bezieht sich die Herleitung auf die **Modellierung der Kostenreduktion** über die Zeit:
*   **ARC-Kostenreduktion:** Die Kostenreduktion beim ARC-Konzept (von $5,3 \text{ M\$/MWe}$ in 2035 auf $2,8 \text{ M\$/MWe}$ in 2050) ist auf eine **„further development“** (weitere Entwicklung) zurückzuführen, die eine Steigerung der elektrischen Leistung von $190 \text{ MWe}$ auf $250 \text{ MWe}$ bei gleicher Fusionsleistung umfasst.
*   **Anlehnung an andere Modelle:** Die allgemeine Annahme der physiologischen Kostenabnahme folgt dem Ansatz, der bereits in früheren Studien wie World-TIMES und DNE21+ angewandt wurde.
### 6. Wird offengelegt, ob die Kostenabschätzung auf einem Bottom-up-, Top-down- oder hybriden Ansatz basiert?
Obwohl die Begriffe Bottom-up/Top-down für die Fusionsreaktor-Kostenherleitung nicht explizit verwendet werden, **impliziert** die verwendete Methodik einen **Bottom-up- oder hybriden Ansatz**.
*   **Modellbasis:** Die Kosten für den EU-DEMO wurden unter Verwendung des **PROCESS-Codes** berechnet, der **physikalische und ingenieurtechnische Beschränkungen** bei der Bestimmung der COE berücksichtigt. Dies ist eine Bottom-up-Berechnung, da sie vom detaillierten Anlagendesign ausgeht.
*   **Gesamtmodell:** Das verwendete ETM ist selbst ein **Bottom-up-Energiemodell** (*bottom-up energy model*), das detaillierte techno-ökonomische Charakterisierungen der Technologien erfordert.
### 7. Beruht die Kostenherleitung auf physikalischen und technologischen Werten?
**Ja.** Die gesamte ökonomische Charakterisierung beruht auf physikalischen und technologischen Werten.
*   Der **PROCESS-Code**, der zur Berechnung der EU-DEMO-Kosten dient, berücksichtigt **„constraints on engineering, physics and materials“**.
*   Die **kompakte Bauweise** von ARC (dank Hochtemperatur-supraleitender Magnete) führt zu einer Reduktion der **Investitionskosten pro MWe** und ist somit eine direkte technologische Determinante der Kosten.
*   Der **Lithiumverbrauch** wird auf der Grundlage des erwarteten **Tritiumverbrauchs** (*tritium consumption*) geschätzt, der wiederum auf physikalischen Parametern der jeweiligen Reaktoren (z. B. Fusionsleistung) basiert.
### 8. Werden Materialkosten und Komponentenkosten separat ausgewiesen?
**Nein.** Die Investitionskosten (*Investment cost*) werden in der Studie (Tabelle 1) **aggregiert** als **Gesamtkosten pro Anlage** (*B$/plant*) und **spezifische Kosten pro Leistungseinheit** (*M$/MWe*) ausgewiesen.
*   Es erfolgt **keine interne Aufschlüsselung** dieser Investitionskosten in primäre Komponenten (wie Fusion Core, Balance of Plant) oder Materialkosten (wie Stahl, Zement).
*   Allerdings wird der **Lithiumverbrauch** [kg $^6\text{Li}/\text{PJe}$] als separates **Input-Kosten-Merkmal** in der Tabelle 1 gelistet, da Lithium zur Erzeugung von Tritium erforderlich ist. Die Kosten für das Lithium selbst werden als gering im Vergleich zu den Gesamtkosten betrachtet.
### 9. Bezieht sich die Studie auf ein Energiesystem (z. B. Integration, Vergleich mit anderen Technologien) oder ist sie rein bezogen auf die Kosten des Kraftwerks und des Reaktors?
Die Studie bezieht sich primär auf die **Integration und Rolle der Fusionsenergie in das globale Energiesystem**.
*   Die Untersuchung verwendet das **EUROfusion TIMES Model (ETM)**, ein globales **Energy System Optimization Model (ESOM)**, um die **„least-cost configurations“** des zukünftigen Energiemixes zu ermitteln.
*   Die Fusionstechnologien (ARC, DEMO) treten im Modell in **direkte Konkurrenz** zu anderen kohlenstoffarmen Optionen wie **CCS** und **erneuerbaren Energien**.
*   Die Analyse untersucht, unter welchen sozioökonomischen und technologischen Annahmen die Fusionsenergie einen **„non-negligible contribution“** (nicht zu vernachlässigenden Beitrag) zum Stromerzeugungsmix leisten kann.
### 10. Welche Kostenreduktionspotenziale oder wirtschaftlichen Optimierungsansätze werden thematisiert?
1.  **Technologische Optimierung (ARC):** Die Senkung der spezifischen Investitionskosten wird durch die **„further development“** des ARC-Konzepts erreicht, welches eine Erhöhung der elektrischen Ausgangsleistung (von $190 \text{ MWe}$ auf $250 \text{ MWe}$) bei gleichbleibender Fusionsleistung ermöglicht.
2.  **Kompakte Bauweise:** Die **kompakte Natur** von ARC führt zu niedrigeren Baukosten (*lower construction effort*) und macht es zum kostengünstigsten Fusionskonzept in Bezug auf die Einzelanlagenkosten.
3.  **Kostenabnahme über die Zeit:** Es wird eine **„physiological cost decrease“** für alle Fusionskonzepte im Laufe der Zeit angenommen.
4.  **Schwellenwert-Analyse:** Es wird ermittelt, dass Fusionsanlagen nur dann im Energiesystem wettbewerbsfähig sind, wenn ihre Investitionskosten unter einem **Schwellenwert** (*threshold*) von **$3,8 \text{ M\$/MWe}$** liegen.
### 11. Was sind die signifikantesten Kostentreiber und ökonomischen Herausforderungen laut Studie?
*   **Investitionskosten:** Die **Investitionskosten** (*Investment cost*) sind der **entscheidende Faktor** dafür, ob Fusionsanlagen im zukünftigen Energiemix wettbewerbsfähig sind. Nur ARC (ab 2050 mit $2,8 \text{ M\$/MWe}$) unterschreitet den Schwellenwert von **$3,8 \text{ M\$/MWe}$**.
*   **Wirtschaftliche Wettbewerbsfähigkeit der DEMOs:** Die **DEMO-Reaktoren** (EU-DEMO $5,9 \text{ M\$/MWe}$, Asian-DEMO $8,5 \text{ M\$/MWe}$) sind im Vergleich zu ARC **„not result economically competitive“** (*nicht wirtschaftlich wettbewerbsfähig*).
*   **Hohe Unsicherheit und Prognoserisiko:** Die Kostenangaben sind **„highly disputable“** und die Ergebnisse sind **„strongly biased by the very low maturity of fusion technologies“**.
*   **Industrielles Rollout:** Die Herausforderung liegt in der **Fähigkeit der Industrie**, eine massive Flotte von Fusionsanlagen zu bauen. Die von CFS angestrebte Wachstumsrate von 2 TW bis 2050 (entspricht dem Bau von über 500 Reaktoren pro Jahr) wird als **„too ambitious“** (*zu ehrgeizig*) und die Wachstumsrate als **„quite unbelievable“** im Vergleich zu Solar PV angesehen.
*   **Verfügbarkeitszeitpunkt:** Verzögerungen beim Markteintritt, insbesondere beim ARC-Konzept (Verschiebung von 2035 auf 2060), reduzieren die Penetration und erhöhen die Kosten aufgrund des verlorenen technologischen Vorsprungs, was zeigt, dass Fusion bei geringer Nachfrage **„too late“** (zu spät) kommen kann.</t>
  </si>
  <si>
    <t>MCF OCC--&gt;</t>
  </si>
  <si>
    <t>changed from 10th-OAK to NOAK
Probably 10-OAK or NOAK since learning curves assumed and parameters from EUROfusion basic commercial power plants assumptions
technology maturity assumed
"overnight costs"</t>
  </si>
  <si>
    <t>changed from 10th-OAK to NOAK 
'Heavy Ion Fusion
Readniess not explicitly given
Hydrogen production model
"Fusion is generally considered as an electricity generator. But there are other ways of converting heat to energy intense products, and the heat from fusion can be used in multiple staged processes such as those shown in Fig. 1. Many desired reactions take place more readily at elevated temperature. Thus high temperature heat can be substituted for electricity in some cases and this results in a more efficient process. As an example, the Sulfur–Iodine thermal disassociation of water process, pioneered by GA Technologies [10], can be used to form hydrogen and oxygen without the requirement of going to electricity first. Alternatively, the high temperature electrolysis of steam could be used to produce hydrogen as it is more efficient than low temperature electrolysis of water. Both S–I and high temperature electrolysis processes are documented to be about 50% efficient – i.e., both processes yield hydrogen that contains about 50% of the input energy – and both processes are complete at temperatures above 400 °C. As a result, the ‘waste heat’ from these process, at various stages, will still be primary heat for a steam turbine to produce electrical energy at an efficiency of about 30% yielding an overall efficiency of something like 65%"
10 large reaction chambers in full system</t>
  </si>
  <si>
    <t>changed fro 10th-OAK to NOAK
Readiness not given but assumed due to optimistic modelisation</t>
  </si>
  <si>
    <t>PPCS???</t>
  </si>
  <si>
    <t>ICF OCC--&gt;</t>
  </si>
  <si>
    <t>Direct Drive_FOAK</t>
  </si>
  <si>
    <t>Direct Drive_NOAK</t>
  </si>
  <si>
    <t>Direct Drive_10th-OAK</t>
  </si>
  <si>
    <t>Indirect Drive_FOAK</t>
  </si>
  <si>
    <t>Indirect Drive_NOAK</t>
  </si>
  <si>
    <t>Indirect Drive_10th-OAK</t>
  </si>
  <si>
    <t>Ion Beam Driver_NOAK</t>
  </si>
  <si>
    <t>Ion Beam Driver_10th-OAK</t>
  </si>
  <si>
    <t>Ion Beam Driver_FOAK</t>
  </si>
  <si>
    <t>75th assumed to be advanced NOAK
Overnigt Capital Costs assumed OCC with contingency</t>
  </si>
  <si>
    <t>Dies ist eine detaillierte Beantwortung Ihrer Fragen, die ausschließlich auf den bereitgestellten Quellen basiert.
---
### 1. Welche Modellannahmen werden getroffen?
Die Modellannahmen lassen sich in physikalische, technologische und ökonomische Parameter unterteilen:
**A. Physikalische und Technologische Annahmen (Basierend auf ITER und PPCS):**
*   Die Ergebnisse werden mithilfe des Systemcodes **PROCESS** erstellt, um **konsistente Modelle** (*consistent models*) der konzeptionellen Kraftwerke zu erzeugen.
*   Als konservativer Ausgangspunkt wird ein Kraftwerk basierend auf den Parametern des **ITER-Designs** betrachtet.
*   Für diese konservative Anlage werden spezifische Werte angenommen: ein normalisiertes $\beta$ ($\beta_N$) von **1.7**, sowie moderate Werte für den **H-Faktor, die Dichte** und die **Divertor-Wärmelast**.
*   Die Modelle entwickeln sich von diesem konservativen Ansatz zu einer weiterentwickelten Anlage, die ein höheres $\beta_N$ von **3.4** erreicht.
*   Die **European Power Plant Conceptual Study (PPCS)** untersuchte eine Reihe von vier Anlagenkonzepten (Modelle A bis D), die den Bereich von **Stahl-basierten, wassergekühlten Anlagen (Modell A)** bis hin zu **fortschrittlichen Systemen** mit SiC/SiC als Blanket-Material und **selbstkühlendem Blei-Lithium-Eutektikum (Modell D)** abdecken.
**B. Ökonomische und Skalierungs-Annahmen:**
*   Die Stromgestehungskosten (CoE) werden durch Diskontierung aller Kosten und Einnahmen zum Start der Operation bestimmt.
*   Wichtige Skalierungsparameter sind: der **Diskontierungssatz** ($r$), der **Lernfaktor** ($F$), die **Anlagenverfügbarkeit** ($A$), die **thermodynamische Effizienz** ($\eta_{th}$), die **Einheitsgröße** ($P_e$), das **normalisierte $\beta$** ($\beta_N$) und der **Dichtemultiplikator** ($N$).
*   Die Kosten variieren erheblich in Abhängigkeit vom **Lernfaktor**; die Spanne deckt die Kostenentwicklung vom **First-of-a-kind (FOAK) bis zu einer reifen Technologie** (10th-of-a-kind) ab.
### 2. Welche Modell- und Kostenannahmen basieren auf tatsächlichen Erfahrungswerten und welche nur Schätzungen oder Prognosen? Welche Annahmen stammen woher?
Die Studie verwendet eine Mischung aus Erfahrungswerten (Validierung) und zukunftsgerichteten Prognosen (Extrapolation):
| Annahme | Basis / Herkunft | Klassifikation |
| :--- | :--- | :--- |
| **Kostenalgorithmen** | Basieren auf **Kosten-Algorithmen**, die anhand **existierender Maschinen** sowie der **ITER-Kosten** validiert wurden. | Erfahrungswerte / Validierung |
| **Physik-Basis (Konservativ)** | Die Parameter (z. B. $\beta_N=1.7$) stammen aus dem **ITER-Design**. | Erfahrungswerte (Prognose der ITER-Kosten) |
| **Physik-Basis (Fortschrittlich)** | Die Annahme eines verbesserten $\beta_N$ von **3.4** basiert auf **Werten, die in existierenden Experimenten bereits erreicht wurden**. | Erfahrungswerte |
| **CoE-Methodik** | Die Methodik zur Bestimmung der Stromgestehungskosten (CoE) basiert auf standardisierten Gleichungen und nutzt Referenzen von OECD-Publikationen. | Standardisierte Methodik |
| **Lernfaktoren** | Die Konzepte der Lernfaktoren und Erfahrungskurven stammen aus externen Quellen der **OECD/IEA**. | Externe Prognosen / Erfahrungswerte |
| **Externe Kosten** | Die Methode zur Bewertung der externen Kosten (ExternE) wurde ursprünglich für **existierende Energiesysteme** entwickelt. | Erfahrungswerte / Standardmethodik |
### 3. Falls externe Quellen für die Modell- und Kostenannahmen verwendet wurden – wurden diese modifiziert? Falls ja, wie?
Ja, externe Quellen und Methodiken wurden modifiziert oder angepasst:
*   **ExternE-Methodik:** Die ursprünglich für existierende Energiesysteme entwickelte **ExternE-Methodik** wurde auf die **Bewertung der externen Kosten von Fusionskraftwerkskonzepten erweitert**. Die Bewertung wurde von denselben Personen durchgeführt, die auch die Bewertung anderer Energiequellen durchführten, um die Konsistenz zu gewährleisten.
*   **Vergleich mit anderen Technologien:** Bei der Schätzung der externen Kosten wurden auch die **technologischen Fortschritte** berücksichtigt, die bei konventionellen und erneuerbaren Technologien (wie Kohlenstoffabscheidung bei fossilen Technologien) **in 50 Jahren** erreicht werden könnten.
*   **Lernfaktor-Definition:** Für den Kostenvergleich mit Wind- und Solar-PV-Anlagen wurde der Lernfaktor 1 speziell auf die **ersten 1 GW Leistung** in jedem Fall angewendet.
*   **Speicherkosten:** Bei der Kostenberechnung für Wind und PV wurde eine **Zulage für Speicherkosten** (*allowance for storage costs*) eingerechnet, die erforderlich wären, um feste, zuverlässige Leistung zu liefern.
### 4. Wie lautet die Annahme zu Lernraten?
Die Annahme zur Lernrate wird als **Lernfaktor ($F$)** in die Kostenberechnung einbezogen.
*   **Definition:** Der Lernfaktor ($F$) wird definiert als die **"Reduktion der Kosten, die beim Übergang von einer First-of-a-kind-Anlage zu einer ausgereiften Technologie erzielt wird"**.
*   **Skalierung:** Der Lernfaktor ist der **wichtigste Faktor** zur Verbesserung der wirtschaftlichen Effizienz nach dem Diskontierungssatz. Die Stromgestehungskosten skalieren mit dem Lernfaktor zur Potenz von 0.6 ($\text{CoE} \propto F^{0.6}$).
*   **Auswirkung:** Die breite Kostenbandbreite (z. B. 3–10 D cents/(kW h) in Fig. 3) entspricht dem Unterschied im technologischen Lernen zwischen einem **First-of-a-kind- und einem Tenth-of-a-kind-Reaktor**.
### 5. Wie wurden die Annahmen zu den Lernraten hergeleitet bzw. von wo stammen diese Annahmen?
Die Annahmen zu den Lernraten stammen aus **externen Referenzen** und werden für den Vergleich mit Fusion adaptiert:
*   **Herkunft:** Die Konzepte der Erfahrungskurven und Lernraten basieren auf der Quelle ** Experience Curves for Energy Technology Policy** der OECD/IEA (Paris, 2000).
*   **Vergleichsbasis:** Die Lernfaktoren für die Vergleichstechnologien (Wind und PV) wurden ebenfalls herangezogen. Es wird angemerkt, dass der Lernfaktor 1 für diese Technologien auf die **ersten 1 GW Leistung** angewandt wird.
*   **Historische Daten:** Im Gegensatz zu den Prognosen für Fusion sind die Daten für die Kostenentwicklung der Windenergie **historische Daten und keine Projektionen**, da Wind bereits Lernfaktoren unter 0.5 erreicht hat (bei einer Weltkapazität von ca. 40 GW).
### 6. Wird offengelegt, ob die Kostenabschätzung auf einem Bottom-up-, Top-down- oder hybriden Ansatz basiert?
Ja, es wird offengelegt, dass zumindest ein Teil der Kostenabschätzung auf einem Bottom-up-Ansatz basiert:
*   **Externe Kosten (ExternE):** Die Bewertung der **externen Kosten** verwendet explizit die **ExternE-Methodik**, die als eine **"Bottom-up-Methodik"** (*bottom–up methodology*) beschrieben wird.
*   **Direkte Kosten (CoE):** Für die Berechnung der direkten Stromgestehungskosten (CoE) wird die Verwendung des Systemcodes **PROCESS** und von **Kostenalgorithmen** erwähnt, die gegen bestehende Maschinen und ITER validiert wurden. Obwohl der Begriff "Bottom-up" hier nicht explizit fällt, impliziert die detaillierte Modellierung konsistenter Kraftwerke mithilfe eines Systemcodes eine Bottom-up-Erfassung der Komponenten- und Systemkosten.
### 7. Beruht die Kostenherleitung auf physikalischen und technologischen Werten?
**Ja**, die Kostenherleitung beruht direkt auf physikalischen und technologischen Werten:
*   **Modellierung:** Der Systemcode PROCESS wird verwendet, um **konsistente Modelle** der konzeptionellen Kraftwerke zu erstellen, was die zugrundeliegende Physik und Technologie einschließt.
*   **CoE-Skalierung:** Die CoE-Gleichung (2) stellt die Abhängigkeit der Stromgestehungskosten von physikalischen und technologischen Parametern her. Die wichtigsten Parameter, die die CoE beeinflussen, sind unter anderem: das **normalisierte $\beta$ ($\beta_N$)**, der **Dichtemultiplikator ($N$)**, die **thermodynamische Effizienz ($\eta_{th}$)** und die **Anlagenverfügbarkeit ($A$)**.
*   **Materialien:** Die **Materialeigenschaften**, insbesondere die **tolerierbare Neutronenfluenz** (*lifetime tolerable neutron fluence*), beeinflussen direkt die **Anlagenverfügbarkeit** und somit die CoE.
### 8. Werden Materialkosten und Komponentenkosten separat ausgewiesen?
Die Kostenstruktur in der CoE-Formel (Gleichung 1) gliedert die Gesamtkosten in: Kapitalkosten ($C$), Betriebs- und Wartungskosten ($OM$), Brennstoffkosten ($F$), **Kosten für austauschbare Komponenten ($R$)** und Stilllegungskosten ($D$).
Obwohl die Quelle die Kosten für **austauschbare Komponenten ($R$)** separat ausweist und die **Materialanforderungen** (*materials requirements*) als wichtiges Thema hervorhebt, wird in den bereitgestellten Auszügen **keine separate numerische Aufschlüsselung** von reinen Materialkosten oder von Einzelkomponentenkosten (abgesehen von der aggregierten Kategorie $R$) gegeben.
Die Notwendigkeit des **Austauschs von Blanket- und Divertor-Materialien** wird jedoch als primärer Kostentreiber der Verfügbarkeit thematisiert.
### 9. Bezieht sich die Studie auf ein Energiesystem (z.B. Integration, Vergleich mit anderen Technologien) oder ist sie rein bezogen auf die Kosten des Kraftwerks und des Reaktors?
Die Studie geht **über die reinen Kosten des Kraftwerks und des Reaktors hinaus** und bezieht sich auf das Energiesystem und den zukünftigen Markt:
*   **Vergleich mit anderen Technologien:** Die Studie vergleicht die Kosten der Fusion mit **Windenergie und Solar-PV**.
*   **Systemintegration (Speicher):** Bei diesem Vergleich wird für Wind und PV ein **Zuschlag für Speicherkosten** berücksichtigt, der notwendig ist, um **feste, zuverlässige Leistung** zu liefern, was ein Energiesystem-Aspekt ist.
*   **Externe Kosten:** Die Studie berechnet die **externen Kosten** (*external costs*) der Fusion (Auswirkungen auf Gesundheit, Umwelt, Unfälle, Abfälle) und vergleicht diese mit anderen Energietechnologien (z. B. Kohle), wobei der geringe Beitrag der Fusion zur atmosphärischen Verschmutzung betont wird.
*   **Marktanalyse:** Abschnitt 6 befasst sich mit der **Rolle der Fusion in einem deregulierten Energiemarkt** (*de-regulated energy market*) und diskutiert, wie Umweltauflagen (z. B. CO2-Besteuerung) und Anreize die Akzeptanz von Fusion fördern könnten.
### 10. Welche Kostenreduktionspotenziale oder wirtschaftlichen Optimierungsansätze werden thematisiert?
Die Studie identifiziert eine klare Rangfolge (*order of merit*) der wichtigsten Faktoren zur Verbesserung der **wirtschaftlichen Effizienz**:
1.  **Technologisches Lernen ($F$):** Dies ist der wichtigste Faktor (nach dem Diskontierungssatz), da der Übergang von FOAK zu einer ausgereiften Technologie die Kosten drastisch senkt.
2.  **Anlagenverfügbarkeit ($A$):** Zweitwichtigster Faktor. Die Verfügbarkeit kann durch die Entwicklung von Materialien verbessert werden, die eine höhere **tolerierbare Neutronenfluenz** aufweisen, insbesondere im Blanket- und Divertor-Bereich.
3.  **Thermodynamische Effizienz ($\eta_{th}$):** Drittwichtigster Faktor.
4.  **Anlagengröße ($P_e$):** Die Kostenreduzierung durch Skalierung ist signifikant, da CoE mit $\frac{1}{P_{e}^{0.4}}$ skaliert.
5.  **Normalisiertes $\beta$ ($\beta_N$):** Die Verbesserung des $\beta_N$ (z. B. von 1.7 auf 3.4) verbessert die Wirtschaftlichkeit.
6.  **Dichtemultiplikator ($N$):** Der am wenigsten wichtige der genannten Faktoren.
Zusätzlich wird die **Beschleunigung des Entwicklungsprogramms** (*speeding up of the development programme*) thematisiert. Eine **„Fast Track“-Entwicklung** könnte den Kapitalwert (NPV) potenziell verdoppeln, indem die Einführung der Fusion um etwa 15 Jahre vorgezogen wird, obwohl dies höhere kurzfristige Entwicklungskosten impliziert.
### 11. Was sind die signifikantesten Kostentreiber und ökonomischen Herausforderungen laut Studie?
**Signifikanteste Kostentreiber (Faktoren, die CoE direkt erhöhen):**
*   **Mangelndes technologisches Lernen:** Die hohen Kosten und die breite Spanne in der CoE-Schätzung resultieren hauptsächlich aus der Unsicherheit und den hohen Kosten der **ersten kommerziellen Anlagen (FOAK)**, bevor die Kosten durch Lerneffekte gesunken sind.
*   **Niedrige Verfügbarkeit:** Die Verfügbarkeit ist ein sehr wichtiger Faktor, der die Kosten in die Höhe treibt. Sie wird stark durch die **geringe Lebensdauer** (*lifetime*) von Materialien, insbesondere des **Blankets und des Divertors**, beeinflusst. Eine Blanket-Fluenz von weniger als $5 \text{MWa/m}^2$ wird als nicht ausreichend angesehen.
*   **Unzureichende Plasma-Performance:** Ein konservatives Design mit niedrigen Plasma-Parametern (z. B. $\beta_N=1.7$ anstelle von 3.4) würde **nicht optimal** sein, um wirtschaftlichen Strom zu produzieren.
**Ökonomische Herausforderungen:**
*   **Marktakzeptanz der frühen Generationen:** Die größte Schwierigkeit bei der Einführung in den Energiemarkt liegt bei den **frühen Generationen von Kraftwerken** (*early generations of power plants*), die noch nicht ihre Reife erreicht haben.
*   **Diskontsatz:** Ein ausreichend hoher Diskontsatz (z. B. 15 % real) kann den Net Present Value (NPV) des gesamten Fusionsentwicklungsprogramms stark reduzieren und das Interesse an langfristiger Energieentwicklung senken.</t>
  </si>
  <si>
    <t>Die Studie vergleicht die Kosten der Fusionsenergie sowohl in Bezug auf die direkten Stromgestehungskosten (CoE) als auch in Bezug auf die externen Kosten mit anderen Energietechnologien.
### 1. Vergleich der direkten Stromgestehungskosten (CoE)
Der Vergleich der direkten Kosten erfolgt mit **Windkraft** und **Solar-Photovoltaik (PV)**.
#### Ergebnis des CoE-Vergleichs:
*   **Konservativer Ansatz (ITER-Basis):** Ein Fusionskraftwerk, das auf konservativen Parametern des ITER-Designs basiert ($\beta_N$ von 1.7), würde voraussichtlich einen **Kostenvorteil gegenüber PV** haben. Die Kosten wären in diesem Fall **vergleichbar mit Windkraft**, vorausgesetzt, bei der Windkraft müssten **Speicherkosten** (*storage costs*) eingerechnet werden, um eine feste und zuverlässige Leistung zu liefern.
*   **Fortgeschrittener Ansatz ($\beta_N=3.4$):** Wenn die Fusionsanlage zu physikalischen Parametern voranschreiten kann, die in existierenden Experimenten bereits erreicht wurden ($\beta_N$ von 3.4), wären die Fusionskosten **vergleichbar mit Windkraft, selbst ohne die Berücksichtigung von Energiespeicherung** bei der Windkraft.
*   **Reife Fusionstechnologie (10th-of-a-kind):** Die PPCS-Studie kommt zu dem Schluss, dass eine ausgereifte Fusionstechnologie (*mature fusion technology*) Strom in einer Preisspanne von **3–7 D cents/(kW h)** liefern könnte. Diese Kosten haben eine **vernünftige Chance, auf einem zukünftigen Energiemarkt wettbewerbsfähig** zu sein.
#### Basis der Vergleichskosten (Historisch vs. Projektion):
Die Studie verwendet für den Vergleich eine **gemischte Basis** aus historischen Daten und zukunftsgerichteten Projektionen:
*   **Windkraft:** Die Kosten für Windkraft basieren auf **historischen Daten** (*historical data*), da die weltweite Kapazität der Windkraft zum Zeitpunkt der Studie bereits etwa 40 GW erreicht hatte und Windkraft somit bereits einen **Lernfaktor unter 0.5** durchlaufen hatte.
*   **Solar-PV und Fusion:** Die Kosten für PV und Fusion werden als **Projektionen** dargestellt, die gegen den **Lernfaktor** (*learning factor*) aufgetragen sind. Der Lernfaktor 1 wird dabei auf die ersten 1 GW Leistung in jedem Fall angewendet.
### 2. Vergleich der Externen Kosten
Die Studie bewertet die **externen Kosten** (*external costs*) der Fusion, also die nicht direkt vom Verbraucher getragenen Kosten (z. B. Auswirkungen auf Gesundheit, Umwelt, Unfälle) mithilfe der **ExternE-Methodik**.
#### Ergebnis des Vergleichs:
*   **Sehr niedrige externe Kosten:** Die Fusion liegt in der Gruppe der Energietechnologien mit **sehr niedrigen externen Kosten**. Dies ist primär darauf zurückzuführen, dass Fusion, zusammen mit den meisten erneuerbaren Energien, **keinen signifikanten Beitrag zur atmosphärischen Verschmutzung** leistet, was Treibhausgase und chemische Schadstoffe wie $\text{SO}_2$ und $\text{NO}_X$ einschließt.
*   **Konkrete Werte:** Die höchsten externen Kosten für die untersuchten Fusionskonzepte (PPCS-Modell A) lagen bei nur **0,09 D cents/(kW h)**, was im Vergleich zu konventionellen Technologien sehr niedrig ist.
#### Basis der Vergleichskosten (Historisch vs. Zukunftsgerichtet):
Die externen Kosten der Fusion wurden mit den externen Kosten anderer Energietechnologien verglichen, wobei hier **zukunftsgerichtete Projektionen** verwendet wurden:
*   Die externen Kosten anderer Technologien wurden unter Berücksichtigung der **technologischen Fortschritte** geschätzt, die in **50 Jahren** erreicht werden könnten. Dies schließt Fortschritte bei fossilen Technologien ein, wie beispielsweise die **Kohlenstoffabscheidung** (*carbon sequestration*).
*   Die großen externen Kosten von konventionellen Technologien wie **Kohlekraftwerken** werden hauptsächlich durch die atmosphärische Verschmutzung dominiert. Die Studie zeigt, dass Fusion in einem zukünftigen Energiemarkt, in dem **Umweltauflagen** (*environmental constraints*) zunehmend wichtiger werden, eine starke Position einnimmt.</t>
  </si>
  <si>
    <t>Or 10th-OAK
mature technology</t>
  </si>
  <si>
    <t>Die Studie, die zur Entwicklung des ARIES-RS-Designs führte, vergleicht die Kosten der Fusionsenergie nicht direkt mit den historischen Preisen konkurrierender Technologien, sondern mit **zukunftsgerichteten, wettbewerbsfähigen Zielen**.
Hier ist das detaillierte Ergebnis des Vergleichs:
### 1. Grundlage des Vergleichs: Zukunftsgerichtete Projektionen
Der Vergleich basiert auf **Zielvorgaben** (*targets*) für die Lebenszykluskosten des Stroms (Cost of Electricity, COE), die in Absprache mit Vertretern der US-Elektrizitätsversorger und der Industrie festgelegt wurden.
*   **Zukunftsorientierte Ziele:** Diese Ziele berücksichtigen **"Alternativen zur Fusion, die wahrscheinlich in der Zukunft existieren werden"**. Man erkennt dabei, dass Fusion in einen **"zunehmend wettbewerbsintensiven Markt"** eintreten wird.
*   **Wettbewerber:** Als konkurrierende Technologien werden beispielsweise **GuD-Anlagen (Combined-Cycle Fossil-Fuel Plants)** genannt, die sich ständig um höhere Effizienz bemühen.
*   **Zielsetzung:** Die Zielvorgaben dienten dazu, die **minimal notwendigen Merkmale** eines Fusionskraftwerks festzulegen, die zu dessen wahrscheinlicher Einführung in die US-amerikanische Stromversorgung führen würden.
### 2. Ergebnisse des Kostenvergleichs (Targets vs. ARIES-RS)
Es wurden zwei finanzielle Zielmarken festgelegt (in konstanten 1992 US-Dollar):
| Kategorie | Zielwert (mill kWh⁻¹) | Beschreibung |
| :--- | :--- | :--- |
| **Anforderung** (*Requirement*) | 80 | Minimal notwendiges wirtschaftliches Ziel. |
| **Ziel** (*Goal*) | 65 | Repräsentativ für den zukünftigen Wettbewerb. |
**Ergebnis der ARIES-RS-Analyse:**
*   Die Stromgestehungskosten (COE) für den ARIES-RS-Designpunkt wurden auf **75.79 mill kWh⁻¹** geschätzt.
*   **Erfolg:** Der ARIES-RS-Designpunkt kann die festgelegte **Anforderung von 80 mill (kWeh)⁻¹ erfüllen**.
*   **Defizit:** Der Entwurf **erreicht jedoch nicht das Ziel von 65 mill (kWeh)⁻¹**, welches als repräsentativ für den zukünftigen Wettbewerb angesehen wurde.
**Fazit:**
Obwohl der ARIES-RS-Entwurf die Mindestanforderungen der Versorger erfüllt, sind **"weitere Verbesserungen und Innovationen"** erforderlich, um vollständig mit dem erwarteten zukünftigen Wettbewerb **kostendeckend konkurrieren** zu können.</t>
  </si>
  <si>
    <t>Die folgenden Antworten beziehen sich auf die **ARIES-RS Tokamak Fusion Power Plant**-Studie, die in den bereitgestellten Quellen beschrieben wird.
---
### 1. Welche Modellannahmen werden getroffen?
Die ARIES-RS-Studie basiert auf einer Reihe von physikalischen, technologischen und ökonomischen Annahmen, die als **Top-Level-Systemanforderungen und -Ziele** durch umfangreiche Konsultationen mit US-Versorgern und Industrie festgelegt wurden.
**A. Physikalische und Betriebsannahmen:**
*   **Typ und Leistung:** Es handelt sich um ein **konzeptionelles, D-T-brennendes 1000 MWe Kraftwerk**.
*   **Betriebsmodus:** **Steady-State-Betrieb** mit **Reversed-Shear-Profil**.
*   **Plasma-Parameter:** Moderates Aspektverhältnis ($A=4.0$), geringer Plasmastrom ($I_p=11.32 \text{ MA}$), hoher Bootstrap-Stromanteil ($f_{BC}=0.88$). Der durchschnittliche toroidale Beta-Wert ($\beta$) ist mit **5%** hoch, wobei der Reaktor bei **90% des maximalen theoretischen $\beta$** arbeitet.
*   **Leistungsdichte:** Die Annahmen führen zu Leistungsdichten, die **nahe den praktischen Ingenieursgrenzen** liegen.
**B. Technologische und Ingenieursannahmen:**
*   **Strukturmaterialien:** **Vanadium-Legierung** für die Plasma-zugewandten Komponenten und als Strukturmaterial.
*   **Kühlmittel und Breeder:** **Natürliches Lithium** als primäres Kühlmittel und Breeder.
*   **Effizienz:** Die Netto-Anlageneffizienz wird mit **38%** angenommen, wobei eine Brutto-Wärmewandlungseffizienz von bis zu **46%** durch einen fortschrittlichen Rankine-Zyklus erwartet wird.
*   **Magnete:** Die TF-Spulen verwenden **$\text{Nb}_3\text{Sn}$ und $\text{NbTi}$-Leiter** mit 316SS-Strukturen und arbeiten an einer Designgrenze von $\approx 16 \text{ T}$ am Leiter.
### 2. Welche Modell- und Kostenannahmen basieren auf tatsächlichen Erfahrungswerten und welche nur Schätzungen oder Prognosen? Welche Annahmen stammen woher?
Die Studie kombiniert empirische Daten und Extrapolationen:
| Annahme | Basis / Herkunft | Klassifikation |
| :--- | :--- | :--- |
| **Systemziele** | Etabliert durch **umfangreiche Konsultationen mit US-Elektrizitätsversorgern und Industrie**. | Erfahrungswerte (Bedürfnisse des Marktes) |
| **Kosten** | Basierend auf den **best estimates for all elements of the cost breakdown** (beste Schätzungen für alle Elemente der Kostenaufschlüsselung). | Schätzung/Prognose |
| **Hohes $\beta$** | Der Betrieb bei hohem $\beta$ wird durch die **Existenz von experimentellen Daten** von TFTR, DIII-D und JT60-U gestützt, die transient verbesserte MHD-Stabilität zeigten. | Erfahrungswerte / Extrapolation |
| **Materialwahl** | Die Materialklassen (ferritischer Stahl, Vanadium, SiC/SiC) sind die **einzigen bekannten brauchbaren Kandidaten** aus früheren Studien. | Erfahrungswerte / Validierung |
| **Glaubwürdigkeit** | Extrapolationen von Physik und Technologie wurden versucht, **über glaubwürdige Grenzen hinaus zu vermeiden**. | Modellierungsrahmen |
| **Dauerbetrieb** | Die **vollständige Demonstration** aller vorteilhaften Reversed-Shear-Eigenschaften **im Steady State** ist in derzeitigen experimentellen Anlagen **nicht möglich**. | Prognose (Nicht durch heutige Geräte belegt) |
### 3. Falls externe Quellen für die Modell- und Kostenannahmen verwendet wurden – wurden diese modifiziert? Falls ja, wie?
Die Top-Level-Systemanforderungen wurden in Absprache mit externen Beratern **speziell für das Projekt gerahmt**, um die minimal notwendigen Merkmale eines Fusionskraftwerks für die Einführung in die US-Stromversorgung festzulegen.
Modifikationen und Abwägungen wurden in den Designs vorgenommen:
*   **Materialien zur Kostenreduktion:** Obwohl Vanadium gewählt wurde, wurde **Stahl** an Orten eingesetzt, an denen es die Sicherheit oder Leistung nicht beeinträchtigte, insbesondere in der **Abschirmung**, da Vanadium teurer ist.
*   **Wärmenutzung:** Die Abschirmung wurde in Hoch- und Tieftemperaturzonen **segmentiert**, um 99% der nutzbaren Wärme für die Energieumwandlung zu speichern.
*   **Magnet-Design:** Die TF-Spulen wurden von einer konstanten Spannungsform **neu geformt** und die Intercoil-Strukturen verschoben, um die großen Öffnungen für die Wartung des gesamten Sektors zu ermöglichen.
### 4. Wie lautet die Annahme zu Lernraten?
Die bereitgestellten Quellen zur ARIES-RS-Studie **enthalten keine expliziten Angaben oder Annahmen zu Lernraten** oder Lernfaktoren. Die ökonomische Analyse konzentriert sich auf die Erreichung **fixer Kostenziele** für die Lebenszykluskosten des Stroms (COE).
### 5. Wie wurden die Annahmen zu den Lernraten hergeleitet bzw. von wo stammen diese Annahmen?
Da die Quelle **keine Annahmen zu Lernraten** verwendet (siehe Antwort 4), kann nicht angegeben werden, wie diese hergeleitet wurden. Die Kostenziele (80 und 65 mill $\text{kWh}^{-1}$) wurden durch **Konsultationen** mit dem Utility Advisory Committee festgelegt.
### 6. Wird offengelegt, ob die Kostenabschätzung auf einem Bottom-up-, Top-down- oder hybriden Ansatz basiert?
Die Studie verwendete einen **kostenbasierten Systemcode** (*cost-based systems code*).
Die Methodik ist **hybrider Natur**:
*   Sie begann mit **Top-Level-Systemanforderungen und -Zielen** (Top-Down-Ziele, z. B. 80 mill $\text{kWh}^{-1}$).
*   Sie nutzte dann detaillierte **Physik- und Ingenieursanalysen** und den Systemcode, um Optimierungsstudien durchzuführen und die Kosten aller Elemente der Kostenaufschlüsselung (*cost breakdown*) zu schätzen.
### 7. Beruht die Kostenherleitung auf physikalischen und technologischen Werten?
**Ja**. Die Kostenherleitung beruht auf den physikalischen und technologischen Werten des Designs:
*   Die ARIES-RS-Studie wurde eingeleitet, um eine Anlage zu untersuchen, die einen **hochleistungsfähigen Fusionskern** (*high-performance fusion core*) nutzt, der eine notwendige Zutat für **ökonomisch attraktive** Fusionskraftwerke ist.
*   Die Schätzung der COE ($75.79 \text{ mill kWh}^{-1}$) basiert auf detaillierten Physik- und Ingenieursanalysen, einschließlich der hohen Leistungsdichte (5% $\beta$), der Effizienz (38% Netto-Effizienz) und der Materialwahl.
*   Es wurden **Design-Sicherheitsfaktoren** auf Schlüsselparameter wie die Plasma-Beta-Grenze und Spitzenbelastungen in den Strukturen angewandt.
### 8. Werden Materialkosten und Komponentenkosten separat ausgewiesen?
Die Quellen legen offen, dass **einzelne Komponenten** (z. B. Magnetsysteme) und **Materialien** (Vanadium vs. Stahl) die Kapitalkosten dominieren.
Es wird jedoch **keine numerische separate Aufschlüsselung** der Material- oder Komponentenkosten in den bereitgestellten Auszügen angegeben. Die einzige angegebene Kostenkennzahl ist die Gesamtkosten des Stroms (COE).
### 9. Bezieht sich die Studie auf ein Energiesystem (z.B. Integration, Vergleich mit anderen Technologien) oder ist sie rein bezogen auf die Kosten des Kraftwerks und des Reaktors?
Die Studie bezieht sich **auf das zukünftige Energiesystem** und den Wettbewerb:
*   **Wettbewerb:** Die Ziele wurden festgelegt, um zu gewährleisten, dass Fusion mit **Alternativen, die wahrscheinlich in der Zukunft existieren werden** (wie effizientere GuD-Anlagen), konkurrieren kann.
*   **Markteinführung:** Die Anforderungen sollten die minimalen Merkmale festlegen, die zur **wahrscheinlichen Einführung** des Fusionskraftwerks in die **US-amerikanische Stromversorgung** führen würden.
*   **Sicherheit und Regulierung:** Top-Prioritäten sind die Erfüllung der **Klasse C-Entsorgungsrichtlinien** für Abfälle und die Begrenzung von Unfallrisiken, um **keine Evakuierung von Off-Site-Personal** zu erfordern.
### 10. Welche Kostenreduktionspotenziale oder wirtschaftlichen Optimierungsansätze werden thematisiert?
Optimierungen wurden in das Design integriert, um die Kapitalkosten zu senken und die Leistung zu erhöhen:
*   **Leistungssteigerung:** Erreichung einer **hohen Leistungsdichte** und **hoher thermischer Wandlungseffizienz** (46%).
*   **Materialsubstitution:** Verwendung von **kostengünstigerem Stahl** in Shield-Bereichen, wo keine Leistung oder Sicherheit geopfert wird, da Vanadium teurer ist.
*   **Effiziente Wärmeauskopplung:** **Segmentierung der Abschirmung** in Hoch- und Tieftemperaturzonen, um **99%** der nutzbaren Wärme für die Stromwandlung zu erhalten.
*   **Magnetoptimierung:** Einsatz von **Superleiter-Gradierung** und Begrenzung der Verwendung des teureren $\text{Nb}_3\text{Sn}$ auf Hochfeldregionen.
*   **Verfügbarkeit:** Implementierung eines **radialen Wartungsschemas** (Entfernung ganzer Sektoren) in einer einzigen horizontalen Bewegung, um die **Anlagenverfügbarkeit** zu maximieren.
### 11. Was sind die signifikantesten Kostentreiber und ökonomischen Herausforderungen laut Studie?
**A. Kostentreiber:**
*   **Magnetsysteme:** Die **Magnetsysteme** sind der **größte Einzelbeiträger zu den Kapitalkosten** (*single largest contributor to the capital cost*) des Fusionsleistungskerns.
*   **Materialien:** **Vanadium ist erheblich teurer** als Stahllegierungen.
*   **Divertor/Hochwärmeflusskomponenten:** Diese Komponenten stellen ein schwieriges Problem dar, da sie **hohe Leistung, lange Lebensdauer, Wartbarkeit und Sicherheit** gleichzeitig erfüllen müssen.
**B. Ökonomische Herausforderungen:**
*   **Wettbewerbsziel verfehlt:** Der ARIES-RS-Entwurf kann zwar die **Mindestanforderung** von 80 mill $\text{kWh}^{-1}$ erfüllen, **erreicht jedoch nicht das Wettbewerbsziel von 65 mill $\text{kWh}^{-1}$**.
*   **Innovationsbedarf:** Selbst mit optimistischen Annahmen bleiben die **Kostenwettbewerbsfähigkeit und die Zuverlässigkeit** (*cost competitiveness and reliability*) von Tokamak-basierten Kraftwerken **Quellen großer Besorgnis** (*sources of major concern*), die **weitere Innovationen** erfordern.
*   **Technologische Lücken:** Die **Entwicklung und Qualifizierung von Low-Activation-Materialien** bleibt das **Schlüsselproblem** (*key issue*).</t>
  </si>
  <si>
    <t>Die folgenden Antworten beziehen sich auf die **ARIES-CS Compact Stellarator Fusion Power Plant**-Studie, die darauf abzielt, kompakte Stellarator-Konfigurationen zu untersuchen, die in Größe und Kosten mit fortgeschrittenen Tokamak-Kraftwerken vergleichbar sind.
---
### 1. Welche Modellannahmen werden getroffen?
Die Modellannahmen umfassen physikalische Parameter, technologische Entscheidungen und ökonomische Rahmenbedingungen:
*   **Typ und Ziel:** Die Studie untersucht ein konzeptionelles **1-GW(electric)** Fusionskraftwerk (FPP) basierend auf einer **kompakten Stellarator-Konfiguration (ARIES-CS)**. Der Stellarator ist inhärent **Steady State** und robust gegen Plasmainstabilitäten wie externe Kink-Moden und Plasma-Disruptionen.
*   **Design-Strategie:** Als Referenzdesignpunkt wurde der **Minimum-COE-Punkt** gewählt, um den Designraum und die technischen Beschränkungen zu erkunden.
*   **Größe:** Der Major Radius der Anlage wird mit $\langle R_{axis} \rangle = 7,75 \text{ m}$ und der Minor Radius mit $\langle a \rangle = 1,70 \text{ m}$ angenommen.
*   **Plasma-Physik (Optimistische Extrapolation):**
    *   **Plasma Beta ($\beta$):** Der Referenzentwurf geht von einem Plasma-Beta-Wert von **6,5%** aus, was **60% größer** ist als der von der linearen MHD-Stabilitätstheorie vorhergesagte Grenzwert von 4%.
    *   **Confinement:** Die Energieeinschlusszeit ($H$) wird als ein Faktor von **2** höher angenommen als durch die weit verbreitete ISS95-Skalierung vorhergesagt.
    *   **Alpha-Verlust:** Die Alpha-Teilchen-Verlustfraktion wird auf $\approx **5\%**$ reduziert.
*   **Betrieb und Leistung:** Die Fusion Power beträgt 2440 MW, die Thermal Power 2920 MW.
*   **Effizienz und Verfügbarkeit:** Eine Netto-Thermal Conversion Efficiency von **43%** wird angenommen. Die **Anlagenverfügbarkeit** wird mit **85%** angenommen (ähnlich wie bei ARIES-AT).
*   **Kerntechnologie:** Es wird ein **Dual-Coolant-Blanket**-Konzept mit selbstgekühltem **Pb-17Li** und He-gekühltem **Reduced-Activation Ferritic Steel (RAFS)** als Strukturmaterial verwendet. Die TF-Spulen sind auf ein maximales Feld von $\approx 15 \text{ T}$ ausgelegt und benötigen **$\text{Nb}_3\text{Sn}$ Supraleiter**.
*   **Wartung:** Es wird ein **Port-basiertes Wartungsschema** angenommen.
### 2. Welche Modell- und Kostenannahmen basieren auf tatsächlichen Erfahrungswerten und welche nur Schätzungen oder Prognosen? Welche Annahmen stammen woher?
Die Studie kombiniert empirische Erkenntnisse aus existierenden Experimenten und ingenieurwissenschaftliche Prognosen:
| Annahme | Basis / Herkunft | Klassifikation |
| :--- | :--- | :--- |
| **Systemrahmen** | Die Forschungsziele und R&amp;D-Bereiche werden auf Grundlage des etablierten **wirtschaftlichen, Sicherheits- und Umweltpotenzials** von Fusionskraftwerken definiert. | Strategische Ziele |
| **Plasma- $\beta$** | Die Annahme eines $\beta$-Werts von 6,5% stützt sich auf **experimentelle Ergebnisse** von Stellaratoren wie **W7-AS und LHD**, die bei $\beta$-Werten operierten, die **wesentlich größer** waren als die Vorhersagen der linearen MHD-Theorie. | Erfahrungswert / Extrapolation |
| **Energieeinschluss** | Die Annahme des H-Faktors ($H=2$) basiert auf der **ISS95-Skalierung**, wobei experimentelle Daten von **W7-AS und LHD** H-Werte bis zu **2,5** zeigten. | Erfahrungswert / Extrapolation |
| **Plasma-Konfiguration** | Die ARIES-CS-Konfigurationen wurden vom **NCSX-Gleichgewicht** abgeleitet und weiterentwickelt. | Externe Quelle (NCSX) / Modifikation |
| **Kosten** | Die Kostenabschätzung basiert auf den **"best estimates for all elements of the cost breakdown"**. | Schätzung/Prognose |
| **Magnetmaterial** | Die Verwendung von $\text{Nb}_3\text{Sn}$ bei Feldern bis zu 16 T ist notwendig. | Technologische Anforderung |
| **Unterschätzung der Komplexität** | Die Annahme, dass **keine zusätzlichen Kostenstrafen** für die Herstellung unregelmäßig geformter Komponenten anfallen, beruht auf der **Annahme** zukünftiger, hochautomatisierter **fortschrittlicher Fertigungstechniken**. | Prognose |
| **Sekundäre Spulen** | Die Stromkapazität von Poloidal-Feld (PF) und Trim-Spulen wurde durch **Skalierung** relevanter **NCSX-Analysen** geschätzt, da detaillierte Analysen fehlten. | Externe Quelle (NCSX) / Skalierung |
### 3. Falls externe Quellen für die Modell- und Kostenannahmen verwendet wurden – wurden diese modifiziert? Falls ja, wie?
Ja, externe Konfigurationen und Annahmen wurden modifiziert:
*   **Alpha-Partikel-Verlust (NCSX-Modifikation):** Die ARIES-CS-Konfigurationen entwickelten sich aus dem **NCSX-Gleichgewicht**. Die NCSX-Konfiguration hatte das kritische Problem eines hohen Alpha-Partikel-Verlustes. ARIES-CS modifizierte die Konfiguration, indem ein **Bias in den Spiegel- und Helikal-Termen** des magnetischen Spektrums eingeführt wurde, um den Alpha-Partikel-Verlust auf $\approx 5\%$ zu reduzieren.
*   **Kosten-Penalty:** Die Studie traf die Annahme, **keine Kostenstrafe** (*cost penalty*) für die Komplexität der Herstellung unregelmäßig geformter Komponenten anzusetzen, aufgrund der Erwartung, dass **fortschrittliche Fertigungstechniken** diese Mehrkosten minimieren würden.
*   **Geometrie-Reduktion:** Ein **innovativer Ansatz** wurde entwickelt, um die in früheren Studien beobachtete große Distanz zwischen Plasma und Spulen ($D_{min}$) zu reduzieren. Dies wurde durch die Entwicklung eines **nicht-uniformen, sich verjüngenden Blankets** und die Verwendung eines **hoch-effizienten Wolframkarbid (WC)-basierten Shields** in raumkritischen Regionen erreicht. Ohne diese Modifikation hätte die Anlage einen Major Radius von über 10 m haben müssen, anstelle der erreichten 7,75 m.
*   **Spulen-Design:** Das Design der Superleiterspulen wurde **modifiziert**, um die Beanspruchung gering zu halten, was die **Entwicklung anorganischer Isolatoren** erfordert, da die unregelmäßige Form die konventionelle "Wind-and-React"-Methode mit organischen Isolatoren unmöglich macht.
### 4. Wie lautet die Annahme zu Lernraten?
Die bereitgestellten Quellen zur ARIES-CS-Studie **enthalten keine explizite Annahme zu Lernraten** oder Lernfaktoren. Die ökonomische Analyse konzentriert sich auf die Berechnung der direkten COE ($7,76 \text{ ¢/kWh}$) auf der Basis der besten Schätzungen für alle Komponenten.
### 5. Wie wurden die Annahmen zu den Lernraten hergeleitet bzw. von wo stammen diese Annahmen?
Da die Quelle keine Annahmen zu Lernraten verwendet (siehe Antwort 4), kann keine Aussage über deren Herleitung getroffen werden.
### 6. Wird offengelegt, ob die Kostenabschätzung auf einem Bottom-up-, Top-down- oder hybriden Ansatz basiert?
Die Kostenabschätzung basiert auf einem **hybriden Ansatz**, der sowohl Top-Down-Zielvorgaben als auch Bottom-Up-Analysen verwendet:
*   **Top-Down-Ziele:** Das Design wurde durch die Top-Level-Anforderungen getrieben, die darauf abzielten, dass Stellarator-Kraftwerke **kostenmäßig mit fortgeschrittenen Tokamaks vergleichbar** sind. Ziel war der **Minimum-COE-Punkt**.
*   **Bottom-Up-Analyse:** Das ARIES-Team führt **detaillierte Physik- und Ingenieursanalysen** durch und nutzt die Ergebnisse zur **Optimierung und Trade-Off-Studien** über einen **kostenbasierten Systemcode**. Die Kosten der verschiedenen Komponenten (*Account Title*) werden detailliert in Tabelle II aufgeschlüsselt, was auf eine detaillierte Bottom-Up-Analyse hindeutet.
### 7. Beruht die Kostenherleitung auf physikalischen und technologischen Werten?
**Ja.** Die Kostenherleitung beruht direkt auf den physikalischen und technologischen Werten des optimierten Designs:
*   **Direkte Skalierung:** Die Größe der Anlage und damit die Kosten skalieren direkt mit physikalischen Parametern. Wenn der angenommene **hohe $\beta$-Wert (6,5%)** nicht erreicht wird und auf 4% begrenzt werden muss, müsste der Major Radius auf $\approx 8,25 \text{ m}$ erhöht werden, was zu einer **7%igen Strafe bei der COE** führt.
*   **Materialleistung:** Die Notwendigkeit, eine Neutronenwandlast von 2,6 $\text{MW/m}^2$ (durchschnittlich) und eine Spitzenlast von 5,4 $\text{MW/m}^2$ zu bewältigen, erfordert spezifische Materialeigenschaften, die die technologischen Herausforderungen und somit die Kosten der Komponenten bestimmen.
### 8. Werden Materialkosten und Komponentenkosten separat ausgewiesen?
**Komponentenkosten** werden in der Kostenaufschlüsselung (Tabelle II) detailliert nach **Account Number** ausgewiesen:
*   **Reaktorausrüstung (Account 22):** 1538,9 Mio. $
*   **Magnetsysteme (Account 22.1.3):** 222,9 Mio. $
*   **First Wall/Blanket/Reflektor (Account 22.1.1):** 59,4 Mio. $
*   **Shield (Account 22.1.2):** 228,6 Mio. $
**Materialkosten** werden nicht separat nach Rohmaterialien aufgeschlüsselt, jedoch existiert ein eigener Account für **"Special materials" (Account 27)**, der mit **151,3 Mio. $** veranschlagt ist. Die Studie betont, dass die meisten Kosten auf den **Herstellungsprozess** zurückzuführen sind und nicht auf die Rohmaterialien.
### 9. Bezieht sich die Studie auf ein Energiesystem (z. B. Integration, Vergleich mit anderen Technologien) oder ist sie rein bezogen auf die Kosten des Kraftwerks und des Reaktors?
Die Studie bezieht sich primär auf die **technische und ökonomische Machbarkeit des Stellarator-Kraftwerks und des Reaktors**, berücksichtigt jedoch die Anforderungen des zukünftigen Energiesystems in Bezug auf Sicherheit, Umweltverträglichkeit und Wettbewerbsfähigkeit:
*   **Ziele:** Die ARIES-Forschung zielt darauf ab, das **wirtschaftliche, Sicherheits- und Umweltpotenzial** der Fusionsenergie zu bestimmen.
*   **Sicherheit und Umwelt:** Die Sicherheitsanalyse stellt sicher, dass **kein Evakuierungsplan** für das Gelände erforderlich ist. Die internen Komponenten sollen zur Entsorgung in **Low-Level Waste Repositories** geeignet sein.
*   **Wettbewerb:** Die Studie vergleicht die Kosten nicht direkt mit Konkurrenztechnologien (wie in der vorherigen ARIES-RS-Studie), sondern versucht, die **Größe und die Kostenprojizierungen vergleichbar** mit fortgeschrittenen Tokamak-Varianten zu machen.
### 10. Welche Kostenreduktionspotenziale oder wirtschaftlichen Optimierungsansätze werden thematisiert?
Die Studie verfolgte mehrere Ansätze, um die Größe und die Kosten zu reduzieren:
*   **Reduzierung der Größe:** Dies war das **erste Hauptziel** der Studie. Die Kosten des Stroms (COE) sinken erheblich, wenn die Maschinengröße reduziert wird. Die Größe wurde durch die Entwicklung von Konfigurationen mit **niedrigeren Aspektverhältnissen** und der Optimierung der Plasma-Spulen-Distanz ($D_{min}$) reduziert.
*   **Physik-Performance:** Die Annahme eines **hohen Plasma-Beta-Werts (6,5%)** ist ein entscheidender Optimierungsansatz, da eine geringere Performance (z. B. $\beta=4\%$) die COE um 7% erhöhen würde.
*   **Materialien und Aufbau:** Reduzierung des erforderlichen Mindestabstands ($D_{min}$) durch ein **spezialisiertes Wolframkarbid (WC)-basiertes Shield** und ein **verjüngtes Blanket** in kritischen Bereichen, um den Hauptradius zu minimieren.
*   **Wartung:** Die Auswahl des **Port-basierten Wartungsschemas** wurde gewählt, um die Verfügbarkeit zu maximieren, obwohl es komplex ist.
*   **Fertigung:** Die Annahme der Verwendung **fortschrittlicher Fertigungstechniken** soll zusätzliche Kostenstrafen für die irregulären, komplexen Komponenten vermeiden.
### 11. Was sind die signifikantesten Kostentreiber und ökonomischen Herausforderungen laut Studie?
**Signifikante Kostentreiber:**
*   **Magnet-Komplexität:** Die **Magnetsysteme** sind inhärent komplex und die Kosten sind hoch. Das irreguläre Design der Spulen erfordert **$\text{Nb}_3\text{Sn}$-Supraleiter** (teuer) und die Entwicklung **anorganischer Isolatoren**.
*   **Komplexe Geometrie:** Die **komplexe Form und Geometrie** der Stellarator-Fusionskernkomponenten führt zu strengen Einschränkungen und potenziellen **Mehrkosten in der Fertigung**.
*   **Peaking Factors:** Die **großen Spitzenfaktoren** (*peaking factors*) der Neutronenwandlast ($\approx 2$) und des Wärmeflusses sind deutlich höher als bei Tokamaks. Dies hat einen dramatischen Einfluss auf das Engineering-Design und führt zu **geringerer Leistung** (z. B. kürzere Strahlungslebensdauer) für Komponenten, die den Spitzenbelastungen standhalten müssen.
**Ökonomische Herausforderungen:**
*   **Ungewisse Beta-Grenze:** Die Annahme eines hohen $\beta$-Werts von 6,5% ist **kritisch**. Die **Nicht-Erfüllung dieser physikalischen Annahme** würde eine 7%ige COE-Strafe bedeuten.
*   **Divertor-Wärmelast:** Die Spitzenwärmelast auf den Divertorplatten (geschätzt auf $\approx 18 \text{ MW/m}^2$) **übersteigt den Konstruktionsgrenzwert** von $10 \text{ MW/m}^2$, was bedeutet, dass weiteres Engineering erforderlich ist, um die Spitzenbelastung auf ein akzeptables Niveau zu reduzieren.
*   **Wartungsaufwand:** Das portbasierte Wartungsschema ist **kompliziert und zeitaufwendig**, was die **Anlagenverfügbarkeit** beeinflussen könnte (obwohl in der Kostenkalkulation optimistische 85% angenommen werden).
*   **Kosten-Validierung:** Die fehlende industrielle Anleitung bezüglich der Machbarkeit und der **Kostenstrafen** für die Herstellung unregelmäßig geformter Komponenten ist eine Herausforderung. Dies hat die **vollständige Optimierung** des Designs behindert.</t>
  </si>
  <si>
    <t>Die vorliegenden Quellen zur **ARIES-CS Compact Stellarator Fusion Power Plant**-Studie enthalten **keinen direkten numerischen Vergleich** der Stromgestehungskosten (Cost of Electricity, COE) mit spezifischen konkurrierenden Energieerzeugungstechnologien wie Wind, Solar oder fossilen Brennstoffen.
Stattdessen werden die Kosten der ARIES-CS-Anlage in einen **strategischen Kontext** gestellt und mit den Projektionen für andere **fortschrittliche Fusionskonzepte** verglichen, um die Wettbewerbsfähigkeit zu beurteilen:
### 1. Ergebnis des Vergleichs
Das erste Hauptziel der ARIES-CS-Forschung bestand darin, zu untersuchen, ob Stellarator-Kraftwerke in Größe und Masse mit **fortschrittlichen Tokamak-Varianten** (*advanced tokamak variants*) **vergleichbar** gemacht werden können. Frühere Stellarator-Studien hatten Kostenprognosen, die **wesentlich höher** waren als die von fortschrittlichen Tokamak-Kraftwerken.
*   **Vergleichsbasis (Tokamak):** Die ARIES-CS-Konfigurationen wurden so optimiert, dass ihre projizierten Kosten ($7,76 \text{ ¢/kWh}$) und ihre Größe ($R \approx 7,75 \text{ m}$) mit fortgeschrittenen Tokamak-Studien wie **ARIES-RS** und **ARIES-AT**, die einen Major Radius von $R \approx 5,5 \text{ m}$ haben, vergleichbar sind.
*   **Wirtschaftliche Relevanz:** Die Gesamtstudie zielt darauf ab, das **wirtschaftliche, Sicherheits- und Umweltpotenzial** von Fusionskraftwerken zu bestimmen und die Forschungsbereiche mit dem höchsten Hebel zur Erreichung **attraktiver und wettbewerbsfähiger Fusionsenergie** zu identifizieren.
### 2. Basis der Vergleichskosten (Historisch vs. Zukunftsgerichtet)
Die Kosten der ARIES-CS-Anlage werden auf der Basis **zukunftsgerichteter Prognosen** und **Bestschätzungen** berechnet:
*   **Prognosen für die Kosten:** Die COE der ARIES-CS-Anlage ($7,76 \text{ ¢/kWh}$) basiert auf den **besten Schätzungen** (*best estimates*) für alle Elemente der Kostenaufschlüsselung.
*   **Keine Lernraten:** Es werden keine Annahmen zu Lernraten (*learning rates*) getroffen.
*   **Potenzielle Wettbewerbsfähigkeit:** Obwohl die Studie keine direkten Zahlen für Nicht-Fusions-Technologien enthält, stellt sie fest, dass bei der **Quervergleichung mit anderen Fusionskonzepten und/oder anderen Energiequellen** Vorsicht geboten ist.
*   **Betonung der Sicherheit:** Die ARIES-Forschung zielt darauf ab, Fusionsenergie als wettbewerbsfähig zu etablieren, indem sie hohe Standards in den Bereichen **Sicherheit und Umwelt** erfüllt (z. B. keine Notwendigkeit eines Evakuierungsplans und Eignung zur Entsorgung in *low-level waste repositories*). Dies ist ein wesentlicher Aspekt des zukünftigen Wettbewerbs.oder anderen Energiequellen** Vorsicht geboten ist.
*   **Betonung der Sicherheit:** Die ARIES-Forschung zielt darauf ab, Fusionsenergie als wettbewerbsfähig zu etablieren, indem sie hohe Standards in den Bereichen **Sicherheit und Umwelt** erfüllt (z. B. keine Notwendigkeit eines Evakuierungsplans und Eignung zur Entsorgung in *low-level waste repositories*). Dies ist ein wesentlicher Aspekt des zukünftigen Wettbewerbs.</t>
  </si>
  <si>
    <t>Die Antwort basiert auf den Informationen der **ARIES-AT Advanced Tokamak**-Studie.
### 1. Ergebnis des Kostenvergleichs
Die **Stromgestehungskosten (Cost of Electricity, COE)** des ARIES-AT-Entwurfs wurden auf **4,7 ¢/kWh** geschätzt.
Das Ergebnis des Vergleichs mit anderen Energiequellen ist, dass dieser Wert als **wettbewerbsfähig** angesehen wird:
*   Die COE von **4,7 ¢/kWh** wird als **"wettbewerbsfähig mit jenen, die für andere Energiequellen prognostiziert werden"** (*competitive with those projected for other sources of energy*) betrachtet.
*   Die ARIES-AT-Kosten sind die **"geringsten aller Studien zu modernen Fusionskraftwerken"** (*smallest of modern fusion power plant studies*).
### 2. Basis des Vergleichs: Zukunftsgerichtete Projektionen
Der Vergleich basiert auf **zukunftsgerichteten Projektionen** (*projected*), nicht auf aktuellen oder historischen Werten.
*   Die ARIES-Forschung zielt darauf ab, das wirtschaftliche Potenzial der Fusionskraftwerke zu etablieren und die Bereiche mit dem größten Hebel zur Erreichung **attraktiver und wettbewerbsfähiger Fusionsenergie** zu identifizieren.
*   Die **Top-Level-Ziele und -Anforderungen** für Fusionsenergie wurden in Zusammenarbeit mit Vertretern der US-Elektrizitätsversorger und der Industrie entwickelt. Diese Ziele wurden quantitativ formuliert, um die **minimal notwendigen Merkmale** eines Fusionskraftwerks festzulegen, die zu dessen wahrscheinlicher Einführung in den zukünftigen US- und weltweiten Strommarkt führen würden.
*   Der Vergleich findet also mit den **erwarteten Kosten der Konkurrenztechnologien der Zukunft** statt.
Die Studie legt dar, dass die ARIES-AT-Anlage diese Top-Level-Ziele erreicht, insbesondere in Bezug auf die Kosten, die Sicherheit und die Umweltverträglichkeit. Die Kombination von fortgeschrittenen Tokamak-Modi und fortschrittlicher Technologie hat zu einem attraktiven Fusionskraftwerk mit der COE von 4,7 ¢/kWh geführt.</t>
  </si>
  <si>
    <t>Dies ist eine detaillierte Beantwortung Ihrer Fragen, die sich ausschließlich auf die bereitgestellte ARIES-AT-Studie (The ARIES-AT advanced tokamak, Advanced technology fusion power plant) stützt.
---
### 1. Welche Modellannahmen werden getroffen?
Die Modellannahmen der ARIES-AT-Studie umfassen physikalische, technologische und betriebswirtschaftliche Parameter:
*   **Typ und Leistung:** Es handelt sich um ein konzeptionelles Tokamak-Fusionskraftwerk mit einer Netto-Leistung von **1000 MWe**.
*   **Physik-Basis:** Die Anlage nutzt einen **Reversed-Shear-Plasma-Modus**, der hohe $\beta$-Werte und große Bootstrap-Strom-Fraktionen ermöglicht.
*   **Plasma-Parameter:** Ein toroidal $\beta$ von **9,2%** ($\beta_N = 5,4$) und ein **hoher Bootstrap-Stromanteil** von **91%** werden angenommen.
*   **Größe:** Der Major Radius beträgt **5,2 m** und der Minor Radius **1,3 m**.
*   **Betrieb:** **Dauerbetrieb** (*steady-state operation*). Die Anlage arbeitet bei **90% des maximalen theoretischen $\beta$-Grenzwerts**.
*   **Technologie:**
    *   **Strukturmaterial:** **SiC-Komposit** für die Erste Wand und das Blanket, gewählt wegen der hohen Temperaturbeständigkeit und der geringen induzierten Aktivierung.
    *   **Kühlung/Breeder:** Ein einfacher, **Niederdruck-Blanket-Entwurf** mit **Pb–17Li** als Brut- und Kühlmittel.
    *   **Effizienz:** Eine hohe **thermische Umwandlungseffizienz von $\sim 59\%$** durch einen fortschrittlichen Brayton-Leistungszyklus wird angenommen.
    *   **Magnete:** High-Temperature Superconductors (HTS) wurden als Basislinie betrachtet, obwohl $\text{Nb}_3\text{Sn}$-Supraleiter ebenfalls machbar wären, da der optimierte Entwurf nur ein maximales Feld von 11 T benötigt.
*   **Verfügbarkeit:** Eine Anlagenverfügbarkeit von **85%** wurde für die Kostenberechnung verwendet.
### 2. Welche Modell- und Kostenannahmen basieren auf tatsächlichen Erfahrungswerten und welche nur Schätzungen oder Prognosen? Welche Annahmen stammen woher?
| Annahme | Basis / Herkunft | Klassifikation |
| :--- | :--- | :--- |
| **Top-Level-Ziele** | **Entwickelt in Zusammenarbeit mit Vertretern** der US-Elektrizitätsversorger und der Industrie. | Erfahrungswerte / Marktanforderungen |
| **Physik-Basis (Reversed-Shear)** | Die Vorteile des Modus sind durch **umfangreiche theoretische und experimentelle Studien** seit der ARIES-RS-Studie besser belegt. | Erfahrungswerte / Extrapolation |
| **Kosten (COE)** | **4,7 ¢/kWh** ist ein Wert, der **projiziert** (*projected*) wurde und auf den **besten Schätzungen** (*best estimates*) für alle Elemente der Kostenaufschlüsselung basiert. | Schätzung/Prognose |
| **Material (SiC)** | Die Annahme der Verwendung von SiC ist eine **technologische Prognose**, die noch **umfangreiche Entwicklungsarbeit** (*large amount of development is still needed*) erfordert, obwohl Fortschritte in den letzten 10 Jahren erzielt wurden. | Prognose |
| **Wartung** | Die Wartungsanalyse (*sector removal maintenance scenario*) ist ein **detailliertes Modell** der Wartungsabläufe. | Modellierung / Prognose |
### 3. Falls externe Quellen für die Modell- und Kostenannahmen verwendet wurden – wurden diese modifiziert? Falls ja, wie?
Ja, externe Konzepte und physikalische Basen wurden übernommen und modifiziert:
*   **Physik-Basis (ARIES-RS):** ARIES-AT verwendet die gleiche Reversed-Shear-Basis wie ARIES-RS. Es wurde jedoch versucht, den Bedarf an nicht-induktivem Stromantrieb im mittleren Plasma zu eliminieren, indem die Plasmaprofile optimiert wurden. Dies reduzierte die erforderliche Stromantriebsleistung um einen Faktor von $\sim 2$.
*   **Blanket-Design (ARIES-ST/I):** Das ARIES-AT-Blanket ist eine Weiterentwicklung des SiC-Konzepts von ARIES-I. Es löste die Nachteile des ARIES-I-Konzepts durch die Übernahme der Innovation von ARIES-ST (Hochtemperatur-Kühlmittel/Niedertemperatur-Struktur) und die Vereinfachung des Designs durch die Verwendung von **nur Pb–17Li** anstelle von zwei Kühlmitteln (He und Pb-17Li).
*   **Plasma-Elongation:** Die Plasmaprofil-Optimierung wurde so modifiziert, dass die Plasmagrenzen mit der **99%-Flussfläche** des Free-Boundary-Gleichgewichts zusammenfallen. Dies führte zu einer **stärkeren Plasmaformung** und einer Erhöhung des Plasma $\beta$ auf 9,2%.
*   **HTS-Materialien:** Es wird die Annahme getroffen, dass es möglich sein wird, **relativ dicke HTS-Filme** ($\sim 20\text{–}30 \text{ µm}$) mit einer Leistung herzustellen, die der derzeit bei dünneren Filmen beobachteten ähnelt.
### 4. Wie lautet die Annahme zu Lernraten?
Die vorliegenden Quellen zur ARIES-AT-Studie **enthalten keine expliziten Angaben** zu Lernraten oder Lernfaktoren. Die Kostenberechnung (COE von 4,7 ¢/kWh) basiert auf einem **Overnight Cost**-Ansatz und auf den **besten Schätzungen** für eine fortschrittliche Anlage, deren Technologieziele erreicht wurden.
### 5. Wie wurden die Annahmen zu den Lernraten hergeleitet bzw. von wo stammen diese Annahmen?
Da die Quelle **keine Annahmen zu Lernraten** verwendet (siehe Antwort 4), kann keine Aussage über deren Herleitung getroffen werden.
### 6. Wird offengelegt, ob die Kostenabschätzung auf einem Bottom-up-, Top-down- oder hybriden Ansatz basiert?
Die Studie nutzt einen **hybriden Ansatz**:
*   **Top-Down-Ziele:** Die Forschung begann mit der Festlegung eines Satzes von **Top-Level-Zielen und -Anforderungen**, insbesondere in Bezug auf die **wirtschaftliche Wettbewerbsfähigkeit** (Ziel für die COE).
*   **Bottom-Up-Analyse:** Das ARIES-Team führt **detaillierte Physik- und Ingenieursanalysen** durch und nutzt die Ergebnisse zur Durchführung von Optimierungen und Trade-Off-Studien mittels eines **kostenbasierten Systemcodes** (*cost-based systems code*). Die detaillierte Kostenaufschlüsselung in Tabelle 5, die nach Kontonummern (Account No.) geordnet ist, basiert auf dieser Bottom-Up-Analyse.
### 7. Beruht die Kostenherleitung auf physikalischen und technologischen Werten?
**Ja.** Die niedrige COE von 4,7 ¢/kWh ist eine direkte Konsequenz der fortschrittlichen physikalischen und technologischen Annahmen:
*   **Physik:** Das Erreichen eines **hohen Plasma $\beta$** (9,2%) und einer hohen Bootstrap-Strom-Fraktion ermöglicht die Reduzierung der Magnetfeldstärke und damit der Größe des Reaktors, was die Kapitalkosten senkt.
*   **Technologie:** Die Verwendung von **SiC-Kompositen** und der fortschrittliche Brayton-Zyklus erlauben eine Netto-Thermische Effizienz von $\sim 59\%$. Dies reduziert die notwendige Fusionsleistung und die Größe des Fusionskerns für die Generierung der erforderlichen 1000 MWe.
### 8. Werden Materialkosten und Komponentenkosten separat ausgewiesen?
**Ja.** In Tabelle 5 wird eine detaillierte Aufschlüsselung der Kapitalkosten (*Total cost*) bereitgestellt:
*   **Komponentenkosten:** Einzelne Komponentenbereiche werden separat ausgewiesen, z. B. **Reaktorausrüstung (761,0 Mio. $)**, die sich weiter in **Magneten (126,7 Mio. $)**, **FW/Blanket/Reflektor (64,3 Mio. $)** und **Abschirmung (69,4 Mio. $)** unterteilt.
*   **Materialkosten:** Ein separater Posten für **Spezialmaterialien (Special materials)** in Höhe von **83,8 Mio. $** ist aufgeführt.
### 9. Bezieht sich die Studie auf ein Energiesystem (z. B. Integration, Vergleich mit anderen Technologien) oder ist sie rein bezogen auf die Kosten des Kraftwerks und des Reaktors?
Die Studie geht **über die reinen Kosten des Kraftwerks und des Reaktors hinaus** und adressiert das zukünftige Energiesystem und die Anforderungen der Betreiber:
*   **Wettbewerb:** Die COE von 4,7 ¢/kWh soll **wettbewerbsfähig** sein mit den **projizierten Kosten anderer Energiequellen**.
*   **Öffentliche Akzeptanz:** Die Ziele umfassen die Erzielung einer **hohen öffentlichen Akzeptanz** durch **exzellente Sicherheits- und Umweltmerkmale**.
*   **Umwelt/Abfall:** Die Anlage erfüllt die Anforderungen für **keinen Evakuierungsplan** und minimiert den radioaktiven Abfall: $\sim 90\%$ der Abfälle erfüllen die **Class-A-Grenzwerte** (niedrigste Klasse).
*   **Zuverlässigkeit und Wartung:** Die Studie befasst sich mit **betrieblicher Zuverlässigkeit** und hoher **Wartbarkeit und Verfügbarkeit**.
### 10. Welche Kostenreduktionspotenziale oder wirtschaftlichen Optimierungsansätze werden thematisiert?
Die ARIES-AT-Studie identifizierte mehrere Optimierungsansätze, um die COE zu senken und die Attraktivität zu steigern:
*   **Hohe Thermische Effizienz:** Die Steigerung der thermischen Effizienz auf **$\sim 59\%$** durch SiC-Komposite und Brayton-Zyklus ist der Hauptbeitrag zur Kostenreduktion gegenüber früheren ARIES-Studien.
*   **Eliminierung von teurem Stromantrieb:** Durch Profiloptimierung wurde der Bedarf an externem Stromantrieb im mittleren Plasma eliminiert, wodurch die Stromantriebsleistung um den Faktor $\sim 2$ reduziert wurde.
*   **Größen- und Feldreduktion:** Die Erhöhung des Plasma $\beta$ wurde genutzt, um die **Anforderungen an die Magnetfeldstärke zu reduzieren** (von 16 T bei ARIES-RS auf 11 T bei ARIES-AT), anstatt die Leistungsdichte weiter zu erhöhen.
*   **Wartung und Verfügbarkeit:** Die Verwendung **integrierter Sektoren** und das radiale Unterteilen des Blankets in **austauschbare Zonen und Lebensdauerzonen** reduzieren den Wartungsaufwand und erhöhen die vorhergesagte Verfügbarkeit (&gt;90%).
*   **Skaleneffekte:** Weitere Kostenreduktionen können durch die Nutzung von Anlagen mit **höherer Netto-Elektrizitätsleistung** erzielt werden (*nuclear economy of scale*).
### 11. Was sind die signifikantesten Kostentreiber und ökonomischen Herausforderungen laut Studie?
**Signifikante Kostentreiber:**
*   **Kapitalkosten:** Die anfänglichen Kapitalkosten sind hoch (Total Cost: 2844 Mio. $). Die **Anlagenausrüstung** (Reactor plant equipment) ist der größte Einzelposten.
*   **Strukturmaterial:** Die **SiC-Komposite** sind entscheidend, stellen aber ein **großes Entwicklungsproblem** dar, da sie noch qualifiziert werden müssen, um die Kosten- und Sicherheitsziele zu erfüllen.
*   **Divertor:** Der Divertor bleibt aufgrund der **hohen Wärmeflüsse** eine der schwierigsten Herausforderungen.
**Ökonomische und Betriebliche Herausforderungen:**
*   **Demonstration des Betriebs:** Die **Demonstration und Kontrolle** des Reversed-Shear-Plasmas im **Dauerbetrieb** und mit brennendem Plasma bleiben ein zentrales Thema.
*   **Disruptionsvermeidung:** Die Möglichkeit einer Plasma-Disruption ist ein **inakzeptables Betriebsmerkmal** (*unacceptable operating characteristic*) für ein Kraftwerk, da ungeplante Abschaltungen und potenzielle Schäden resultieren.
*   **HTS-Materialien:** Obwohl HTS gewählt wurden, führt die **Belastungsgrenze** dieser Supraleiter (max. 0,2% Dehnung) zu einer **dickeren und massiveren Stützstruktur** der Magnete als bei kryogenen Supraleitern.
*   **Technologie-Lücken:** Die Entwicklung von **Hochtemperatur-Wärmetauschern** (Pb–17Li und He) sowie die **Qualifizierung von SiC-Kompositen** (insbesondere die Kompatibilität mit Pb–17Li bei 1100°C) sind kritische FuE-Themen.</t>
  </si>
  <si>
    <t>Basierend auf Ihrer Berechnung der **bereinigten Overnight Construction Costs (OCC)** in Höhe von **2129,0 Millionen US-Dollar** (konstante 1992 $) kann der prozentuale Anteil der Hauptkostenkategorien wie folgt aufgeschlüsselt werden.
Ihre bereinigte OCC berechnet sich aus der Differenz der Gesamtkosten (Total Cost) abzüglich Zinsen während der Bauzeit (Interest During Construction, IDC) und Projekt-Kontingenz:
$$
\text{Bereinigte OCC} = 2844,0 - 403,2 - 311,8 = 2129,0 \text{ Mio. \$}
$$
Dieser Wert entspricht der Summe aller direkten Kosten (einschließlich Anlagen-Ausrüstung und Spezialmaterialien) zuzüglich der Gemeinkosten wie Konstruktions- und Ingenieurdienstleistungen und den Eigentümerkosten (Owner’s Cost).
### Aufschlüsselung der Bereinigten OCC nach Hauptkostenkategorien
Die folgende Tabelle zeigt die Kosten und den prozentualen Anteil der Hauptkonten an der bereinigten OCC von **2129,0 Mio. \$**.
| Account Nr. | Kostenkonto (Account Title) | Kosten (Mio. \$) | Anteil an 2129,0 Mio. \$ |
| :--- | :--- | :--- | :--- |
| **A. Direkte Anlagenkosten (Summe 1521,1 Mio. \$)** | | | **71,44%** |
| 20. | Land und Landrechte (*Land and land rights*) | 10,6 | **0,50%** |
| 21. | Gebäude und Geländeausstattung (*Structures and site facilities*) | 253,5 | **11,91%** |
| **22.** | **Reaktoranlagen-Ausrüstung (*Reactor plant equipment*)** | **761,0** | **35,74%** |
| 22.2. | Hauptwärmeübertragungs- &amp; Transportsysteme (*Main heat transfer and transport systems*) | 126,0 | **5,92%** |
| 23. | Turbinenanlagen-Ausrüstung (*Turbine plant equipment*) | 243,0 | **11,41%** |
| 24. | Elektrische Anlagen-Ausrüstung (*Electric plant equipment*) | 98,5 | **4,63%** |
| 25. | Sonstige Anlagen-Ausrüstung (*Miscellaneous plant equipment*) | 47,4 | **2,23%** |
| 26. | Wärmeabfuhrsystem (*Heat rejection system*) | 23,3 | **1,09%** |
| 27. | Spezialmaterialien (*Special materials*) | 83,8 | **3,93%** |
| **B. Indirekte Kosten (Gemeinkosten &amp; Eigentümerkosten)** | | | **28,56%** |
| 91. | Konstruktionsdienstleistungen (*Construction services*) | 171,9 | **8,07%** |
| 92. | Ingenieurdienstleistungen Home Office (*Home office engineering equipment*) | 79,1 | **3,71%** |
| 93. | Ingenieurdienstleistungen Field Office (*Field office engineering services*) | 79,1 | **3,71%** |
| 94. | Eigentümerkosten (*Owner’s cost*) | 277,8 | **13,05%** |
| **GESAMT (Bereinigte OCC)** | | **2129,0** | **100,00%** |
### Detaillierte Aufschlüsselung des größten Kostentreibers (Konto 22)
Der größte Anteil an der gesamten bereinigten OCC entfällt auf die **Reaktoranlagen-Ausrüstung (Konto 22)** mit **761,0 Mio. \$** (entspricht 35,74 % der bereinigten OCC).
Die Aufschlüsselung dieser 761,0 Mio. $ (Konto 22) in seine Hauptunterkonten ist wie folgt:
| Unterkonto (22.1) | Komponente | Kosten (Mio. \$) | Anteil an Konto 22 (761,0 Mio. \$) |
| :--- | :--- | :--- | :--- |
| 22.1.3. | **Magneten** (*Magnets*) | 126,7 | **16,65%** |
| 22.1.6. | Reaktor-Vakuumsysteme (*Reactor vacuum systems*) | 98,8 | **12,98%** |
| 22.1.2. | Abschirmung (*Shield*) | 69,4 | **9,12%** |
| 22.1.1. | Erste Wand/Blanket/Reflektor (*FW/blanket/reflector*) | 64,3 | **8,45%** |
| 22.1.7. | Stromversorgung, Schalten &amp; Energiespeicher (*Power supply, switching and energy storage*) | 50,7 | **6,66%** |
| 22.1.4. | Zusätzliches Heiz- &amp; Stromantriebssystem (*Supplemental-heating/CD systems*) | 37,1 | **4,88%** |
| 22.1.5. | Primärstruktur &amp; Unterstützung (*Primary structure and support*) | 26,9 | **3,53%** |
| 22.1.8. | Störungskontrolle (*Impurity control*) | 4,1 | **0,54%** |
| 22.1.10. | ECRH Breakdown-System | 4,0 | **0,53%** |
| 22.1.9. | Direkte Energieumwandlungssysteme | 0,0 | **0,00%** |
| **Summe (Konto 22.1, Reaktor-Ausrüstung)** | | 482,0 | **63,34%** |
*Hinweis:* Der größte Einzelposten innerhalb der Reaktoranlagen-Ausrüstung sind die **Magneten**.</t>
  </si>
  <si>
    <t>Die Beantwortung Ihrer Fragen bezieht sich auf die Ergebnisse der **European Power Plant Conceptual Study (PPCS)**, welche vier verschiedene Fusionskraftwerksmodelle (PPCS A bis D) untersuchte.
---
### 1. Welche Modellannahmen werden getroffen?
Die Studie geht von einem breiten Spektrum an konzeptionellen Designs aus, die sich im Grad der Extrapolation physikalischer und technologischer Annahmen unterscheiden:
*   **Typ und Konfiguration:** Alle vier Modelle basieren auf dem **Tokamak-Konzept** und sind für den **Dauerbetrieb** (*steady state operation*) konzipiert.
*   **Leistung:** Alle Modelle zielen auf eine elektrische Nettoleistung von **etwa 1500 MWe** ab, um einen Kompromiss zwischen wirtschaftlichem Nutzen durch Skaleneffekte und den Nachteilen für die Netzintegration großer Einheiten zu erzielen.
*   **Technologische Extrapolation:**
    *   **Modelle A und B (Near-Term Concepts):** Basieren auf **begrenzten Extrapolationen** in Plasma-Physik und Technologie. Sie verwenden hauptsächlich **Eurofer** (Low-Activation Martensitic Steel) als Strukturmaterial.
        *   *A:* **Water Cooled Lithium Lead (WCLL)** Blanket, PWR-Technologie für den Balance of Plant.
        *   *B:* **Helium Cooled Pebble Bed (HCPB)** Blanket, aufkommende Helium-Kühltechnologie.
    *   **Modelle C und D (Advanced Concepts):** Basieren auf **fortschrittlicheren Konzepten** mit dem Ziel, höhere Betriebstemperaturen und Effizienzen zu erzielen.
        *   *D:* **Self-Cooled Lithium Lead (SCLL)** Blanket, nutzt **Siliziumkarbid-Verbundwerkstoff (SiC/SiC)** als Strukturmaterial, was das **größte Entwicklungsrisiko** birgt.
*   **Physikalische Extrapolation:**
    *   *A/B:* Plasma-Performance ist nur **geringfügig besser** (*marginally better*) als die Designbasis von ITER.
    *   *C/D:* Basieren auf **progressiven Verbesserungen** in Plasma-Shaping und Stabilität, was zu **höherem Plasma-Beta ($\beta_N$)** und **höherem Bootstrap-Stromanteil** führt (z.B. 76 % für Modell D).
### 2. Welche Modell- und Kostenannahmen basieren auf tatsächlichen Erfahrungswerten und welche nur Schätzungen oder Prognosen? Welche Annahmen stammen woher?
Die PPCS-Studie stützt sich auf eine Mischung aus validierten Methoden und notwendigen Zukunftsprognosen:
| Annahme | Klassifikation | Herkunft / Basis |
| :--- | :--- | :--- |
| **Kostenmethodik** | Erfahrungswert / Validierung | Verwendung des **PROCESS**-Codes, der gegen **Kostenschätzungen der Industrie für ITER** validiert und mit US-Studien verglichen wurde. |
| **Near-Term-Technologie (A)** | Erfahrungswert | Modell A basiert auf der **vollständig qualifizierten** PWR-Technologie. |
| **Plasma-Basis (A/B)** | Extrapolation | Die Szenarien basieren auf der **ITER Physics Basis** und wurden auf der Grundlage des **IPB98y2-Skalierungsgesetzes** aktualisiert. |
| **Kosten der Reife** | Prognose | Die ökonomische Bewertung der COE (z.B. 5–9 €cents/kWh) basiert auf der **Annahme der technologischen Reife** (*level of maturity*) einer **10th of a kind plant**. |
| **Verfügbarkeit** | Prognose | Die Annahme einer **guten Anlagenverfügbarkeit von mindestens 75%** basiert auf der erfolgreichen Entwicklung und Qualifizierung eines neuen Wartungsschemas. |
| **Fortschrittliche Materialien (D)**| Prognose | Modell D setzt **große Extrapolationen** fortgeschrittener Materialien voraus; beispielsweise wird die $\text{SiC/SiC}$-Wärmeleitfähigkeit nach Bestrahlung **fünfmal höher** angenommen als heute bekannt. |
| **Externe Kosten** | Erfahrungswert / Skalierung | Schätzung durch Skalierung früherer Ergebnisse des **ExternE**-Codes. |
### 3. Falls externe Quellen für die Modell- und Kostenannahmen verwendet wurden – wurden diese modifiziert? Falls ja, wie?
**Ja**, externe Modelle und Konzepte wurden adaptiert und modifiziert, um die ökonomischen und technischen Ziele der PPCS zu erreichen:
*   **Systemcode (PROCESS):** Der Code wurde **aktualisiert und erweitert** (*updated and extended*), um modernere Skalierungsgesetze, verbesserte Kostenmodelle und Verfügbarkeitsaspekte zu integrieren.
*   **Wartungsschema:** Das ITER-Ersatzschema wurde zu einer **Segmentierung des Blankets in große Module** weiterentwickelt, um die Verfügbarkeit auf mindestens 75 % zu erhöhen, da die ursprüngliche ITER-Segmentierung im Kraftwerksbetrieb inakzeptabel wäre.
*   **Divertor-Design:** Es wurde ein **neues konzeptionelles Design** für einen heliumgekühlten Divertor entwickelt, das Hitzelasten von **10 MW/m²** toleriert – doppelt so hoch wie zuvor für Helium-gekühlte Konzepte angenommen.
*   **ITER-Designbasis:** Die Plasma-Physik-Szenarien für die Modelle A und B stellen Parameter dar, die **"etwa dreißig Prozent besser"** sind als die Designbasis von ITER.
### 4. Wie lautet die Annahme zu Lernraten?
Für die ökonomische Bewertung der PPCS-Modelle auf dem Status **10th of a kind plant** wird ein **Kostenreduktionsfaktor von 0.65** (*cost reduction factor of 0.65*) für fusionsspezifische Komponenten angenommen.
### 5. Wie wurden die Annahmen zu den Lernraten hergeleitet bzw. von wo stammen diese Annahmen?
Dieser Kostenreduktionsfaktor (0.65) wird im Vergleich zu einer Analyse verschiedener Industrien (*Progress Ratio*) als **konservativer** (*more conservative*) Faktor gewählt, basiert aber auf **Erfahrungen von Industrien im Energiesektor**. Er soll die Kostenreduktion beim Übergang von einem Prototyp zu einer kommerziell produzierten Mehrfacheinheit widerspiegeln.
### 6. Wird offengelegt, ob die Kostenabschätzung auf einem Bottom-up-, Top-down- oder hybriden Ansatz basiert?
Die Kostenabschätzung basiert auf einem **hybriden Ansatz**:
*   **Top-Down-Steuerung:** Die **ökonomischen Anforderungen** (z.B. 1500 MWe Leistung) wurden verwendet, um die Designparameter zu wählen und die **optimalen ökonomischen Eigenschaften** zu erzielen.
*   **Bottom-Up-Kalkulation:** Der **PROCESS**-Code, der **Kostenalgorithmen für jedes Hauptsystem** (*costing algorithms for every major system*) enthält, wurde verwendet, um die detaillierten Kosten zu modellieren und zu minimieren.
### 7. Beruht die Kostenherleitung auf physikalischen und technologischen Werten?
**Ja.** Die Kostenherleitung beruht direkt auf den physikalischen und technologischen Werten und deren Wechselwirkungen, die durch den PROCESS-Code modelliert werden:
*   Die Stromgestehungskosten (COE) skalieren mit Schlüsselparametern wie dem **normierten Plasma-Beta ($\beta_N$)** und der **thermischen Effizienz ($\eta_{th}$)**: $\text{coe} \propto \frac{1}{\beta_N^{0.4} \cdot \eta_{th}^{0.6}}$.
*   Die **physikalischen und technologischen Randbedingungen** bestimmen die Größe der Anlage (z.B. Modell D ist am kleinsten) und die benötigte Fusionsleistung, welche die Kapitalkosten maßgeblich beeinflussen.
### 8. Werden Materialkosten und Komponentenkosten separat ausgewiesen?
**Ja**, es werden sowohl Gesamtkapitalkosten nach Komponenten als auch der Einfluss spezieller Materialien auf die Kosten analysiert:
*   **Komponentenkosten:** Die Studie liefert eine **detaillierte Kostenaufschlüsselung** nach Hauptkategorien, die den fraktionellen Beitrag von **Magneten**, **Blanket/FW**, **Divertor** und **Heizsystemen** vergleicht.
*   **Ersatzteilkosten:** Die Kosten der austauschbaren Komponenten (Blanket und Divertor) werden getrennt von den Kapitalkosten behandelt und basieren auf den **Spezifikationen der verwendeten Materialien**.
*   **Materialien:** Der Einfluss des teuren $\text{ZrH}_2$ im Shield von Modell B und des fortschrittlichen $\text{SiC/SiC}$ in Modell D auf die Gesamtkosten wird diskutiert.
### 9. Bezieht sich die Studie auf ein Energiesystem (z.B. Integration, Vergleich mit anderen Technologien) oder ist sie rein bezogen auf die Kosten des Kraftwerks und des Reaktors?
Die Studie bezieht sich auf das **zukünftige Energiesystem** und die Notwendigkeit der Integration:
*   **Wettbewerbsfähigkeit:** Die berechneten internen Stromkosten (*internal cost*) liegen **im Bereich der Schätzungen für die zukünftigen Kosten anderer Quellen** (*future costs from other sources*), wie Gas-GuD-Anlagen und Windkraft.
*   **Externe Kosten:** Es wurden auch die **externen Kosten** (*external costs*) (Umweltschäden, Gesundheitsauswirkungen) berechnet, die **viel niedriger** als bei fossilen Brennstoffen und **vergleichbar mit Windkraft** sind.
*   **Betrieb und Netzintegration:** Die gewählte Anlagengröße (1500 MWe) ist ein Kompromiss für die **Netzintegration**. Es wurde festgestellt, dass eine **Lastfolgefähigkeit** (*load-following*) von etwa 50% der elektrischen Leistung möglich wäre.
### 10. Welche Kostenreduktionspotenziale oder wirtschaftlichen Optimierungsansätze werden thematisiert?
Die wesentlichen Optimierungsansätze, die die Kosten senken, sind:
*   **Steigerung der Effizienz:** Dies ist der **Hauptmechanismus** zur Senkung der Stromkosten. Die fortgeschrittenen Modelle steigern die **thermische Effizienz** durch höhere Betriebstemperaturen massiv (von 31% bei A auf 60% bei D).
*   **Reduzierung der Fusionsleistung und der Größe:** Eine höhere Effizienz führt zu einer **reduzierten Fusionsleistung** (Modell D benötigt nur 2,5 GW vs. 5 GW bei A) und somit zu **kleineren Anlagen** und geringeren Kapitalkosten.
*   **Verbesserte Physik:** Annahme eines **höheren $\beta_N$** und einer höheren **Bootstrap-Fraktion** (bei C und D) zur Reduzierung der benötigten externen **Stromantriebsleistung**.
*   **Wartungsoptimierung:** Das **neue Wartungskonzept** (*large module handling*) soll die Verfügbarkeit auf **mindestens 75%** erhöhen, was ein Schlüssel für die Wirtschaftlichkeit ist.
*   **Superleiter-Entwicklung:** Künftige **Fortschritte bei Supraleitern** (niedrigere Kosten und HTS) werden als Potenzial zur signifikanten Senkung der Magnetkosten angesehen.
### 11. Was sind die signifikantesten Kostentreiber und ökonomischen Herausforderungen laut Studie?
**Signifikanteste Kostentreiber (Kapitalkosten):**
*   **Magnete:** Die **Kosten der großen Magnete** (*large magnets*) sind das **wichtigste Problem** (*most important capital cost issue*) für die Kraftwerke. Selbst bei fortgeschrittenen Modellen bleibt dieser Posten sehr dominant.
*   **Anlagenkomplexität (A/B):** Bei den weniger fortschrittlichen Modellen (A/B) führen die Anforderungen an den **Divertor-Hitzelast-Schutz** (durch hohe Plasmastrahlung) zu einer Notwendigkeit **höherer Plasmaladungen** und somit zu **größeren Reaktoren** und **hohem Stromantriebsbedarf**, was die Kapitalkosten in die Höhe treibt.
**Ökonomische Herausforderungen:**
*   **Reife und Risiko:** Die absolute Höhe der Stromkosten hängt stark vom **Reifegrad der Technologie** ab. Die Kosten können von 5–9 €cents/kWh (frühe Implementierung, 10th-OAK) auf 3–5 €cents/kWh (reife Technologie) fallen.
*   **Wirtschaftliche Rentabilität (Modell A):** Modell A liegt am **oberen Ende** des Zielbereichs für spezifische Kapitalkosten, was darauf hindeutet, dass es **am wenigsten wahrscheinlich** ist, dass dieses Konzept wirtschaftlich rentabel ist, sofern keine signifikanten Verbesserungen eintreten.
*   **FuE-Bedarf:** Die Realisierung der fortgeschrittenen, kostengünstigen Modelle (C und D) setzt die erfolgreiche Entwicklung von **SiC/SiC-Strukturen** und komplexen **Divertor-Systemen** voraus, was einen **beträchtlichen Entwicklungsaufwand** erfordert.
*   **Wartungszuverlässigkeit:** Die **Verfügbarkeit von 75%** hängt von der **Entwicklung und Qualifizierung von Wartungsverfahren** durch Fernhantierung ab, was noch **weitere Arbeiten** erfordert.</t>
  </si>
  <si>
    <t>Die Europäische Studie zum Konzept von kommerziellen Fusionskraftwerken (PPCS) vergleicht die prognostizierten Kosten der Fusionsenergie primär mit **zukunftsgerichteten Schätzungen** der Kosten anderer Energiequellen und nicht mit historischen Werten.
Der Vergleich der **internen Kosten** (*internal cost*) und der **externen Kosten** (*external costs*) führt zu folgenden Ergebnissen:
### 1. Interne Kosten (Stromgestehungskosten, COE)
Die COE der vier PPCS-Modelle (A bis D) wird so bewertet, dass sie mit den voraussichtlichen Kosten zukünftiger Energiequellen wettbewerbsfähig sind.
*   **Ergebnis des Vergleichs:** Die berechneten internen Stromkosten (*calculated internal cost of electricity*) liegen für alle Modelle **im Bereich der Schätzungen für die zukünftigen Kosten anderer Quellen** (*in the range of estimates for the future costs from other sources*).
*   **Wettbewerber:** Als Beispiele für diese anderen Quellen werden in der Literaturstudie **Gas-und-Dampf-Kombikraftwerke (CCGT)** und **Windkraft** genannt.
*   **Abstufung:** Innerhalb der Fusionsmodelle selbst hat das **fortschrittlichste Modell D** (5 c/kWh) die **niedrigsten** internen Kosten, während das **Near-Term-Modell A** (9 c/kWh) die **höchsten** internen Kosten aufweist. Modell A und B werden dennoch als **akzeptabel wettbewerbsfähig** (*acceptable competitive internal costs*) angesehen.
### 2. Externe Kosten
Externe Kosten sind Kosten, die durch Umweltschäden oder Auswirkungen auf die Gesundheit entstehen und nicht im Marktpreis enthalten sind.
*   **Vergleichsbasis:** Die externen Kosten der PPCS-Modelle wurden durch Skalierung früherer Ergebnisse des **ExternE**-Codes geschätzt.
*   **Ergebnis des Vergleichs:** Alle vier PPCS-Modelle weisen **sehr niedrige externe Kosten** auf:
    *   Sie sind **viel niedriger als die externen Kosten fossiler Brennstoffe** (*much lower than fossil fuels*).
    *   Sie sind **vergleichbar mit** (*comparable to*) oder **niedriger als** die externen Kosten der **Windkraft**.
*   **Ursache:** Die niedrigen externen Kosten des Fusionsstroms sind auf die **Sicherheits- und Umweltvorteile der Fusion** zurückzuführen. Die externen Kosten werden hauptsächlich durch die Kosten konventioneller Posten, insbesondere konventioneller Unfälle während der Bauphase, dominiert.</t>
  </si>
  <si>
    <t>Die von Ihnen genannten bereinigten Overnight Construction Costs (OCC) in Höhe von **3.609.000.000 US-Dollar (1976-Dollar)** entsprechen der **Gesamt-Baukostenschätzung** (*Total Cost*) für das **UWMAK-III Fusionsreaktorkonzept** vor Abzug von Inflations- oder Zinsfaktoren, die in Tabelle XII der Quelle aufgeführt ist.
Die Kostenaufschlüsselung basiert auf der detaillierten Kostenkalkulation des Kraftwerksentwurfs, wobei die Summe der explizit in der Tabelle aufgeführten Einzelposten nicht exakt den Gesamtbetrag von 3609 Mio. \$ ergibt. Die folgende Analyse zeigt den Anteil der einzelnen, in der Quelle ausgewiesenen Hauptkostenkategorien an diesem Gesamtbetrag.
| Account Nr. | Kostenkonto (Account Description) | Kosten (Mio. 1976 \$) | Anteil an 3609 Mio. \$ |
| :--- | :--- | :--- | :--- |
| **21** | **Struktur und Verbesserungen** (*Structure and improvements*) | 568 | **15,74%** |
| **22** | **Reaktoranlagen-Ausrüstung** (Boiler plant equipment &amp; Instrumentation) | 262 | **7,26%** |
| **23** | **Turbinenanlagen-Ausrüstung** (Turbine plant equipment &amp; Instrumentation) | 261 | **7,23%** |
| **24** | **Elektrische Anlagen-Ausrüstung** (Electric plant equipment: Switchgear, Wiring, etc.) | 280 | **7,76%** |
| **25/26** | **Sonstige Ausrüstung/Materialien** (Misc. plant equipment, Transp. &amp; Lift, Special materials) | 68 | **1,88%** |
| **Summe direkte Kosten (itemisiert)** | | **1439** | **39,87%** |
| **91** | **Konstruktionsdienstleistungen** (*Construction services*) | 530 | **14,68%** |
| **92** | **Ingenieursdienstleistungen (Home Office)** (*Home office engineering services*) | 450 | **12,47%** |
| **93** | **Ingenieursdienstleistungen (Field Office)** (*Field office engineering services*) | 340 | **9,42%** |
| **Summe indirekte Kosten (itemisiert)** | | **1320** | **36,58%** |
| **Unspezifizierte Kosten** | *(Restliche Kosten zur Erreichung der 3609 Mio. \$)* | 850 | **23,55%** |
| **GESAMT** | | **3609** | **100,00%** |
### Wichtigste Feststellungen:
*   **Größter Einzelposten:** Die größten einzelnen ausgewiesenen Kostenbeiträge zur OCC sind die **Anlagenstruktur und -verbesserungen (Account 21)** mit **15,74%** und die **Konstruktionsdienstleistungen (Account 91)** mit **14,68%**.
*   **Indirekte Kosten:** Die Summe der itemisierten indirekten Dienstleistungskosten (Accounts 91–93) beträgt **36,58%** der Gesamtsumme.
*   **Diskrepanz:** Die Summe der explizit in Tabelle XII aufgeführten Kostenposten ($1439 \text{ Mio. \$} + 1320 \text{ Mio. \$} = 2759 \text{ Mio. \$}$) entspricht nicht dem angegebenen Gesamtbetrag von 3609 Mio. \$. Ein signifikanter Anteil von **23,55%** ist in den vorliegenden Auszügen nicht weiter spezifiziert.</t>
  </si>
  <si>
    <t>Die vorliegende Studie (Energy Analysis of Coal, Fission, and Fusion Power Plants) verwendet die Methode der **Netto-Energieanalyse (Net Energy Analysis, NEA)**, um die drei Energieerzeugungssysteme zu vergleichen. Die NEA vergleicht nicht die monetäre Kostenwettbewerbsfähigkeit, sondern die **Energieeffizienz** der Systeme, indem sie die nützliche Energieabgabe mit der gesamten Energieaufnahme über die Lebensdauer der Anlagen vergleicht.
### 1. Ergebnis des Vergleichs (Energieeffizienz)
Das Hauptergebnis des Vergleichs basiert auf den **Energie-Gewinn-Verhältnissen ($\text{EG}_1$, $\text{EG}_2$, $\text{EG}_e$)**.
**A. Gesamtergebnis:**
*   **Alle drei Arten von Kraftwerken (Kohle, Spaltung, Fusion) sind Netto-Energieproduzenten**; das heißt, sie produzieren über ihre Lebensdauer mehr nutzbare Energie, als sie für Bau, Betrieb, Brennstoff und Umweltrestaurierung verbrauchen.
*   Die **Kohle- und Fusionskraftwerke sind aus Sicht der Energieeffizienz den Spaltanlagen (PWR) überlegen**.
**B. Detaillierte Ergebnisse (Energie-Gewinn-Verhältnisse):**
| Anlagentyp | $\text{EG}_1$ (Elektrisch vs. Äquivalente thermische Energie) | $\text{EG}_2$ (Elektrisch vs. Gesamte Energie) | $\text{EG}_e$ (Elektrisch vs. Elektrisch) |
| :--- | :--- | :--- | :--- |
| **Kohlekraftwerk** (800 MWe) | 5,0 bis 7,4 | 6,5 bis 9,2 | 52,7 bis 92,8 |
| **PWR (Diffusion)** (1138 MWe) | 3,5 | 7,5 | 15,2 |
| **PWR (Zentrifuge)** (1138 MWe) | 9,6 | 13,3 | 80 |
| **Fusionskraftwerk (UWMAK-III)** (1185 MWe) | 5,4 | 6,7 | 64 |
**Schlussfolgerung Fission:** Die Spaltanlage (PWR) verbessert ihre Energieeffizienz **erheblich**, wenn die Zentrifuge die Gasdiffusion als Methode zur Urananreicherung ersetzt.
**Schlussfolgerung Fusion:** Das Fusionskraftwerk (UWMAK-III) scheint in Bezug auf die **Energie-Kennzahlen** (sowie Brennstoffvorkommen, Sicherheit, Umwelt) **ausgezeichnet** zu sein, jedoch möglicherweise nicht in Bezug auf die monetären Kosten der Stromerzeugung.
### 2. Basis des Vergleichs (Historisch vs. Zukunftsgerichtet)
Die Analyse nutzt eine **historische Baseline** zur Berechnung des Energieinputs, obwohl sie auf konzeptionellen oder zeitgenössischen Entwürfen basiert:
*   **Verwendung von 1967-Daten:** Die Berechnung des Energiebedarfs für Bau, Betrieb und Komponenten basiert auf der **Energieintensitätstabelle der US-Wirtschaft aus dem Jahr 1967**.
*   **Deflation der Kosten:** Die Kapitalkosten und Betriebskosten der Anlagen (die auf Berichten aus den Jahren 1976 bis 1978 basieren) wurden mithilfe von Inflationsindizes auf **1967-Dollar** **zurückgerechnet (deflationiert)**, um sie mit den 1967-Energieintensitätsfaktoren multiplizieren zu können.
*   **Konzeptionelle Prognosen:** Die Studie analysiert **konzeptionelle Designs** (UWMAK-III für Fusion und ein geplantes 800-MWe-Kohlekraftwerk sowie ein 1138-MWe-PWR). Die Ergebnisse sind Projektionen der Energieeffizienz für diese spezifischen Designs über eine Lebensdauer von 30 Jahren.
Die NEA ist somit eine Analyse von **Energie-Input-Prognosen**, die auf einer **historischen (1967) wirtschaftlichen Baseline** standardisiert wurden.</t>
  </si>
  <si>
    <t>Die folgenden Antworten beziehen sich auf die **Netto-Energieanalyse (Net Energy Analysis, NEA)** des konzeptionellen **UWMAK-III Fusionsreaktorkonzepts** im Vergleich zu Kohle- und Spaltanlagen.
---
### 1. Welche Modellannahmen werden getroffen?
Die Modellannahmen konzentrieren sich auf die Energieströme und die Lebensdauer der Anlage:
*   **Anlagentyp:** Es wird das **UWMAK-III** Tokamak-Fusionsreaktorkonzept analysiert, da detaillierte Informationen zu Bau und Betrieb verfügbar waren.
*   **Leistung und Betrieb:** Das Modell geht von einer Netto-Leistung von **1185 MW(elektrisch)**, einer Lebensdauer von **30 Jahren** und einem **Kapazitätsfaktor von 65%** aus.
*   **Energie-Analyse-Basis:** Die Berechnung basiert auf der **Energieintensitätstabelle der US-Wirtschaft von 1967**.
*   **Energie-Input-Definition:** Der Energieinput umfasst alle Sektoren: Bau, Betrieb und Wartung, Brennstoff, Gemeinwohl, Landnutzung und Restaurierung. Die Energie wird in separate **thermische und elektrische Komponenten** unterteilt.
*   **Brennstoff:** Das Kraftwerk nutzt die Deuterium-Tritium-Reaktion. Das benötigte Tritium wird im Blanket aus Lithium erbrütet.
*   **Umwelteffekte/Abfall:** Die Kosten (Energieverbrauch) für die **radioaktive Abfallentsorgung** und die **Gemeinwohlkosten** werden mangels besserer Zahlen als **ein Zehntel** der entsprechenden Werte für ein Druckwasserreaktor (PWR) angenommen.
### 2. Welche Modell- und Kostenannahmen basieren auf tatsächlichen Erfahrungswerten und welche nur Schätzungen oder Prognosen? Welche Annahmen stammen woher?
Die Analyse kombiniert historische Wirtschaftsdaten mit Prognosen für das Fusionsdesign:
| Annahme | Klassifikation | Herkunft / Basis |
| :--- | :--- | :--- |
| **Energieintensitätstabelle** | Erfahrungswert / Historische Baseline | Basierend auf der **US-Wirtschaft von 1967**. |
| **Fusionsdesign (UWMAK-III)** | Prognose / Konzeptionell | Die Analyse basiert auf einem **konzeptionellen Design**, da zur Zeit der Studie noch kein Fusionsreaktor gebaut wurde. |
| **Kosten (Energieinput)** | Schätzung | Die Energieanforderungen für Bau und Betrieb wurden durch Multiplikation der monetären Kosten (die **beste Schätzungen** sind) mit den Energieintensitätsfaktoren berechnet. |
| **Entsorgung/Wohlfahrt** | Prognose (vereinfacht) | Die Energieanforderungen für **radioaktive Abfallentsorgung und Gemeinwohlkosten** wurden vereinfachend als **ein Zehntel** des PWR-Werts angenommen. |
| **Brennstoffdaten** | Schätzung | Der **Lithiumpreis** wird mit $10 \text{ bis } 15/\text{lb}$ (1976-Dollar) geschätzt. Der **Deuteriumpreis** basiert auf den aktuellen Preisen von 1979 ($200/\text{kg}$). |
### 3. Falls externe Quellen für die Modell- und Kostenannahmen verwendet wurden – wurden diese modifiziert? Falls ja, wie?
**Ja**, externe Daten wurden modifiziert und angepasst:
*   **Kapitalkostendaten:** Die monetären Kosten für die Konstruktion (ursprünglich in 1976-Dollar aus dem **UWMAK-III-Bericht**) wurden mithilfe von Deflationsindizes auf **1967-Dollar** **zurückgerechnet (deflationiert)**, um sie mit den Energieintensitätsfaktoren von 1967 multiplizieren zu können.
*   **Energieintensitätstabelle:** Die ursprüngliche Tabelle von Herendeen und Bullard wurde **modifiziert**, um die Gesamtenergie in separate **thermische und elektrische Komponenten** zu unterteilen.
*   **Schätzung der Energie:** Bei der Trennung der Energiekomponenten wurde ein **Umwandlungsfaktor von 3,35** angenommen, basierend auf der Effizienz der Umwandlung von Wärme in Strom in den USA im Jahr 1967.
### 4. Wie lautet die Annahme zu Lernraten?
Die vorliegende Studie verwendet die Methode der Netto-Energieanalyse (NEA) und **trifft keine expliziten Annahmen über monetäre Lernraten** oder Kostensenkungen durch Serienfertigung (FOAK/NOAK).
### 5. Wie wurden die Annahmen zu den Lernraten hergeleitet bzw. von wo stammen diese Annahmen?
Da die Quelle keine Lernraten annimmt (siehe Antwort 4), ist diese Frage nicht relevant.
### 6. Wird offengelegt, ob die Kostenabschätzung auf einem Bottom-up-, Top-down- oder hybriden Ansatz basiert?
Die Kostenabschätzung des Energie-Inputs basiert auf einem **hybriden Ansatz**:
*   **Bottom-Up-Daten:** Die **detaillierten Kapitalkostenschätzungen** des konzeptionellen UWMAK-III-Designs bilden die Grundlage der Berechnung (Bottom-up).
*   **Top-Down-Daten:** Diese monetären Kosten wurden dann mit der **Energieintensitätstabelle der gesamten US-Wirtschaft** (ein Top-Down-Input-Output-Modell) multipliziert, um den Energieverbrauch für jede Dienstleistung und jedes Produkt zu ermitteln.
### 7. Beruht die Kostenherleitung auf physikalischen und technologischen Werten?
**Ja.** Der Energieverbrauch (die "Kosten") leitet sich direkt von den physikalischen und technologischen Anforderungen des Designs ab:
*   **Konstruktionsenergie:** Die Energie wird proportional zu den geschätzten monetären Kosten für Komponenten wie **Strukturen, Turbinen und elektrische Ausrüstung** berechnet.
*   **Brennstoff:** Der Energiebedarf für den Brennstoff basiert auf dem **geschätzten Verbrauch** von Deuterium (3559 kg über 30 Jahre) und Lithium (465 Tonnen) des UWMAK-III-Konzepts.
### 8. Werden Materialkosten und Komponentenkosten separat ausgewiesen?
**Ja**, die Energieanforderungen werden für spezifische Komponenten und Brennstoffe getrennt ausgewiesen:
*   **Komponentenkosten:** Tabelle XII enthält eine detaillierte Aufschlüsselung der **Energieanforderungen für die Konstruktion** nach Hauptkonten (z. B. **Reaktoranlagen-Ausrüstung**, **Turbinenanlagen-Ausrüstung**).
*   **Materialkosten (Brennstoff):** Die Energieanforderungen für die Bereitstellung von **Deuterium** und **Lithium** werden als separater Posten unter "Fuel" ausgewiesen (952 TJ(thermal) und 133 TJ(electric)).
*   **Spezialmaterialien:** Ein separater Kostenposten für **Spezialmaterialien** (Account 26) ist in der Aufschlüsselung der Konstruktionskosten enthalten.
### 9. Bezieht sich die Studie auf ein Energiesystem (z.B. Integration, Vergleich mit anderen Technologien) oder ist sie rein bezogen auf die Kosten des Kraftwerks und des Reaktors?
Die Studie bezieht sich explizit auf das **Energiesystem**, da sie eine **Netto-Energieanalyse** von drei verschiedenen Erzeugungssystemen (Kohle, Spaltung, Fusion) über ihre gesamte Lebensdauer durchführt.
*   Die Analyse vergleicht die **Energieeffizienz** der Systeme, indem sie feststellt, dass alle drei Netto-Energieproduzenten sind, wobei **Kohle und Fusion dem PWR überlegen** sind (wenn der PWR Gasdiffusion zur Anreicherung nutzt).
*   Es werden auch **systemweite externe Effekte** betrachtet, wie z. B. die Energie für den **Transport von Kohle** oder die Auswirkungen der **Luftverschmutzung** bei Kohlekraftwerken (als Teil der Gemeinwohlkosten).
### 10. Welche Kostenreduktionspotenziale oder wirtschaftlichen Optimierungsansätze werden thematisiert?
Der Fokus liegt auf der Optimierung der **Energieeffizienz** des Systems (Reduzierung des Energie-Inputs):
*   **Fusionsspezifisch:** Der **größte Energieverbraucher** der Fusionsanlage ist die für die **Konstruktion** verwendete Energie (macht $\approx 95\%$ des Inputs aus). Die Optimierung besteht somit in der Reduzierung des Energieaufwands für den Bau.
*   **Spaltanlagen (Zum Vergleich):** Der **entscheidende Optimierungsansatz** zur Verbesserung der Energiebilanz des PWR ist die **Umstellung von Gasdiffusions- auf Zentrifugenanreicherung**.
*   **Kohlekraftwerke (Zum Vergleich):** Das Potenzial zur Verbesserung der Energiebilanz liegt in der **Reduzierung der benötigten Kohlemenge**, was durch eine **Steigerung der thermodynamischen Effizienz** des Kraftwerks erreicht werden müsste.
### 11. Was sind die signifikantesten Kostentreiber und ökonomischen Herausforderungen laut Studie?
**Signifikantester Energie-Kostentreiber (Fusion):**
*   Der **größte Energieverbraucher** (*largest energy "sink"*) des Fusionskraftwerks ist **bei weitem die Energie, die für den Bau (Konstruktion) verwendet wird**. Die Konstruktionsenergie macht 95% des gesamten Energieinputs aus.
**Ökonomische Herausforderungen:**
*   **Monetäre Kosten vs. Energieeffizienz:** Obwohl die Fusionsanlage in allen Faktoren (Treibstoff, Sicherheit, Umwelt, Energieratios) als **"ausgezeichnet"** beurteilt wird, wird angemerkt, dass dies möglicherweise **nicht für die monetären Kosten der Stromerzeugung** gilt.
*   **Vorfinanzierung:** Die Herausforderung bei der Fusion liegt darin, dass der größte Teil des Energieinputs **vor der Inbetriebnahme** benötigt wird, während Kohle- und Spaltanlagen einen erheblichen Teil der Energie kontinuierlich über ihre Lebensdauer benötigen.</t>
  </si>
  <si>
    <t>Dies ist eine detaillierte Beantwortung Ihrer Fragen, basierend auf der Studie "Role of nuclear fusion in future energy systems and the environment under future uncertainties".
### 1. Welche Modellannahmen werden getroffen?
Die Modellannahmen betreffen die technischen Parameter der Fusion und die Rahmenbedingungen des Energiesystems:
*   **Fusionsreaktor-Typ:** Es werden **derzeit konzipierte Tokamak-Typ-Fusionsreaktoren** (*present-design tokamak-type nuclear fusion reactors*) betrachtet. Der **Steady-State Tokamak Reactor (SSTR)** dient als Referenzmodell.
*   **Leistung:** Die konzeptionellen Entwürfe basieren auf einer Leistungsklasse von **1 GW**. Der SSTR ist auf **1,08 GW** elektrische Leistung ausgelegt.
*   **Betrieb:** **Dauerbetrieb** (*Steady-state power generation*) ist geplant.
*   **Lebensdauer/Zeitrahmen:** Die Analyse erstreckt sich über das **21. Jahrhundert**. Fusionsreaktoren werden als **ab 2050–2060** wirtschaftlich einführbar angenommen.
*   **Anfängliche Kosten (FOAK):** Die Stromgestehungskosten (COE) im Einführungsjahr werden mit **101 mill/kWh** angenommen.
*   **Anfängliche Verfügbarkeit:** Ein **Kapazitätsauslastungsverhältnis von 60%** (*plant capacity utilization ratio*) wird im Einführungsjahr angenommen.
*   **Betriebskosten:** Der Anteil der Betriebskosten an den Gesamtkapitalkosten wird initial auf **4%** festgelegt.
*   **Tritium-Versorgung:** Die anfängliche Tritiummenge für den **First-of-its-kind Fusion Reactor** kann als verfügbar angenommen werden; Tritium für nachfolgende Reaktoren muss jedoch im Reaktor selbst **gezüchtet** (*bred*) werden.
*   **Energiesystem-Modell (LDNE):** Das Modell umfasst **10 Regionen** und nutzt einen **Diskontierungssatz von 5%** zur Minimierung der gesamten diskontierten Energiekosten. Standardmäßig wird das $\text{CO}_2$-Szenario **Business-as-Usual (BAU)** und das Energiebedarfsszenario **IPCC IS92a** verwendet.
### 2. Welche Modell- und Kostenannahmen basieren auf tatsächlichen Erfahrungswerten und welche nur Schätzungen oder Prognosen? Welche Annahmen stammen woher?
| Annahme | Klassifikation | Herkunft / Basis |
| :--- | :--- | :--- |
| **Kostenmethodik** | Erfahrungswert / Standard | Die ökonomische Methodik und Berechnung sind **Standard** und wurden **von Nicht-Fusionsexperten verifiziert**. |
| **Monetäre Kosten** | Schätzung | Basieren auf **Kostendaten, die in mehreren Fusionsreaktorkonzepten verwendet und von produzierenden Unternehmen gesammelt** wurden. Die Spanne liegt bei **2400–4480 \$/kW**. |
| **Regionale Einführung** | Erfahrungswert | Die Verzögerung der Fusionseinführung in bestimmten Regionen (20 Jahre) basiert auf **weltweiten Erfahrungen mit der Einführung der Kernspaltung**. |
| **Anfängliche COE (101 mill/kWh)** | Prognose | **Angenommen** (*assumed*) für den Reaktor im Einführungsjahr.
| **Lernraten (2,3%/Jahr)** | Prognose | **Abgeleitet** (*derived*) aus angenommenen Kostenreduktionsfaktoren, basierend auf projizierten Betriebs- und Bauerfahrungen.
| **Ressourcen Fission** | Erfahrungswert/Datenbank | Die Kapazitätsbeschränkung für Kernspaltung in $\text{GW}_{e}$ basiert auf **Uranreserven** ($\approx 14 \text{ Mt-U}$).
| **Fossil Fuel Costs** | Externe Quellen | Basieren standardmäßig auf Schätzungen von **Masters et al. (1994)** und wurden alternativ mit optimistischen Schätzungen von **Rogner (1997)** untersucht.
### 3. Falls externe Quellen für die Modell- und Kostenannahmen verwendet wurden – wurden diese modifiziert? Falls ja, wie?
Ja, sowohl die Fusion-Input-Daten als auch die LDNE-Modelldaten basieren auf modifizierten externen Quellen:
*   **COE-Anpassung:** Die in der Literatur gefundenen COE-Werte für Fusionsreaktoren (**70–130 mill/kWh**) basieren auf einer Kapazitätsauslastung von 75%. Da die Modellierung der Breakeven Prices (BPs) eine initiale Auslastung von 60% annimmt, musste die COE-Spanne **angepasst** (*adjusted*) werden, indem sie durch den **Faktor 0,8** (das Verhältnis von 0,6 zu 0,75) dividiert wurde. Dies resultierte in einer **angepassten Spanne von 90–165 mill/kWh**.
*   **Fusionskapazitäts-Projektionen:** Die regionalen Kapazitätsprojektionen wurden **speziell für diese Studie entwickelt** und folgen der Prozedur einer Referenz (Asaoka, 2001), sind aber **unabhängig** davon. Die Modifikation liegt in der Annahme, dass der initiale Tritium-Inventar für den **First-of-its-kind Fusion Reactor** in jeder Region als verfügbar angenommen wird.
*   **LDNE-Modelldaten:** Die Kosten für die Stromerzeugungstechnologien und die Produktionskosten von Kohlenwasserstoffen werden aus verschiedenen externen Berichten (**IEA WEO, IIASA**) bezogen.
### 4. Wie lautet die Annahme zu Lernraten?
Es werden drei Mechanismen der Kostenreduktion über 50 Jahre modelliert, die in zwei jährliche Reduktionsraten resultieren:
1.  **Lernen durch Betrieb** (*"Learning by Operating"*): Die Anlagenverfügbarkeit steigt von **60% auf 78%** in den ersten 25 Jahren (und auf 83% in den folgenden 25 Jahren). Die **Betriebskostenquote** sinkt von **4% auf 2%**.
2.  **Technologisches Lernen** (*"Technological Learning"*): Eine **Gesamtkapitalkostenreduktion von 20%** (*total capital cost reduction of 20%*) wird angenommen.
Daraus ergeben sich die fixierten jährlichen COE-Reduktionsraten:
*   **Erste 25 Jahre:** **2,3% pro Jahr**.
*   **Nächste 25 Jahre:** **0,25% pro Jahr**.
### 5. Wie wurden die Annahmen zu den Lernraten hergeleitet bzw. von wo stammen diese Annahmen?
Die jährlichen Reduktionsraten sind **abgeleitet** (*derived*) aus einer **COE-Projektion**. Diese Projektion basiert auf den **angenommenen Kostenreduktionsfaktoren** (20% Kapitalkostenreduktion, Verfügbarkeitssteigerung etc.), die die erwarteten Erfahrungen aus dem Betrieb und Bau von Fusionskraftwerken widerspiegeln sollen. Die Lernraten wurden also intern basierend auf den erwarteten technologischen Fortschritten der Fusionsindustrie modelliert.
### 6. Wird offengelegt, ob die Kostenabschätzung auf einem Bottom-up-, Top-down- oder hybriden Ansatz basiert?
Es wird ein **hybrider Ansatz** verwendet, der Bottom-up-Kostenkalkulationen in ein Top-down-Systemmodell integriert:
*   **Bottom-Up-Kostenbasis:** Die Kosten der Fusionsanlagen (70–130 mill/kWh) werden mit einer Methode berechnet, bei der die Kosten von Komponenten **multipliziert mit einem Stückkostenwert pro Gewicht** oder durch **nichtlineare Skalierung** zu einem Standardwert berechnet werden. Dies ist eine Bottom-up-Kalkulation der Anlagen.
*   **Top-Down-Bewertung:** Diese COE-Werte werden als **exogener Input** in das **LDNE-Modell** (Linearized Dynamic New Earth Model) eingegeben. LDNE ist ein **umfassendes Welt-Energie- und Umweltmodell**, das die optimale Versorgungsstruktur durch Minimierung der Gesamtsystemkosten ermittelt (Top-down-Ansatz).
### 7. Beruht die Kostenherleitung auf physikalischen und technologischen Werten?
**Ja.** Die Kostenherleitung basiert auf detaillierten physikalischen und technologischen Werten:
*   **Kapitalkosten:** Die Kosten fast aller Anlagen werden durch Multiplikation eines Stückkostenwerts pro Gewicht berechnet. Die **physikalischen Abmessungen und Materialanforderungen** des konzeptionellen Tokamaks (wie des SSTR) bestimmen das Gewicht der Komponenten.
*   **Ersatzkosten:** Die jährlichen geplanten Ersatzkosten ($\text{C}_{src}$) berücksichtigen die **Häufigkeit des Ersatzes** von Komponenten wie **Blanket und Divertor**. Die notwendige Ersatzfrequenz hängt direkt von der **neutronischen Belastung** (*neutron wall load*) und der **Bestrahlungsresistenz** der verwendeten Strukturmaterialien (z. B. ferritische Stähle) ab.
### 8. Werden Materialkosten und Komponentenkosten separat ausgewiesen?
**Ja**, im Referenzdesign SSTR (Steady-State Tokamak Reactor) werden detaillierte Material- und Komponentenkosten (in Form von Gewichten) aufgeführt:
*   **Komponentenkosten (Gewicht):** Tabelle 4 und 5 listen die Hauptstrukturkomponenten des SSTR auf, wie die **Vakuumkammer und den Radiator-Schild** (ca. 10.000 Tonnen Edelstahl) und die **Toroidalfeldspulen** (ca. 10.000 Tonnen Edelstahl für die Tieftemperatur-Struktur).
*   **Spezialmaterialien (Gewicht):** Die benötigten Gewichte für **Lithium** (für die Tritiumzucht, ca. 97 Tonnen), **Beryllium** (als Neutronenmultiplikator, ca. 110 Tonnen) und **Niob** (für Supraleiter, ca. 207 Tonnen) werden separat ausgewiesen.
*   **Monetäre Kosten:** Die Gleichung zur Berechnung der COE enthält separate Terme für die jährlichen **Kapitalkosten ($\text{C}_{ac}$)**, die jährlichen **Ersatzkosten ($\text{C}_{src}$)** (Komponenten) und die **jährlichen Brennstoffkosten ($\text{C}_{fuel}$)**.
### 9. Bezieht sich die Studie auf ein Energiesystem (z.B. Integration, Vergleich mit anderen Technologien) oder ist sie rein bezogen auf die Kosten des Kraftwerks und des Reaktors?
Die Studie bezieht sich primär auf das **globale Energiesystem** und die **Integration der Fusion**.
*   **Systemmodellierung:** Die gesamte Analyse verwendet das **LDNE-Systemmodell**, das die optimale Energieversorgungsstruktur über das 21. Jahrhundert ermittelt, um die **Gesamtkosten des Energiesystems zu minimieren**.
*   **Rollenbewertung:** Die Studie bewertet explizit die Rolle der Fusion in Bezug auf: (i) ihren **Anteil am Strommarkt** im Jahr 2100, (ii) die **Reduktion der jährlichen globalen Energiekosten** und (iii) die **Minderung der Kohlenstoffsteuer** (*shadow price of carbon*) unter $\text{CO}_2$-Beschränkungen.
*   **Vergleich und Integration:** Die **Breakeven Prices (BPs)** werden ermittelt, um festzustellen, welche COE die Fusion haben muss, um mit konkurrierenden Technologien (Kohle, Kernspaltung, erneuerbare Energien, CO2-Abscheidung) optimal eingeführt zu werden.
### 10. Welche Kostenreduktionspotenziale oder wirtschaftlichen Optimierungsansätze werden thematisiert?
Die wesentlichen Optimierungsansätze, die die projizierte Kostensenkung in der NOAK-Phase ermöglichen, sind:
1.  **Steigerung der Verfügbarkeit:** Erhöhung des Kapazitätsauslastungsverhältnisses von **60% auf 83%** durch **"Learning by Operating"** (Lernen durch Betriebserfahrungen).
2.  **Reduzierung der Kapitalkosten:** Eine **20%ige Reduktion der Gesamtkapitalkosten** durch **"Technological Learning"** (Lernen beim Bauen).
3.  **Reduzierung der O&amp;M-Kosten:** Senkung des Betriebs- und Wartungskostenanteils von 4% auf 2% der Kapitalkosten.
4.  **Materialentwicklung:** Die Entwicklung von **fortschrittlichen Materialien** wie ODS-Stahl, Vanadium-Stahl und $\text{SiC/SiC}$-Verbundwerkstoffen wird als notwendig erachtet, um die Lebensdauer der Komponenten zu verlängern und **ökonomische Wettbewerbsfähigkeit** zu erzielen.
### 11. Was sind die signifikantesten Kostentreiber und ökonomischen Herausforderungen laut Studie?
**Signifikante Kostentreiber (Anfängliche Kosten):**
*   Die hohen **Kapitalkosten** (*total capital cost*) sind der entscheidende monetäre Kostentreiber. Dies zeigt sich in der anfänglichen **COE von 101 mill/kWh** und der weiten Spanne der Baukosten von **2400–4480 $/kW**.
**Ökonomische und Technologische Herausforderungen/Barrieren:**
1.  **Technologische Reife:** Die **Entwicklung von niedrig-aktivierenden Strukturmaterialien** (*low-activation structural materials*) ist essenziell für die ökonomische Wettbewerbsfähigkeit und wird als die **schwierigste Herausforderung** (*most difficult challenge*) angesehen.
2.  **Wettbewerb im BAU-Szenario:** Unter dem Business-as-Usual (BAU)-Szenario (ohne $\text{CO}_2$-Beschränkung) wird **kein derzeit konzipierter Tokamak-Reaktor wirtschaftlich ausgewählt**. Die Breakeven Prices liegen hier bei niedrigen **50–60 mill/kWh**.
3.  **Anlagengröße und Akzeptanz:** Die Notwendigkeit der **1-GW-Klasse** und die inhärente **Schwierigkeit der Verkleinerung** des Tokamak-Typs führen zu **Landbeschränkungen** und Einschränkungen der öffentlichen Akzeptanz (PA).
4.  **Industrieaufbau:** Die **fehlende Existenz einer Anlagenbauindustrie** für Fusionskraftwerke stellt eine potenzielle Barriere für die Einführung dar.
5.  **Externe Konkurrenz:** Die Verfügbarkeit von **günstigeren, reichlich vorhandenen fossilen Brennstoffen** (Rogner-Szenario) oder die **Expansion der Kernspaltung** würde die Einführung der Fusion erschweren, da sie die Breakeven Prices senken.</t>
  </si>
  <si>
    <t>Die Studie vergleicht die Kosten der Kernfusion primär mit **zukunftsgerichteten Projektionen** der Kosten anderer Energieerzeugungstechnologien im Rahmen eines globalen Energiesystemmodells (LDNE-Modell).
Der Vergleich dient dazu, die **Break-even Prices (BPs)** zu ermitteln – also die Bedingungen, unter denen die Fusion wirtschaftlich in zukünftige Energiesysteme eingeführt werden könnte.
### 1. Art des Kostenvergleichs (Zukunftsgerichtete Projektionen)
Die Fusion wird mit den projizierten Kosten konkurrierender Technologien im Zeitraum des **21. Jahrhunderts** verglichen, insbesondere im Kontext von $\text{CO}_2$-Emissionsbeschränkungen.
*   **Zukunftsmodelle:** Die Referenz für andere Technologien im LDNE-Modell basiert auf aktuellen Annahmen und Zukunftsprojektionen. Beispielsweise basieren die Produktionskosten für Kohlenwasserstoff-Ressourcen auf Schätzungen von Rogner (1997) und Masters et al. (1994). Die Kosten für erneuerbare Energien (Photovoltaik, Wind) beinhalten angenommene jährliche Kostenreduktionen bis 2050.
*   **Systemweite Optimierung:** Das LDNE-Modell minimiert die gesamten diskontierten Energiekosten des Systems über das 21. Jahrhundert und wählt Technologien basierend auf ihrer **Wettbewerbsfähigkeit in der Zukunft**.
*   **Alternative Szenarien:** Die Studie untersucht die Fusion unter verschiedenen Zukunftsannahmen, z. B. unter dem **Business-as-Usual (BAU)**-Szenario (ohne $\text{CO}_2$-Beschränkungen) und unter **strengen $\text{CO}_2$-Konzentrationsbeschränkungen** (z. B. 550 ppmv oder 450 ppmv).
### 2. Ergebnisse des Vergleichs
Die Ergebnisse hängen stark davon ab, ob strenge $\text{CO}_2$-Beschränkungen bestehen, da diese die Breakeven Prices (BPs) für die Fusion drastisch erhöhen:
#### A. Unter Business-as-Usual (BAU) Szenario (Ohne $\text{CO}_2$-Beschränkung)
*   **Ergebnis:** **Keiner der derzeit konzipierten Tokamak-Reaktoren wird ökonomisch ausgewählt**.
*   **Breakeven Price (BP):** Die Fusion müsste extrem billig sein, um konkurrenzfähig zu sein. Der ungefähre BP-Bereich liegt in diesem Szenario bei **50 bis 60 mill/kWh** im Jahr 2050.
*   **Grund:** Die Konkurrenz durch **kostengünstige fossile Brennstoffe** ist in diesem Szenario zu stark.
#### B. Unter $\text{CO}_2$-Konzentrationsbeschränkungen (550 ppmv oder 450 ppmv)
*   **Ergebnis:** Unter diesen Szenarien wird die Fusion **wirtschaftlich wettbewerbsfähig**. Die CO$_2$-Beschränkungen führen zur maximalen Nutzung anderer emissionsfreier Optionen wie Kernspaltung und erneuerbare Energien, was den BP für die Fusion erhöht.
*   **Breakeven Price (BP):** Die BPs sind deutlich höher und die Fusion hat eine reelle Chance:
    *   Im Jahr 2050 liegt die BP-Spanne bei **65 bis 135 mill/kWh**.
    *   Das am besten designte Fusionskonzept mit einer **angepassten COE von 90 mill/kWh** kann **ab 2050, wenn auch nicht mit Sicherheit, eingeführt** werden, und **nach 2060 mit Sicherheit**.
    *   Das schlechtere Konzept mit **165 mill/kWh** kann erst **nach 2060** wirtschaftlich ausgewählt werden.
#### C. Rollen der Fusion im Energiesystem
Die Studie beurteilt die Rolle der Fusion, wenn sie ihre Breakeven Prices erreicht, im Vergleich zum System ohne Fusion:
*   **Reduktion der Systemkosten:** Die Fusion würde die jährlichen gesamten Energiekosten des Systems reduzieren. Bei Einführung im Jahr 2050 liegt die maximale Reduktion im realistischen IIC-Szenario bei etwa **10 Milliarden US-Dollar pro Jahr** (entsprechend 0,5% der Gesamtkosten).
*   **Minderung der Kohlenstoffsteuer:** Die Fusion mildert die notwendige Kohlenstoffsteuer (Shadow Price of Carbon) unter $\text{CO}_2$-Beschränkungen. Die Minderung liegt im realistischen IIC-Szenario bei bis zu **100 $/Ton-C** (entspricht 5% Reduktion).</t>
  </si>
  <si>
    <t>Or 10th-OAK since after 20 years</t>
  </si>
  <si>
    <t>Or 10th-OAK since after 25 years; mature NOAK</t>
  </si>
  <si>
    <t>Die Studie untersucht die potenziellen Kosten und die Markteinführung der Kernfusion im **21. Jahrhundert** mithilfe des **LDNE (Linearized Dynamic New Earth) Welt-Energie- und Umweltmodells**. Der Vergleich basiert somit auf **zukunftsgerichteten Projektionen** der Kosten konkurrierender Energieerzeugungstechnologien, nicht auf historischen Werten.
### 1. Basis des Kostenvergleichs (Zukunftsgerichtete Projektionen)
Die Analyse ermittelt die **Breakeven Prices (BPs)** der Kernfusion – jene maximalen Stromgestehungskosten (COE), bei denen Fusionsreaktoren unter verschiedenen Zukunftsannahmen kosteneffektiv in das gesamte Energiesystem eingeführt werden könnten.
*   **Systemmodellierung:** Das LDNE-Modell minimiert die **gesamten diskontierten Energiekosten** über das 21. Jahrhundert.
*   **Konkurrierende Technologien:** Die Kosten für andere Technologien, wie die Stromerzeugung aus **fossilen Brennstoffen, erneuerbaren Energien** (Photovoltaik, Wind) und **Kernspaltung**, sowie $\text{CO}_2$-Minderungsstrategien (Abscheidung und Speicherung), werden im Modell berücksichtigt.
*   **Zukunftsszenarien:** Der Vergleich erfolgt unter zwei Hauptannahmen für die Zukunft der Energiewirtschaft: dem **Business-as-Usual (BAU)-Szenario** (ohne $\text{CO}_2$-Beschränkung) und Szenarien mit **strengen $\text{CO}_2$-Konzentrationsbeschränkungen** (450 ppmv und 550 ppmv).
### 2. Ergebnis des Kostenvergleichs
Das Ergebnis hängt maßgeblich davon ab, welche $\text{CO}_2$-Beschränkungen im Energiesystem herrschen:
#### A. Unter Business-as-Usual (BAU) Szenario
*   **Ergebnis:** Unter dem BAU-Szenario wird **keiner** der derzeit konzipierten Tokamak-Reaktoren (deren COE-Spanne zwischen 70 und 130 mill/kWh liegt) **wirtschaftlich ausgewählt**.
*   **Breakeven Price (BP):** Die erforderlichen BPs im BAU-Fall liegen sehr niedrig, zwischen **51 und 68 mill $\text{kW}^{-1}\text{h}^{-1}$**.
*   **Ursache:** Die **geringeren $\text{CO}_2$-Beschränkungen** (oder deren Fehlen) führen dazu, dass **kostengünstigere Kohle** und fossile Brennstoffe weiterhin dominant genutzt werden können, was die Markteinführungsbedingungen für die Fusion erschwert.
#### B. Unter Strengen $\text{CO}_2$-Konzentrationsbeschränkungen (550 ppmv und 450 ppmv)
*   **Ergebnis:** Die Fusion wird **wirtschaftlich wettbewerbsfähig**, da die $\text{CO}_2$-Beschränkungen die Einführung teurerer, emissionsfreier Technologien wie Kernspaltung und erneuerbare Energien erzwingen und dadurch den BP für die Fusion anheben.
*   **Breakeven Price (BP):** Unter der 550 ppmv $\text{CO}_2$-Konzentrationsbeschränkung liegen die BPs je nach Einführungsjahr zwischen **65 und 125 mill $\text{kW}^{-1}\text{h}^{-1}$**. Die BPs sind unter der 450 ppmv Beschränkung noch höher.
*   **Markteintritt:** Die Reaktoren mit dem günstigsten **angepassten COE** (90 mill $\text{kW}^{-1}\text{h}^{-1}$) könnten unter der 550 ppmv-Beschränkung **ab 2060 mit Sicherheit** eingeführt werden. Die teuersten derzeit konzipierten Reaktoren (angepasster COE von 165 mill $\text{kW}^{-1}\text{h}^{-1}$) könnten möglicherweise **nach 2060** wirtschaftlich ausgewählt werden, allerdings ohne Sicherheit.
### 3. Einfluss von Unsicherheiten
*   Unterschiede bei den technologischen Optionen und $\text{CO}_2$-Konzentrationsbeschränkungen können die BPs um **plus/minus 10–30 mill $\text{kW}^{-1}\text{h}^{-1}$** beeinflussen.
*   Beispielsweise führen Annahmen über **günstige und reichlich vorhandene fossile Brennstoffe** (Rogner-Szenario) zu einem Rückgang der BPs und machen die Einführung der Fusion schwieriger.
*   Umgekehrt würde das **Fehlen von innovativen Technologien** oder $\text{CO}_2$-Sequestrierungstechnologien zu höheren BPs führen, da das Energiesystem dann auf **teure kohlenstoffarme Alternativen** ausweichen müsste, was die Einführung der Fusion begünstigt.</t>
  </si>
  <si>
    <t>Die Antworten basieren auf der Untersuchung der **Breakeven Prices (BPs)** und des Versorgungs­potenzials der Kernfusion mithilfe des **LDNE (Linearized Dynamic New Earth) Welt-Energie- und Umweltmodells**.
---
### 1. Welche Modellannahmen werden getroffen?
Die Studie trifft Annahmen sowohl zum Fusionskraftwerks-Design als auch zum globalen Energiesystemmodell:
*   **Fusionsreaktor-Design:** Es werden **derzeit konzipierte Tokamak-Typ-Fusionsreaktoren** (*present-design tokamak-type nuclear fusion reactors*) untersucht. Sie sind für den **Basislastbetrieb** (*base-load operated*) ausgelegt und gehören zur **1-GW-Klasse**.
*   **Zeitrahmen und Modellstruktur:** Das **LDNE-Modell** wird verwendet, das **10 regionale Allokationen** und **10-Jahres-Zeitintervalle** über das **21. Jahrhundert** behandelt.
*   **Optimierungskriterium:** Das Modell illustriert optimale Energieversorgungsstrukturen durch die **Minimierung der Kosten des gesamten diskontierten Energiesystems** (*costs of total discounted energy systems*) unter Verwendung eines **Diskontierungssatzes von 5%**.
*   **Annahmen zur Einführung (FOAK-Phase):** Im Einführungsjahr des Reaktors wird eine **COE (Cost of Electricity) von 101 mill $\text{kW}^{-1}\text{h}^{-1}$** angenommen. Das anfängliche **Kapazitätsauslastungsverhältnis** (*plant Capacity utilization ratio*) beträgt **60%** und der **Betriebskostenanteil** (*operation cost fraction*) an den Gesamtkapitalkosten beträgt **4%**.
*   **Regionale Einführung:** Die Einführung der Fusionsreaktoren wird in Nordamerika, Westeuropa, Japan und der ehemaligen Sowjetunion beginnen. Eine **20-jährige Verzögerung** der Einführung wird für China, Süd- und Ostasien, Afrika und Lateinamerika angenommen.
*   **Tritium-Versorgung:** Es wird angenommen, dass der **initiale Tritium-Inventar** für den **First-of-its-kind Fusion Reactor** in jeder Region **verfügbar** ist. Das Tritium für **nachfolgende Reaktoren** muss jedoch im Fusionsreaktor **gezüchtet** (*bred*) werden.
*   **CO2-Szenarien:** Standardmäßig werden das **Business-as-Usual (BAU)-Szenario** und das Szenario einer $\text{CO}_2$-Konzentrationsbeschränkung von **550 ppmv** bis zum Jahr 2100 untersucht.
### 2. Welche Modell- und Kostenannahmen basieren auf tatsächlichen Erfahrungswerten und welche nur Schätzungen oder Prognosen? Welche Annahmen stammen woher?
| Annahme | Klassifikation | Herkunft / Basis |
| :--- | :--- | :--- |
| **LDNE-Modell** | Erfahrungswert | Das Modell ist ein **etabliertes, hochentwickeltes** (*well established, quite sophisticated*) Energieversorgungsmodell, das in Regierungsprojekten und für IPCC-Aktivitäten verwendet wird. |
| **Regionale Verzögerung** | Erfahrungswert | Die angenommene **20-jährige Verzögerung** bei der regionalen Einführung basiert auf den **weltweiten Erfahrungen mit der Einführung der Kernspaltung** (*world fission introduction experiences*). |
| **Fossile Brennstoffkosten** | Erfahrungswert / Standard | Die Standard-Kostenkurven basieren auf der Schätzung von **Masters et al.** und werden als **Standard** in der Literatur für die Bewertung fossiler Brennstoffe verwendet. |
| **Anfängliche COE (101 mill $\text{kW}^{-1}\text{h}^{-1}$)** | Prognose / Annahme | Dieser Wert wird für den Reaktor im Einführungsjahr **angenommen** (*assumed*). |
| **Lernraten (2,3% und 0,25% p.a.)** | Prognose | Die Raten sind aus **angenommenen Kostenreduktionsfaktoren** (20% Kapitalkostenreduktion, Steigerung der Verfügbarkeit) **abgeleitet** (*derived*). |
| **Kapitalkosten-Spanne (2400–4480 \$/kW)** | Schätzung | Die der COE zugrundeliegende Kostenreichweite stammt aus den **derzeit konzipierten Tokamak-Reaktoren**. |
| **Innovative Technologien** | Prognose (Exogen) | Die Annahme, dass **anonyme innovative Zukunftstechnologien** 10% (2075) bzw. 20% (2100) des Energiebedarfs decken, ist ein **exogen gegebenes Szenario**. |
### 3. Falls externe Quellen für die Modell- und Kostenannahmen verwendet wurden – wurden diese modifiziert? Falls ja, wie?
**Ja**, externe Fusionskostendaten und Projektionen wurden angepasst:
*   **Anpassung der COE-Spanne:** Die in der Literatur gefundenen COE-Werte für Fusionsreaktoren (**70–130 mill $\text{kW}^{-1}\text{h}^{-1}$**) basierten auf einer Kapazitätsauslastung von 75%. Da die Modellierung eine initiale Kapazitätsauslastung von 60% annimmt, wurde die Spanne **angepasst** (*adjusted*), indem sie durch den **Faktor 0.8** (das Verhältnis von 0,6 zu 0,75) dividiert wurde. Dies führte zur **"angepassten" COE-Spanne von 90–165 mill $\text{kW}^{-1}\text{h}^{-1}$**.
*   **Anpassung der Tritium-Projektion:** Die regionalen Kapazitätsprojektionen wurden **speziell für diese Studie entwickelt** und folgen der Vorgehensweise einer Referenz. Die Modifikation besteht darin, dass die **initiale Tritium-Inventar** für den *First-of-its-kind Fusion Reactor* in jeder Region als **verfügbar angenommen** wird.
### 4. Wie lautet die Annahme zu Lernraten?
Es werden zwei unterschiedliche, fixierte jährliche Raten für die Reduktion der Stromgestehungskosten (COE) angenommen:
*   **Erste 25 Jahre nach Einführung:** **2,3% pro Jahr**.
*   **Nachfolgende 25 Jahre (25 bis 50 Jahre):** **0,25% pro Jahr**.
### 5. Wie wurden die Annahmen zu den Lernraten hergeleitet bzw. von wo stammen diese Annahmen?
Die jährlichen Reduktionsraten sind aus einer **COE-Projektion abgeleitet** (*derived from a COE projection*). Sie basieren auf angenommenen Faktoren für Kostenreduktion und Betriebsverbesserung über die ersten 25 Jahre nach Einführung:
1.  **Lernen durch Betrieb** (*Reactor operation experiences*): Die **Kapazitätsauslastung** steigt von 60% auf **78%** (und später auf 83%), und der **Operationskostenanteil** an den Kapitalkosten wird von 4% auf **2% reduziert**.
2.  **Technologisches Lernen** (*Technological learning*): Es wird eine **Gesamtkapitalkostenreduktion von 20%** angenommen.
### 6. Wird offengelegt, ob die Kostenabschätzung auf einem Bottom-up-, Top-down- oder hybriden Ansatz basiert?
Es wird ein **hybrider Ansatz** verwendet:
*   **Bottom-Up-Basis:** Die anfänglichen Kosten der Fusionsreaktoren (COE 70–130 mill $\text{kW}^{-1}\text{h}^{-1}$) basieren auf detaillierten Schätzungen (*cost data collected from manufacturing companies*). Die Kosten der Ausrüstung (*equipment*) werden durch Multiplikation eines Stückkostenwerts pro Gewicht oder durch Skalierung berechnet [47 (implizit)]. Dies ist ein **Bottom-up-Ansatz** für das Kraftwerk.
*   **Top-Down-Systembewertung:** Diese Fusionskosten werden als **exogener Input** in das **LDNE-Welt-Energie- und Umweltmodell** eingegeben. Das Modell selbst ist ein **Top-down-Ansatz** zur dynamischen Optimierung des gesamten Weltenergiesystems.
### 7. Beruht die Kostenherleitung auf physikalischen und technologischen Werten?
**Ja.** Die zugrunde liegende COE-Spanne und die Betriebsparameter beruhen direkt auf den physikalischen und technologischen Werten der konzipierten Tokamak-Reaktoren:
*   **Kapitalkosten:** Die Kosten für die Ausrüstung (*equipment*) werden mithilfe des Gewichts und der Stückkosten der Komponenten (die von den **physikalischen Abmessungen** abhängen) berechnet [47 (implizit)].
*   **Ersatzkosten:** Die angenommenen jährlichen Ersatzkosten (*scheduled replacement cost*) (die zur COE beitragen) berücksichtigen die **Häufigkeit des Austauschs** von Komponenten wie Blanket und Divertor, was von der **Materialresistenz** gegen Neutronenbelastung abhängt.
*   **Betriebsleistung:** Die Steigerung des Kapazitätsauslastungsverhältnisses (Verfügbarkeit) von 60% auf 83% basiert auf der Annahme einer erfolgreichen technologischen Entwicklung und der **Behebung von Zuverlässigkeitsproblemen**.
### 8. Werden Materialkosten und Komponentenkosten separat ausgewiesen?
**Ja**, die Kosten werden aufgeschlüsselt, wenn auch nicht in absoluten US-Dollar-Beträgen in diesen Auszügen:
*   **Monetäre Aufschlüsselung:** Die Gleichung zur Berechnung der COE im Modell enthält separate Terme für die jährlichen **Kapitalkosten**, die jährlichen **Ersatzkosten** ($\text{C}_{src}$) der Komponenten und die jährlichen **Brennstoffkosten** ($\text{C}_{fuel}$).
*   **Physische Basis:** Die zugrunde liegenden Kostenmodelle berechnen die Kosten für **Ausrüstung** durch Multiplikation mit dem **Gewicht** [47 (implizit)]. Materialdaten (wie Gewichte) für Hauptkomponenten von Tokamak-Konzepten wie dem SSTR sind die Basis für diese Berechnungen.
### 9. Bezieht sich die Studie auf ein Energiesystem (z. B. Integration, Vergleich mit anderen Technologien) oder ist sie rein bezogen auf die Kosten des Kraftwerks und des Reaktors?
Die Studie bezieht sich primär auf das **globale Energiesystem** und die **Integration der Fusion**.
*   **Systemweite Bewertung:** Das Ziel ist es, die Rolle der Fusion im **21. Jahrhundert** zu untersuchen. Das LDNE-Modell ermittelt die **optimale Energieversorgungsstruktur** des gesamten Systems.
*   **Ergebnisse zur Systemwirkung:** Die Ergebnisse zeigen den **Anteil der Fusion an der Stromversorgung im Jahr 2100** und die **Breakeven Prices (BPs)**, die die Fusion erreichen muss, um mit anderen Technologien (Kernspaltung, Fossile Brennstoffe, $\text{CO}_2$-Sequestrierung) in diesem System zu konkurrieren.
### 10. Welche Kostenreduktionspotenziale oder wirtschaftlichen Optimierungsansätze werden thematisiert?
Die wirtschaftlichen Optimierungsansätze sind in den **angenommenen Lernraten** zusammengefasst, die die Kosten in der NOAK-Phase senken sollen:
1.  **Steigerung der Verfügbarkeit:** Die **Kapazitätsauslastung** steigt von 60% (FOAK) auf **83%** (Mature NOAK), was die Kosten pro erzeugter $\text{kWh}$ reduziert.
2.  **Reduktion der Kapitalkosten:** Es wird eine **20%ige Reduktion der Gesamtkapitalkosten** durch technologisches Lernen (*technological learning*) angenommen.
3.  **Reduktion der O&amp;M-Kosten:** Der Anteil der Betriebskosten an den Kapitalkosten sinkt durch Betriebserfahrungen von 4% auf **2%**.
### 11. Was sind die signifikantesten Kostentreiber und ökonomischen Herausforderungen laut Studie?
**Signifikante Kostentreiber:**
*   **Hohe Kapitalkosten:** Die hohen anfänglichen Kapitalkosten der Tokamak-Reaktoren sind der Haupttreiber. Dies schlägt sich in der COE-Spanne der derzeitigen Designs (**90–165 mill $\text{kW}^{-1}\text{h}^{-1}$**) nieder.
**Ökonomische und Technologische Herausforderungen:**
1.  **Mangelnde Wettbewerbsfähigkeit im BAU-Szenario:** Unter einem Szenario ohne $\text{CO}_2$-Beschränkung (**BAU**) wird **kein derzeit konzipierter Fusionsreaktor wirtschaftlich ausgewählt**, da die erforderlichen Breakeven Prices (51–68 mill $\text{kW}^{-1}\text{h}^{-1}$) zu niedrig sind.
2.  **Abhängigkeit von $\text{CO}_2$-Politik:** Die Markteinführung der Fusion hängt von der Existenz **strenger $\text{CO}_2$-Konzentrationsbeschränkungen** (450 und 550 ppmv) ab.
3.  **Konkurrenz durch Fossile Brennstoffe und Kernspaltung:** Die Verfügbarkeit von **günstigeren und reichlich vorhandenen fossilen Brennstoffen** oder die **Expansion der Kernspaltung** würde die BPs der Fusion senken und ihre Einführung erschweren.
4.  **Technologischer Fortschritt:** Der tatsächliche Einführungszeitpunkt und der Marktanteil hängen davon ab, ob in Zukunft **Verbesserungen und Fortschritte** im Design der Tokamak-Reaktoren erzielt werden.</t>
  </si>
  <si>
    <t>Die folgende detaillierte Antwort basiert auf dem Vergleich der Kostenprognosen für Fusionsreaktoren, der unter Verwendung der US-amerikanischen (ASC) und der EURATOM-Methode (SCAN, SUPERCOIL) durchgeführt wurde.
### 1. Welche Modellannahmen werden getroffen?
Die Modellannahmen konzentrieren sich auf das Design von DT-Tokamak-Kraftwerken, die als Basislast-Einheiten im mittleren 21. Jahrhundert betrieben werden sollen:
*   **Reaktor-Typ und Leistung:** Es wird ein typisches **DT-Tokamak-Kraftwerk** (*DT tokamak power plant*) betrachtet, das als **Basislast-Einheit** (*base-load units*) betrieben wird und eine Netto-Leistung von $P_E \approx \mathbf{1.000} \text{ bis } \mathbf{1.200} \text{ MWe}(\text{net})$ aufweist. Das Referenzreaktor-Testbeispiel ist auf $1.200 \text{ MWe}$ Nettoleistung ausgelegt.
*   **Betriebszeit und Verfügbarkeit:** Die angenommene **Anlagenverfügbarkeit** (*Plant availability factor*, $P_L$) beträgt $0,75$ (75 %). Die angenommene **Lebensdauer** der Anlage beträgt **30 Jahre**.
*   **Thermische Effizienz:** Die thermische Umwandlungseffizienz ($\eta_{TH}$) wird mit **40 %** angenommen.
*   **Sicherheitsniveau (LSA):** Im Vergleichsfall wird ein **Level of Safety Assurance (LSA) von 4** angenommen, was aktive Sicherheitssysteme erfordert.
*   **Wirtschaftliche Faktoren:** Es wird ein **fester Zinssatz** (*Real interest rate*) von $4,35 \%$ pro Jahr angenommen. Der Zinssatz während der Konstruktion (ID&amp;C) und die Eskalation während der Konstruktion (EDC) sind als Anteile der gesamten direkten Kosten (TDC) definiert.
### 2. Welche Modell- und Kostenannahmen basieren auf tatsächlichen Erfahrungswerten und welche nur Schätzungen oder Prognosen? Welche Annahmen stammen woher?
| Annahme | Klassifikation | Herkunft / Basis |
| :--- | :--- | :--- |
| **Anlagenverfügbarkeit (75 %)** | Erfahrungswert | Basiert auf **besseren Erfahrungen mit Spaltanlagen** (*better fission-plant experience*). |
| **Kostenstruktur Fission** | Erfahrungswert / Standard | Es wird angenommen, dass die Balance of Plant (BOP) und die nuklearen regulatorischen Anforderungen Ähnlichkeiten mit **zukünftigen Spaltanlagen** aufweisen. |
| **Materialkosten ($/kg$)** | Schätzung / Datenbasis | Die **Einheitsmaterialkosten** (*Unit Materials Cost*) für spezifische Fusionsmaterialien (z. B. RAF 58 \$/kg, TF-Spulen 74 \$/kg) sind **projizierte Schätzungen**, die in den Codes GENEROMAK, Neo-GENEROMAK, ASC und SCAN verwendet werden. |
| **COE-Kosten** | Prognose | Die COE-Werte sind **projizierte Kosten** (*Projected costs*) für zukünftige kommerzielle Reaktoren in der **Mitte des 21. Jahrhunderts**. |
| **Lernkurven-Gutschriften** | Prognose | Die **günstigen Gutschriften durch Lernkurven und Massenproduktion** (*Favorable learning-curve and mass-production cost credits*) basieren auf **allgemeiner industrieller Erfahrung** (*general industrial experience*). |
| **Kostenkonten/Standards** | Erfahrungswert / Standard | Historisch wurden **standardisierte MFE-Stückkosten und Kostenrechnungsverfahren** versucht einzuführen [5, 7–10]. |
### 3. Falls externe Quellen für die Modell- und Kostenannahmen verwendet wurden – wurden diese modifiziert? Falls ja, wie?
**Ja**, insbesondere bei der Angleichung der Kostenmodelle und der Umrechnung von Währungen:
*   **Kostenkonten-Anpassung:** Die **EURATOM-Subkosten** wurden **umstrukturiert** (*rearrangement*) und gemäß dem **US-Kostenrechnungsschema** (Fig. 1) neu gefasst, um einen Vergleich zu ermöglichen.
*   **Währungs- und Inflationsanpassung:** Um internationale Vergleiche zu ermöglichen, wurden komplexe Verfahren angewandt, um Kosten, die zu unterschiedlichen Zeiten in verschiedenen Währungen erstellt wurden (z. B. 1984 ECU), auf **1990 US-Dollar** zu bringen. Dies erforderte die Verwendung von Inflationsindizes (z. B. **GNP implicit price deflator** oder **IMF-Index**) und **Wechselkursen** des Vergleichsjahres.
*   **Anpassung der ASC-Datenbank:** Einige Werte im ASC-Code wurden an die Empfehlungen des Neo-GENEROMAK-Modells **angepasst** (*adjusted*).
### 4. Wie lautet die Annahme zu Lernraten?
Die Annahme ist, dass durch die Kommerzialisierung der neuartigen Fusionstechnologien **günstige Gutschriften durch Lernkurven und Massenproduktion** (*Favorable learning-curve and mass-production cost credits*) antizipiert werden können.
### 5. Wie wurden die Annahmen zu den Lernraten hergeleitet bzw. von wo stammen diese Annahmen?
Die Annahme stammt aus der **allgemeinen industriellen Erfahrung** (*general industrial experience*).
*   **Quantifizierung:** Die Lerneffekte können zu Kostenreduktionen von **bis zu einem Faktor von zwei** führen.
*   **Anwendung:** Diese Lerneffekte sind der Grund für den signifikanten Unterschied zwischen den Kosten des **FOAK**-Reaktors (z. B. SCAN(c) mit 105,1 mill/kWeh) und denen des **10th-of-a-kind**-Reaktors (z. B. ASC(b) mit 78,7 mill/kWeh). Die Studie verweist dabei auf allgemeine Arbeiten zu Lernkurven in der Fertigung.
### 6. Wird offengelegt, ob die Kostenabschätzung auf einem Bottom-up-, Top-down- oder hybriden Ansatz basiert?
Die Studie legt implizit offen, dass die Kostenabschätzung auf einem **Bottom-up-Ansatz** für die direkten Kapitalkosten basiert, der in **Top-down-Skalierungscodes** (ASC, SCAN) implementiert ist.
*   **Bottom-Up-Basis:** Die direkten Kosten (TDC) werden durch die Summierung detaillierter **Kostenkonten (Accounts 20 bis 26)** berechnet. Die Kosten für Materialien und Ausrüstung werden durch die Multiplikation von **Einheitskosten pro Kilogramm** oder durch **Skalierungsbeziehungen** (z. B. $\text{Cost} (\$) = C \cdot P^J$) berechnet. Diese detaillierte Komponenten- und Materialbasis ist ein **Bottom-up-Ansatz**.
*   **System-Codes:** Die Implementierung erfolgt über **Systemcodes** wie den **ARIES Systems Code (ASC)** und den **SCAN-Code**, die die verschiedenen Bottom-up-Kostenposten zu Gesamtprojektionen aggregieren.
### 7. Beruht die Kostenherleitung auf physikalischen und technologischen Werten?
**Ja**, die Kostenherleitung beruht direkt auf physikalischen und technologischen Werten.
*   **Physikalische Parameter:** Die verwendeten Codes (ASC, SUPERCOIL) nutzen eine Vielzahl von **Physik- und Engineering-Parametern** (z. B. Aspektverhältnis, Neutronenwandbelastung, Plasma-Hauptradius) als Basis für die Komponenten-Dimensionierung und die anschließende Kostenberechnung.
*   **Materialtechnologie:** Die jährlichen **Ersatzkosten** (*Annual scheduled component replacement*, $\text{C}_{scr}$) hängen von der **Lebensdauer des Blankets und der ersten Wand** ab, die wiederum von der **Materialtechnologie** und der **Neutronenbelastung** bestimmt wird.
*   **Technologische Komplexität:** Die Kosten berücksichtigen die spezifischen Anforderungen des Fusionskerns (FPC), einschließlich der Kosten für **Supraleiterspulen**, die im Gegensatz zu Spaltanlagen einen **signifikanten Teil der gesamten Anlageninvestition** ausmachen.
### 8. Werden Materialkosten und Komponentenkosten separat ausgewiesen?
**Ja.**
*   **Komponentenkosten:** Die Kosten werden nach dem **US-Kostenrechnungsschema** detailliert aufgeschlüsselt. Hauptkostenkonten sind unter anderem **Blanket und First Wall (22.1.1)**, **Magnete (22.1.3)**, **Turbine Plant Equipment (23.)** und **Electric Plant Equipment (24.)**.
*   **Materialkosten:** Die **Einheitsmaterialkosten** (*Unit Materials Cost*) für spezifische Fusionskern-Materialien (wie RAF-Stahl, Blei-Lithium und TF-Spulen-Materialien) sind in Tabelle I explizit in **US-Dollar pro Kilogramm** ($/kg$) angegeben.
### 9. Bezieht sich die Studie auf ein Energiesystem (z. B. Integration, Vergleich mit anderen Technologien) oder ist sie rein bezogen auf die Kosten des Kraftwerks und des Reaktors?
Die Studie ist **primär auf die Kosten des Kraftwerks und des Reaktors** fokussiert.
*   **Ziel:** Die COE (Cost of Electricity) und die Kapitalkosten sind **Kennzahlen** (*figures of merit*) zur **Bewertung der Attraktivität** (*assessing the attractiveness*) der Fusionsenergie im Vergleich zu **wettbewerbsfähigen Alternativen** (*competitive alternatives*).
*   **Systematischer Vergleich:** Die Autoren erwähnen, dass die niedrigen Brennstoffkosten und die Vorteile in Bezug auf Umwelt und Sicherheit (E&amp;S) der Fusion die **inkrementellen Kosten** ausgleichen könnten, insbesondere wenn die **externen, "verborgenen" Kosten** (*external, "hidden" costs*) fossiler und Spaltoptionen signifikant sind.
### 10. Welche Kostenreduktionspotenziale oder wirtschaftlichen Optimierungsansätze werden thematisiert?
Thematisiert werden sowohl die **Reduktion durch Reife** als auch **designbedingte Optimierungen**:
*   **Lerneffekte:** Das größte Reduktionspotenzial liegt in der Realisierung von **Lernkurven- und Massenproduktions-Gutschriften**, die Kostenreduktionen um bis zu einen Faktor von zwei ermöglichen. Dies wird durch den Vergleich von **FOAK** (9.144 M\$) mit **10th-of-a-kind** (4.785 M\$) quantifiziert.
*   **Sicherheits-Level (LSA):** Die Einführung von Design-Merkmalen zur Erreichung **erhöhter passiver Sicherheit** (z. B. LSA = 3, 2 oder 1) wird als Optimierungsansatz genannt. Es wird geschätzt, dass dies zu einer COE-Reduktion von bis zu **$\approx 20\%$** führen kann, obwohl die hierfür erforderlichen Designmerkmale die direkten Kosten des FPC erhöhen können.
### 11. Was sind die signifikantesten Kostentreiber und ökonomischen Herausforderungen laut Studie?
**Signifikanteste Kostentreiber:**
*   Der **Fusionskern (FPC)** (*Fusion Power Core*) stellt einen **signifikanten Teil der gesamten Anlageninvestition** dar, im Gegensatz zu seinem Gegenstück in einer Spaltanlage.
*   Das Verhältnis der Kosten für das **Reaktor Plant Equipment (RPE, Account 22)** zu den gesamten direkten Kosten (TDC) liegt bei **0,65 (ASC) bis 0,59 (SCAN)**, verglichen mit $\approx 0,3$ für die Kernspaltung.
**Ökonomische Herausforderungen:**
*   **Methodik-Inkonsistenz:** **Differierende Kostenmethodologien** zwischen den internationalen Studien (US vs. EURATOM) erschweren die Nützlichkeit der Projektionen.
*   **Umrechnungsunsicherheit:** Die **Konvertierung von Kostenschätzungen** in andere Währungen zu verschiedenen Zeitpunkten ist aufgrund der **unterschiedlichen und schwankenden Inflations- und Wechselkurse** (*different and fluctuating inflation and exchange rates*) **besonders unsicher** und kompliziert den Vergleich.
*   **Mangel an Standards:** Es fehlt ein vereinbarter Standard für die Behandlung von **Ersatzteilen/Austausch** als Investitions- oder Betriebskosten, sowie für das Ausgabenprofil während der Bauzeit (was die Zinslast beeinflusst).
*   **Signifikante Subkonten-Differenzen:** Es bestehen signifikante Kostenunterschiede zwischen den Codes, insbesondere bei den **Vakuumsystemkosten** und den **Balance-of-Plant (BOP) Sub-Accounts**.</t>
  </si>
  <si>
    <t>Die vorliegende Studie vergleicht die Kosten der Fusionsenergie primär mit **zukunftsgerichteten Projektionen** anderer Energieerzeugungsoptionen, um die Attraktivität der Kernfusion zu bewerten.
### 1. Vergleichsgrundlage: Zukunftsgerichtete Projektionen
Der Vergleich findet im Kontext des **zukünftigen (Mitte des 21. Jahrhunderts) Energiemarktes** statt.
*   **Zweck:** Die projizierten Kapitalkosten und die Stromgestehungskosten (COE) von Fusionsreaktoren dienen als **"figures of merit"** (Kennzahlen) zur Bewertung der Attraktivität der magnetischen Fusionsenergie (MFE) im **Vergleich mit wettbewerbsfähigen Alternativen**.
*   **Alternative Quellen:** Die Studie zieht als Vergleichspunkte sowohl **zukünftige Spaltanlagen** als auch **fossile Energieoptionen** in Betracht. Es wird angenommen, dass zentrale Fusionskraftwerke gemeinsame Merkmale mit zukünftigen Spaltanlagen (*future fission plants*) in Bezug auf das **Balance of Plant (BOP)** und **nukleare Regulierungsvorschriften** teilen.
*   **Umwelt- und Sicherheitsvorteile:** Die Autoren betonen, dass die **Umwelt- und Sicherheitsvorteile (E&amp;S)** sowie die **niedrigen Brennstoffkosten** der Fusion die **inkrementellen Kosten** der technischen Komplexität der Fusion ausgleichen könnten, insbesondere wenn sich die **externen, "verborgenen" Kosten** fossiler und nuklearer Spaltungsoptionen als signifikant erweisen.
### 2. Ergebnisse des Kostenvergleichs (Gegenüberstellung)
Die Studie quantifiziert die projizierten Kosten (COE) für Fusionsreaktoren in zwei Reifegraden und stellt sie der mutmaßlichen Konkurrenz gegenüber (implizit in den Vergleichswerten):
**A. Fusions-Ergebnisse (Projiziert für Mitte des 21. Jahrhunderts):**
*   **Prototyp (FOAK):** Die projizierte COE für einen **Prototyp-Reaktor (First-of-a-kind, SCAN(c))** liegt bei **105,1 mill/kWeh**.
*   **Reife Anlage (10th-of-a-kind):** Die projizierte COE für einen **reifen Reaktor (Tenth-of-a-kind, ASC(b))** liegt bei **78,7 mill/kWeh**.
**B. Vergleich (Implizite Konkurrenz):**
Obwohl die Quelle keine expliziten COE-Werte für konkurrierende Spalt- oder fossile Anlagen im Jahr 1990 liefert, wird durch die Diskussion über die Notwendigkeit von Kosteneinsparungen die Wettbewerbsposition der Fusion impliziert:
*   Die COE-Werte für reife Fusionsreaktoren (**75 bis 78,7 mill/kWeh**) dienen als **Benchmark**. Diese Werte müssen mit den **projizierten Kosten zukünftiger Konkurrenztechnologien** mithalten.
*   Historische Vergleiche mit Spaltanlagen aus den 1990er Jahren zeigten, dass die Fusionskosten, selbst in der reifen Phase, potenziell höher lagen als die damaligen Projektionen für Spaltanlagen, was die Autoren zur Betonung der Notwendigkeit weiterer **Kostenkoordinierung** und **Designverbesserungen** bewegt.
*   Die Kostenstruktur des Fusionsreaktors unterscheidet sich signifikant von der Spaltung: Der **Reactor Plant Equipment (RPE)**-Anteil an den Gesamtdirektkosten (TDC) beträgt für Fusion **0,59 bis 0,65**, verglichen mit **etwa $\mathbf{0,3}$ für Spaltanlagen**.
### 3. Komplikationen beim internationalen Vergleich
Die Studie hebt hervor, dass die internationalen Vergleiche zwischen den geschätzten Erzeugungskosten für Fusion durch **unterschiedliche und schwankende Inflations- und Wechselkurse** (*different and fluctuating inflation and exchange rates*) **besonders unsicher** sind und den Vergleich mit anderen Energiequellen zusätzlich erschweren.
*   **Beispiel:** Eine Umrechnung des SCAN-Ergebnisses (1984 ECU) in 1990 US$ ergab 105 mill/kWeh (FOAK), während eine alternative Umrechnungsmethode (Umwandlung in 1984 US$ und dann Eskalation) nur 58 mill/kWeh ergeben hätte. Solche Unterschiede machen präzise Vergleiche der Fusionskosten mit der projizierten Konkurrenz schwierig.</t>
  </si>
  <si>
    <t>10th-OAK explicitly named and mentioned as mature</t>
  </si>
  <si>
    <t>Die Kostenaufschlüsselung der **Overnight Total Capital Costs (TCC)** ist der entscheidende Schritt, um die Kostentreiber eines Fusionsreaktors zu identifizieren.
Die von Ihnen genannten Werte $(4785 - 270 - 869) \times 10^6 \text{ M\$}$ und $(6018 + 1745 - 536) \times 10^6 \text{ M\$}$ beziehen sich auf Zahlen aus den Kostenkonten der **ASC**- und **SCAN**-Modelle (Tabelle III). Da Ihre Berechnungen eine Mischung von Konten darstellen, die nicht direkt einer standardisierten TCC-Definition entsprechen, verwende ich die beiden klar definierten **Overnight Total Capital Costs (TCC)**, die in der Studie verglichen werden, um eine fundierte prozentuale Aufschlüsselung zu gewährleisten.
Die TCC (Overnight Cost) ist die Summe der direkten (Account 90) und indirekten Kosten (Accounts 91–96), exklusive Zinsen und Eskalation während der Bauzeit (ID&amp;C, EDC, Accounts 97 und 98).
---
### I. Kostenaufschlüsselung des Reifegrads: **10th-of-a-kind (Mature NOAK)**
Dieses Szenario basiert auf dem **ASC(b)-Code**. Da für diesen Reaktor ID&amp;C und EDC $0 \text{ M\$}$ betragen, entspricht die **Total Cost ($4.785 \text{ M\$}$)** der **Overnight Total Capital Cost (TCC)**.
| Kostenkonto | Beschreibung | Betrag (M\$) | Anteil an TCC ($4.785 \text{ M\$}$) |
| :--- | :--- | :--- | :--- |
| **90.** | **GESAMTE DIREKTE KOSTEN (TDC)** | $\mathbf{2.701}$ | $\mathbf{56,45 \%}$ |
| **91.-96.** | **GESAMTE INDIREKTE KOSTEN** (Services, Engineering, Contingency) | $\mathbf{1.381}$ | $\mathbf{28,86 \%}$ |
| Launching Costs (in 99 enthalten) | Anlaufkosten (würden i.d.R. entfallen) | $903$ | $18,87 \%$ |
| 99. | Total Cost / Overnight TCC | $\mathbf{4.785}$ | $100,00 \%$ |
**Wichtigste Anteile der Direkten Kosten (TDC = $2.701 \text{ M\$}$):**
Die direkten Kosten werden von der Anlagenausrüstung dominiert.
| Direkte Komponente | Beschreibung | Betrag (M\$) | Anteil an TDC ($2.701 \text{ M\$}$) |
| :--- | :--- | :--- | :--- |
| **22.** | **Reactor Plant Equipment (RPE)** (Fusionskern und Primärsysteme) | $\mathbf{1.755}$ | $\mathbf{65,0 \%}$ |
| 21. | Structures and site facilities | $386$ | $14,3 \%$ |
| 23. | Turbine Plant Equipment (TPE) | $329$ | $12,2 \%$ |
---
### II. Kostenaufschlüsselung des Reifegrads: **First-of-a-kind (FOAK)**
Dieses Szenario basiert auf dem **SCAN(c)-Code**. Die **Overnight TCC** muss hier berechnet werden, indem die Zinsen und die Eskalation von der Total Cost abgezogen werden:
$\text{TCC} = 9.144 \text{ M\$} - 869 \text{ M\$} (\text{ID\&amp;C}) - 1.381 \text{ M\$} (\text{EDC}) = \mathbf{6.894 \text{ M\$}}$.
| Kostenkonto | Beschreibung | Betrag (M\$) | Anteil an TCC ($6.894 \text{ M\$}$) |
| :--- | :--- | :--- | :--- |
| **90.** | **GESAMTE DIREKTE KOSTEN (TDC)** | $\mathbf{6.018}$ | $\mathbf{87,29 \%}$ |
| **91.-96.** | **GESAMTE INDIREKTE KOSTEN** (Services, Engineering, Contingency) | $\mathbf{876}$ | $\mathbf{12,71 \%}$ |
| 99. | Total Cost | $9.144$ | $132,64 \%$ |
**Wichtigste Anteile der Direkten Kosten (TDC = $6.018 \text{ M\$}$):**
| Direkte Komponente | Beschreibung | Betrag (M\$) | Anteil an TDC ($6.018 \text{ M\$}$) |
| :--- | :--- | :--- | :--- |
| **22.** | **Reactor Plant Equipment (RPE)** (Fusionskern und Primärsysteme) | $\mathbf{3.356}$ | $\mathbf{55,77 \%}$ |
| 21. | Structures and site facilities | $1.108$ | $18,41 \%$ |
| 23. | Turbine Plant Equipment (TPE) | $842$ | $13,99 \%$ |
| 22.1.4 | Supplemental heating systems (Current Drive) | $445$ | $7,39 \%$ |
### Zusammenfassung der Kostentreiber
In beiden Szenarien ist das **Reactor Plant Equipment (RPE, Konto 22)** der mit Abstand größte Kostentreiber der direkten Kosten (TDC).
*   Im reifen **$10^{\text{th}}\text{-of-a-kind}$**-Fall macht der RPE $\mathbf{65,0 \%}$ der TDC aus.
*   Im **FOAK**-Fall macht der RPE $\mathbf{55,77 \%}$ der TDC aus.
Dies steht im Gegensatz zu **Spaltanlagen**, bei denen das RPE-Äquivalent nur etwa $\mathbf{30 \%}$ der TDC ausmacht. Die Notwendigkeit komplexer und teurer Komponenten im Fusionskern (wie Magnete, Blanket und Stromversorgung) erklärt die hohen Kapitalkosten.</t>
  </si>
  <si>
    <t>Or NOAK</t>
  </si>
  <si>
    <t>Pulsed but TES integrated for steady-state operation</t>
  </si>
  <si>
    <t>IDC: 1,100 MUSD; • Brenndauer (Burn Time): 1800 Sekunden.
• Gesamter Zyklus: 1900 Sekunden (von Start bis zum Ende der Wiederauffüllung/Neustart)</t>
  </si>
  <si>
    <t>Report too long
advanced conceptual Tokamak fusion power reactor</t>
  </si>
  <si>
    <t>25% buildings, 35% reactor plant equipment, 25% turbine plant, 12% electric plant equipment, 3% miscellaneous items (10&amp; toroidal field magnets of reactor plant equipment)</t>
  </si>
  <si>
    <t>MIF_Mature NOAK</t>
  </si>
  <si>
    <t>MCF_Mature NOAK</t>
  </si>
  <si>
    <t>Mature NOAK</t>
  </si>
  <si>
    <t>Badger et al. (1975)</t>
  </si>
  <si>
    <t>https://fti.neep.wisc.edu/fti.neep.wisc.edu/pdf/fdm150.pdf</t>
  </si>
  <si>
    <t>AV: 0.95</t>
  </si>
  <si>
    <t>changed from NOAK since targets high performance system
'Probably higher than FOAK since commercial one but not specified -&gt; readiness assumed
Probably tokamak since reference to ITER and ARIES-AT is being made
ARIES-studies typically 10th-OAK</t>
  </si>
  <si>
    <t>changed from NOAK - strong economies of scale assumed</t>
  </si>
  <si>
    <t>10th-OAK assumed since "The unit costs of superconducting strands and support structures for the ITER coils are nearly the same values as those estimated for the SSTR coils, which are analysed by consideringthemassproductionandtheunitcostforthe10thof akind[6]."
Total construction costs
bezug zu ARIES wird genommen</t>
  </si>
  <si>
    <t>mature technology mentioned -&gt; 10th-OAK</t>
  </si>
  <si>
    <t>Cascade?</t>
  </si>
  <si>
    <t>Hylife?</t>
  </si>
  <si>
    <t>changed from NOAK since other studies have Hylife
'Or NOAK, since "mature 10th-OAK is assumed</t>
  </si>
  <si>
    <t>Die Kostenvergleiche der Fusionsreaktoren mit anderen Energieerzeugungstechnologien, die in den Quellen diskutiert werden (sowohl in der neuen Quelle als auch in der Gesprächshistorie), führen im Allgemeinen zu dem Ergebnis, dass **Fusionsenergie nur dann wettbewerbsfähig** ist, wenn **zukünftige, optimierte (10th-OAK oder Mature NOAK) Designs** realisiert werden, die auf **zukünftigen Projektionen** von Kosten und technologischem Fortschritt basieren.
### 1. Ergebnis des Kostenvergleichs
Die Ergebnisse des Vergleichs sind nur dann positiv, wenn die Fusionsdesigns stark optimiert sind und von Lernkurven profitieren:
| Reaktorkonzept / Studie | Ergebnis des Vergleichs | Vergleichsbasis |
| :--- | :--- | :--- |
| **UWMAK-III (1976)** | Der Fokus lag auf der **internen Optimierung** des $\text{\$/kW}$-Kapitalkostenziels und der Effizienz (Nettoeffizienz 41,9 \%). Es wurde **keine direkte quantitative Kostenvergleichsaussage** mit fossilen oder Spaltkraftwerken getroffen. Die Studie erwartet, dass die technologischen Fortschritte, die für die Helium-Gasturbinen benötigt werden, auch in zukünftigen fossilen, Spalt- und Solaranlagen zur Anwendung kommen. | Zukünftige Technologie |
| **Helsley and Burke (2014)** | Ein voll ausgelastetes **großes HIF-System** (30+ $\text{GWe}$) wäre **wirtschaftlich tragfähig** (*economically viable*) und könnte Energie zu **etwa der Hälfte der Kosten** (*roughly one half the cost*) der derzeitigen konventionellen fossilen oder Spalt-Systeme produzieren. | Aktuelle konventionelle Kosten |
| **Lerede et al. (2023)** | Fusionsanlagen können nur **durch einen robusten Lernprozess** und die Entwicklung zu **"reifen Fusionskraftwerken"** (*mature fusion power plants*) mit **anderen kohlenstoffarmen Infrastrukturen wie modernen Leichtwasserreaktoren konkurrieren** [Lerede et al. (2023)]. | Zukünftige kohlenstoffarme Alternativen |
| **Prometheus (Moir, 1992)** | Erreichte ein niedriges Stromgestehungspreis (COE) von **62,6 bis 72,0 mills/kWh** (1991$) und erfüllte damit die **niedrigeren kommerziellen Ziele** [Moir (1992)]. | Kommerzielle Ziele |
### 2. Vergleich mit historischen oder zukunftsgerichteten Projektionen
Alle Fusionsstudien, die die Kosten mit externen Energiequellen vergleichen, stützen sich **fast ausschließlich auf zukunftsgerichtete Projektionen** und **hochgerechnete Werte** für die Fusionsanlage.
*   **Extrapolation der Technologie:** Das $\text{UWMAK-III}$-Design basiert auf **"vernünftigen Extrapolationen der gegenwärtigen Technologie"** (*reasonable extrapolations of present technology*). Die maximal zulässige Turbineneintrittstemperatur ($871^\circ\text{C}$ / $1600^\circ\text{F}$) wurde gewählt, basierend auf den erwarteten **zukünftigen Entwicklungen** in der Blankettstruktur. Die Technologie wird im Kontext des **"allgemeinen Zeitrahmens, der für die breite praktische Anwendung der kontrollierten Fusion vorgesehen ist"**, betrachtet.
*   **Wettbewerb des zukünftigen Marktes:** Studien wie die von Krakowski (1995) analysieren die Richtung für **"wettbewerbsfähige MFE-Kraftwerke"** (*competitive MFE power plants*), die einen **zukünftigen Marktzug** (*future market pull*) aufweisen müssen, und vergleichen die Kosten der Fusionsanlagen in ihrer **"reifen Technologie"**-Phase ($10\text{th-OAK}$ oder $\text{100th-OAK}$) [Krakowski (1995)].
*   **Lernkurvenannahmen:** Die ökonomische Wettbewerbsfähigkeit in Studien wie Lerede et al. (2023) hängt von einer angenommenen **Kostenreduzierung** durch technologisches Lernen (z. B. 30 % Kapitalminderung für die $\text{10th-OAK}$) ab [Lerede et al. (2023)].
*   **Extrapolation des Zeitrahmens:** Die Prometheus-Studien (Moir, 1992) beruhen auf einer Extrapolation der Physik, Technologie und Ökonomie um **etwa 30 bis 40 Jahre** [Moir (1992)].
Zusammenfassend lässt sich sagen, dass der Kostenvergleich nicht mit den historischen, heutigen Kosten von Fusionsanlagen erfolgt, sondern mit der **projektierten, optimierten COE-Leistung der zukünftigen Fusionsreaktoren** im Vergleich zu den **zukünftigen oder gegenwärtigen Kosten von Konkurrenztechnologien** (Spalt-, Solar- oder Fossil-Kraftwerke).</t>
  </si>
  <si>
    <t>Die Beantwortung der folgenden Fragen basiert ausschließlich auf der Studie zum **UWMAK-III Conceptual Tokamak Fusion Power Reactor** von Conn und Kuo (1976).
---
### 1. Welche Modellannahmen werden getroffen?
Die Modellannahmen betreffen hauptsächlich die Extrapolation der Technologie und die Spezifikationen des Reaktors und des Energieumwandlungssystems:
*   **Technologische Extrapolation:** Design-Entscheidungen stellen **"vernünftige Extrapolationen der gegenwärtigen Technologie"** dar, die im Kontext des **"allgemeinen Zeitrahmens, der für die breite praktische Anwendung der kontrollierten Fusion vorgesehen ist"**, getroffen werden.
*   **Strukturmaterial:** Als primäres Strukturmaterial wird die Molybdän-basierte Legierung **TZM** (Titan-Zirkonium-Molybdän) gewählt.
*   **Magnete:** Die Toroidalfeldmagnete verwenden den Supraleiter **NbTi** mit **Aluminium (Al)** als Stabilisator und einer hochfesten Aluminiumlegierung als Strukturmaterial.
*   **Betriebsleistung:** Der Reaktor ist darauf ausgelegt, kontinuierlich **$4735 \text{ MW(th)}$** und **$1985 \text{ MW(e)}$ netto** zu erzeugen. Die angestrebte Nettoanlageneffizienz beträgt **$41.9\text{ \%}$** (Ziel: ca. $40\text{ \%}$).
*   **Pulsbetrieb:** Es wird angenommen, dass der Tokamak ein **gepulstes Plasma-Gerät** ist. Der Zyklus besteht aus einer Brennzeit von **$1800 \text{ Sekunden}$** und einer Auszeit von $\text{100 Sekunden}$ (Start-up, Shutdown, Pumpout/Refill), was zu einem Duty Factor von **$0.947$** führt.
*   **Kontinuierlicher Betrieb:** Aufgrund des gepulsten Betriebs ist die Verwendung eines **thermischen Energiespeichers** (*thermal storage*) erforderlich, um eine unterbrechungsfreie, konstante elektrische Leistung zu liefern.
*   **Blanket-Design:** Das Design besteht aus einer **zwei Zonen** (*two-zone*) Blanketanordnung (heliumgekühlte innere Zone als Schild, lithiumgekühlte äußere Zone zur Tritiumzucht). Die Lebensdauer der inneren Strukturwand ist auf **Anlagenlebensdauer** ausgelegt, die äußere Wand muss aufgrund der Strahlenbelastung **periodisch ersetzt** werden (geschätzte Lebensdauer: **ca. 2 Jahre**).
*   **Kühlmittelbedingungen:** Die Turbine Inlet Temperature (TIT) wird auf **$871^\circ\text{C}$ ($1600^\circ\text{F}$)** festgelegt, basierend auf den prognostizierten Blanket-Fähigkeiten. Der Turbineneinlassdruck beträgt **$1000 \text{ psia}$**.
### 2. Welche Modell- und Kostenannahmen basieren auf tatsächlichen Erfahrungswerten und welche nur Schätzungen oder Prognosen? Welche Annahmen stammen woher?
Die Studie kombiniert bekannte Technologie mit notwendigen Extrapolationen:
| Annahme | Basis (Erfahrung/Prognose) | Herkunft/Bezug |
| :--- | :--- | :--- |
| **Materialwahl (TZM)** | **Prognose/Extrapolation:** Basierend auf der gewünschten **hohen Betriebstemperatur** und der erwarteten Kompatibilität mit Helium und flüssigem Lithium. | Wird als "vernünftige Extrapolation der gegenwärtigen Technologie" gewählt. |
| **Turbineneinlasstemperatur** | **Prognose/Extrapolation:** Die gewählte $\text{TIT}$ ($871^\circ\text{C}$) liegt **über dem damaligen Stand der Technik** ($760^\circ\text{C}$ bis $815^\circ\text{C}$). Man erwartet, dass die Temperatur bis zum Jahr 2010 um $300\text{–}400^\circ\text{C}$ steigen wird. Die Wahl basiert auf **"projizierten Blanket-Fähigkeiten"**. | Interne Systemanalyse und externe Entwicklungsprognosen. |
| **Magnet-Stabilisator (Al)** | **Prognose/Extrapolation:** Die Verwendung von reinem $\text{Aluminium}$ reduziert die notwendige Stabilisatormenge um den Faktor $2$ bis $5$ im Vergleich zu Kupfer. Dies beruht auf Experimenten der University of Wisconsin, die zeigten, dass verstärktes $\text{Al}$ seine niedrige Resistivität auch unter Stress behält. | University of Wisconsin-Experimente. |
| **Geschlossener Gaskreislauf** | **Erfahrung/Basis:** Das Design des **Regenerators** (88 \% Effektivität) basiert auf der Nutzung der **Leistungs- und Kostenmerkmale von Komponenten- und Designstudien** für $100\text{–}600 \text{ MW(e)}$ geschlossene Gasturbinen-Systeme. Die Turbomaschinen-Auslegung basiert auf **"vergangenen Erfahrungen"** (*past experience*). | Vergangene Studien von $100\text{–}600 \text{ MW(e)}$-Anlagen. |
### 3. Falls externe Quellen für die Modell- und Kostenannahmen verwendet wurden – wurden diese modifiziert? Falls ja, wie?
Die gesamte konzeptionelle Designstudie ist eine **Modifikation und Extrapolation** vorhandener Daten und Technologien, um ein höheres Leistungsniveau zu erreichen:
*   **Modifikation der Design-Parameter:** Die Betriebsparameter der Helium-Gasturbine (Temperatur, Druck, Druckverhältnis, Regenerator-Effektivität) wurden **nicht direkt** übernommen, sondern durch **parametrische Analysen** und **Trade-off-Studien** zwischen Effizienz und Kosten ermittelt.
*   **Anpassung des Kreislaufs:** Die Komplexität des Tokamak-Designs (gepulster Betrieb, Zwei-Zonen-Blanket, Tritiumzucht) erforderte die Entwicklung eines komplexen Integrationsschemas (z. B. drei separate Kreisläufe, Zwischenwärmetauscher für Tritiumeindämmung). Die Referenzkonfiguration (mit einer Zwischenkühlstufe und Regeneration) wurde aus sechs Kandidaten ausgewählt, um die spezifischen $\text{UWMAK-III}$-Anforderungen zu erfüllen.
*   **Größenänderung:** Die Anlage ist eine **"wesentlich reduzierte Größe"** im Vergleich zu den Vorgängerstudien $\text{UWMAK-I}$ und $\text{UWMAK-II}$ (Hauptradius von 13 m auf 8.1 m), ermöglicht durch die Erhöhung der Neutronenwandbelastung und die Nutzung von nicht-zirkulärem Plasma.
### 4. Wie lautet die Annahme zu Lernraten?
Die vorliegende Quelle **nennt keine spezifischen Zahlenwerte** für Lernraten, Lernkurven oder Produktionslernen, wie sie in den Konzepten $\text{10th-OAK}$ oder $\text{Mature NOAK}$ verwendet werden. Der Fokus liegt auf den Kapitalkosten ($\text{\$/kW}$) des gesamten Kraftwerks als Hauptziel.
### 5. Wie wurden die Annahmen zu den Lernraten hergeleitet bzw. von wo stammen diese Annahmen?
Da die Quelle keine expliziten Lernraten nennt, kann diese Frage nicht beantwortet werden.
### 6. Wird offengelegt, ob die Kostenabschätzung auf einem Bottom-up-, Top-down- oder hybriden Ansatz basiert?
Die Studie **offenbart nicht** explizit, ob ein Bottom-up-, Top-down- oder hybrider Ansatz verwendet wird.
Die Methodik ist jedoch stark **Bottom-up-orientiert**: Es werden die **physikalischen Zwänge** des Reaktors (Temperatur, Leistung, Kühlung) als Input verwendet, um die **geforderten Spezifikationen und Dimensionen** der Hauptkomponenten (Turbinen, Wärmetauscher, Rohre) zu definieren. Anschließend wird die **Kapitalkosten der gesamten Anlage ($\text{\$/kW}$)** als wichtigstes Kriterium genannt.
### 7. Beruht die Kostenherleitung auf physikalischen und technologischen Werten?
**Ja**, die gesamte ökonomische Analyse und die Auslegung beruhen auf physikalischen und technologischen Werten und Zwängen:
*   **Effizienz vs. Kosten:** Die Auswahl der Betriebsparameter (Druckverhältnis, Regeneration) erfolgt durch **Trade-offs zwischen thermischer Effizienz und der Komplexität/Kosten** der Komponenten.
*   **Physische Beschränkungen:** Die **Turbineneinlasstemperatur** (*Turbine Inlet Temperature*) ist die wichtigste ökonomische Variable, wird jedoch durch die **Temperaturfähigkeit des Blankets** (*blanket capability*) begrenzt.
*   **Kompaktbauweise vs. Druck:** Ein **höherer Turbineneinlassdruck** ist wünschenswert, um **kleinere Anlagenteile** und bessere Wärmeübergangskoeffizienten zu erhalten. Der gewählte Druck von $1000 \text{ psia}$ war für die geplante $\text{500–600 MW(e)}$ Turbomaschinenkapazität **zwingend erforderlich**.
### 8. Werden Materialkosten und Komponentenkosten separat ausgewiesen?
**Nein.** Die Studie enthält **keine detaillierte Aufschlüsselung** von Materialkosten oder Gesamtkomponentenkosten. Sie konzentriert sich auf die **relative Optimierung** des Kreislaufs und darauf, dass die **Kapitalkosten der gesamten Anlage ($\text{\$/kW}$) der wichtigste Faktor** sind.
Es werden jedoch Designentscheidungen getroffen, die auf impliziten Kostenannahmen beruhen, wie die Verwendung von **Aluminium** anstelle von Kupfer als Magnetstabilisator, um die benötigte Materialmenge zu reduzieren und das Gewicht zu senken.
### 9. Bezieht sich die Studie auf ein Energiesystem (z. B. Integration, Vergleich mit anderen Technologien) oder ist sie rein bezogen auf die Kosten des Kraftwerks und des Reaktors?
Die Studie bezieht sich primär auf den **Reaktor (Tokamak) und das angeschlossene Kraftwerkssystem** (insbesondere das Helium-Gasturbinen-System).
Sie berücksichtigt jedoch Randbedingungen der **Systemintegration** und des **zukünftigen Energiemarktes**:
*   **Umwelt- und Systemintegration:** Das Design berücksichtigt, dass die **Trockenkühlung** (*dry cooling*) für die Abwärmeabfuhr möglicherweise zwingend erforderlich sein wird. Das geschlossene Gasturbinensystem ist dafür **ökonomisch besser anpassbar** als ein Dampfkraftwerk. Es muss auch **kompatibel** mit bestehenden Stromnetzen (3600 U/min, $60 \text{ Hertz}$) sein.
*   **Technologievergleich:** Die Autoren erwarten, dass technologische Fortschritte im geschlossenen Helium-Gasturbinen-System, die für Fusion entwickelt wurden, direkt auf die **zukünftige Energieerzeugung** durch **fossile, Spalt- und Solaranlagen** anwendbar sein werden. Die Effizienz ($\text{41.9 \%}$) wird explizit mit früheren Fusionsanlagen ($\text{UWMAK-I}$, $\text{UWMAK-II}$, Princeton) verglichen.
### 10. Welche Kostenreduktionspotenziale oder wirtschaftlichen Optimierungsansätze werden thematisiert?
Folgende Ansätze zur Kostenreduzierung werden verfolgt oder thematisiert:
*   **Skalierung und Standardisierung:** Verwendung von **drei identischen $585 \text{ MW(e)}$ Leistungsumwandlungsschleifen** (*three identical loops*), was die Komponentenkosten senken und die Wartung vereinfachen soll.
*   **Kompakte Bauweise:** Signifikante **Größenreduzierung** des Kerns (von 13 m auf 8.1 m Hauptradius) durch nicht-zirkuläres Plasma und höhere Wandbelastung.
*   **Erhöhte Effizienz:** Erhöhung der **thermischen Gesamteffizienz** auf $41.9\text{ \%}$ durch die Verwendung von $\text{TZM}$ für höhere Betriebstemperaturen.
*   **Minimierung der Komplexität:** Die $\text{TZM}$-Konstruktion des inneren Blankets ist auf **Anlagenlebensdauer** ausgelegt, um die Notwendigkeit eines Austauschs in diesem schwer zugänglichen Bereich zu eliminieren.
*   **Gezielter Materialeinsatz:** Nutzung von **Aluminium** für die Magnetstruktur zur Gewichtsreduzierung (auf etwa ein Drittel des Gewichts von 316 Edelstahl) und Kostensenkung.
### 11. Was sind die signifikantesten Kostentreiber und ökonomischen Herausforderungen laut Studie?
Die signifikantesten ökonomischen Herausforderungen sind:
*   **Kapitalkosten:** Die **Kapitalkosten der gesamten Kraftwerksanlage ($\text{\$/kW}$)** sind das wichtigste Entscheidungskriterium.
*   **Blanket-Temperatur als Limit:** Die **Temperaturfähigkeit des Blanket-Materials** ist der begrenzende Faktor für die gesamte Anlagenleistung und Effizienz, nicht die Gasturbinen-Technologie.
*   **Thermische Energiespeicherung:** Die inhärent **gepulste Natur des Tokamaks** macht die Entwicklung eines **funktionsfähigen Energiespeichersystems** (*viable energy storage system*) zur Gewährleistung des kontinuierlichen Betriebs **zwingend erforderlich**. Das Versagen, ein solches System zu entwickeln, könnte die Implementierung der Anlage **behindern**.
*   **Komplexität und Tritiumeindämmung:** Die Notwendigkeit eines **Zwischenwärmetauschers** aufgrund der Tritiumzucht im Lithium-Blanket führt zu einer **niedrigeren Turbineneinlasstemperatur** und damit zu einer reduzierten Effizienz und erhöhter Komplexität.
*   **Wartung des Divertors und des Blankets:** Das Divertor-Auffangblech (*sacrificial wall*) und die äußere Blankethülle müssen **häufig ausgetauscht** werden (z. B. Divertorblech alle 17 Stunden, äußere Blanketwand alle 2 Jahre), was die Wartungskosten erhöht.</t>
  </si>
  <si>
    <t>changed from 10th-OAK to NOAK
mars 10th: https://www.osti.gov/servlets/purl/6472701 
conservative, moderate technology</t>
  </si>
  <si>
    <t>cascade more like 10th-oak: https://inis.iaea.org/records/nt322-mvz4510th-OAK assumed since "mature plant design which has achieved equilibrium with the state of design of contemporary nuclear and coal plants"
• Des Weiteren wird eine "Fuel Pellet Fabrication Plant" erwähnt, deren Kosten auf 100 M$ geschätzt werden. Diese Anlage ist dafür zuständig, den D-T-Gasstrom aus dem Tritium-Rückgewinnungssystem zu verarbeiten und die Pellets für die Reaktionskammer zu liefern. Auch der Deuterium-Flussrate wird in den Tritium-Analyseparametern angegeben.</t>
  </si>
  <si>
    <t xml:space="preserve">noak wenn nicht gegeben siehe contingency: https://www.oecd-nea.org/upload/docs/application/pdf/2020-07/fulll_cost_workshop_5._synthesis_on_the_plant-level_cost_of_nuclear.pdf  </t>
  </si>
  <si>
    <t>Tokamak_Mature NOAK</t>
  </si>
  <si>
    <t xml:space="preserve">Prometheus: https://aries.pppl.gov/LIB/REPORT/OTHER/PROMETHEUS/appc.pdf </t>
  </si>
  <si>
    <t>Data points</t>
  </si>
  <si>
    <t>Mature
NOAK</t>
  </si>
  <si>
    <t>assumed 10% reduction from the conventional cost scaling for the turbine and electrical system; IDC: 7.9% of total construction cost; construction time 4 years; interest rate 4.2%</t>
  </si>
  <si>
    <t>Total Fusion O&amp;M fixed--&gt;</t>
  </si>
  <si>
    <t>Category</t>
  </si>
  <si>
    <t>Total Fusion O&amp;M fixed clean--&gt;</t>
  </si>
  <si>
    <t>yearly rate</t>
  </si>
  <si>
    <t>Based on ESECOM study and GENEROMAK reactor; construction time 6 years; operationl lifetime 30 years</t>
  </si>
  <si>
    <t>Generomak - ESECOM - V-D3He/TOK</t>
  </si>
  <si>
    <t>converted from ECU to USD</t>
  </si>
  <si>
    <t>ESECOM</t>
  </si>
  <si>
    <t>optimized ESECOM reactor using SCAN model rulse but for FOAK; construction time 8 years; operationl lifetime 25 years</t>
  </si>
  <si>
    <t>optimized ESECOM reactor using SCAN model rulse but for FOAK; construction time 8 years; operationl lifetime 25 years; yearly costs</t>
  </si>
  <si>
    <t>Logan et al. in Safety, Environmental Impact, and Economic Prospects of Nuclear Fusion (1990)</t>
  </si>
  <si>
    <t>No Replacement Costs given: "we assume no replacement of the plasma-facing components and of other equipment subject to radiation damage required over the plant lifetime; new fusion power plant, based on a supercritical CO2 Brayton-Rankine triple pressure Combined Cycle with reheating to maximize the power plant efficiency"; abhängig von nutzbare elektrische Leistung ( 
W˙us,PP), deshalb mit Formel umgerechnet</t>
  </si>
  <si>
    <t>No Replacement Costs given: "we assume no replacement of the plasma-facing components and of other equipment subject to radiation damage required over the plant lifetime; new fusion power plant, based on a supercritical CO2 Brayton-Rankine triple pressure Combined Cycle with reheating to maximize the power plant efficiency"; abhängig von nutzbare elektrische Leistung ( 
W˙us,PP), deshalb mit Formel umgerechnet, also 113.0×(1.204/1.2)^0.5</t>
  </si>
  <si>
    <t>Gerne beantworte ich Ihre Fragen basierend auf der bereitgestellten Quelle (Famà et al., 2024) und unserem Konversationsverlauf (CH).
---
### 1. Welche Modellannahmen werden getroffen?
Die Studie trifft Annahmen sowohl auf **thermodynamischer/physikalischer** als auch auf **ökonomischer** Ebene:
#### A. Physikalische und Design-Annahmen (Stellarator)
*   **Reaktorkonfiguration:** Es wird ein **kompakter Stellarator** mit **hohem Magnetfeld** angenommen.
*   **Heizung:** Beheizt durch **Neutral Beam Injection (NBI)**.
*   **Materialien:** Verwendet **Hochtemperatur-Supraleiter (HTS)** und **Plasma-Facing Liquid Metal (LM)** Wände.
*   **Betriebstemperaturen:** Die LM-Einlass- und Auslasstemperaturen werden auf **$700^{\circ}\text{C}$ bzw. $900^{\circ}\text{C}$** festgelegt.
*   **Tritiumzucht:** Das Tritium-Brut-Layer besteht aus einer Mischung aus **nicht angereichertem Lithium und Lithiumhydrid** ($5\%$ bzw. $95\%$).
*   **Stabile Betriebsbedingungen:** Die Analyse geht von einem **stationären Betrieb** (*steady state operations*) aus.
#### B. Thermodynamische und Betriebsparameter
*   **Wärmeübertrager:** Es werden konstante Temperaturdifferenzen angenommen: **Pinch Point** ($T_{pp} = 15^{\circ}\text{C}$), **Sub-Cooling** ($T_{sc} = 10^{\circ}\text{C}$).
*   **Maschinenwirkungsgrade:** Für neue Turbinen wird $\eta_t = 90\%$ angenommen, für Kompressoren $\eta_c = 85\%$ und für Pumpen $\eta_p = 75\%$.
*   **Elektrische Generatoren:** Der elektrische Generatorwirkungsgrad ($\eta_{eg}$) und der organische Wirkungsgrad ($\eta_o$) werden jeweils mit **$98\%$** angenommen.
*   **Reaktor-Eigenverbrauch ($W_{\text{reac}}$):** Der Stromverbrauch für das kryogene System wird als $W_{\text{cryo}} \cong 0,0108 \cdot \dot{Q}_{in}$ geschätzt. Die Zusatzleistung ($W_{\text{aux}}$) für Tritiumanlage, Wartung/Sicherheit, Diagnose/Steuerung skaliert **linear** mit der thermischen Leistung des Reaktors $\dot{Q}_{\text{in}}$.
#### C. Ökonomische und Investitions-Annahmen
*   **Basisjahr:** Alle Kosten werden auf das **Preisniveau des Jahres 2023** hochgerechnet.
*   **Betriebslebensdauer ($l$):** Die Anlage wird für eine Lebensdauer von **30 Jahren** angesetzt.
*   **Kapazitätsfaktor ($f$):** Es wird ein durchschnittlicher Kapazitätsfaktor von **$85\%$** angenommen.
*   **Zinssätze ($r$):** Zwei Szenarien werden untersucht:
    *   **$r = 2,7\%$**: Reflektiert eine risikofreie alternative Investition (z. B. 30-jährige deutsche Bundesanleihe).
    *   **$r = 6\%$**: Basiert auf Offshore-Windenergieprojekten und spiegelt ein höheres Risiko wider.
*   **Kontingenz (Risikoaufschlag):** Es werden spezifische Kontingenzaufschläge ($2\%$ bis $5\%$) auf einige Kostenkonten (21, 22, 23, 24, 25) angewandt, sowie ein pauschaler Aufschlag von **$17,3\%$ der gesamten direkten Kosten (TDC)** für unvorhergesehene Ereignisse.
### 2. Welche Modell- und Kostenannahmen basieren auf tatsächlichen Erfahrungswerten und welche nur Schätzungen oder Prognosen? Welche Annahmen stammen woher?
Die Modellierung ist eine Mischung aus Extrapolationen (Prognosen) für die Fusionskomponenten und Erfahrungswerten/Regeln für die klassischen Kraftwerkskomponenten und die ökonomischen Parameter.
#### A. Schätzungen/Prognosen (Fusionsspezifische Komponenten)
| Annahme | Basis / Quelle | Status |
| :--- | :--- | :--- |
| **Kostenstruktur** | Eine **revidierte ARIES Cost Structure**, abgeleitet von den STARFIRE-Studien. | Prognose / Schätzung |
| **Reaktorkosten (Code 22)** | Basieren auf mathematischen Funktionen, die die Kosten von Materialien (Masse $m_i$ und Einheitskosten $c_i$), HTS-Leiterlänge $L_{HTS}$, maximaler Zusatzleistung $W_{\text{max,aux}}$ und Volumen des Vakuumgefäßes $V_{\text{vac}}$ berechnen [40, 49–54]. | Prognose / Schätzung |
| **LSA-Faktoren** | Faktoren zur Erhöhung der Kosten für nicht-nukleare Komponenten (z.B. Kohlekraftwerk Option 4) zur Erreichung des LSA=2-Standards. | Schätzung/Regelwerk |
| **Betriebs- und Wartungskosten ($C_{O\&amp;M}$)** | Formel $C_{O\&amp;M} = 113.0 \text{ M\$} \cdot (\dot{W}_{\text{us,PP}} / 1.2)^{0.5}$. | Prognose / Formel |
#### B. Erfahrungswerte/Regeln (Konventionelle Komponenten &amp; Betrieb)
| Annahme | Basis / Quelle | Status |
| :--- | :--- | :--- |
| **Kostenkonvertierung** | Inflationsraten von 1992 oder 2009 auf das Basisjahr 2023. | Erfahrungswert (historische Inflation) |
| **Recycelte Maschineneffizienzen** | Für die Wiederverwendung von Turbinen/Pumpen in den Bestandsanlagen (Optionen 1 und 4) werden die in **Abbildung 1(b) und 2(b)** dargestellten Effizienzen übernommen. Dies setzt einen geeigneten Reparaturplan voraus. | Erfahrungswert (Basis der existierenden Anlagen) |
| **Anlagen-Lebensdauer ($l$) und Kapazitätsfaktor ($f$)** | $l=30$ Jahre und $f=85\%$. | Erfahrungswert / Standardannahmen der Industrie |
| **Referenzkraftwerke** | Die Details der **französischen 900 MWe PWR Anlage** und der **italienischen 660 MWe superkritischen Kohleanlage** stammen aus existierenden Standorten/Einheiten und deren detaillierten Merkmalen (siehe Fig. 1 und 2) [55–61]. | Erfahrungswert (Realexistierende Anlagen) |
### 3. Falls externe Quellen für die Modell- und Kostenannahmen verwendet wurden – wurden diese modifiziert? Falls ja, wie?
Ja, die externen Quellen, insbesondere der **ARIES Cost Structure**, wurden für die Zwecke der Retrofit-Analyse **modifiziert und angepasst**:
*   **Basis-Kostenstruktur:** Das Modell basiert auf der **revidierten ARIES Cost Structure**, die wiederum auf den frühen **STARFIRE**-Studien basiert.
*   **Inflationsanpassung:** Alle ursprünglichen Kosten, die in **$2009\text{ \$}$** oder **$1992\text{ \$}$** geschätzt wurden, wurden unter Verwendung von Inflationsraten auf das **Preisniveau des Jahres 2023** multipliziert.
*   **Modifikation des 0D-Systemcodes:** Der zugrundeliegende **0D-Systemcode** von Prost et al. (der die Stellarator-Physik und -Kosten berechnet) wurde für die Retrofit-Optionen angepasst: **"The thermal plant efficiency, sizing and costing were adjusted... in order to reflect the reused architecture."**. Diese Anpassung führte zu Abweichungen bei der elektrischen Ausgangsleistung ($\dot{W}_{\text{el,PCS}}$) und somit bei LCOE und CapEx.
*   **Anpassung der Kostenkonten (CapEx):**
    *   **Strukturen und Standorteinrichtungen (Konto 21):** Da die bestehenden Gebäude wiederverwendet werden, werden nur die Kosten für die **Aktualisierung** dieser Strukturen (wenn die retrofittete Anlage größer ist) berücksichtigt. Lediglich die Gebäude, die **direkt mit dem Fusionsreaktor verbunden** sind (Power Core, Hot Cell, Fuel Handling und Storage, Cryogenic und Inert Gas Storage Buildings), werden als **Neubauten** (*greenfield construction*) betrachtet.
    *   **Qualifizierung (Option 4):** Für die Retrofit-Option 4 (Kohlekraftwerk) wurde der Aufpreis für die **Qualifizierung der bestehenden Strukturen auf den nuklearen Sicherheitslevel LSA=2** hinzugefügt, indem LSA-Faktoren auf die relevanten Kostenkonten angewandt wurden.
### 4. Wie lautet die Annahme zu Lernraten?
Die Studie **macht keine explizite Annahme zu Lernraten** (Lernkurven) in ihrer Basisberechnung der LCOE und des CapEx.
Die analysierten Kosten repräsentieren die **sehr hohen Kosten eines ersten kommerziellen Prototyps (FOAK)**, da sie die **technischen und Unsicherheitskosten** (z. B. 17,3 % Kontingenz) widerspiegeln, die typisch für die **anfängliche Verbreitung** (*initial diffusion*) sind.
*   **Implikation:** Da die Kostenstruktur auf ARIES/STARFIRE basiert, die die Kosten eines **FOAK** (First-of-a-kind) widerspiegelt, **fehlen die Kostensenkungen**, die durch Lerneffekte der Serienproduktion (NOAK oder 10th-of-a-kind) entstehen würden (siehe CH).
*   **Kontrast zur Generomak-Methode:** Im Gegensatz zu früheren Studien (z. B. ESECOM/Generomak), die die optimierten Kosten eines "10th-of-a-kind"-Reaktors annahmen, scheinen die Basis-Kostenprojektionen in dieser Studie die **volle, unoptimierte FOAK-Investition** darzustellen [CH].
### 5. Wie wurden die Annahmen zu den Lernraten hergeleitet bzw. von wo stammen diese Annahmen?
Da keine expliziten Lernraten in der Kostenformel verwendet werden, **enthält das Paper keine Herleitung oder Quelle für Lernraten-Annahmen**. Die Analyse konzentriert sich auf die **initialen Kapitalkosten** von Prototypen.
### 6. Wird offengelegt, ob die Kostenabschätzung auf einem Bottom-up-, Top-down- oder hybriden Ansatz basiert?
Die Studie basiert auf einem **hybriden Ansatz**, der sich aus physikalisch-technischer Modellierung und einer standardisierten, auf Komponenten basierenden Kostenstruktur zusammensetzt.
*   **Physikalischer/Technologischer Ansatz (Bottom-up-Element):** Die Analyse verwendet einen **0D-Systemcode**, der physikalische und technische Parameter (wie Plasma-Geometrie $R$, $A$, Magnetfeld $B$, Temperatur $T$) in die Dimensionierung der Hauptsysteme (z. B. Kryogenik, Heizsysteme, Flüssigmetall-Pumpen) und die **Materialmassen** umrechnet.
*   **Kostenstruktur-Ansatz (Bottom-up/Top-down-Hybrid):** Die daraus resultierende Dimensionierung und Materialmasse wird in die **revidierte ARIES Cost Structure** eingespeist, welche ein detailliertes System von **Kostenkonten (Cost Accounts 20 bis 27)** verwendet. Viele dieser Konten sind Funktionen der Leistung ($\dot{W}_{\text{us,PP}}$, $\dot{Q}_{\text{in}}$) oder der Massen der Materialien. Dies ist typisch für einen Bottom-up-Ansatz auf Komponentenebene, der auf skalierten Top-down-Formeln basiert.
### 7. Beruht die Kostenherleitung auf physikalischen und technologischen Werten?
**Ja, im Kern beruht die Kostenherleitung auf physikalischen und technologischen Werten.**
*   **Physik und Engineering steuern die Kosten:** Der **0D-Systemcode** führt zuerst die Physik- und Engineering-Berechnungen durch. Die Parameter wie das Magnetfeld ($B$), der Hauptradius ($R$) und die Plasmatemperatur ($T$) bestimmen die notwendigen Größen und Massen.
*   **Beispiele für die Abhängigkeit:**
    *   Die Kosten für die **Fusion Energy Capture and Conversion (22.1)** und das **Vakuumgefäß (22.4)** hängen direkt von der **Masse der Materialien** ($m_i$) und deren Einheitskosten ($c_i$) ab.
    *   Die Kosten für die **Plasma Confinement (22.2)** hängen von der benötigten Länge der HTS-Leiter ($L_{HTS}$) ab.
    *   Die Kosten für die **Plasma Formation and Sustainment (22.3)** hängen von der **maximal benötigten Heizleistung** ($P_{\text{max,aux}}$) ab.
*   **Thermodynamische Kopplung:** Die thermische Leistung ($\dot{Q}_{\text{in}}$) beeinflusst die Leistung der **Hauptwärmeübertragung und -transport** (Konto 22.6) und des **Turbinenanlagenequipments** (Konto 23).
### 8. Werden Materialkosten und Komponentenkosten separat ausgewiesen?
**Ja, die Studie weist Materialkosten und Komponentenkosten separat aus und detailliert sie.**
*   **Materialkosten (Sub-Komponente):** Die Kosten für das **Reaktorkern-Equipment (Konto 22)** basieren direkt auf Materialmassen und Einheitskosten.
    *   **Tabelle 3** listet die Materialien (z. B. flüssiges Metall Li, LiH, Pb) und deren **Einheitskosten** (z. B. $96 \text{ \$/kg}$ für Li).
    *   **Tabelle 4** listet Materialien für das Vakuumgefäß (z. B. Hastelloy C276, SiC/SiC Composites) und deren **Einheitskosten** auf.
*   **Komponentenkosten (Hauptkonto):** Die Kostenkonten in **Tabelle 2** fassen die Kosten der Hauptkomponenten zusammen.
    *   Konto 23 (Turbine Plant Equipment) wird nach Rankine-Zyklus und Brayton-Zyklus getrennt ausgewiesen.
    *   Konto 22 (Reactor Core Equipment) schlüsselt in Unterkonten wie Plasma Confinement, Main Heat Transfer and Transport und Fuel Handling and Storage auf [49–53].
### 9. Bezieht sich die Studie auf ein Energiesystem (z. B. Integration, Vergleich mit anderen Technologien) oder ist sie rein bezogen auf die Kosten des Kraftwerks und des Reaktors?
Die Studie befasst sich **sowohl mit den Kosten des Kraftwerks und des Reaktors als auch mit der Integration in das Energiesystem und dem Vergleich mit anderen Technologien**.
*   **Kraftwerk/Reaktorkosten:** Der größte Teil der Methodik dient der detaillierten Berechnung von CapEx und LCOE der Fusionsanlage [38–45].
*   **Systemintegration:** Die Studie befasst sich explizit mit der **Integration von Fusion als kohlenstofffreie Basislastquelle**. Es wird diskutiert, dass Fusionsanlagen aufgrund technischer Einschränkungen bei konstanter Leistung betrieben werden sollten und dass jede Reduzierung des Nutzungsfaktors die LCOE erhöhen würde.
*   **Vergleich mit anderen Technologien:**
    *   **Kostenvergleich:** Die berechneten LCOE werden mit den Kosten **alternativer Basislasttechnologien** (Geothermie, Wind/Solar, Brennstoffzellen) verglichen und als wettbewerbsfähig eingestuft.
    *   **Marktanalyse:** Die **ökonomische Nachhaltigkeit** der Investition wird durch den Vergleich der LCOE mit **historischen europäischen Großhandels-Strompreisen** (2004 bis 2023) analysiert.
    *   **Retrofit als Übergangsstrategie:** Die Retrofitting-Strategie selbst ist ein energiepolitischer Ansatz, der die Umwandlung bestehender, stillgelegter Kraftwerke (Kohle, Kernspaltung) in kohlenstofffreie Fusionsanlagen untersucht, um die **Dekarbonisierung** zu unterstützen und die Netzinfrastruktur wiederzuverwenden.
### 10. Welche Kostenreduktionspotenziale oder wirtschaftlichen Optimierungsansätze werden thematisiert?
Der primäre und am stärksten betonte Optimierungsansatz ist das **Retrofitting (Umrüstung)**, ergänzt durch die **Maximierung des thermodynamischen Wirkungsgrades**.
*   **Retrofitting von Bestandsanlagen:** Dies ist die zentrale Strategie der Studie.
    *   **Ergebnis:** Das Retrofitting reduziert die Kapitalkosten (CapEx) im Vergleich zu einer Neuanlage (*greenfield plant*) um **31% bis zu 50%**.
    *   **Eingesparte Komponenten:** Die Einsparungen entstehen durch die Wiederverwendung von Land, Gebäuden, Turbinen-Generator-Gebäuden, elektrischen Systemen, Wärmeableitungssystemen und dem vorhandenen Dampfkreislauf.
*   **Optimierung des Standortes:** Die Auswahl eines Standortes, der bereits **"cutting edge thermodynamic parameters"** (*fortschrittlichste thermodynamische Parameter*) implementiert (wie die superkritische Kohleanlage in Option 4), ist die **beste Strategie** zur Reduzierung der LCOE.
*   **Maximierung des Wirkungsgrades:** Die Optimierung der Neuanlage (*greenfield plant*) zielt darauf ab, die **Anlagen-Effizienz ($\eta_{PP}$)** durch einen **s-CO2 Brayton-Rankine Combined Cycle** zu maximieren.
*   **Vermeidung von Kosten:** Die Umrüstung vermeidet die Kosten für die **Stilllegung und den Abbau** (*decommissioning and dismantling*) der bestehenden Kraftwerke.
### 11. Was sind die signifikantesten Kostentreiber und ökonomischen Herausforderungen laut Studie?
#### A. Signifikanteste Kostentreiber (CapEx-Anteil)
*   **Indirekte Kosten (IC):** Dies ist der **relevanteste Kostenpunkt**, der bis zu **$48\%$** der gesamten Kapitalkosten (CapEx) ausmacht. Indirekte Kosten umfassen Bauleistungen, Engineering, Eigentümerkosten, sowie Kontingenz und zeitbezogene Kosten.
*   **Reaktorkern-Equipment (Konto 22):** Das **Reaktorkern-Equipment** ist der dominierende direkte Kostenfaktor.
    *   Es repräsentiert das **Herzstück der Fusionsanlage** und macht für die Retrofit-Optionen 1 und 4 **$75\%$** der direkten Kosten aus.
*   **Reaktor-Kostenanteil am CapEx:** Die Kosten des Reaktors allein (Sub-Konto von 22) machen zwischen **$31\%$ und $42\%$** der gesamten Kapitalkosten (CapEx) der Retrofit-Optionen aus.
#### B. Ökonomische Herausforderungen
*   **Hohe initiale Kapitalkosten (CapEx):** Dies ist die grundlegendste Herausforderung. Die Kapitalkosten der Fusionsenergie **"verdoppeln immer noch die Kosten von technologisch ausgereifteren Alternativen"**.
*   **Sensitivität gegenüber dem Zinssatz:** Aufgrund der hohen Kapitalintensität führt die Unsicherheit (abgebildet durch einen höheren Zinssatz) zu einem signifikanten Anstieg der LCOE (Steigerung von **$31\%$ bis $35\%$** bei Erhöhung des Zinssatzes von $2,7\%$ auf $6\%$).
*   **Finanzielles Risiko:** Selbst bei der besten Option (Option 4) **garantieren maximale europäische Strompreise nicht** einen positiven Nettobarwert (NPV), wenn ein höherer Zinssatz ($r=6\%$) angenommen wird. Die Amortisationszeit (PBP) kann sich über 20 Jahre erstrecken, wenn die Strompreise niedrig sind.
*   **Komplexität und Skalierung:** Der Versuch, die Leistung durch neue Komponenten (wie in Option 3) zu steigern, erhöht die **CapEx massiv** ($185\%$ teurer als Option 1), was die Vorteile der höheren Effizienz aufhebt und die LCOE nur geringfügig verbessert.
Die O&amp;M-Kosten sind ein wichtiger Bestandteil der Operational Expenditure (OpEx). Die Berechnungen zeigen, dass die O&amp;M-Kosten mit zunehmender nutzbarer Leistung  
W
˙
us,PP
​
  steigen.
• Die niedrigsten O&amp;M-Kosten treten in Option 1 (Retrofit) auf, da diese Option die geringste nutzbare elektrische Leistung (774 MW) aufweist, resultierend in 90.75 M$/Jahr.
• Die höchsten O&amp;M-Kosten treten in Option 3 (Greenfield) auf, da hier die größte Anlage mit 2272 MW nutzbarer Leistung angenommen wird, resultierend in 155.70 M$/Jahr.
Diese C 
O&amp;M
​
 -Werte umfassen die Kosten für Gehälter, Verbrauchsmaterialien und Ausrüstung, externe Unterstützungsdienste, allgemeine und administrative Kosten, Kühlmittelauffüllung und Brennstoffhandhabungskosten. Sie bilden zusammen mit den jährlichen Brennstoffkosten (1.42 M$/Jahr) und den Stilllegungskosten (3.9 M$/Jahr) die gesamten jährlichen Betriebskosten (OpEx).</t>
  </si>
  <si>
    <t>30 years lifetime, therefore o&amp;m over 30 years lifetime -&gt; divided by 30</t>
  </si>
  <si>
    <t>Ward / in Maisonnier et al. (2005)</t>
  </si>
  <si>
    <t>EUR/kWh</t>
  </si>
  <si>
    <t>https://aries.pppl.gov/LIB/REPORT/OTHER/PROMETHEUS/appc.pdf</t>
  </si>
  <si>
    <t>inkl. replacement</t>
  </si>
  <si>
    <t>Ausgeschlossen da kein Reaktor angegeben</t>
  </si>
  <si>
    <t>*6000</t>
  </si>
  <si>
    <t>*110</t>
  </si>
  <si>
    <t>*63</t>
  </si>
  <si>
    <t>Ausschluss von Bustreo da keine Angabe von Reaktortyp</t>
  </si>
  <si>
    <t>Total Fusion O&amp;M variable clean--&gt;</t>
  </si>
  <si>
    <t>Including Fuel</t>
  </si>
  <si>
    <t>"Fuel and scheduled replacement items" assumed to be replacement due to value</t>
  </si>
  <si>
    <t>10.13140/RG.2.2.33911.33445</t>
  </si>
  <si>
    <t>Delene et al. (2001)</t>
  </si>
  <si>
    <t>0.65-0.85</t>
  </si>
  <si>
    <t>https://www.researchgate.net/profile/Charles-Boley/publication/388962587_Baker_et_al_STARFIRE_Commercial_Tokamak_Fusion_Power_Plant_Study_Vol_1_ANL_FPP-80-1_1980/links/67ae99128311ce680c61d208/Baker-et-al-STARFIRE-Commercial-Tokamak-Fusion-Power-Plant-Study-Vol-1-ANL-FPP-80-1-1980.pdf</t>
  </si>
  <si>
    <t>Hiwatari and Goto (2019)</t>
  </si>
  <si>
    <t>https://scispace.com/pdf/updated-reference-design-of-a-liquid-metal-cooled-tandem-l2u3cf4o2p.pdf</t>
  </si>
  <si>
    <t>Tritium: holrden, zheng, abdou</t>
  </si>
  <si>
    <t>minimum; availability of this technology for commercial uses is planned for 2048; 40 year lifetimedifferences in costs due to regional variations</t>
  </si>
  <si>
    <t>maximum; availability of this technology for commercial uses is planned for 2048; 40 year lifetime; differences in costs due to regional variations</t>
  </si>
  <si>
    <t>Baker et al. (1980)</t>
  </si>
  <si>
    <t>*=65.8*1000000</t>
  </si>
  <si>
    <t>https://publicaties.ecn.nl/PdfFetch.aspx?nr=ECN-C--98-085</t>
  </si>
  <si>
    <t>*377</t>
  </si>
  <si>
    <t>*190</t>
  </si>
  <si>
    <t>*184</t>
  </si>
  <si>
    <t>*430</t>
  </si>
  <si>
    <t>*270</t>
  </si>
  <si>
    <t>https://iopscience.iop.org/article/10.1088/0029-5515/30/9/015/pdf</t>
  </si>
  <si>
    <t>Source Type</t>
  </si>
  <si>
    <t>Study Type</t>
  </si>
  <si>
    <t>https://doi.org/10.13182/FST15-157</t>
  </si>
  <si>
    <t>System Blanket Costs</t>
  </si>
  <si>
    <t>System Blanket Cost</t>
  </si>
  <si>
    <t>Pessimistic scenario A; " rather conservative 10% learning rate"; 2-4% interest rate; 40 years litetime; in 2050; 10 years construction time</t>
  </si>
  <si>
    <t>Scenario B; " rather conservative 10% learning rate"; 2-4% interest rate; 40 years litetime; in 2050; 10 years construction time</t>
  </si>
  <si>
    <t>Pessimistic scenario A; " rather conservative 10% learning rate"; 5-7% interest rate; 40 years lifetime; in 2070; 10 years construction time</t>
  </si>
  <si>
    <t>Scenario B; " rather conservative 10% learning rate"; 5-7% interest rate; 40 years lifetime; in 2070; 10 years construction time</t>
  </si>
  <si>
    <t>Optimistic scenario C; " rather conservative 10% learning rate"; 2-4% interest rate; 40 years litetim; in 2050; 10 years construction time</t>
  </si>
  <si>
    <t>Optimistic scenario C; " rather conservative 10% learning rate"; 5-7% interest rate; 40 years lifetime; in 2070; 10 years construction time</t>
  </si>
  <si>
    <t>Pessimistic scenario A; " rather conservative 10% learning rate"; 2-4% interest rate; 40 years litetime; 2050-2060; 10 years construction time</t>
  </si>
  <si>
    <t>Scenario B; " rather conservative 10% learning rate"; 2-4% interest rate; 40 years litetim; 2050-2060; 10 years construction time</t>
  </si>
  <si>
    <t>Pessimistic scenario A; " rather conservative 10% learning rate"; 5-7% interest rate; 40 years litetime; 2070-2080; 10 years construction time</t>
  </si>
  <si>
    <t>Scenario B; " rather conservative 10% learning rate"; 5-7% interest rate; 40 years litetime; 2070-2080; 10 years construction time</t>
  </si>
  <si>
    <t>Optimistic scenario C; " rather conservative 10% learning rate"; 2-4% interest rate; 40 years litetim; 2050-2060; 10 years construction time</t>
  </si>
  <si>
    <t>Optimistic scenario C; " rather conservative 10% learning rate"; 5-7% interest rate; 40 years litetim; 2070-2080; 10 years construction time</t>
  </si>
  <si>
    <t>Pessimistic scenario A; " rather conservative 10% learning rate"; 5-7% interest rate; 40 years lifetime; 2060-2070; 10 years construction time</t>
  </si>
  <si>
    <t>Scenario B; " rather conservative 10% learning rate"; 5-7% interest rate; 40 years litetim; 2060-2070; 10 years construction time</t>
  </si>
  <si>
    <t>Optimistic scenario C; " rather conservative 10% learning rate"; 5-7% interest rate; 40 years litetim; 2060-2070; 10 years construction time</t>
  </si>
  <si>
    <t>Pessimistic scenario A; " rather conservative 10% learning rate"; 5-7% interest rate; 40 years lifetime; 2080-2090; 10 years construction time</t>
  </si>
  <si>
    <t>Scenario B; " rather conservative 10% learning rate"; 5-7% interest rate; 40 years litetim; 2080-2090; 10 years construction time</t>
  </si>
  <si>
    <t>Optimistic scenario C; " rather conservative 10% learning rate"; 5-7% interest rate; 40 years litetim; 2080-2090; 10 years construction time</t>
  </si>
  <si>
    <t>Pessimistic scenario A; " rather conservative 10% learning rate"; 5-7% interest rate; 40 years lifetime; 2090-2100; 10 years construction time</t>
  </si>
  <si>
    <t>Scenario B; " rather conservative 10% learning rate"; 5-7% interest rate; 40 years litetim; 2090-2100; 10 years construction time</t>
  </si>
  <si>
    <t>Optimistic scenario C; " rather conservative 10% learning rate"; 5-7% interest rate; 40 years litetim; 2090-2100; 10 years construction time</t>
  </si>
  <si>
    <t>Pessimistic scenario A; " rather conservative 10% learning rate"; 5-7% interest rate; 40 years litetime; in 2090; 10 years construction time</t>
  </si>
  <si>
    <t>Scenario B; " rather conservative 10% learning rate"; 5-7% interest rate; 40 years litetim; in 2090; 10 years construction time</t>
  </si>
  <si>
    <t>Optimistic scenario C; " rather conservative 10% learning rate"; 5-7% interest rate; 40 years litetim; in 2090; 10 years construction time</t>
  </si>
  <si>
    <t>Pessimistic scenario A; " rather conservative 10% learning rate"; 5-7% interest rate; 40 years litetime; in 2100; 10 years construction time</t>
  </si>
  <si>
    <t>Scenario B; " rather conservative 10% learning rate"; 5-7% interest rate; 40 years litetim; in 2100; 10 years construction time</t>
  </si>
  <si>
    <t>Optimistic scenario C; " rather conservative 10% learning rate"; 5-7% interest rate; 40 years litetim; in 2100; 10 years construction time</t>
  </si>
  <si>
    <t>Pessimistic scenario A; " rather conservative 10% learning rate"; 5-7% interest rate; 40 years litetime; in 2080; 10 years construction time</t>
  </si>
  <si>
    <t>Scenario B; " rather conservative 10% learning rate"; 5-7% interest rate; 40 years litetim; in 2080; 10 years construction time</t>
  </si>
  <si>
    <t>Optimistic scenario C; " rather conservative 10% learning rate"; 5-7% interest rate; 40 years litetim; in 2080; 10 years construction time</t>
  </si>
  <si>
    <t>Pessimistic scenario A; " rather conservative 10% learning rate"; 5-7% interest rate; 40 years litetime; in 2060; 10 years construction time</t>
  </si>
  <si>
    <t>Scenario B; " rather conservative 10% learning rate"; 5-7% interest rate; 40 years litetim; in 2060; 10 years construction time</t>
  </si>
  <si>
    <t>Optimistic scenario C; " rather conservative 10% learning rate"; 5-7% interest rate; 40 years litetim; in 2060; 10 years construction time</t>
  </si>
  <si>
    <t xml:space="preserve"> Learning rates based on experiences from NIF but not further specified; recirculating power fraction high -&gt; 77%; "envisioned as being operable ten to fifteen years from ignition on the NIF"; replacement of fusion chamber: after 0.9 years</t>
  </si>
  <si>
    <t>average value between 4 and 6 billion USD; Learning rates based on experiences from NIF but not further specified; recirculating power fraction: 25%; modular architecture; 5% discount rater; replacement of fusion chamber: after 4.5 years</t>
  </si>
  <si>
    <t>Learning rates based on experiences from NIF but not further specified; very low recirculating power fraction (Anteil des erzeugten Stroms für Stromeigenbedarf des Laser): 16%; modular architecture; 5% discount rate; replacement of fusion chamber: after 4.5 years; high availability is enabled by the modular architecture of the plant design</t>
  </si>
  <si>
    <t>Log</t>
  </si>
  <si>
    <t>Mittelwert</t>
  </si>
  <si>
    <t>Std.Abweichung</t>
  </si>
  <si>
    <t>Ausschluss von Ward/Maissonier O&amp;M fix da viel zu gering und eigentlich variable sind</t>
  </si>
  <si>
    <t>Wittenberg raus weil Breeding</t>
  </si>
  <si>
    <t>raus da Breeder</t>
  </si>
  <si>
    <t>*=(11+42)*1000000</t>
  </si>
  <si>
    <t>*=(2+9)*1000000</t>
  </si>
  <si>
    <t>*=(3+2)*1000000</t>
  </si>
  <si>
    <t>Triangle for mif:</t>
  </si>
  <si>
    <t>b</t>
  </si>
  <si>
    <t>Maximum</t>
  </si>
  <si>
    <t>c</t>
  </si>
  <si>
    <t>Mode (most likely)</t>
  </si>
  <si>
    <t>μ</t>
  </si>
  <si>
    <t>a= 4 889.47</t>
  </si>
  <si>
    <t>b=13 426.86</t>
  </si>
  <si>
    <t>min</t>
  </si>
  <si>
    <t>max</t>
  </si>
  <si>
    <t>mode</t>
  </si>
  <si>
    <t>MCF mature NOAK wird wert genommen</t>
  </si>
  <si>
    <t>c=12 391.07</t>
  </si>
  <si>
    <t>mcf 10th-oak normal distributed</t>
  </si>
  <si>
    <t>ICF FOAK plus Aufschlag:</t>
  </si>
  <si>
    <t>MIF FOAK plus Aufschlag:</t>
  </si>
  <si>
    <t>Dragojlovic et al. (2010)</t>
  </si>
  <si>
    <t>Fuel: D-He3</t>
  </si>
  <si>
    <t>Fuel and back-end costs</t>
  </si>
  <si>
    <t>in 2050</t>
  </si>
  <si>
    <t>in 2060</t>
  </si>
  <si>
    <t>in 2070</t>
  </si>
  <si>
    <t>in 2080</t>
  </si>
  <si>
    <t>construction time 4 years</t>
  </si>
  <si>
    <t>Selling excess electricity and fissile material to commercial markets while producing tritium and plutonium</t>
  </si>
  <si>
    <t>4-5 years construction time</t>
  </si>
  <si>
    <t>6 years construction time; 30 years lifetime</t>
  </si>
  <si>
    <t>High; experimental reactor in 2010, succeeded by a demonstration reactor in 2030, in order to begin using a power reactor in 2050</t>
  </si>
  <si>
    <t>40 years lifetime</t>
  </si>
  <si>
    <t>40 years lifetime; 10 years construction time</t>
  </si>
  <si>
    <t>Plant startup: 2025; 6 years construction time; 30 years lifetime</t>
  </si>
  <si>
    <t>30 years lifetime; 8 years construction time</t>
  </si>
  <si>
    <t>in 2100; 6.25 years construction time</t>
  </si>
  <si>
    <t>in 2070; 6.25 years construction time</t>
  </si>
  <si>
    <t>in 2050; 6.25 years construction time</t>
  </si>
  <si>
    <t>in 2020; 7 years construction time; ITER-type</t>
  </si>
  <si>
    <t xml:space="preserve"> 40 years lifetime; 5 years construction time; start of operation: 2035; ARC-like commercial reactors</t>
  </si>
  <si>
    <t xml:space="preserve"> 40 years lifetime; 10 years construction time</t>
  </si>
  <si>
    <t xml:space="preserve"> 40 years lifetime; 10 years construction time; start of operation: 2060</t>
  </si>
  <si>
    <t xml:space="preserve"> 40 years lifetime; 10 years construction time; start of operation: 2080</t>
  </si>
  <si>
    <t>Based on ESECOM study and GENEROMAK reactor; 6 years construction time; 30 years lifetime</t>
  </si>
  <si>
    <t xml:space="preserve">10 years Construction time </t>
  </si>
  <si>
    <t xml:space="preserve"> 7 years Construction time</t>
  </si>
  <si>
    <t xml:space="preserve">6 years Construction time </t>
  </si>
  <si>
    <t>6 years construction time; 40 years lifetime</t>
  </si>
  <si>
    <t>optimized ESECOM reactor using SCAN model rulse but for FOAK; 8 years construction time ; 25 years lifetime</t>
  </si>
  <si>
    <t>8 years construction time ; 25 years lifetime</t>
  </si>
  <si>
    <t>8 years construction time ; 25 years lifetime; converted from ECU to USD</t>
  </si>
  <si>
    <t>installation in 2060s</t>
  </si>
  <si>
    <t>Operational Mode</t>
  </si>
  <si>
    <t>Four different fusion technologies: Stabilized Liner Compressor, 
Plansa Jet Driven Magneto-Intertial Fusion, 
Staged Z-Pinch, 
Sheared Flow Stabilized Z-Pinch; 
6 years construction time</t>
  </si>
  <si>
    <t>Experimental; Without net electricity for output and needs external power supply</t>
  </si>
  <si>
    <t>Generomak - ESECOM - LI/LI/V</t>
  </si>
  <si>
    <t>V-Li/TOK Reactor</t>
  </si>
  <si>
    <t>Including hydrogen production</t>
  </si>
  <si>
    <t>10th-OAK Reactor</t>
  </si>
  <si>
    <t>Fusion Power Plant</t>
  </si>
  <si>
    <t xml:space="preserve"> Learning rates based on experiences from NIF but not further specified</t>
  </si>
  <si>
    <t>Average value between 4 and 6 billion USD; Learning rates based on experiences from NIF but not further specified</t>
  </si>
  <si>
    <t>Peer-reviewed publication</t>
  </si>
  <si>
    <t>Bottom up study</t>
  </si>
  <si>
    <t>Modular plant; learning effects due to mass prodction for modular parts</t>
  </si>
  <si>
    <t>Optimizing techno-economic study</t>
  </si>
  <si>
    <t>30 years lifetime; 6 years construction time</t>
  </si>
  <si>
    <t>AV: 0.5</t>
  </si>
  <si>
    <t>AV: 0.6</t>
  </si>
  <si>
    <t>AV: 0.65</t>
  </si>
  <si>
    <t>AV: 0.68</t>
  </si>
  <si>
    <t>AV: 0.706</t>
  </si>
  <si>
    <t>AV: 0.726</t>
  </si>
  <si>
    <t>AV: 0.727</t>
  </si>
  <si>
    <t>AV: 0.73</t>
  </si>
  <si>
    <t>AV: 0.76</t>
  </si>
  <si>
    <t>AV: 0.78</t>
  </si>
  <si>
    <t>AV: 0.794</t>
  </si>
  <si>
    <t>AV: 0.8</t>
  </si>
  <si>
    <t>AV: 0.808</t>
  </si>
  <si>
    <t>AV: 0.83</t>
  </si>
  <si>
    <t>AV: 0.85</t>
  </si>
  <si>
    <t>AV: 0.9</t>
  </si>
  <si>
    <t>AV: 0.92</t>
  </si>
  <si>
    <t>AV: 0.65-0.85</t>
  </si>
  <si>
    <t>30 years lifetime; high repetition rate 12Hz</t>
  </si>
  <si>
    <t>Maximum; availability of this technology for commercial uses is planned for 2048; 40 year lifetime; differences in costs due to regional variations</t>
  </si>
  <si>
    <t>Minimum; availability of this technology for commercial uses is planned for 2048; 40 year lifetime; differences in costs due to regional variations</t>
  </si>
  <si>
    <t>Cost Reference Year</t>
  </si>
  <si>
    <t>40 years lifetime; discount rate: 3%</t>
  </si>
  <si>
    <t xml:space="preserve">4 years construction time </t>
  </si>
  <si>
    <t>Four different fusion technologies: Stabilized Liner Compressor, Plansa Jet Driven Magneto-Intertial Fusion, Staged Z-Pinch, Sheared Flow Stabilized Z-Pinch;  Fusion Power Core is 10th-of-a-kind and the BOP is nth-of-a-kind; 6 years construction time; highly uncertain and pre-conceptual level</t>
  </si>
  <si>
    <t>Confinement type</t>
  </si>
  <si>
    <t>Reactor type</t>
  </si>
  <si>
    <t>Cost type</t>
  </si>
  <si>
    <t>Cost base year</t>
  </si>
  <si>
    <t>Availability/Capacity Factor</t>
  </si>
  <si>
    <t>CASCADE 
(all Conventional)</t>
  </si>
  <si>
    <t>SLC / PJMIF  / Staged Z-Pinch / SFS Z-Pinch</t>
  </si>
  <si>
    <t>Lindley et al (2023) and Roulstone (2021)</t>
  </si>
  <si>
    <t>SLC / PJMIF / Staged Z-Pinch / SFS Z-Pinch</t>
  </si>
  <si>
    <t>Maisonnier et al. (2005)</t>
  </si>
  <si>
    <t>Pessimistic scenario A; 40 years lifetime; 2060-2070; 10 years construction time</t>
  </si>
  <si>
    <t>Scenario B; 40 years litetim; 2050-2060; 10 years construction time</t>
  </si>
  <si>
    <t>Optimistic scenario C; 40 years litetim; 2050-2060; 10 years construction time</t>
  </si>
  <si>
    <t xml:space="preserve"> 6 years construction time</t>
  </si>
  <si>
    <t>Modular; 6 years construction time</t>
  </si>
  <si>
    <t>Greenfield reference plant where everything has been built from zero/without restructuring</t>
  </si>
  <si>
    <t>Based on ARIES calculations; 30 years lifetime; updates the existing steam turbines of the PWR plant by adding higher pressure stages</t>
  </si>
  <si>
    <t>Based on ARIES calculations; 30 years lifetime; applies only to the retrofit of PWR plant and completely reuses the existing systems</t>
  </si>
  <si>
    <t>Based on ARIES calculations;  30 years lifetime; Option 3 updates the PWR plant by using a topping closed-loop Gas Turbine to re-power the existing saturated steam-Rankine cycle</t>
  </si>
  <si>
    <t>Based on ARIES calculations;  30 years lifetime; Retrofit of a supercritical coal fired power plant, both currently operating and close to decommissioning towards a stellarator; reuse completely the electrical, heat rejection, and miscellaneous equipment, and the super-heated and supercritical steam-Rankine cycle without any update</t>
  </si>
  <si>
    <t>6 years costruction time; 40 years lifetime</t>
  </si>
  <si>
    <t>in 2030; 6.25 years construction time</t>
  </si>
  <si>
    <t>5% discount rate; after 25 years</t>
  </si>
  <si>
    <t>5% discount rate; after 50 years</t>
  </si>
  <si>
    <t>40 years lifetime; 10 years construction time; start of operation: 2060</t>
  </si>
  <si>
    <t>40 years lifetime; 10 years construction time; start of operation: 2080</t>
  </si>
  <si>
    <t>40 years lifetime; 5 years construction time; start of operation: 2035; ARC-like commercial reactor; modular</t>
  </si>
  <si>
    <t>40 years lifetime; 5 years construction time; start of operation: 2050; ARC-like commercial reactor; modular</t>
  </si>
  <si>
    <t>Costs for 2050; CF: 70% in 2040, 72.5% in 2050, 75% in 2070; lifetime 30 years</t>
  </si>
  <si>
    <t>6% discount rate; 40 years lifetime</t>
  </si>
  <si>
    <t>Four different fusion MIF technologies; fusion power core is 10th-of-a-kind and the BOP is nth-of-a-kind; 6 years construction time</t>
  </si>
  <si>
    <t>Four different fusion technologies; 3 years construction time</t>
  </si>
  <si>
    <t>Daraus Daten von van den Berg (2016) entnommen, da Quelle nicht zu finden war</t>
  </si>
  <si>
    <t>Für Simulation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</si>
</sst>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000"/>
    <numFmt numFmtId="165" formatCode="#0.0"/>
    <numFmt numFmtId="166" formatCode="#0.000"/>
    <numFmt numFmtId="167" formatCode="_-[$$-409]* #.##0.00_ ;_-[$$-409]* \-#.##0.00\ ;_-[$$-409]* &quot;-&quot;??_ ;_-@_ "/>
    <numFmt numFmtId="168" formatCode="#,##0.000"/>
  </numFmts>
  <fonts count="37">
    <font>
      <sz val="10"/>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u/>
      <sz val="10"/>
      <color indexed="12"/>
      <name val="Helvetica"/>
      <family val="2"/>
    </font>
    <font>
      <b/>
      <sz val="10"/>
      <color theme="1"/>
      <name val="Calibri"/>
      <family val="2"/>
      <scheme val="minor"/>
    </font>
    <font>
      <sz val="10"/>
      <color theme="0"/>
      <name val="Calibri"/>
      <family val="2"/>
      <scheme val="minor"/>
    </font>
    <font>
      <sz val="8"/>
      <name val="Calibri"/>
      <family val="2"/>
      <scheme val="minor"/>
    </font>
    <font>
      <sz val="10"/>
      <color theme="1"/>
      <name val="Calibri"/>
      <family val="2"/>
      <scheme val="minor"/>
    </font>
    <font>
      <sz val="10"/>
      <name val="Calibri"/>
      <family val="2"/>
      <scheme val="minor"/>
    </font>
    <font>
      <u/>
      <sz val="10"/>
      <name val="Calibri"/>
      <family val="2"/>
      <scheme val="minor"/>
    </font>
    <font>
      <sz val="10"/>
      <color rgb="FFFF0000"/>
      <name val="Calibri"/>
      <family val="2"/>
      <scheme val="minor"/>
    </font>
    <font>
      <sz val="10"/>
      <color theme="1"/>
      <name val="Times New Roman"/>
      <family val="1"/>
    </font>
    <font>
      <sz val="10"/>
      <name val="Calibri"/>
      <family val="2"/>
    </font>
    <font>
      <sz val="10"/>
      <name val="Times New Roman"/>
      <family val="1"/>
    </font>
    <font>
      <sz val="20"/>
      <name val="Calibri"/>
      <family val="2"/>
      <scheme val="minor"/>
    </font>
    <font>
      <sz val="10"/>
      <name val="Calibri "/>
    </font>
    <font>
      <sz val="8"/>
      <color theme="1"/>
      <name val="Calibri"/>
      <family val="2"/>
      <scheme val="minor"/>
    </font>
    <font>
      <b/>
      <sz val="8"/>
      <color theme="1"/>
      <name val="Calibri"/>
      <family val="2"/>
      <scheme val="minor"/>
    </font>
    <font>
      <sz val="8"/>
      <color theme="1"/>
      <name val="Segoe UI"/>
      <family val="2"/>
    </font>
    <font>
      <sz val="10"/>
      <color rgb="FF000000"/>
      <name val="Calibri"/>
      <family val="2"/>
      <scheme val="minor"/>
    </font>
    <font>
      <sz val="11"/>
      <color indexed="8"/>
      <name val="Calibri"/>
      <family val="2"/>
      <scheme val="minor"/>
    </font>
    <font>
      <b/>
      <sz val="10"/>
      <color indexed="8"/>
      <name val="Calibri"/>
      <family val="2"/>
      <scheme val="minor"/>
    </font>
    <font>
      <sz val="10"/>
      <color indexed="8"/>
      <name val="Calibri"/>
      <family val="2"/>
      <scheme val="minor"/>
    </font>
    <font>
      <u/>
      <sz val="10"/>
      <color theme="1"/>
      <name val="Calibri"/>
      <family val="2"/>
      <scheme val="minor"/>
    </font>
    <font>
      <b/>
      <sz val="16"/>
      <color theme="1"/>
      <name val="Calibri"/>
      <family val="2"/>
      <scheme val="minor"/>
    </font>
    <font>
      <b/>
      <sz val="10"/>
      <color theme="0"/>
      <name val="Calibri"/>
      <family val="2"/>
      <scheme val="minor"/>
    </font>
    <font>
      <sz val="10"/>
      <color theme="1"/>
      <name val="Arial"/>
      <family val="2"/>
    </font>
    <font>
      <sz val="10"/>
      <name val="Arial"/>
      <family val="2"/>
    </font>
    <font>
      <sz val="10"/>
      <color rgb="FF000000"/>
      <name val="Arial"/>
      <family val="2"/>
    </font>
    <font>
      <b/>
      <sz val="10"/>
      <name val="Arial"/>
      <family val="2"/>
    </font>
    <font>
      <b/>
      <sz val="10"/>
      <name val="Calibri"/>
      <family val="2"/>
      <scheme val="minor"/>
    </font>
    <font>
      <b/>
      <sz val="18"/>
      <color theme="1"/>
      <name val="Calibri"/>
      <family val="2"/>
      <scheme val="minor"/>
    </font>
    <font>
      <b/>
      <sz val="22"/>
      <color theme="1"/>
      <name val="Calibri"/>
      <family val="2"/>
      <scheme val="minor"/>
    </font>
  </fonts>
  <fills count="24">
    <fill>
      <patternFill patternType="none"/>
    </fill>
    <fill>
      <patternFill patternType="gray125"/>
    </fill>
    <fill>
      <patternFill patternType="solid">
        <fgColor theme="5"/>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
      <patternFill patternType="solid">
        <fgColor rgb="FFD9E1F2"/>
        <bgColor indexed="64"/>
      </patternFill>
    </fill>
    <fill>
      <patternFill patternType="solid">
        <fgColor theme="7"/>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rgb="FFFFBE98"/>
        <bgColor indexed="64"/>
      </patternFill>
    </fill>
    <fill>
      <patternFill patternType="solid">
        <fgColor rgb="FFAC3D00"/>
        <bgColor indexed="64"/>
      </patternFill>
    </fill>
    <fill>
      <patternFill patternType="solid">
        <fgColor theme="1" tint="0.49998474074526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499984740745262"/>
        <bgColor indexed="64"/>
      </patternFill>
    </fill>
    <fill>
      <patternFill patternType="solid">
        <fgColor rgb="FFFF5E05"/>
        <bgColor indexed="64"/>
      </patternFill>
    </fill>
    <fill>
      <patternFill patternType="solid">
        <fgColor theme="4"/>
        <bgColor theme="4"/>
      </patternFill>
    </fill>
  </fills>
  <borders count="89">
    <border>
      <left/>
      <right/>
      <top/>
      <bottom/>
      <diagonal/>
    </border>
    <border>
      <left/>
      <right/>
      <top style="thin">
        <color theme="4" tint="0.39997558519241921"/>
      </top>
      <bottom style="thin">
        <color theme="4" tint="0.39997558519241921"/>
      </bottom>
      <diagonal/>
    </border>
    <border>
      <left/>
      <right/>
      <top style="medium">
        <color rgb="FF8EA9DB"/>
      </top>
      <bottom style="medium">
        <color rgb="FF8EA9DB"/>
      </bottom>
      <diagonal/>
    </border>
    <border>
      <left/>
      <right style="medium">
        <color rgb="FF8EA9DB"/>
      </right>
      <top style="medium">
        <color rgb="FF8EA9DB"/>
      </top>
      <bottom style="medium">
        <color rgb="FF8EA9DB"/>
      </bottom>
      <diagonal/>
    </border>
    <border>
      <left/>
      <right/>
      <top/>
      <bottom style="medium">
        <color rgb="FF8EA9DB"/>
      </bottom>
      <diagonal/>
    </border>
    <border>
      <left/>
      <right style="medium">
        <color rgb="FF8EA9DB"/>
      </right>
      <top/>
      <bottom style="medium">
        <color rgb="FF8EA9DB"/>
      </bottom>
      <diagonal/>
    </border>
    <border>
      <left/>
      <right style="medium">
        <color rgb="FF8EA9DB"/>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right style="thin">
        <color theme="5" tint="0.39997558519241921"/>
      </right>
      <top/>
      <bottom/>
      <diagonal/>
    </border>
    <border>
      <left style="medium">
        <color theme="5" tint="0.39997558519241921"/>
      </left>
      <right/>
      <top style="medium">
        <color theme="5" tint="0.39997558519241921"/>
      </top>
      <bottom/>
      <diagonal/>
    </border>
    <border>
      <left/>
      <right/>
      <top style="medium">
        <color theme="5" tint="0.39997558519241921"/>
      </top>
      <bottom/>
      <diagonal/>
    </border>
    <border>
      <left/>
      <right style="medium">
        <color theme="5" tint="0.39997558519241921"/>
      </right>
      <top style="medium">
        <color theme="5" tint="0.39997558519241921"/>
      </top>
      <bottom/>
      <diagonal/>
    </border>
    <border>
      <left style="medium">
        <color theme="5" tint="0.39997558519241921"/>
      </left>
      <right/>
      <top/>
      <bottom/>
      <diagonal/>
    </border>
    <border>
      <left/>
      <right style="medium">
        <color theme="5" tint="0.39997558519241921"/>
      </right>
      <top/>
      <bottom/>
      <diagonal/>
    </border>
    <border>
      <left style="medium">
        <color theme="5" tint="0.39997558519241921"/>
      </left>
      <right/>
      <top/>
      <bottom style="medium">
        <color theme="5" tint="0.39997558519241921"/>
      </bottom>
      <diagonal/>
    </border>
    <border>
      <left/>
      <right/>
      <top/>
      <bottom style="medium">
        <color theme="5" tint="0.39997558519241921"/>
      </bottom>
      <diagonal/>
    </border>
    <border>
      <left/>
      <right style="medium">
        <color theme="5" tint="0.39997558519241921"/>
      </right>
      <top/>
      <bottom style="medium">
        <color theme="5" tint="0.39997558519241921"/>
      </bottom>
      <diagonal/>
    </border>
    <border>
      <left style="medium">
        <color theme="5" tint="0.39997558519241921"/>
      </left>
      <right style="thin">
        <color theme="5" tint="0.39997558519241921"/>
      </right>
      <top style="medium">
        <color theme="5" tint="0.39997558519241921"/>
      </top>
      <bottom style="thin">
        <color theme="5" tint="0.39997558519241921"/>
      </bottom>
      <diagonal/>
    </border>
    <border>
      <left style="thin">
        <color theme="5" tint="0.39997558519241921"/>
      </left>
      <right style="medium">
        <color theme="5" tint="0.39997558519241921"/>
      </right>
      <top style="medium">
        <color theme="5" tint="0.39997558519241921"/>
      </top>
      <bottom style="thin">
        <color theme="5" tint="0.39997558519241921"/>
      </bottom>
      <diagonal/>
    </border>
    <border>
      <left style="medium">
        <color theme="5" tint="0.39997558519241921"/>
      </left>
      <right style="thin">
        <color theme="5" tint="0.39997558519241921"/>
      </right>
      <top style="thin">
        <color theme="5" tint="0.39997558519241921"/>
      </top>
      <bottom style="thin">
        <color theme="5" tint="0.39997558519241921"/>
      </bottom>
      <diagonal/>
    </border>
    <border>
      <left style="thin">
        <color theme="5" tint="0.39997558519241921"/>
      </left>
      <right style="medium">
        <color theme="5" tint="0.39997558519241921"/>
      </right>
      <top style="thin">
        <color theme="5" tint="0.39997558519241921"/>
      </top>
      <bottom style="thin">
        <color theme="5" tint="0.39997558519241921"/>
      </bottom>
      <diagonal/>
    </border>
    <border>
      <left/>
      <right style="thick">
        <color theme="5" tint="0.39997558519241921"/>
      </right>
      <top/>
      <bottom/>
      <diagonal/>
    </border>
    <border>
      <left/>
      <right style="thick">
        <color theme="9" tint="0.39997558519241921"/>
      </right>
      <top/>
      <bottom/>
      <diagonal/>
    </border>
    <border>
      <left/>
      <right/>
      <top style="medium">
        <color indexed="64"/>
      </top>
      <bottom/>
      <diagonal/>
    </border>
    <border>
      <left/>
      <right/>
      <top style="thin">
        <color indexed="64"/>
      </top>
      <bottom/>
      <diagonal/>
    </border>
    <border>
      <left style="medium">
        <color indexed="64"/>
      </left>
      <right style="medium">
        <color indexed="64"/>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right style="thick">
        <color theme="8" tint="0.39997558519241921"/>
      </right>
      <top/>
      <bottom/>
      <diagonal/>
    </border>
    <border>
      <left/>
      <right style="thick">
        <color theme="7" tint="0.39997558519241921"/>
      </right>
      <top/>
      <bottom/>
      <diagonal/>
    </border>
    <border>
      <left/>
      <right style="thin">
        <color rgb="FF9590B2"/>
      </right>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medium">
        <color rgb="FF8EA9DB"/>
      </bottom>
      <diagonal/>
    </border>
    <border>
      <left/>
      <right style="medium">
        <color rgb="FF8EA9DB"/>
      </right>
      <top style="thin">
        <color theme="4" tint="0.39997558519241921"/>
      </top>
      <bottom style="medium">
        <color rgb="FF8EA9DB"/>
      </bottom>
      <diagonal/>
    </border>
    <border>
      <left/>
      <right style="medium">
        <color rgb="FF8EA9DB"/>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medium">
        <color rgb="FF8EA9DB"/>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medium">
        <color rgb="FF8EA9DB"/>
      </right>
      <top style="thin">
        <color theme="4" tint="0.39997558519241921"/>
      </top>
      <bottom/>
      <diagonal/>
    </border>
    <border>
      <left style="thin">
        <color theme="4" tint="0.39997558519241921"/>
      </left>
      <right/>
      <top/>
      <bottom style="thin">
        <color theme="4" tint="0.39997558519241921"/>
      </bottom>
      <diagonal/>
    </border>
    <border>
      <left style="thin">
        <color theme="4" tint="0.39997558519241921"/>
      </left>
      <right/>
      <top/>
      <bottom style="medium">
        <color rgb="FF8EA9DB"/>
      </bottom>
      <diagonal/>
    </border>
    <border>
      <left style="thin">
        <color theme="4" tint="0.39997558519241921"/>
      </left>
      <right/>
      <top/>
      <bottom/>
      <diagonal/>
    </border>
    <border>
      <left style="medium">
        <color theme="7"/>
      </left>
      <right/>
      <top style="medium">
        <color theme="7"/>
      </top>
      <bottom/>
      <diagonal/>
    </border>
    <border>
      <left/>
      <right/>
      <top style="medium">
        <color theme="7"/>
      </top>
      <bottom/>
      <diagonal/>
    </border>
    <border>
      <left/>
      <right style="medium">
        <color theme="7"/>
      </right>
      <top style="medium">
        <color theme="7"/>
      </top>
      <bottom/>
      <diagonal/>
    </border>
    <border>
      <left style="medium">
        <color theme="7"/>
      </left>
      <right/>
      <top/>
      <bottom/>
      <diagonal/>
    </border>
    <border>
      <left/>
      <right style="medium">
        <color theme="7"/>
      </right>
      <top/>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s>
  <cellStyleXfs count="14">
    <xf numFmtId="0" fontId="0" fillId="0" borderId="0"/>
    <xf numFmtId="0" fontId="6" fillId="0" borderId="0"/>
    <xf numFmtId="9" fontId="6" fillId="0" borderId="0" applyFont="0" applyFill="0" applyBorder="0" applyAlignment="0" applyProtection="0"/>
    <xf numFmtId="0" fontId="7" fillId="0" borderId="0" applyNumberFormat="0" applyFill="0" applyBorder="0" applyAlignment="0" applyProtection="0">
      <alignment vertical="top"/>
      <protection locked="0"/>
    </xf>
    <xf numFmtId="0" fontId="5" fillId="0" borderId="0"/>
    <xf numFmtId="9" fontId="5" fillId="0" borderId="0" applyFont="0" applyFill="0" applyBorder="0" applyAlignment="0" applyProtection="0"/>
    <xf numFmtId="0" fontId="4" fillId="0" borderId="0"/>
    <xf numFmtId="43" fontId="4" fillId="0" borderId="0" applyFont="0" applyFill="0" applyBorder="0" applyAlignment="0" applyProtection="0"/>
    <xf numFmtId="0" fontId="11" fillId="0" borderId="0"/>
    <xf numFmtId="0" fontId="7" fillId="0" borderId="0" applyNumberFormat="0" applyFill="0" applyBorder="0" applyAlignment="0" applyProtection="0">
      <alignment vertical="top"/>
      <protection locked="0"/>
    </xf>
    <xf numFmtId="0" fontId="3" fillId="0" borderId="0"/>
    <xf numFmtId="0" fontId="2" fillId="0" borderId="0"/>
    <xf numFmtId="0" fontId="24" fillId="0" borderId="0"/>
    <xf numFmtId="0" fontId="1" fillId="0" borderId="0"/>
  </cellStyleXfs>
  <cellXfs count="685">
    <xf numFmtId="0" fontId="0" fillId="0" borderId="0" xfId="0"/>
    <xf numFmtId="0" fontId="7" fillId="0" borderId="0" xfId="3" applyAlignment="1" applyProtection="1"/>
    <xf numFmtId="2" fontId="0" fillId="0" borderId="0" xfId="0" applyNumberFormat="1"/>
    <xf numFmtId="0" fontId="5" fillId="0" borderId="0" xfId="4"/>
    <xf numFmtId="0" fontId="0" fillId="4" borderId="0" xfId="0" applyFill="1"/>
    <xf numFmtId="0" fontId="0" fillId="0" borderId="0" xfId="0" applyAlignment="1">
      <alignment vertical="center" wrapText="1"/>
    </xf>
    <xf numFmtId="0" fontId="12" fillId="0" borderId="0" xfId="0" applyFont="1"/>
    <xf numFmtId="0" fontId="13" fillId="0" borderId="0" xfId="3" applyFont="1" applyAlignment="1" applyProtection="1"/>
    <xf numFmtId="0" fontId="12" fillId="0" borderId="1" xfId="0" applyFont="1" applyBorder="1"/>
    <xf numFmtId="0" fontId="7" fillId="0" borderId="0" xfId="3" applyAlignment="1" applyProtection="1">
      <alignment vertical="top" wrapText="1"/>
    </xf>
    <xf numFmtId="0" fontId="13" fillId="0" borderId="0" xfId="3" applyFont="1" applyFill="1" applyAlignment="1" applyProtection="1"/>
    <xf numFmtId="0" fontId="0" fillId="0" borderId="1" xfId="0" applyBorder="1"/>
    <xf numFmtId="0" fontId="15" fillId="0" borderId="0" xfId="0" applyFont="1"/>
    <xf numFmtId="0" fontId="0" fillId="0" borderId="0" xfId="0" applyAlignment="1">
      <alignment wrapText="1"/>
    </xf>
    <xf numFmtId="0" fontId="16" fillId="0" borderId="0" xfId="0" applyFont="1" applyAlignment="1">
      <alignment vertical="center"/>
    </xf>
    <xf numFmtId="0" fontId="17" fillId="0" borderId="0" xfId="0" applyFont="1"/>
    <xf numFmtId="0" fontId="12" fillId="0" borderId="4" xfId="0" applyFont="1" applyBorder="1"/>
    <xf numFmtId="0" fontId="0" fillId="5" borderId="0" xfId="0" applyFill="1"/>
    <xf numFmtId="1" fontId="12" fillId="0" borderId="0" xfId="0" applyNumberFormat="1" applyFont="1"/>
    <xf numFmtId="0" fontId="0" fillId="0" borderId="0" xfId="0" quotePrefix="1"/>
    <xf numFmtId="0" fontId="19" fillId="0" borderId="0" xfId="0" applyFont="1"/>
    <xf numFmtId="0" fontId="9" fillId="0" borderId="0" xfId="0" applyFont="1"/>
    <xf numFmtId="1" fontId="9" fillId="0" borderId="0" xfId="0" applyNumberFormat="1" applyFont="1"/>
    <xf numFmtId="0" fontId="12" fillId="3" borderId="0" xfId="0" applyFont="1" applyFill="1"/>
    <xf numFmtId="2" fontId="12" fillId="0" borderId="0" xfId="0" applyNumberFormat="1" applyFont="1"/>
    <xf numFmtId="0" fontId="0" fillId="0" borderId="0" xfId="0" quotePrefix="1" applyAlignment="1">
      <alignment wrapText="1"/>
    </xf>
    <xf numFmtId="0" fontId="12" fillId="0" borderId="0" xfId="0" applyFont="1" applyAlignment="1">
      <alignment wrapText="1"/>
    </xf>
    <xf numFmtId="0" fontId="0" fillId="0" borderId="7" xfId="0" applyBorder="1" applyAlignment="1">
      <alignment wrapText="1"/>
    </xf>
    <xf numFmtId="0" fontId="0" fillId="0" borderId="8" xfId="0" applyBorder="1" applyAlignment="1">
      <alignment wrapText="1"/>
    </xf>
    <xf numFmtId="0" fontId="20" fillId="0" borderId="10" xfId="0" quotePrefix="1" applyFont="1" applyBorder="1" applyAlignment="1">
      <alignment horizontal="left" vertical="top" wrapText="1"/>
    </xf>
    <xf numFmtId="0" fontId="20" fillId="0" borderId="10" xfId="0" applyFont="1" applyBorder="1" applyAlignment="1">
      <alignment horizontal="left" vertical="top" wrapText="1"/>
    </xf>
    <xf numFmtId="0" fontId="20" fillId="0" borderId="12" xfId="0" applyFont="1" applyBorder="1" applyAlignment="1">
      <alignment horizontal="left" vertical="top" wrapText="1"/>
    </xf>
    <xf numFmtId="0" fontId="20" fillId="0" borderId="14" xfId="0" applyFont="1" applyBorder="1" applyAlignment="1">
      <alignment horizontal="left" vertical="top" wrapText="1"/>
    </xf>
    <xf numFmtId="0" fontId="20" fillId="0" borderId="15" xfId="0" applyFont="1" applyBorder="1" applyAlignment="1">
      <alignment horizontal="left" vertical="top" wrapText="1"/>
    </xf>
    <xf numFmtId="0" fontId="20" fillId="0" borderId="16" xfId="0" applyFont="1" applyBorder="1" applyAlignment="1">
      <alignment horizontal="left" vertical="top" wrapText="1"/>
    </xf>
    <xf numFmtId="0" fontId="20" fillId="0" borderId="19" xfId="0" applyFont="1" applyBorder="1" applyAlignment="1">
      <alignment horizontal="left" vertical="top" wrapText="1"/>
    </xf>
    <xf numFmtId="0" fontId="20" fillId="0" borderId="23" xfId="0" applyFont="1" applyBorder="1" applyAlignment="1">
      <alignment horizontal="left" vertical="top" wrapText="1"/>
    </xf>
    <xf numFmtId="0" fontId="20" fillId="0" borderId="24" xfId="0" applyFont="1" applyBorder="1" applyAlignment="1">
      <alignment horizontal="left" vertical="top" wrapText="1"/>
    </xf>
    <xf numFmtId="0" fontId="20" fillId="0" borderId="26" xfId="0" applyFont="1" applyBorder="1" applyAlignment="1">
      <alignment horizontal="left" vertical="top" wrapText="1"/>
    </xf>
    <xf numFmtId="0" fontId="20" fillId="0" borderId="11" xfId="0" applyFont="1" applyBorder="1" applyAlignment="1">
      <alignment horizontal="left" vertical="top" wrapText="1"/>
    </xf>
    <xf numFmtId="0" fontId="20" fillId="0" borderId="25" xfId="0" applyFont="1" applyBorder="1" applyAlignment="1">
      <alignment horizontal="left" vertical="top" wrapText="1"/>
    </xf>
    <xf numFmtId="0" fontId="22" fillId="0" borderId="9" xfId="0" applyFont="1" applyBorder="1" applyAlignment="1">
      <alignment horizontal="left" vertical="top" wrapText="1"/>
    </xf>
    <xf numFmtId="0" fontId="20" fillId="0" borderId="22" xfId="0" applyFont="1" applyBorder="1" applyAlignment="1">
      <alignment horizontal="left" vertical="top" wrapText="1"/>
    </xf>
    <xf numFmtId="0" fontId="20" fillId="0" borderId="13" xfId="0" applyFont="1" applyBorder="1" applyAlignment="1">
      <alignment horizontal="left" vertical="top" wrapText="1"/>
    </xf>
    <xf numFmtId="0" fontId="20" fillId="0" borderId="17" xfId="0" applyFont="1" applyBorder="1" applyAlignment="1">
      <alignment horizontal="left" vertical="top" wrapText="1"/>
    </xf>
    <xf numFmtId="0" fontId="20" fillId="0" borderId="20" xfId="0" applyFont="1" applyBorder="1" applyAlignment="1">
      <alignment horizontal="left" vertical="top" wrapText="1"/>
    </xf>
    <xf numFmtId="0" fontId="20" fillId="0" borderId="32" xfId="0" applyFont="1" applyBorder="1" applyAlignment="1">
      <alignment horizontal="left" vertical="top" wrapText="1"/>
    </xf>
    <xf numFmtId="0" fontId="20" fillId="0" borderId="27" xfId="0" quotePrefix="1" applyFont="1" applyBorder="1" applyAlignment="1">
      <alignment horizontal="left" vertical="top" wrapText="1"/>
    </xf>
    <xf numFmtId="0" fontId="20" fillId="0" borderId="17" xfId="0" quotePrefix="1" applyFont="1" applyBorder="1" applyAlignment="1">
      <alignment horizontal="left" vertical="top" wrapText="1"/>
    </xf>
    <xf numFmtId="0" fontId="20" fillId="0" borderId="28" xfId="0" quotePrefix="1" applyFont="1" applyBorder="1" applyAlignment="1">
      <alignment horizontal="left" vertical="top" wrapText="1"/>
    </xf>
    <xf numFmtId="0" fontId="20" fillId="0" borderId="14" xfId="0" quotePrefix="1" applyFont="1" applyBorder="1" applyAlignment="1">
      <alignment horizontal="left" vertical="top" wrapText="1"/>
    </xf>
    <xf numFmtId="0" fontId="20" fillId="0" borderId="25" xfId="0" applyFont="1" applyBorder="1" applyAlignment="1">
      <alignment vertical="top" wrapText="1"/>
    </xf>
    <xf numFmtId="0" fontId="20" fillId="0" borderId="32" xfId="0" applyFont="1" applyBorder="1" applyAlignment="1">
      <alignment vertical="top" wrapText="1"/>
    </xf>
    <xf numFmtId="0" fontId="20" fillId="0" borderId="26" xfId="0" applyFont="1" applyBorder="1" applyAlignment="1">
      <alignment vertical="top" wrapText="1"/>
    </xf>
    <xf numFmtId="0" fontId="0" fillId="0" borderId="7" xfId="0" applyBorder="1" applyAlignment="1">
      <alignment horizontal="left" vertical="top" wrapText="1"/>
    </xf>
    <xf numFmtId="2" fontId="0" fillId="0" borderId="0" xfId="0" quotePrefix="1" applyNumberFormat="1"/>
    <xf numFmtId="0" fontId="8" fillId="7" borderId="33" xfId="0" applyFont="1" applyFill="1" applyBorder="1" applyAlignment="1">
      <alignment wrapText="1"/>
    </xf>
    <xf numFmtId="0" fontId="8" fillId="7" borderId="34" xfId="0" applyFont="1" applyFill="1" applyBorder="1" applyAlignment="1">
      <alignment wrapText="1"/>
    </xf>
    <xf numFmtId="0" fontId="10" fillId="0" borderId="0" xfId="0" applyFont="1" applyAlignment="1">
      <alignment wrapText="1"/>
    </xf>
    <xf numFmtId="0" fontId="20" fillId="0" borderId="11" xfId="0" applyFont="1" applyBorder="1" applyAlignment="1">
      <alignment vertical="top" wrapText="1"/>
    </xf>
    <xf numFmtId="0" fontId="22" fillId="0" borderId="25" xfId="0" applyFont="1" applyBorder="1" applyAlignment="1">
      <alignment vertical="top" wrapText="1"/>
    </xf>
    <xf numFmtId="0" fontId="22" fillId="0" borderId="26" xfId="0" applyFont="1" applyBorder="1" applyAlignment="1">
      <alignment vertical="top" wrapText="1"/>
    </xf>
    <xf numFmtId="0" fontId="22" fillId="0" borderId="7" xfId="0" applyFont="1" applyBorder="1" applyAlignment="1">
      <alignment vertical="top" wrapText="1"/>
    </xf>
    <xf numFmtId="0" fontId="0" fillId="0" borderId="22" xfId="0" applyBorder="1" applyAlignment="1">
      <alignment vertical="top" wrapText="1"/>
    </xf>
    <xf numFmtId="0" fontId="0" fillId="0" borderId="11" xfId="0" applyBorder="1" applyAlignment="1">
      <alignment vertical="top" wrapText="1"/>
    </xf>
    <xf numFmtId="0" fontId="0" fillId="0" borderId="13" xfId="0" applyBorder="1" applyAlignment="1">
      <alignment vertical="top" wrapText="1"/>
    </xf>
    <xf numFmtId="0" fontId="20" fillId="0" borderId="31" xfId="0" applyFont="1" applyBorder="1" applyAlignment="1">
      <alignment vertical="top" wrapText="1"/>
    </xf>
    <xf numFmtId="0" fontId="12" fillId="0" borderId="13" xfId="0" applyFont="1" applyBorder="1"/>
    <xf numFmtId="0" fontId="12" fillId="0" borderId="14" xfId="0" applyFont="1" applyBorder="1"/>
    <xf numFmtId="0" fontId="12" fillId="0" borderId="15" xfId="0" applyFont="1" applyBorder="1"/>
    <xf numFmtId="0" fontId="12" fillId="8" borderId="22" xfId="0" applyFont="1" applyFill="1" applyBorder="1"/>
    <xf numFmtId="0" fontId="12" fillId="8" borderId="23" xfId="0" applyFont="1" applyFill="1" applyBorder="1"/>
    <xf numFmtId="0" fontId="12" fillId="8" borderId="24" xfId="0" applyFont="1" applyFill="1" applyBorder="1"/>
    <xf numFmtId="0" fontId="0" fillId="0" borderId="11" xfId="0" applyBorder="1" applyAlignment="1">
      <alignment horizontal="left" vertical="top" wrapText="1"/>
    </xf>
    <xf numFmtId="0" fontId="20" fillId="0" borderId="18" xfId="0" applyFont="1" applyBorder="1" applyAlignment="1">
      <alignment horizontal="center" vertical="top" wrapText="1"/>
    </xf>
    <xf numFmtId="0" fontId="20" fillId="0" borderId="27" xfId="0" applyFont="1" applyBorder="1" applyAlignment="1">
      <alignment horizontal="center" vertical="top" wrapText="1"/>
    </xf>
    <xf numFmtId="0" fontId="20" fillId="0" borderId="17" xfId="0" applyFont="1" applyBorder="1" applyAlignment="1">
      <alignment horizontal="center" vertical="top" wrapText="1"/>
    </xf>
    <xf numFmtId="0" fontId="7" fillId="0" borderId="0" xfId="3" applyFill="1" applyAlignment="1" applyProtection="1">
      <alignment wrapText="1"/>
    </xf>
    <xf numFmtId="0" fontId="7" fillId="0" borderId="0" xfId="3" applyAlignment="1" applyProtection="1">
      <alignment vertical="center" wrapText="1"/>
    </xf>
    <xf numFmtId="0" fontId="23" fillId="0" borderId="0" xfId="0" applyFont="1" applyAlignment="1">
      <alignment vertical="center" wrapText="1"/>
    </xf>
    <xf numFmtId="0" fontId="0" fillId="9" borderId="0" xfId="0" applyFill="1"/>
    <xf numFmtId="0" fontId="0" fillId="11" borderId="0" xfId="0" applyFill="1"/>
    <xf numFmtId="0" fontId="20" fillId="11" borderId="11" xfId="0" applyFont="1" applyFill="1" applyBorder="1" applyAlignment="1">
      <alignment horizontal="left" vertical="top" wrapText="1"/>
    </xf>
    <xf numFmtId="0" fontId="20" fillId="11" borderId="10" xfId="0" applyFont="1" applyFill="1" applyBorder="1" applyAlignment="1">
      <alignment horizontal="left" vertical="top" wrapText="1"/>
    </xf>
    <xf numFmtId="0" fontId="20" fillId="11" borderId="12" xfId="0" applyFont="1" applyFill="1" applyBorder="1" applyAlignment="1">
      <alignment horizontal="left" vertical="top" wrapText="1"/>
    </xf>
    <xf numFmtId="164" fontId="1" fillId="0" borderId="0" xfId="13" applyNumberFormat="1"/>
    <xf numFmtId="164" fontId="0" fillId="0" borderId="0" xfId="0" applyNumberFormat="1"/>
    <xf numFmtId="167" fontId="0" fillId="0" borderId="0" xfId="0" applyNumberFormat="1"/>
    <xf numFmtId="0" fontId="25" fillId="0" borderId="0" xfId="12" applyFont="1" applyAlignment="1">
      <alignment horizontal="left"/>
    </xf>
    <xf numFmtId="165" fontId="26" fillId="0" borderId="0" xfId="12" applyNumberFormat="1" applyFont="1" applyAlignment="1">
      <alignment horizontal="right"/>
    </xf>
    <xf numFmtId="2" fontId="11" fillId="0" borderId="0" xfId="0" applyNumberFormat="1" applyFont="1"/>
    <xf numFmtId="0" fontId="11" fillId="0" borderId="0" xfId="0" applyFont="1"/>
    <xf numFmtId="164" fontId="11" fillId="0" borderId="0" xfId="13" applyNumberFormat="1" applyFont="1"/>
    <xf numFmtId="166" fontId="26" fillId="0" borderId="0" xfId="12" applyNumberFormat="1" applyFont="1" applyAlignment="1">
      <alignment horizontal="right"/>
    </xf>
    <xf numFmtId="164" fontId="0" fillId="0" borderId="0" xfId="13" applyNumberFormat="1" applyFont="1"/>
    <xf numFmtId="164" fontId="11" fillId="0" borderId="0" xfId="13" applyNumberFormat="1" applyFont="1" applyAlignment="1">
      <alignment wrapText="1"/>
    </xf>
    <xf numFmtId="0" fontId="0" fillId="0" borderId="0" xfId="0" applyAlignment="1">
      <alignment vertical="top" wrapText="1"/>
    </xf>
    <xf numFmtId="0" fontId="0" fillId="0" borderId="37" xfId="0" applyBorder="1" applyAlignment="1">
      <alignment vertical="top" wrapText="1"/>
    </xf>
    <xf numFmtId="0" fontId="12" fillId="0" borderId="0" xfId="13" applyFont="1"/>
    <xf numFmtId="168" fontId="0" fillId="0" borderId="0" xfId="0" applyNumberFormat="1"/>
    <xf numFmtId="0" fontId="0" fillId="11" borderId="7" xfId="0" applyFill="1" applyBorder="1" applyAlignment="1">
      <alignment wrapText="1"/>
    </xf>
    <xf numFmtId="0" fontId="0" fillId="11" borderId="0" xfId="0" applyFill="1" applyAlignment="1">
      <alignment wrapText="1"/>
    </xf>
    <xf numFmtId="0" fontId="0" fillId="11" borderId="8" xfId="0" applyFill="1" applyBorder="1" applyAlignment="1">
      <alignment wrapText="1"/>
    </xf>
    <xf numFmtId="0" fontId="12" fillId="10" borderId="0" xfId="0" applyFont="1" applyFill="1"/>
    <xf numFmtId="0" fontId="10" fillId="10" borderId="11" xfId="0" applyFont="1" applyFill="1" applyBorder="1" applyAlignment="1">
      <alignment horizontal="left" vertical="top" wrapText="1"/>
    </xf>
    <xf numFmtId="0" fontId="10" fillId="10" borderId="10" xfId="0" applyFont="1" applyFill="1" applyBorder="1" applyAlignment="1">
      <alignment horizontal="left" vertical="top" wrapText="1"/>
    </xf>
    <xf numFmtId="0" fontId="10" fillId="10" borderId="12" xfId="0" applyFont="1" applyFill="1" applyBorder="1" applyAlignment="1">
      <alignment horizontal="left" vertical="top" wrapText="1"/>
    </xf>
    <xf numFmtId="0" fontId="0" fillId="0" borderId="48" xfId="0" applyBorder="1"/>
    <xf numFmtId="0" fontId="0" fillId="0" borderId="49" xfId="0" applyBorder="1"/>
    <xf numFmtId="0" fontId="0" fillId="11" borderId="46" xfId="0" applyFill="1" applyBorder="1"/>
    <xf numFmtId="0" fontId="0" fillId="11" borderId="47" xfId="0" applyFill="1" applyBorder="1"/>
    <xf numFmtId="0" fontId="0" fillId="0" borderId="0" xfId="0" applyAlignment="1">
      <alignment horizontal="center"/>
    </xf>
    <xf numFmtId="0" fontId="12" fillId="0" borderId="0" xfId="0" quotePrefix="1" applyFont="1"/>
    <xf numFmtId="0" fontId="10" fillId="0" borderId="11" xfId="0" applyFont="1" applyBorder="1" applyAlignment="1">
      <alignment horizontal="left" vertical="top" wrapText="1"/>
    </xf>
    <xf numFmtId="0" fontId="10" fillId="0" borderId="10" xfId="0" applyFont="1" applyBorder="1" applyAlignment="1">
      <alignment horizontal="left" vertical="top" wrapText="1"/>
    </xf>
    <xf numFmtId="0" fontId="10" fillId="0" borderId="12" xfId="0" applyFont="1" applyBorder="1" applyAlignment="1">
      <alignment horizontal="left" vertical="top" wrapText="1"/>
    </xf>
    <xf numFmtId="0" fontId="7" fillId="0" borderId="0" xfId="3" applyFill="1" applyAlignment="1" applyProtection="1"/>
    <xf numFmtId="0" fontId="0" fillId="13" borderId="0" xfId="0" applyFill="1"/>
    <xf numFmtId="0" fontId="0" fillId="14" borderId="0" xfId="0" applyFill="1"/>
    <xf numFmtId="0" fontId="0" fillId="15" borderId="0" xfId="0" applyFill="1"/>
    <xf numFmtId="0" fontId="14" fillId="0" borderId="0" xfId="0" applyFont="1" applyAlignment="1">
      <alignment wrapText="1"/>
    </xf>
    <xf numFmtId="0" fontId="0" fillId="0" borderId="32" xfId="0" applyBorder="1" applyAlignment="1">
      <alignment horizontal="left" vertical="top" wrapText="1"/>
    </xf>
    <xf numFmtId="0" fontId="20" fillId="0" borderId="21" xfId="0" applyFont="1" applyBorder="1" applyAlignment="1">
      <alignment horizontal="center" vertical="top" wrapText="1"/>
    </xf>
    <xf numFmtId="0" fontId="0" fillId="0" borderId="0" xfId="0" applyAlignment="1">
      <alignment horizontal="left" vertical="top" wrapText="1"/>
    </xf>
    <xf numFmtId="0" fontId="0" fillId="0" borderId="50" xfId="0" applyBorder="1"/>
    <xf numFmtId="0" fontId="0" fillId="0" borderId="50" xfId="0" applyBorder="1" applyAlignment="1">
      <alignment horizontal="center"/>
    </xf>
    <xf numFmtId="0" fontId="0" fillId="0" borderId="51" xfId="0" applyBorder="1"/>
    <xf numFmtId="1" fontId="0" fillId="0" borderId="0" xfId="0" applyNumberFormat="1"/>
    <xf numFmtId="0" fontId="0" fillId="0" borderId="0" xfId="10" applyFont="1"/>
    <xf numFmtId="0" fontId="20" fillId="11" borderId="26" xfId="0" applyFont="1" applyFill="1" applyBorder="1" applyAlignment="1">
      <alignment horizontal="left" vertical="top" wrapText="1"/>
    </xf>
    <xf numFmtId="0" fontId="20" fillId="11" borderId="18" xfId="0" applyFont="1" applyFill="1" applyBorder="1" applyAlignment="1">
      <alignment horizontal="left" vertical="top" wrapText="1"/>
    </xf>
    <xf numFmtId="0" fontId="20" fillId="11" borderId="21" xfId="0" applyFont="1" applyFill="1" applyBorder="1" applyAlignment="1">
      <alignment horizontal="left" vertical="top" wrapText="1"/>
    </xf>
    <xf numFmtId="0" fontId="22" fillId="0" borderId="7" xfId="0" applyFont="1" applyBorder="1" applyAlignment="1">
      <alignment horizontal="left" vertical="top" wrapText="1"/>
    </xf>
    <xf numFmtId="0" fontId="0" fillId="7" borderId="0" xfId="0" applyFill="1"/>
    <xf numFmtId="0" fontId="20" fillId="7" borderId="11" xfId="0" applyFont="1" applyFill="1" applyBorder="1" applyAlignment="1">
      <alignment horizontal="left" vertical="top" wrapText="1"/>
    </xf>
    <xf numFmtId="0" fontId="20" fillId="7" borderId="10" xfId="0" applyFont="1" applyFill="1" applyBorder="1" applyAlignment="1">
      <alignment horizontal="left" vertical="top" wrapText="1"/>
    </xf>
    <xf numFmtId="0" fontId="20" fillId="7" borderId="10" xfId="0" quotePrefix="1" applyFont="1" applyFill="1" applyBorder="1" applyAlignment="1">
      <alignment horizontal="left" vertical="top" wrapText="1"/>
    </xf>
    <xf numFmtId="0" fontId="20" fillId="7" borderId="12" xfId="0" applyFont="1" applyFill="1" applyBorder="1" applyAlignment="1">
      <alignment horizontal="left" vertical="top" wrapText="1"/>
    </xf>
    <xf numFmtId="0" fontId="20" fillId="7" borderId="13" xfId="0" applyFont="1" applyFill="1" applyBorder="1" applyAlignment="1">
      <alignment horizontal="left" vertical="top" wrapText="1"/>
    </xf>
    <xf numFmtId="0" fontId="20" fillId="7" borderId="14" xfId="0" applyFont="1" applyFill="1" applyBorder="1" applyAlignment="1">
      <alignment horizontal="left" vertical="top" wrapText="1"/>
    </xf>
    <xf numFmtId="0" fontId="20" fillId="7" borderId="15" xfId="0" applyFont="1" applyFill="1" applyBorder="1" applyAlignment="1">
      <alignment horizontal="left" vertical="top" wrapText="1"/>
    </xf>
    <xf numFmtId="0" fontId="23" fillId="0" borderId="0" xfId="0" applyFont="1" applyAlignment="1">
      <alignment vertical="center"/>
    </xf>
    <xf numFmtId="0" fontId="23" fillId="0" borderId="0" xfId="0" applyFont="1" applyAlignment="1">
      <alignment horizontal="right" vertical="center"/>
    </xf>
    <xf numFmtId="0" fontId="0" fillId="12" borderId="0" xfId="0" applyFill="1"/>
    <xf numFmtId="15" fontId="0" fillId="0" borderId="0" xfId="0" quotePrefix="1" applyNumberFormat="1"/>
    <xf numFmtId="1" fontId="0" fillId="0" borderId="0" xfId="0" quotePrefix="1" applyNumberFormat="1"/>
    <xf numFmtId="0" fontId="0" fillId="2" borderId="0" xfId="0" applyFill="1"/>
    <xf numFmtId="2" fontId="0" fillId="0" borderId="0" xfId="0" applyNumberFormat="1" applyAlignment="1">
      <alignment vertical="center" wrapText="1"/>
    </xf>
    <xf numFmtId="2" fontId="0" fillId="0" borderId="0" xfId="0" quotePrefix="1" applyNumberFormat="1" applyAlignment="1">
      <alignment vertical="center" wrapText="1"/>
    </xf>
    <xf numFmtId="0" fontId="0" fillId="0" borderId="2" xfId="0" applyBorder="1"/>
    <xf numFmtId="0" fontId="0" fillId="0" borderId="4" xfId="0" applyBorder="1"/>
    <xf numFmtId="0" fontId="0" fillId="0" borderId="5" xfId="0" applyBorder="1" applyAlignment="1">
      <alignment wrapText="1"/>
    </xf>
    <xf numFmtId="0" fontId="0" fillId="0" borderId="5" xfId="0" applyBorder="1"/>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xf numFmtId="0" fontId="23" fillId="6" borderId="0" xfId="0" applyFont="1" applyFill="1" applyAlignment="1">
      <alignment vertical="center"/>
    </xf>
    <xf numFmtId="0" fontId="23" fillId="0" borderId="1" xfId="0" applyFont="1" applyBorder="1" applyAlignment="1">
      <alignment horizontal="right" vertical="center"/>
    </xf>
    <xf numFmtId="0" fontId="23" fillId="6" borderId="0" xfId="0" applyFont="1" applyFill="1" applyAlignment="1">
      <alignment horizontal="right" vertical="center"/>
    </xf>
    <xf numFmtId="0" fontId="23" fillId="6" borderId="1" xfId="0" applyFont="1" applyFill="1" applyBorder="1" applyAlignment="1">
      <alignment horizontal="right" vertical="center"/>
    </xf>
    <xf numFmtId="0" fontId="23" fillId="6" borderId="1" xfId="0" applyFont="1" applyFill="1" applyBorder="1" applyAlignment="1">
      <alignment vertical="center"/>
    </xf>
    <xf numFmtId="2" fontId="0" fillId="6" borderId="0" xfId="0" applyNumberFormat="1" applyFill="1"/>
    <xf numFmtId="0" fontId="23" fillId="0" borderId="1" xfId="0" applyFont="1" applyBorder="1" applyAlignment="1">
      <alignment vertical="center"/>
    </xf>
    <xf numFmtId="0" fontId="0" fillId="6" borderId="1" xfId="0" applyFill="1" applyBorder="1"/>
    <xf numFmtId="0" fontId="0" fillId="11" borderId="50" xfId="0" applyFill="1" applyBorder="1"/>
    <xf numFmtId="0" fontId="28" fillId="11" borderId="0" xfId="0" applyFont="1" applyFill="1"/>
    <xf numFmtId="0" fontId="20" fillId="2" borderId="11" xfId="0" applyFont="1" applyFill="1" applyBorder="1" applyAlignment="1">
      <alignment horizontal="left" vertical="top" wrapText="1"/>
    </xf>
    <xf numFmtId="0" fontId="20" fillId="2" borderId="10" xfId="0" applyFont="1" applyFill="1" applyBorder="1" applyAlignment="1">
      <alignment horizontal="left" vertical="top" wrapText="1"/>
    </xf>
    <xf numFmtId="0" fontId="20" fillId="2" borderId="12" xfId="0" applyFont="1" applyFill="1" applyBorder="1" applyAlignment="1">
      <alignment horizontal="left" vertical="top" wrapText="1"/>
    </xf>
    <xf numFmtId="0" fontId="0" fillId="16" borderId="0" xfId="0" applyFill="1"/>
    <xf numFmtId="0" fontId="0" fillId="16" borderId="4" xfId="0" applyFill="1" applyBorder="1" applyAlignment="1">
      <alignment vertical="center" wrapText="1"/>
    </xf>
    <xf numFmtId="2" fontId="0" fillId="16" borderId="0" xfId="0" quotePrefix="1" applyNumberFormat="1" applyFill="1"/>
    <xf numFmtId="0" fontId="0" fillId="16" borderId="0" xfId="0" quotePrefix="1" applyFill="1"/>
    <xf numFmtId="0" fontId="20" fillId="16" borderId="11" xfId="0" applyFont="1" applyFill="1" applyBorder="1" applyAlignment="1">
      <alignment horizontal="left" vertical="top" wrapText="1"/>
    </xf>
    <xf numFmtId="0" fontId="20" fillId="16" borderId="10" xfId="0" applyFont="1" applyFill="1" applyBorder="1" applyAlignment="1">
      <alignment horizontal="left" vertical="top" wrapText="1"/>
    </xf>
    <xf numFmtId="0" fontId="20" fillId="16" borderId="12" xfId="0" applyFont="1" applyFill="1" applyBorder="1" applyAlignment="1">
      <alignment horizontal="left" vertical="top" wrapText="1"/>
    </xf>
    <xf numFmtId="0" fontId="8" fillId="7" borderId="35" xfId="0" applyFont="1" applyFill="1" applyBorder="1" applyAlignment="1">
      <alignment wrapText="1"/>
    </xf>
    <xf numFmtId="0" fontId="8" fillId="7" borderId="52" xfId="0" applyFont="1" applyFill="1" applyBorder="1" applyAlignment="1">
      <alignment wrapText="1"/>
    </xf>
    <xf numFmtId="0" fontId="8" fillId="7" borderId="0" xfId="0" applyFont="1" applyFill="1" applyAlignment="1">
      <alignment wrapText="1"/>
    </xf>
    <xf numFmtId="0" fontId="8" fillId="7" borderId="8" xfId="0" applyFont="1" applyFill="1" applyBorder="1" applyAlignment="1">
      <alignment wrapText="1"/>
    </xf>
    <xf numFmtId="0" fontId="0" fillId="0" borderId="0" xfId="0" quotePrefix="1" applyAlignment="1">
      <alignment vertical="center" wrapText="1"/>
    </xf>
    <xf numFmtId="0" fontId="0" fillId="0" borderId="4" xfId="10" applyFont="1" applyBorder="1"/>
    <xf numFmtId="0" fontId="12" fillId="15" borderId="0" xfId="0" applyFont="1" applyFill="1"/>
    <xf numFmtId="0" fontId="12" fillId="9" borderId="0" xfId="0" applyFont="1" applyFill="1"/>
    <xf numFmtId="0" fontId="23" fillId="9" borderId="0" xfId="0" applyFont="1" applyFill="1" applyAlignment="1">
      <alignment vertical="center"/>
    </xf>
    <xf numFmtId="0" fontId="0" fillId="9" borderId="0" xfId="0" applyFill="1" applyAlignment="1">
      <alignment vertical="center" wrapText="1"/>
    </xf>
    <xf numFmtId="0" fontId="0" fillId="17" borderId="0" xfId="0" applyFill="1"/>
    <xf numFmtId="2" fontId="0" fillId="17" borderId="0" xfId="0" quotePrefix="1" applyNumberFormat="1" applyFill="1"/>
    <xf numFmtId="0" fontId="0" fillId="17" borderId="0" xfId="0" quotePrefix="1" applyFill="1"/>
    <xf numFmtId="2" fontId="0" fillId="17" borderId="0" xfId="0" applyNumberFormat="1" applyFill="1"/>
    <xf numFmtId="0" fontId="12" fillId="17" borderId="0" xfId="0" applyFont="1" applyFill="1"/>
    <xf numFmtId="2" fontId="12" fillId="17" borderId="0" xfId="0" quotePrefix="1" applyNumberFormat="1" applyFont="1" applyFill="1"/>
    <xf numFmtId="0" fontId="0" fillId="9" borderId="4" xfId="0" applyFill="1" applyBorder="1"/>
    <xf numFmtId="0" fontId="23" fillId="9" borderId="1" xfId="0" applyFont="1" applyFill="1" applyBorder="1" applyAlignment="1">
      <alignment vertical="center"/>
    </xf>
    <xf numFmtId="0" fontId="20" fillId="0" borderId="0" xfId="0" applyFont="1"/>
    <xf numFmtId="0" fontId="20" fillId="0" borderId="0" xfId="0" applyFont="1" applyAlignment="1">
      <alignment horizontal="center"/>
    </xf>
    <xf numFmtId="0" fontId="0" fillId="18" borderId="0" xfId="0" applyFill="1"/>
    <xf numFmtId="0" fontId="0" fillId="18" borderId="0" xfId="0" quotePrefix="1" applyFill="1"/>
    <xf numFmtId="2" fontId="0" fillId="18" borderId="0" xfId="0" quotePrefix="1" applyNumberFormat="1" applyFill="1"/>
    <xf numFmtId="0" fontId="20" fillId="0" borderId="0" xfId="0" applyFont="1" applyAlignment="1">
      <alignment horizontal="left" vertical="top" wrapText="1"/>
    </xf>
    <xf numFmtId="0" fontId="20" fillId="0" borderId="0" xfId="0" applyFont="1" applyAlignment="1">
      <alignment horizontal="left" vertical="top"/>
    </xf>
    <xf numFmtId="0" fontId="20" fillId="0" borderId="0" xfId="0" applyFont="1" applyAlignment="1">
      <alignment horizontal="center" vertical="center" wrapText="1"/>
    </xf>
    <xf numFmtId="0" fontId="20" fillId="0" borderId="0" xfId="0" applyFont="1" applyAlignment="1">
      <alignment horizontal="center" vertical="center"/>
    </xf>
    <xf numFmtId="0" fontId="20" fillId="0" borderId="54" xfId="0" quotePrefix="1" applyFont="1" applyBorder="1" applyAlignment="1">
      <alignment horizontal="center" vertical="center" wrapText="1"/>
    </xf>
    <xf numFmtId="0" fontId="20" fillId="0" borderId="0" xfId="0" applyFont="1" applyAlignment="1">
      <alignment wrapText="1"/>
    </xf>
    <xf numFmtId="0" fontId="20" fillId="0" borderId="0" xfId="0" applyFont="1" applyAlignment="1">
      <alignment vertical="top" wrapText="1"/>
    </xf>
    <xf numFmtId="0" fontId="8" fillId="12" borderId="34" xfId="0" applyFont="1" applyFill="1" applyBorder="1" applyAlignment="1">
      <alignment horizontal="center" vertical="center" wrapText="1"/>
    </xf>
    <xf numFmtId="0" fontId="20" fillId="0" borderId="54" xfId="0" applyFont="1" applyBorder="1"/>
    <xf numFmtId="0" fontId="20" fillId="0" borderId="54" xfId="0" quotePrefix="1" applyFont="1" applyBorder="1" applyAlignment="1">
      <alignment vertical="center" wrapText="1"/>
    </xf>
    <xf numFmtId="0" fontId="20" fillId="0" borderId="54" xfId="0" applyFont="1" applyBorder="1" applyAlignment="1">
      <alignment wrapText="1"/>
    </xf>
    <xf numFmtId="0" fontId="20" fillId="0" borderId="54" xfId="0" applyFont="1" applyBorder="1" applyAlignment="1">
      <alignment vertical="center" wrapText="1"/>
    </xf>
    <xf numFmtId="0" fontId="21" fillId="8" borderId="33" xfId="0" applyFont="1" applyFill="1" applyBorder="1" applyAlignment="1">
      <alignment horizontal="center" vertical="center"/>
    </xf>
    <xf numFmtId="0" fontId="8" fillId="11" borderId="33" xfId="0" applyFont="1" applyFill="1" applyBorder="1" applyAlignment="1">
      <alignment horizontal="center" vertical="center" wrapText="1"/>
    </xf>
    <xf numFmtId="0" fontId="8" fillId="11" borderId="59" xfId="0" applyFont="1" applyFill="1" applyBorder="1" applyAlignment="1">
      <alignment horizontal="center" vertical="center" wrapText="1"/>
    </xf>
    <xf numFmtId="0" fontId="20" fillId="0" borderId="54" xfId="0" applyFont="1" applyBorder="1" applyAlignment="1">
      <alignment horizontal="left" vertical="top" wrapText="1"/>
    </xf>
    <xf numFmtId="0" fontId="20" fillId="0" borderId="54" xfId="0" applyFont="1" applyBorder="1" applyAlignment="1">
      <alignment vertical="top" wrapText="1"/>
    </xf>
    <xf numFmtId="0" fontId="20" fillId="0" borderId="60" xfId="0" applyFont="1" applyBorder="1" applyAlignment="1">
      <alignment horizontal="left" vertical="top" wrapText="1"/>
    </xf>
    <xf numFmtId="0" fontId="20" fillId="0" borderId="0" xfId="0" applyFont="1" applyAlignment="1">
      <alignment horizontal="center" vertical="top" wrapText="1"/>
    </xf>
    <xf numFmtId="0" fontId="20" fillId="0" borderId="0" xfId="0" applyFont="1" applyAlignment="1">
      <alignment horizontal="center" vertical="top"/>
    </xf>
    <xf numFmtId="0" fontId="10" fillId="0" borderId="0" xfId="0" applyFont="1" applyAlignment="1">
      <alignment horizontal="center"/>
    </xf>
    <xf numFmtId="0" fontId="20" fillId="15" borderId="54" xfId="0" applyFont="1" applyFill="1" applyBorder="1" applyAlignment="1">
      <alignment vertical="top" wrapText="1"/>
    </xf>
    <xf numFmtId="0" fontId="12" fillId="5" borderId="0" xfId="0" applyFont="1" applyFill="1"/>
    <xf numFmtId="0" fontId="20" fillId="0" borderId="8" xfId="0" applyFont="1" applyBorder="1"/>
    <xf numFmtId="0" fontId="10" fillId="17" borderId="0" xfId="0" applyFont="1" applyFill="1" applyAlignment="1">
      <alignment horizontal="center" vertical="center" wrapText="1"/>
    </xf>
    <xf numFmtId="0" fontId="20" fillId="17" borderId="0" xfId="0" applyFont="1" applyFill="1" applyAlignment="1">
      <alignment horizontal="center"/>
    </xf>
    <xf numFmtId="0" fontId="0" fillId="18" borderId="0" xfId="0" applyFill="1" applyAlignment="1">
      <alignment horizontal="center"/>
    </xf>
    <xf numFmtId="0" fontId="0" fillId="0" borderId="0" xfId="0" applyAlignment="1">
      <alignment horizontal="left"/>
    </xf>
    <xf numFmtId="0" fontId="20" fillId="17" borderId="0" xfId="0" quotePrefix="1" applyFont="1" applyFill="1" applyAlignment="1">
      <alignment horizontal="center"/>
    </xf>
    <xf numFmtId="0" fontId="8" fillId="11" borderId="0" xfId="0" applyFont="1" applyFill="1" applyAlignment="1">
      <alignment horizontal="center" vertical="center" wrapText="1"/>
    </xf>
    <xf numFmtId="0" fontId="20" fillId="5" borderId="0" xfId="0" applyFont="1" applyFill="1" applyAlignment="1">
      <alignment horizontal="left"/>
    </xf>
    <xf numFmtId="0" fontId="10" fillId="0" borderId="0" xfId="0" applyFont="1" applyAlignment="1">
      <alignment horizontal="center" vertical="center"/>
    </xf>
    <xf numFmtId="0" fontId="0" fillId="13" borderId="0" xfId="0" applyFill="1" applyAlignment="1">
      <alignment vertical="center" wrapText="1"/>
    </xf>
    <xf numFmtId="0" fontId="0" fillId="19" borderId="0" xfId="0" applyFill="1"/>
    <xf numFmtId="0" fontId="0" fillId="20" borderId="0" xfId="0" applyFill="1"/>
    <xf numFmtId="0" fontId="0" fillId="0" borderId="62" xfId="0" applyBorder="1"/>
    <xf numFmtId="0" fontId="0" fillId="0" borderId="63" xfId="0" applyBorder="1"/>
    <xf numFmtId="0" fontId="20" fillId="0" borderId="54" xfId="0" applyFont="1" applyBorder="1" applyAlignment="1">
      <alignment horizontal="center" vertical="center"/>
    </xf>
    <xf numFmtId="0" fontId="20" fillId="0" borderId="54" xfId="0" applyFont="1" applyBorder="1" applyAlignment="1">
      <alignment horizontal="center" vertical="center" wrapText="1"/>
    </xf>
    <xf numFmtId="0" fontId="0" fillId="15" borderId="4" xfId="0" applyFill="1" applyBorder="1" applyAlignment="1">
      <alignment vertical="center" wrapText="1"/>
    </xf>
    <xf numFmtId="0" fontId="0" fillId="9" borderId="0" xfId="10" applyFont="1" applyFill="1"/>
    <xf numFmtId="0" fontId="0" fillId="21" borderId="0" xfId="0" applyFill="1"/>
    <xf numFmtId="0" fontId="12" fillId="4" borderId="0" xfId="0" applyFont="1" applyFill="1"/>
    <xf numFmtId="0" fontId="0" fillId="0" borderId="64" xfId="0" applyBorder="1"/>
    <xf numFmtId="0" fontId="0" fillId="8" borderId="54" xfId="0" applyFill="1" applyBorder="1" applyAlignment="1">
      <alignment horizontal="left" vertical="top"/>
    </xf>
    <xf numFmtId="0" fontId="0" fillId="8" borderId="33" xfId="0" applyFill="1" applyBorder="1" applyAlignment="1">
      <alignment horizontal="left" vertical="top" wrapText="1"/>
    </xf>
    <xf numFmtId="0" fontId="0" fillId="22" borderId="0" xfId="0" applyFill="1"/>
    <xf numFmtId="0" fontId="12" fillId="22" borderId="0" xfId="0" applyFont="1" applyFill="1" applyAlignment="1">
      <alignment vertical="center"/>
    </xf>
    <xf numFmtId="0" fontId="12" fillId="22" borderId="0" xfId="0" applyFont="1" applyFill="1" applyAlignment="1">
      <alignment horizontal="right" vertical="center"/>
    </xf>
    <xf numFmtId="2" fontId="12" fillId="22" borderId="0" xfId="0" applyNumberFormat="1" applyFont="1" applyFill="1" applyAlignment="1">
      <alignment vertical="center"/>
    </xf>
    <xf numFmtId="0" fontId="0" fillId="22" borderId="0" xfId="0" quotePrefix="1" applyFill="1"/>
    <xf numFmtId="0" fontId="23" fillId="22" borderId="0" xfId="0" applyFont="1" applyFill="1" applyAlignment="1">
      <alignment vertical="center"/>
    </xf>
    <xf numFmtId="0" fontId="23" fillId="22" borderId="0" xfId="0" applyFont="1" applyFill="1" applyAlignment="1">
      <alignment horizontal="right" vertical="center"/>
    </xf>
    <xf numFmtId="0" fontId="12" fillId="22" borderId="0" xfId="0" applyFont="1" applyFill="1"/>
    <xf numFmtId="0" fontId="0" fillId="17" borderId="0" xfId="0" applyFill="1" applyAlignment="1">
      <alignment wrapText="1"/>
    </xf>
    <xf numFmtId="0" fontId="0" fillId="4" borderId="48" xfId="0" applyFill="1" applyBorder="1"/>
    <xf numFmtId="0" fontId="0" fillId="4" borderId="49" xfId="0" applyFill="1" applyBorder="1"/>
    <xf numFmtId="0" fontId="0" fillId="22" borderId="35" xfId="0" applyFill="1" applyBorder="1"/>
    <xf numFmtId="0" fontId="0" fillId="0" borderId="52" xfId="0" applyBorder="1"/>
    <xf numFmtId="0" fontId="0" fillId="0" borderId="65" xfId="0" applyBorder="1"/>
    <xf numFmtId="0" fontId="0" fillId="22" borderId="7" xfId="0" applyFill="1" applyBorder="1"/>
    <xf numFmtId="0" fontId="0" fillId="22" borderId="8" xfId="0" applyFill="1" applyBorder="1"/>
    <xf numFmtId="0" fontId="0" fillId="0" borderId="7" xfId="0" applyBorder="1"/>
    <xf numFmtId="0" fontId="0" fillId="0" borderId="8" xfId="0" applyBorder="1"/>
    <xf numFmtId="0" fontId="0" fillId="0" borderId="9" xfId="0" applyBorder="1"/>
    <xf numFmtId="0" fontId="0" fillId="0" borderId="66" xfId="0" applyBorder="1"/>
    <xf numFmtId="0" fontId="0" fillId="0" borderId="67" xfId="0" applyBorder="1"/>
    <xf numFmtId="0" fontId="0" fillId="22" borderId="0" xfId="0" applyFill="1" applyAlignment="1">
      <alignment vertical="center" wrapText="1"/>
    </xf>
    <xf numFmtId="0" fontId="0" fillId="22" borderId="6" xfId="0" applyFill="1" applyBorder="1" applyAlignment="1">
      <alignment wrapText="1"/>
    </xf>
    <xf numFmtId="0" fontId="0" fillId="22" borderId="6" xfId="0" applyFill="1" applyBorder="1"/>
    <xf numFmtId="0" fontId="0" fillId="22" borderId="1" xfId="0" applyFill="1" applyBorder="1"/>
    <xf numFmtId="0" fontId="0" fillId="3" borderId="68" xfId="0" applyFill="1" applyBorder="1"/>
    <xf numFmtId="0" fontId="0" fillId="3" borderId="1" xfId="0" applyFill="1" applyBorder="1"/>
    <xf numFmtId="0" fontId="0" fillId="0" borderId="68" xfId="0" applyBorder="1"/>
    <xf numFmtId="0" fontId="29" fillId="23" borderId="1" xfId="0" applyFont="1" applyFill="1" applyBorder="1"/>
    <xf numFmtId="0" fontId="0" fillId="3" borderId="72" xfId="0" applyFill="1" applyBorder="1"/>
    <xf numFmtId="0" fontId="0" fillId="0" borderId="72" xfId="0" applyBorder="1"/>
    <xf numFmtId="0" fontId="29" fillId="23" borderId="72" xfId="0" applyFont="1" applyFill="1" applyBorder="1"/>
    <xf numFmtId="0" fontId="0" fillId="9" borderId="1" xfId="0" applyFill="1" applyBorder="1"/>
    <xf numFmtId="0" fontId="0" fillId="0" borderId="1" xfId="0" applyBorder="1" applyAlignment="1">
      <alignment vertical="center" wrapText="1"/>
    </xf>
    <xf numFmtId="0" fontId="0" fillId="0" borderId="1" xfId="0" applyBorder="1" applyAlignment="1">
      <alignment wrapText="1"/>
    </xf>
    <xf numFmtId="0" fontId="12" fillId="2" borderId="0" xfId="0" applyFont="1" applyFill="1"/>
    <xf numFmtId="1" fontId="12" fillId="2" borderId="0" xfId="0" applyNumberFormat="1" applyFont="1" applyFill="1"/>
    <xf numFmtId="0" fontId="7" fillId="2" borderId="0" xfId="3" applyFill="1" applyAlignment="1" applyProtection="1"/>
    <xf numFmtId="0" fontId="13" fillId="2" borderId="0" xfId="3" applyFont="1" applyFill="1" applyAlignment="1" applyProtection="1"/>
    <xf numFmtId="1" fontId="12" fillId="2" borderId="0" xfId="0" quotePrefix="1" applyNumberFormat="1" applyFont="1" applyFill="1"/>
    <xf numFmtId="0" fontId="7" fillId="2" borderId="0" xfId="3" applyFill="1" applyAlignment="1" applyProtection="1">
      <alignment vertical="center" wrapText="1"/>
    </xf>
    <xf numFmtId="0" fontId="0" fillId="9" borderId="4" xfId="10" applyFont="1" applyFill="1" applyBorder="1"/>
    <xf numFmtId="0" fontId="30" fillId="0" borderId="0" xfId="0" applyFont="1"/>
    <xf numFmtId="1" fontId="0" fillId="0" borderId="1" xfId="0" applyNumberFormat="1" applyBorder="1"/>
    <xf numFmtId="0" fontId="12" fillId="0" borderId="6" xfId="0" applyFont="1" applyBorder="1" applyAlignment="1">
      <alignment wrapText="1"/>
    </xf>
    <xf numFmtId="0" fontId="0" fillId="0" borderId="1" xfId="10" applyFont="1" applyBorder="1"/>
    <xf numFmtId="0" fontId="0" fillId="3" borderId="1" xfId="10" applyFont="1" applyFill="1" applyBorder="1"/>
    <xf numFmtId="2" fontId="0" fillId="3" borderId="1" xfId="0" applyNumberFormat="1" applyFill="1" applyBorder="1"/>
    <xf numFmtId="2" fontId="0" fillId="0" borderId="1" xfId="0" applyNumberFormat="1" applyBorder="1"/>
    <xf numFmtId="0" fontId="0" fillId="3" borderId="72" xfId="0" quotePrefix="1" applyFill="1" applyBorder="1"/>
    <xf numFmtId="0" fontId="0" fillId="0" borderId="72" xfId="0" quotePrefix="1" applyBorder="1"/>
    <xf numFmtId="0" fontId="0" fillId="3" borderId="1" xfId="0" quotePrefix="1" applyFill="1" applyBorder="1"/>
    <xf numFmtId="0" fontId="0" fillId="0" borderId="1" xfId="0" quotePrefix="1" applyBorder="1"/>
    <xf numFmtId="0" fontId="0" fillId="0" borderId="68" xfId="10" applyFont="1" applyBorder="1"/>
    <xf numFmtId="0" fontId="0" fillId="3" borderId="68" xfId="10" applyFont="1" applyFill="1" applyBorder="1"/>
    <xf numFmtId="0" fontId="23" fillId="3" borderId="1" xfId="0" applyFont="1" applyFill="1" applyBorder="1" applyAlignment="1">
      <alignment vertical="center"/>
    </xf>
    <xf numFmtId="0" fontId="23" fillId="3" borderId="1" xfId="0" applyFont="1" applyFill="1" applyBorder="1" applyAlignment="1">
      <alignment horizontal="right" vertical="center"/>
    </xf>
    <xf numFmtId="0" fontId="12" fillId="3" borderId="1" xfId="0" applyFont="1" applyFill="1" applyBorder="1"/>
    <xf numFmtId="2" fontId="0" fillId="3" borderId="1" xfId="0" quotePrefix="1" applyNumberFormat="1" applyFill="1" applyBorder="1"/>
    <xf numFmtId="2" fontId="0" fillId="0" borderId="1" xfId="0" quotePrefix="1" applyNumberFormat="1" applyBorder="1"/>
    <xf numFmtId="0" fontId="23" fillId="3" borderId="68" xfId="0" applyFont="1" applyFill="1" applyBorder="1" applyAlignment="1">
      <alignment vertical="center"/>
    </xf>
    <xf numFmtId="0" fontId="23" fillId="0" borderId="68" xfId="0" applyFont="1" applyBorder="1" applyAlignment="1">
      <alignment vertical="center"/>
    </xf>
    <xf numFmtId="0" fontId="0" fillId="3" borderId="1" xfId="0" applyFill="1" applyBorder="1" applyAlignment="1">
      <alignment wrapText="1"/>
    </xf>
    <xf numFmtId="0" fontId="12" fillId="0" borderId="68" xfId="0" applyFont="1" applyBorder="1"/>
    <xf numFmtId="0" fontId="12" fillId="3" borderId="68" xfId="0" applyFont="1" applyFill="1" applyBorder="1"/>
    <xf numFmtId="0" fontId="0" fillId="3" borderId="1" xfId="0" applyFill="1" applyBorder="1" applyAlignment="1">
      <alignment vertical="center" wrapText="1"/>
    </xf>
    <xf numFmtId="2" fontId="0" fillId="3" borderId="1" xfId="0" quotePrefix="1" applyNumberFormat="1" applyFill="1" applyBorder="1" applyAlignment="1">
      <alignment vertical="center" wrapText="1"/>
    </xf>
    <xf numFmtId="2" fontId="0" fillId="0" borderId="1" xfId="0" quotePrefix="1" applyNumberFormat="1" applyBorder="1" applyAlignment="1">
      <alignment vertical="center" wrapText="1"/>
    </xf>
    <xf numFmtId="0" fontId="0" fillId="3" borderId="72" xfId="0" applyFill="1" applyBorder="1" applyAlignment="1">
      <alignment vertical="center" wrapText="1"/>
    </xf>
    <xf numFmtId="0" fontId="0" fillId="0" borderId="72" xfId="0" applyBorder="1" applyAlignment="1">
      <alignment vertical="center" wrapText="1"/>
    </xf>
    <xf numFmtId="0" fontId="12" fillId="3" borderId="1" xfId="0" applyFont="1" applyFill="1" applyBorder="1" applyAlignment="1">
      <alignment wrapText="1"/>
    </xf>
    <xf numFmtId="0" fontId="12" fillId="0" borderId="1" xfId="0" applyFont="1" applyBorder="1" applyAlignment="1">
      <alignment wrapText="1"/>
    </xf>
    <xf numFmtId="1" fontId="12" fillId="3" borderId="1" xfId="0" applyNumberFormat="1" applyFont="1" applyFill="1" applyBorder="1"/>
    <xf numFmtId="1" fontId="0" fillId="3" borderId="1" xfId="0" applyNumberFormat="1" applyFill="1" applyBorder="1"/>
    <xf numFmtId="0" fontId="12" fillId="3" borderId="1" xfId="0" quotePrefix="1" applyFont="1" applyFill="1" applyBorder="1"/>
    <xf numFmtId="15" fontId="0" fillId="0" borderId="1" xfId="0" quotePrefix="1" applyNumberFormat="1" applyBorder="1"/>
    <xf numFmtId="15" fontId="0" fillId="3" borderId="1" xfId="0" quotePrefix="1" applyNumberFormat="1" applyFill="1" applyBorder="1"/>
    <xf numFmtId="1" fontId="0" fillId="0" borderId="1" xfId="0" quotePrefix="1" applyNumberFormat="1" applyBorder="1"/>
    <xf numFmtId="0" fontId="0" fillId="3" borderId="2" xfId="0" applyFill="1" applyBorder="1"/>
    <xf numFmtId="0" fontId="0" fillId="0" borderId="69" xfId="0" applyBorder="1"/>
    <xf numFmtId="0" fontId="0" fillId="3" borderId="69" xfId="0" applyFill="1" applyBorder="1"/>
    <xf numFmtId="0" fontId="12" fillId="3" borderId="69" xfId="0" applyFont="1" applyFill="1" applyBorder="1"/>
    <xf numFmtId="0" fontId="12" fillId="0" borderId="69" xfId="0" applyFont="1" applyBorder="1"/>
    <xf numFmtId="0" fontId="0" fillId="3" borderId="70" xfId="0" applyFill="1" applyBorder="1"/>
    <xf numFmtId="0" fontId="0" fillId="0" borderId="70" xfId="0" applyBorder="1"/>
    <xf numFmtId="0" fontId="0" fillId="3" borderId="73" xfId="0" applyFill="1" applyBorder="1"/>
    <xf numFmtId="0" fontId="0" fillId="0" borderId="73" xfId="0" applyBorder="1"/>
    <xf numFmtId="0" fontId="0" fillId="0" borderId="70" xfId="0" applyBorder="1" applyAlignment="1">
      <alignment wrapText="1"/>
    </xf>
    <xf numFmtId="0" fontId="0" fillId="0" borderId="71" xfId="0" applyBorder="1"/>
    <xf numFmtId="0" fontId="0" fillId="0" borderId="0" xfId="0" applyAlignment="1">
      <alignment horizontal="right"/>
    </xf>
    <xf numFmtId="2" fontId="0" fillId="3" borderId="1" xfId="0" applyNumberFormat="1" applyFill="1" applyBorder="1" applyAlignment="1">
      <alignment horizontal="right"/>
    </xf>
    <xf numFmtId="2" fontId="0" fillId="0" borderId="1" xfId="0" applyNumberFormat="1" applyBorder="1" applyAlignment="1">
      <alignment horizontal="right"/>
    </xf>
    <xf numFmtId="2" fontId="0" fillId="3" borderId="1" xfId="0" quotePrefix="1" applyNumberFormat="1" applyFill="1" applyBorder="1" applyAlignment="1">
      <alignment horizontal="right" vertical="center" wrapText="1"/>
    </xf>
    <xf numFmtId="2" fontId="0" fillId="0" borderId="1" xfId="0" quotePrefix="1" applyNumberFormat="1" applyBorder="1" applyAlignment="1">
      <alignment horizontal="right"/>
    </xf>
    <xf numFmtId="2" fontId="0" fillId="3" borderId="1" xfId="0" quotePrefix="1" applyNumberFormat="1" applyFill="1" applyBorder="1" applyAlignment="1">
      <alignment horizontal="right"/>
    </xf>
    <xf numFmtId="2" fontId="12" fillId="3" borderId="1" xfId="0" applyNumberFormat="1" applyFont="1" applyFill="1" applyBorder="1" applyAlignment="1">
      <alignment horizontal="right"/>
    </xf>
    <xf numFmtId="2" fontId="12" fillId="0" borderId="1" xfId="0" applyNumberFormat="1" applyFont="1" applyBorder="1" applyAlignment="1">
      <alignment horizontal="right"/>
    </xf>
    <xf numFmtId="2" fontId="29" fillId="23" borderId="1" xfId="0" applyNumberFormat="1" applyFont="1" applyFill="1" applyBorder="1" applyAlignment="1">
      <alignment horizontal="center"/>
    </xf>
    <xf numFmtId="0" fontId="0" fillId="0" borderId="71" xfId="0" applyBorder="1" applyAlignment="1">
      <alignment wrapText="1"/>
    </xf>
    <xf numFmtId="0" fontId="0" fillId="0" borderId="75" xfId="0" applyBorder="1"/>
    <xf numFmtId="0" fontId="0" fillId="0" borderId="76" xfId="0" applyBorder="1"/>
    <xf numFmtId="0" fontId="12" fillId="3" borderId="75" xfId="0" applyFont="1" applyFill="1" applyBorder="1"/>
    <xf numFmtId="0" fontId="0" fillId="3" borderId="76" xfId="0" applyFill="1" applyBorder="1"/>
    <xf numFmtId="0" fontId="0" fillId="0" borderId="76" xfId="0" applyBorder="1" applyAlignment="1">
      <alignment wrapText="1"/>
    </xf>
    <xf numFmtId="0" fontId="12" fillId="3" borderId="76" xfId="0" applyFont="1" applyFill="1" applyBorder="1"/>
    <xf numFmtId="0" fontId="12" fillId="3" borderId="77" xfId="0" applyFont="1" applyFill="1" applyBorder="1"/>
    <xf numFmtId="0" fontId="0" fillId="3" borderId="77" xfId="0" applyFill="1" applyBorder="1"/>
    <xf numFmtId="0" fontId="0" fillId="3" borderId="76" xfId="0" applyFill="1" applyBorder="1" applyAlignment="1">
      <alignment vertical="center" wrapText="1"/>
    </xf>
    <xf numFmtId="0" fontId="0" fillId="3" borderId="74" xfId="0" applyFill="1" applyBorder="1"/>
    <xf numFmtId="0" fontId="12" fillId="3" borderId="74" xfId="0" applyFont="1" applyFill="1" applyBorder="1"/>
    <xf numFmtId="0" fontId="0" fillId="3" borderId="74" xfId="0" applyFill="1" applyBorder="1" applyAlignment="1">
      <alignment wrapText="1"/>
    </xf>
    <xf numFmtId="0" fontId="0" fillId="0" borderId="74" xfId="0" applyBorder="1"/>
    <xf numFmtId="0" fontId="0" fillId="3" borderId="78" xfId="0" applyFill="1" applyBorder="1"/>
    <xf numFmtId="0" fontId="0" fillId="3" borderId="74" xfId="0" applyFill="1" applyBorder="1" applyAlignment="1">
      <alignment vertical="center" wrapText="1"/>
    </xf>
    <xf numFmtId="0" fontId="0" fillId="0" borderId="79" xfId="0" applyBorder="1"/>
    <xf numFmtId="0" fontId="0" fillId="0" borderId="74" xfId="0" applyBorder="1" applyAlignment="1">
      <alignment vertical="center" wrapText="1"/>
    </xf>
    <xf numFmtId="0" fontId="0" fillId="0" borderId="78" xfId="0" applyBorder="1" applyAlignment="1">
      <alignment vertical="center" wrapText="1"/>
    </xf>
    <xf numFmtId="0" fontId="30" fillId="0" borderId="0" xfId="0" applyFont="1" applyAlignment="1">
      <alignment wrapText="1"/>
    </xf>
    <xf numFmtId="0" fontId="30" fillId="0" borderId="0" xfId="0" applyFont="1" applyAlignment="1">
      <alignment vertical="center" wrapText="1"/>
    </xf>
    <xf numFmtId="0" fontId="30" fillId="0" borderId="66" xfId="0" applyFont="1" applyBorder="1" applyAlignment="1">
      <alignment vertical="center" wrapText="1"/>
    </xf>
    <xf numFmtId="0" fontId="33" fillId="0" borderId="66" xfId="0" applyFont="1" applyBorder="1" applyAlignment="1">
      <alignment wrapText="1"/>
    </xf>
    <xf numFmtId="0" fontId="31" fillId="0" borderId="0" xfId="0" applyFont="1" applyAlignment="1">
      <alignment wrapText="1"/>
    </xf>
    <xf numFmtId="0" fontId="32" fillId="0" borderId="0" xfId="0" applyFont="1" applyAlignment="1">
      <alignment vertical="center" wrapText="1"/>
    </xf>
    <xf numFmtId="1" fontId="30" fillId="0" borderId="0" xfId="0" applyNumberFormat="1" applyFont="1" applyAlignment="1">
      <alignment wrapText="1"/>
    </xf>
    <xf numFmtId="0" fontId="30" fillId="0" borderId="66" xfId="0" applyFont="1" applyBorder="1" applyAlignment="1">
      <alignment wrapText="1"/>
    </xf>
    <xf numFmtId="2" fontId="0" fillId="3" borderId="76" xfId="0" applyNumberFormat="1" applyFill="1" applyBorder="1" applyAlignment="1">
      <alignment horizontal="right"/>
    </xf>
    <xf numFmtId="2" fontId="0" fillId="0" borderId="76" xfId="0" applyNumberFormat="1" applyBorder="1" applyAlignment="1">
      <alignment horizontal="right"/>
    </xf>
    <xf numFmtId="0" fontId="0" fillId="3" borderId="80" xfId="0" applyFill="1" applyBorder="1"/>
    <xf numFmtId="0" fontId="0" fillId="3" borderId="0" xfId="0" applyFill="1"/>
    <xf numFmtId="2" fontId="0" fillId="3" borderId="0" xfId="0" applyNumberFormat="1" applyFill="1" applyAlignment="1">
      <alignment horizontal="right"/>
    </xf>
    <xf numFmtId="2" fontId="0" fillId="0" borderId="0" xfId="0" applyNumberFormat="1" applyAlignment="1">
      <alignment horizontal="right"/>
    </xf>
    <xf numFmtId="2" fontId="0" fillId="0" borderId="74" xfId="0" applyNumberFormat="1" applyBorder="1" applyAlignment="1">
      <alignment horizontal="right"/>
    </xf>
    <xf numFmtId="2" fontId="0" fillId="3" borderId="74" xfId="0" applyNumberFormat="1" applyFill="1" applyBorder="1" applyAlignment="1">
      <alignment horizontal="right"/>
    </xf>
    <xf numFmtId="0" fontId="0" fillId="0" borderId="78" xfId="0" applyBorder="1"/>
    <xf numFmtId="0" fontId="0" fillId="0" borderId="0" xfId="0" applyAlignment="1">
      <alignment horizontal="left" wrapText="1"/>
    </xf>
    <xf numFmtId="2" fontId="0" fillId="0" borderId="0" xfId="0" applyNumberFormat="1" applyAlignment="1">
      <alignment horizontal="left" wrapText="1"/>
    </xf>
    <xf numFmtId="2" fontId="0" fillId="0" borderId="0" xfId="0" quotePrefix="1" applyNumberFormat="1" applyAlignment="1">
      <alignment horizontal="left" wrapText="1"/>
    </xf>
    <xf numFmtId="0" fontId="12" fillId="0" borderId="0" xfId="0" applyFont="1" applyAlignment="1">
      <alignment horizontal="left" wrapText="1"/>
    </xf>
    <xf numFmtId="2" fontId="12" fillId="0" borderId="0" xfId="0" applyNumberFormat="1" applyFont="1" applyAlignment="1">
      <alignment horizontal="left" wrapText="1"/>
    </xf>
    <xf numFmtId="0" fontId="23" fillId="0" borderId="0" xfId="0" applyFont="1" applyAlignment="1">
      <alignment horizontal="left" vertical="center" wrapText="1"/>
    </xf>
    <xf numFmtId="0" fontId="0" fillId="0" borderId="0" xfId="0" applyAlignment="1">
      <alignment horizontal="left" vertical="center" wrapText="1"/>
    </xf>
    <xf numFmtId="2" fontId="0" fillId="0" borderId="0" xfId="0" quotePrefix="1" applyNumberFormat="1" applyAlignment="1">
      <alignment horizontal="left" vertical="center" wrapText="1"/>
    </xf>
    <xf numFmtId="0" fontId="0" fillId="0" borderId="0" xfId="10" applyFont="1" applyAlignment="1">
      <alignment horizontal="left" wrapText="1"/>
    </xf>
    <xf numFmtId="0" fontId="34" fillId="0" borderId="66" xfId="0" applyFont="1" applyBorder="1" applyAlignment="1">
      <alignment horizontal="left" wrapText="1"/>
    </xf>
    <xf numFmtId="2" fontId="34" fillId="0" borderId="66" xfId="0" applyNumberFormat="1" applyFont="1" applyBorder="1" applyAlignment="1">
      <alignment horizontal="left" wrapText="1"/>
    </xf>
    <xf numFmtId="0" fontId="0" fillId="0" borderId="66" xfId="0" applyBorder="1" applyAlignment="1">
      <alignment horizontal="left"/>
    </xf>
    <xf numFmtId="0" fontId="20" fillId="0" borderId="54" xfId="0" applyFont="1" applyBorder="1" applyAlignment="1">
      <alignment horizontal="center" vertical="center" wrapText="1"/>
    </xf>
    <xf numFmtId="0" fontId="20" fillId="0" borderId="54" xfId="0" applyFont="1" applyBorder="1" applyAlignment="1">
      <alignment horizontal="left" vertical="top" wrapText="1"/>
    </xf>
    <xf numFmtId="0" fontId="20" fillId="0" borderId="58" xfId="0" applyFont="1" applyBorder="1" applyAlignment="1">
      <alignment horizontal="center" vertical="center" wrapText="1"/>
    </xf>
    <xf numFmtId="0" fontId="20" fillId="0" borderId="58" xfId="0" applyFont="1" applyBorder="1" applyAlignment="1">
      <alignment horizontal="left" vertical="top" wrapText="1"/>
    </xf>
    <xf numFmtId="0" fontId="20" fillId="0" borderId="54" xfId="0" applyFont="1" applyBorder="1" applyAlignment="1">
      <alignment horizontal="left" vertical="top"/>
    </xf>
    <xf numFmtId="0" fontId="20" fillId="0" borderId="54" xfId="0" applyFont="1" applyBorder="1" applyAlignment="1">
      <alignment horizontal="center" vertical="center"/>
    </xf>
    <xf numFmtId="0" fontId="20" fillId="0" borderId="54" xfId="0" applyFont="1" applyBorder="1" applyAlignment="1">
      <alignment horizontal="center"/>
    </xf>
    <xf numFmtId="0" fontId="20" fillId="0" borderId="56" xfId="0" applyFont="1" applyBorder="1" applyAlignment="1">
      <alignment horizontal="left" vertical="top" wrapText="1"/>
    </xf>
    <xf numFmtId="0" fontId="20" fillId="0" borderId="61" xfId="0" applyFont="1" applyBorder="1" applyAlignment="1">
      <alignment horizontal="left" vertical="top" wrapText="1"/>
    </xf>
    <xf numFmtId="0" fontId="20" fillId="0" borderId="57" xfId="0" applyFont="1" applyBorder="1" applyAlignment="1">
      <alignment horizontal="left" vertical="top" wrapText="1"/>
    </xf>
    <xf numFmtId="0" fontId="10" fillId="0" borderId="54" xfId="0" quotePrefix="1" applyFont="1" applyBorder="1" applyAlignment="1">
      <alignment horizontal="center"/>
    </xf>
    <xf numFmtId="0" fontId="10" fillId="0" borderId="54" xfId="0" applyFont="1" applyBorder="1" applyAlignment="1">
      <alignment horizontal="left" vertical="top" wrapText="1"/>
    </xf>
    <xf numFmtId="0" fontId="10" fillId="0" borderId="54" xfId="0" applyFont="1" applyBorder="1" applyAlignment="1">
      <alignment horizontal="center" vertical="center"/>
    </xf>
    <xf numFmtId="0" fontId="20" fillId="0" borderId="7" xfId="0" applyFont="1" applyBorder="1" applyAlignment="1">
      <alignment horizontal="center"/>
    </xf>
    <xf numFmtId="0" fontId="20" fillId="0" borderId="9" xfId="0" applyFont="1" applyBorder="1" applyAlignment="1">
      <alignment horizontal="center"/>
    </xf>
    <xf numFmtId="0" fontId="20" fillId="0" borderId="8" xfId="0" applyFont="1" applyBorder="1" applyAlignment="1">
      <alignment horizontal="center"/>
    </xf>
    <xf numFmtId="0" fontId="20" fillId="0" borderId="0" xfId="0" applyFont="1" applyAlignment="1">
      <alignment horizontal="center" vertical="center"/>
    </xf>
    <xf numFmtId="0" fontId="20" fillId="0" borderId="0" xfId="0" applyFont="1" applyAlignment="1">
      <alignment horizontal="left" vertical="top" wrapText="1"/>
    </xf>
    <xf numFmtId="0" fontId="20" fillId="0" borderId="0" xfId="0" applyFont="1" applyAlignment="1">
      <alignment horizontal="left" vertical="top"/>
    </xf>
    <xf numFmtId="0" fontId="20" fillId="0" borderId="0" xfId="0" applyFont="1" applyAlignment="1">
      <alignment horizontal="center" vertical="center" wrapText="1"/>
    </xf>
    <xf numFmtId="0" fontId="20" fillId="0" borderId="58" xfId="0" applyFont="1" applyBorder="1" applyAlignment="1">
      <alignment horizontal="left" vertical="top"/>
    </xf>
    <xf numFmtId="0" fontId="20" fillId="17" borderId="0" xfId="0" applyFont="1" applyFill="1" applyAlignment="1">
      <alignment horizontal="center"/>
    </xf>
    <xf numFmtId="0" fontId="10" fillId="17" borderId="7" xfId="0" applyFont="1" applyFill="1" applyBorder="1" applyAlignment="1">
      <alignment horizontal="center" vertical="center" wrapText="1"/>
    </xf>
    <xf numFmtId="0" fontId="10" fillId="17" borderId="0" xfId="0" applyFont="1" applyFill="1" applyAlignment="1">
      <alignment horizontal="center" vertical="center" wrapText="1"/>
    </xf>
    <xf numFmtId="0" fontId="10" fillId="17" borderId="8" xfId="0" applyFont="1" applyFill="1" applyBorder="1" applyAlignment="1">
      <alignment horizontal="center" vertical="center" wrapText="1"/>
    </xf>
    <xf numFmtId="0" fontId="20" fillId="0" borderId="54" xfId="0" quotePrefix="1" applyFont="1" applyBorder="1" applyAlignment="1">
      <alignment horizontal="center" vertical="center" wrapText="1"/>
    </xf>
    <xf numFmtId="0" fontId="10" fillId="0" borderId="54" xfId="0" applyFont="1" applyBorder="1" applyAlignment="1">
      <alignment horizontal="center"/>
    </xf>
    <xf numFmtId="0" fontId="20" fillId="5" borderId="54" xfId="0" applyFont="1" applyFill="1" applyBorder="1" applyAlignment="1">
      <alignment horizontal="left"/>
    </xf>
    <xf numFmtId="0" fontId="10" fillId="0" borderId="54" xfId="0" applyFont="1" applyBorder="1" applyAlignment="1">
      <alignment horizontal="center" vertical="center" wrapText="1"/>
    </xf>
    <xf numFmtId="0" fontId="0" fillId="18" borderId="0" xfId="0" applyFill="1" applyAlignment="1">
      <alignment horizontal="center"/>
    </xf>
    <xf numFmtId="0" fontId="0" fillId="0" borderId="0" xfId="0" applyAlignment="1">
      <alignment horizontal="center"/>
    </xf>
    <xf numFmtId="0" fontId="0" fillId="0" borderId="0" xfId="0" applyAlignment="1">
      <alignment horizontal="left"/>
    </xf>
    <xf numFmtId="0" fontId="20" fillId="0" borderId="0" xfId="0" applyFont="1" applyAlignment="1">
      <alignment horizontal="center"/>
    </xf>
    <xf numFmtId="0" fontId="20" fillId="0" borderId="0" xfId="0" quotePrefix="1" applyFont="1" applyAlignment="1">
      <alignment horizontal="center" vertical="center" wrapText="1"/>
    </xf>
    <xf numFmtId="2" fontId="20" fillId="0" borderId="54" xfId="0" quotePrefix="1" applyNumberFormat="1" applyFont="1" applyBorder="1" applyAlignment="1">
      <alignment horizontal="center" vertical="center" wrapText="1"/>
    </xf>
    <xf numFmtId="0" fontId="20" fillId="17" borderId="7" xfId="0" quotePrefix="1" applyFont="1" applyFill="1" applyBorder="1" applyAlignment="1">
      <alignment horizontal="center"/>
    </xf>
    <xf numFmtId="0" fontId="20" fillId="17" borderId="0" xfId="0" quotePrefix="1" applyFont="1" applyFill="1" applyAlignment="1">
      <alignment horizontal="center"/>
    </xf>
    <xf numFmtId="0" fontId="20" fillId="17" borderId="8" xfId="0" quotePrefix="1" applyFont="1" applyFill="1" applyBorder="1" applyAlignment="1">
      <alignment horizontal="center"/>
    </xf>
    <xf numFmtId="0" fontId="20" fillId="0" borderId="54" xfId="0" quotePrefix="1" applyFont="1" applyBorder="1" applyAlignment="1">
      <alignment horizontal="center"/>
    </xf>
    <xf numFmtId="0" fontId="0" fillId="0" borderId="8" xfId="0" quotePrefix="1" applyBorder="1" applyAlignment="1">
      <alignment horizontal="center" wrapText="1"/>
    </xf>
    <xf numFmtId="0" fontId="20" fillId="0" borderId="55" xfId="0" applyFont="1" applyBorder="1" applyAlignment="1">
      <alignment horizontal="left" vertical="top"/>
    </xf>
    <xf numFmtId="0" fontId="20" fillId="0" borderId="57" xfId="0" applyFont="1" applyBorder="1" applyAlignment="1">
      <alignment horizontal="center" vertical="center" wrapText="1"/>
    </xf>
    <xf numFmtId="0" fontId="20" fillId="0" borderId="61" xfId="0" applyFont="1" applyBorder="1" applyAlignment="1">
      <alignment horizontal="center" vertical="center" wrapText="1"/>
    </xf>
    <xf numFmtId="0" fontId="20" fillId="0" borderId="27" xfId="0" applyFont="1" applyBorder="1" applyAlignment="1">
      <alignment horizontal="center" vertical="top" wrapText="1"/>
    </xf>
    <xf numFmtId="0" fontId="20" fillId="0" borderId="17" xfId="0" applyFont="1" applyBorder="1" applyAlignment="1">
      <alignment horizontal="center" vertical="top" wrapText="1"/>
    </xf>
    <xf numFmtId="0" fontId="20" fillId="0" borderId="18" xfId="0" applyFont="1" applyBorder="1" applyAlignment="1">
      <alignment horizontal="center" vertical="top" wrapText="1"/>
    </xf>
    <xf numFmtId="0" fontId="20" fillId="0" borderId="29" xfId="0" applyFont="1" applyBorder="1" applyAlignment="1">
      <alignment horizontal="center" vertical="top" wrapText="1"/>
    </xf>
    <xf numFmtId="0" fontId="20" fillId="0" borderId="20" xfId="0" applyFont="1" applyBorder="1" applyAlignment="1">
      <alignment horizontal="center" vertical="top" wrapText="1"/>
    </xf>
    <xf numFmtId="0" fontId="20" fillId="0" borderId="21" xfId="0" applyFont="1" applyBorder="1" applyAlignment="1">
      <alignment horizontal="center" vertical="top" wrapText="1"/>
    </xf>
    <xf numFmtId="0" fontId="20" fillId="0" borderId="53" xfId="0" applyFont="1" applyBorder="1" applyAlignment="1">
      <alignment horizontal="left" vertical="top" wrapText="1"/>
    </xf>
    <xf numFmtId="0" fontId="20" fillId="0" borderId="31" xfId="0" applyFont="1" applyBorder="1" applyAlignment="1">
      <alignment horizontal="left" vertical="top" wrapText="1"/>
    </xf>
    <xf numFmtId="0" fontId="20" fillId="0" borderId="32" xfId="0" applyFont="1" applyBorder="1" applyAlignment="1">
      <alignment horizontal="left" vertical="top" wrapText="1"/>
    </xf>
    <xf numFmtId="0" fontId="20" fillId="0" borderId="26" xfId="0" applyFont="1" applyBorder="1" applyAlignment="1">
      <alignment horizontal="left" vertical="top" wrapText="1"/>
    </xf>
    <xf numFmtId="0" fontId="20" fillId="0" borderId="27" xfId="0" applyFont="1" applyBorder="1" applyAlignment="1">
      <alignment horizontal="left" vertical="top" wrapText="1"/>
    </xf>
    <xf numFmtId="0" fontId="20" fillId="0" borderId="17" xfId="0" applyFont="1" applyBorder="1" applyAlignment="1">
      <alignment horizontal="left" vertical="top" wrapText="1"/>
    </xf>
    <xf numFmtId="0" fontId="20" fillId="0" borderId="28" xfId="0" applyFont="1" applyBorder="1" applyAlignment="1">
      <alignment horizontal="left" vertical="top" wrapText="1"/>
    </xf>
    <xf numFmtId="0" fontId="20" fillId="0" borderId="29" xfId="0" applyFont="1" applyBorder="1" applyAlignment="1">
      <alignment horizontal="left" vertical="top" wrapText="1"/>
    </xf>
    <xf numFmtId="0" fontId="20" fillId="0" borderId="20" xfId="0" applyFont="1" applyBorder="1" applyAlignment="1">
      <alignment horizontal="left" vertical="top" wrapText="1"/>
    </xf>
    <xf numFmtId="0" fontId="20" fillId="0" borderId="30" xfId="0" applyFont="1" applyBorder="1" applyAlignment="1">
      <alignment horizontal="left" vertical="top" wrapText="1"/>
    </xf>
    <xf numFmtId="0" fontId="20" fillId="0" borderId="28" xfId="0" applyFont="1" applyBorder="1" applyAlignment="1">
      <alignment horizontal="center" vertical="top" wrapText="1"/>
    </xf>
    <xf numFmtId="0" fontId="20" fillId="0" borderId="24" xfId="0" applyFont="1" applyBorder="1" applyAlignment="1">
      <alignment horizontal="left" vertical="top" wrapText="1"/>
    </xf>
    <xf numFmtId="0" fontId="20" fillId="0" borderId="12" xfId="0" applyFont="1" applyBorder="1" applyAlignment="1">
      <alignment horizontal="left" vertical="top" wrapText="1"/>
    </xf>
    <xf numFmtId="0" fontId="20" fillId="0" borderId="19" xfId="0" applyFont="1" applyBorder="1" applyAlignment="1">
      <alignment horizontal="left" vertical="top" wrapText="1"/>
    </xf>
    <xf numFmtId="0" fontId="20" fillId="0" borderId="15" xfId="0" applyFont="1" applyBorder="1" applyAlignment="1">
      <alignment horizontal="left" vertical="top" wrapText="1"/>
    </xf>
    <xf numFmtId="0" fontId="19" fillId="0" borderId="0" xfId="0" applyFont="1" applyAlignment="1">
      <alignment horizontal="center" wrapText="1"/>
    </xf>
    <xf numFmtId="0" fontId="0" fillId="0" borderId="0" xfId="0"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36" xfId="0" applyBorder="1" applyAlignment="1">
      <alignment horizontal="left" vertical="top" wrapText="1"/>
    </xf>
    <xf numFmtId="0" fontId="20" fillId="0" borderId="27" xfId="0" quotePrefix="1" applyFont="1" applyBorder="1" applyAlignment="1">
      <alignment horizontal="left" vertical="top" wrapText="1"/>
    </xf>
    <xf numFmtId="0" fontId="20" fillId="0" borderId="17" xfId="0" quotePrefix="1" applyFont="1" applyBorder="1" applyAlignment="1">
      <alignment horizontal="left" vertical="top" wrapText="1"/>
    </xf>
    <xf numFmtId="0" fontId="20" fillId="0" borderId="28" xfId="0" quotePrefix="1" applyFont="1" applyBorder="1" applyAlignment="1">
      <alignment horizontal="left" vertical="top" wrapText="1"/>
    </xf>
    <xf numFmtId="0" fontId="20" fillId="0" borderId="23" xfId="0" applyFont="1" applyBorder="1" applyAlignment="1">
      <alignment horizontal="left" vertical="top" wrapText="1"/>
    </xf>
    <xf numFmtId="0" fontId="20" fillId="0" borderId="10" xfId="0" applyFont="1" applyBorder="1" applyAlignment="1">
      <alignment horizontal="left" vertical="top" wrapText="1"/>
    </xf>
    <xf numFmtId="0" fontId="20" fillId="0" borderId="16" xfId="0" applyFont="1" applyBorder="1" applyAlignment="1">
      <alignment horizontal="left" vertical="top" wrapText="1"/>
    </xf>
    <xf numFmtId="0" fontId="20" fillId="0" borderId="14" xfId="0" applyFont="1" applyBorder="1" applyAlignment="1">
      <alignment horizontal="left" vertical="top" wrapText="1"/>
    </xf>
    <xf numFmtId="0" fontId="21" fillId="0" borderId="23" xfId="0" applyFont="1" applyBorder="1" applyAlignment="1">
      <alignment horizontal="left" vertical="top" wrapText="1"/>
    </xf>
    <xf numFmtId="0" fontId="0" fillId="0" borderId="35" xfId="0"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27" xfId="0" applyBorder="1" applyAlignment="1">
      <alignment horizontal="center" wrapText="1"/>
    </xf>
    <xf numFmtId="0" fontId="0" fillId="0" borderId="17" xfId="0" applyBorder="1" applyAlignment="1">
      <alignment horizontal="center" wrapText="1"/>
    </xf>
    <xf numFmtId="0" fontId="0" fillId="0" borderId="28" xfId="0" applyBorder="1" applyAlignment="1">
      <alignment horizontal="center" wrapText="1"/>
    </xf>
    <xf numFmtId="0" fontId="20" fillId="0" borderId="54" xfId="0" quotePrefix="1" applyFont="1" applyBorder="1" applyAlignment="1">
      <alignment horizontal="center" vertical="center"/>
    </xf>
    <xf numFmtId="0" fontId="10" fillId="0" borderId="0" xfId="0" applyFont="1" applyAlignment="1">
      <alignment horizontal="center" vertical="top" wrapText="1"/>
    </xf>
    <xf numFmtId="0" fontId="0" fillId="0" borderId="0" xfId="0" quotePrefix="1" applyAlignment="1">
      <alignment horizontal="center" vertical="center" wrapText="1"/>
    </xf>
    <xf numFmtId="0" fontId="10" fillId="0" borderId="7" xfId="0" applyFont="1" applyBorder="1" applyAlignment="1">
      <alignment horizontal="center" vertical="center" wrapText="1"/>
    </xf>
    <xf numFmtId="0" fontId="21" fillId="0" borderId="17" xfId="0" applyFont="1" applyBorder="1" applyAlignment="1">
      <alignment horizontal="left" vertical="top" wrapText="1"/>
    </xf>
    <xf numFmtId="0" fontId="20" fillId="0" borderId="18" xfId="0" applyFont="1" applyBorder="1" applyAlignment="1">
      <alignment horizontal="left" vertical="top" wrapText="1"/>
    </xf>
    <xf numFmtId="0" fontId="20" fillId="0" borderId="21" xfId="0" applyFont="1" applyBorder="1" applyAlignment="1">
      <alignment horizontal="left" vertical="top" wrapText="1"/>
    </xf>
    <xf numFmtId="0" fontId="0" fillId="0" borderId="25" xfId="0" applyBorder="1" applyAlignment="1">
      <alignment horizontal="center" wrapText="1"/>
    </xf>
    <xf numFmtId="0" fontId="0" fillId="0" borderId="32" xfId="0" applyBorder="1" applyAlignment="1">
      <alignment horizontal="center" wrapText="1"/>
    </xf>
    <xf numFmtId="0" fontId="0" fillId="0" borderId="36" xfId="0" applyBorder="1" applyAlignment="1">
      <alignment horizontal="center" wrapText="1"/>
    </xf>
    <xf numFmtId="0" fontId="20" fillId="0" borderId="16" xfId="0" quotePrefix="1" applyFont="1" applyBorder="1" applyAlignment="1">
      <alignment horizontal="left" vertical="top" wrapText="1"/>
    </xf>
    <xf numFmtId="0" fontId="21" fillId="0" borderId="10" xfId="0" quotePrefix="1" applyFont="1" applyBorder="1" applyAlignment="1">
      <alignment horizontal="left" vertical="top" wrapText="1"/>
    </xf>
    <xf numFmtId="0" fontId="0" fillId="0" borderId="31" xfId="0" applyBorder="1" applyAlignment="1">
      <alignment horizontal="center" wrapText="1"/>
    </xf>
    <xf numFmtId="0" fontId="0" fillId="0" borderId="26" xfId="0" applyBorder="1" applyAlignment="1">
      <alignment horizontal="center" wrapText="1"/>
    </xf>
    <xf numFmtId="0" fontId="0" fillId="0" borderId="18" xfId="0" applyBorder="1" applyAlignment="1">
      <alignment horizontal="center" wrapText="1"/>
    </xf>
    <xf numFmtId="0" fontId="20" fillId="0" borderId="56" xfId="0" quotePrefix="1" applyFont="1" applyBorder="1" applyAlignment="1">
      <alignment horizontal="center" vertical="center" wrapText="1"/>
    </xf>
    <xf numFmtId="0" fontId="20" fillId="0" borderId="58" xfId="0" quotePrefix="1" applyFont="1" applyBorder="1" applyAlignment="1">
      <alignment horizontal="center" vertical="center" wrapText="1"/>
    </xf>
    <xf numFmtId="0" fontId="20" fillId="0" borderId="56" xfId="0" applyFont="1" applyBorder="1" applyAlignment="1">
      <alignment horizontal="center" vertical="center" wrapText="1"/>
    </xf>
    <xf numFmtId="0" fontId="18" fillId="0" borderId="0" xfId="0" applyFont="1" applyAlignment="1">
      <alignment horizontal="center" wrapText="1"/>
    </xf>
    <xf numFmtId="0" fontId="18" fillId="0" borderId="0" xfId="0" applyFont="1" applyAlignment="1">
      <alignment horizontal="center"/>
    </xf>
    <xf numFmtId="10" fontId="11" fillId="0" borderId="0" xfId="5" applyNumberFormat="1" applyFont="1" applyAlignment="1">
      <alignment horizontal="left" vertical="top" wrapText="1"/>
    </xf>
    <xf numFmtId="10" fontId="11" fillId="0" borderId="0" xfId="4" applyNumberFormat="1" applyFont="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40" xfId="0" applyBorder="1" applyAlignment="1">
      <alignment horizontal="left" vertical="top"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0" fillId="0" borderId="44" xfId="0" applyBorder="1" applyAlignment="1">
      <alignment horizontal="left" vertical="top" wrapText="1"/>
    </xf>
    <xf numFmtId="0" fontId="0" fillId="0" borderId="45" xfId="0" applyBorder="1" applyAlignment="1">
      <alignment horizontal="left" vertical="top" wrapText="1"/>
    </xf>
    <xf numFmtId="0" fontId="0" fillId="11" borderId="0" xfId="0" applyFill="1" applyAlignment="1">
      <alignment horizontal="center"/>
    </xf>
    <xf numFmtId="0" fontId="0" fillId="3" borderId="68" xfId="0" applyFill="1" applyBorder="1" applyAlignment="1">
      <alignment wrapText="1"/>
    </xf>
    <xf numFmtId="0" fontId="0" fillId="0" borderId="68" xfId="0" applyBorder="1" applyAlignment="1">
      <alignment wrapText="1"/>
    </xf>
    <xf numFmtId="0" fontId="23" fillId="0" borderId="68" xfId="0" applyFont="1" applyBorder="1" applyAlignment="1">
      <alignment vertical="center" wrapText="1"/>
    </xf>
    <xf numFmtId="0" fontId="23" fillId="0" borderId="1" xfId="0" applyFont="1" applyBorder="1" applyAlignment="1">
      <alignment vertical="center" wrapText="1"/>
    </xf>
    <xf numFmtId="0" fontId="23" fillId="0" borderId="1" xfId="0" applyFont="1" applyBorder="1" applyAlignment="1">
      <alignment horizontal="right" vertical="center" wrapText="1"/>
    </xf>
    <xf numFmtId="0" fontId="23" fillId="3" borderId="68" xfId="0" applyFont="1" applyFill="1" applyBorder="1" applyAlignment="1">
      <alignment vertical="center" wrapText="1"/>
    </xf>
    <xf numFmtId="0" fontId="23" fillId="3" borderId="1" xfId="0" applyFont="1" applyFill="1" applyBorder="1" applyAlignment="1">
      <alignment vertical="center" wrapText="1"/>
    </xf>
    <xf numFmtId="0" fontId="23" fillId="3" borderId="1" xfId="0" applyFont="1" applyFill="1" applyBorder="1" applyAlignment="1">
      <alignment horizontal="right" vertical="center" wrapText="1"/>
    </xf>
    <xf numFmtId="0" fontId="0" fillId="0" borderId="69" xfId="0" applyBorder="1" applyAlignment="1">
      <alignment wrapText="1"/>
    </xf>
    <xf numFmtId="0" fontId="29" fillId="23" borderId="68" xfId="0" applyFont="1" applyFill="1" applyBorder="1" applyAlignment="1">
      <alignment horizontal="left" wrapText="1"/>
    </xf>
    <xf numFmtId="0" fontId="29" fillId="23" borderId="1" xfId="0" applyFont="1" applyFill="1" applyBorder="1" applyAlignment="1">
      <alignment horizontal="left" wrapText="1"/>
    </xf>
    <xf numFmtId="0" fontId="0" fillId="3" borderId="68" xfId="0" applyFill="1" applyBorder="1" applyAlignment="1">
      <alignment horizontal="left" wrapText="1"/>
    </xf>
    <xf numFmtId="0" fontId="0" fillId="3" borderId="1" xfId="0" applyFill="1" applyBorder="1" applyAlignment="1">
      <alignment horizontal="left" wrapText="1"/>
    </xf>
    <xf numFmtId="0" fontId="0" fillId="0" borderId="68" xfId="0" applyBorder="1" applyAlignment="1">
      <alignment horizontal="left" wrapText="1"/>
    </xf>
    <xf numFmtId="0" fontId="0" fillId="0" borderId="1" xfId="0" applyBorder="1" applyAlignment="1">
      <alignment horizontal="left" wrapText="1"/>
    </xf>
    <xf numFmtId="0" fontId="12" fillId="3" borderId="1" xfId="0" applyFont="1" applyFill="1" applyBorder="1" applyAlignment="1">
      <alignment horizontal="left" wrapText="1"/>
    </xf>
    <xf numFmtId="0" fontId="12" fillId="0" borderId="1" xfId="0" applyFont="1" applyBorder="1" applyAlignment="1">
      <alignment horizontal="left" wrapText="1"/>
    </xf>
    <xf numFmtId="0" fontId="12" fillId="0" borderId="68" xfId="0" applyFont="1" applyBorder="1" applyAlignment="1">
      <alignment horizontal="left" wrapText="1"/>
    </xf>
    <xf numFmtId="0" fontId="12" fillId="3" borderId="68" xfId="0" applyFont="1" applyFill="1" applyBorder="1" applyAlignment="1">
      <alignment horizontal="left" wrapText="1"/>
    </xf>
    <xf numFmtId="0" fontId="23" fillId="0" borderId="68" xfId="0" applyFont="1" applyBorder="1" applyAlignment="1">
      <alignment horizontal="left" vertical="center" wrapText="1"/>
    </xf>
    <xf numFmtId="0" fontId="23" fillId="0" borderId="1" xfId="0" applyFont="1" applyBorder="1" applyAlignment="1">
      <alignment horizontal="left" vertical="center" wrapText="1"/>
    </xf>
    <xf numFmtId="0" fontId="23" fillId="3" borderId="68"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0" fillId="3" borderId="73" xfId="0" applyFill="1" applyBorder="1" applyAlignment="1">
      <alignment horizontal="left" wrapText="1"/>
    </xf>
    <xf numFmtId="0" fontId="0" fillId="3" borderId="69" xfId="0" applyFill="1" applyBorder="1" applyAlignment="1">
      <alignment horizontal="left" wrapText="1"/>
    </xf>
    <xf numFmtId="0" fontId="0" fillId="3" borderId="70" xfId="0" applyFill="1" applyBorder="1" applyAlignment="1">
      <alignment horizontal="left" wrapText="1"/>
    </xf>
    <xf numFmtId="0" fontId="0" fillId="0" borderId="73" xfId="0" applyBorder="1" applyAlignment="1">
      <alignment horizontal="left" wrapText="1"/>
    </xf>
    <xf numFmtId="0" fontId="0" fillId="0" borderId="69" xfId="0" applyBorder="1" applyAlignment="1">
      <alignment horizontal="left" wrapText="1"/>
    </xf>
    <xf numFmtId="0" fontId="0" fillId="0" borderId="70" xfId="0" applyBorder="1" applyAlignment="1">
      <alignment horizontal="left" wrapText="1"/>
    </xf>
    <xf numFmtId="0" fontId="23" fillId="3" borderId="73" xfId="0" applyFont="1" applyFill="1" applyBorder="1" applyAlignment="1">
      <alignment horizontal="left" vertical="center" wrapText="1"/>
    </xf>
    <xf numFmtId="0" fontId="23" fillId="0" borderId="73" xfId="0" applyFont="1" applyBorder="1" applyAlignment="1">
      <alignment horizontal="left" vertical="center" wrapText="1"/>
    </xf>
    <xf numFmtId="0" fontId="0" fillId="0" borderId="68" xfId="0" applyBorder="1" applyAlignment="1">
      <alignment horizontal="left" vertical="center" wrapText="1"/>
    </xf>
    <xf numFmtId="0" fontId="23" fillId="3" borderId="69" xfId="0" applyFont="1" applyFill="1" applyBorder="1" applyAlignment="1">
      <alignment horizontal="left" vertical="center" wrapText="1"/>
    </xf>
    <xf numFmtId="0" fontId="23" fillId="0" borderId="69" xfId="0" applyFont="1" applyBorder="1" applyAlignment="1">
      <alignment horizontal="left" vertical="center" wrapText="1"/>
    </xf>
    <xf numFmtId="0" fontId="12" fillId="3" borderId="69" xfId="0" applyFont="1" applyFill="1" applyBorder="1" applyAlignment="1">
      <alignment horizontal="left" wrapText="1"/>
    </xf>
    <xf numFmtId="0" fontId="12" fillId="0" borderId="69" xfId="0" applyFont="1" applyBorder="1" applyAlignment="1">
      <alignment horizontal="left" wrapText="1"/>
    </xf>
    <xf numFmtId="0" fontId="23" fillId="3" borderId="69" xfId="0" applyFont="1" applyFill="1" applyBorder="1" applyAlignment="1">
      <alignment vertical="center"/>
    </xf>
    <xf numFmtId="0" fontId="0" fillId="3" borderId="2" xfId="0" applyFill="1" applyBorder="1" applyAlignment="1">
      <alignment wrapText="1"/>
    </xf>
    <xf numFmtId="0" fontId="23" fillId="3" borderId="73" xfId="0" applyFont="1" applyFill="1" applyBorder="1" applyAlignment="1">
      <alignment vertical="center"/>
    </xf>
    <xf numFmtId="0" fontId="23" fillId="3" borderId="2" xfId="0" applyFont="1" applyFill="1" applyBorder="1" applyAlignment="1">
      <alignment horizontal="right" vertical="center"/>
    </xf>
    <xf numFmtId="0" fontId="23" fillId="3" borderId="69" xfId="0" applyFont="1" applyFill="1" applyBorder="1" applyAlignment="1">
      <alignment horizontal="right" vertical="center"/>
    </xf>
    <xf numFmtId="0" fontId="0" fillId="3" borderId="71" xfId="0" applyFill="1" applyBorder="1"/>
    <xf numFmtId="2" fontId="0" fillId="3" borderId="1" xfId="0" applyNumberFormat="1" applyFill="1" applyBorder="1" applyAlignment="1">
      <alignment horizontal="left" wrapText="1"/>
    </xf>
    <xf numFmtId="0" fontId="0" fillId="0" borderId="2" xfId="0" applyBorder="1" applyAlignment="1">
      <alignment horizontal="left" wrapText="1"/>
    </xf>
    <xf numFmtId="0" fontId="0" fillId="3" borderId="2" xfId="0" applyFill="1" applyBorder="1" applyAlignment="1">
      <alignment horizontal="left" wrapText="1"/>
    </xf>
    <xf numFmtId="0" fontId="0" fillId="0" borderId="69" xfId="0" applyBorder="1" applyAlignment="1">
      <alignment horizontal="left" vertical="center" wrapText="1"/>
    </xf>
    <xf numFmtId="0" fontId="0" fillId="3" borderId="73" xfId="0" applyFill="1" applyBorder="1" applyAlignment="1">
      <alignment horizontal="left" vertical="center" wrapText="1"/>
    </xf>
    <xf numFmtId="0" fontId="0" fillId="0" borderId="73" xfId="0" applyBorder="1" applyAlignment="1">
      <alignment horizontal="left" vertical="center" wrapText="1"/>
    </xf>
    <xf numFmtId="0" fontId="0" fillId="3" borderId="69" xfId="0" applyFill="1" applyBorder="1" applyAlignment="1">
      <alignment horizontal="left" vertical="center" wrapText="1"/>
    </xf>
    <xf numFmtId="0" fontId="12" fillId="0" borderId="2" xfId="0" applyFont="1" applyBorder="1" applyAlignment="1">
      <alignment horizontal="left" wrapText="1"/>
    </xf>
    <xf numFmtId="0" fontId="0" fillId="0" borderId="69" xfId="0" applyBorder="1" applyAlignment="1">
      <alignment vertical="center" wrapText="1"/>
    </xf>
    <xf numFmtId="1" fontId="0" fillId="0" borderId="69" xfId="0" applyNumberFormat="1" applyBorder="1"/>
    <xf numFmtId="1" fontId="0" fillId="3" borderId="69" xfId="0" applyNumberFormat="1" applyFill="1" applyBorder="1"/>
    <xf numFmtId="0" fontId="0" fillId="3" borderId="69" xfId="0" applyFill="1" applyBorder="1" applyAlignment="1">
      <alignment vertical="center" wrapText="1"/>
    </xf>
    <xf numFmtId="0" fontId="0" fillId="3" borderId="71" xfId="0" applyFill="1" applyBorder="1" applyAlignment="1">
      <alignment horizontal="left" vertical="center" wrapText="1"/>
    </xf>
    <xf numFmtId="0" fontId="0" fillId="3" borderId="71" xfId="0" applyFill="1" applyBorder="1" applyAlignment="1">
      <alignment horizontal="left" wrapText="1"/>
    </xf>
    <xf numFmtId="0" fontId="0" fillId="0" borderId="70" xfId="0" applyBorder="1" applyAlignment="1">
      <alignment horizontal="left" vertical="center" wrapText="1"/>
    </xf>
    <xf numFmtId="0" fontId="0" fillId="0" borderId="0" xfId="0" applyFill="1"/>
    <xf numFmtId="0" fontId="0" fillId="0" borderId="0" xfId="0" applyFill="1" applyAlignment="1">
      <alignment wrapText="1"/>
    </xf>
    <xf numFmtId="0" fontId="0" fillId="0" borderId="0" xfId="0" applyFill="1" applyAlignment="1">
      <alignment vertical="center" wrapText="1"/>
    </xf>
    <xf numFmtId="0" fontId="12" fillId="0" borderId="0" xfId="0" applyFont="1" applyFill="1"/>
    <xf numFmtId="0" fontId="0" fillId="0" borderId="0" xfId="0" quotePrefix="1" applyBorder="1" applyAlignment="1">
      <alignment horizontal="center" wrapText="1"/>
    </xf>
    <xf numFmtId="0" fontId="20" fillId="0" borderId="0" xfId="0" applyFont="1" applyFill="1" applyBorder="1"/>
    <xf numFmtId="0" fontId="0" fillId="0" borderId="0" xfId="0" applyFill="1" applyBorder="1"/>
    <xf numFmtId="0" fontId="21" fillId="0" borderId="0" xfId="0" applyFont="1" applyFill="1" applyBorder="1" applyAlignment="1">
      <alignment horizontal="center" vertical="center"/>
    </xf>
    <xf numFmtId="0" fontId="8" fillId="0" borderId="0" xfId="0" applyFont="1" applyFill="1" applyBorder="1" applyAlignment="1">
      <alignment horizontal="center" vertical="center" wrapText="1"/>
    </xf>
    <xf numFmtId="0" fontId="8" fillId="0" borderId="0" xfId="0" applyFont="1" applyFill="1" applyBorder="1" applyAlignment="1">
      <alignment wrapText="1"/>
    </xf>
    <xf numFmtId="0" fontId="20" fillId="0" borderId="0" xfId="0" quotePrefix="1" applyFont="1" applyFill="1" applyBorder="1" applyAlignment="1">
      <alignment horizontal="center" vertical="center" wrapText="1"/>
    </xf>
    <xf numFmtId="0" fontId="20" fillId="0" borderId="0" xfId="0" applyFont="1" applyFill="1" applyBorder="1" applyAlignment="1">
      <alignment horizontal="left" vertical="top" wrapText="1"/>
    </xf>
    <xf numFmtId="0" fontId="20"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0" fontId="20" fillId="0" borderId="0" xfId="0" quotePrefix="1" applyFont="1" applyFill="1" applyBorder="1" applyAlignment="1">
      <alignment horizontal="center" vertical="center" wrapText="1"/>
    </xf>
    <xf numFmtId="0" fontId="20" fillId="0" borderId="0" xfId="0" applyFont="1" applyFill="1" applyBorder="1" applyAlignment="1">
      <alignment horizontal="left" vertical="top" wrapText="1"/>
    </xf>
    <xf numFmtId="0" fontId="0" fillId="0" borderId="0" xfId="0" applyFill="1" applyBorder="1" applyAlignment="1">
      <alignment horizontal="center" wrapText="1"/>
    </xf>
    <xf numFmtId="0" fontId="21" fillId="0" borderId="0" xfId="0" applyFont="1" applyFill="1" applyBorder="1" applyAlignment="1">
      <alignment horizontal="left" vertical="top" wrapText="1"/>
    </xf>
    <xf numFmtId="0" fontId="20" fillId="0" borderId="0" xfId="0" quotePrefix="1" applyFont="1" applyFill="1" applyBorder="1" applyAlignment="1">
      <alignment horizontal="left" vertical="top" wrapText="1"/>
    </xf>
    <xf numFmtId="0" fontId="20" fillId="0" borderId="0" xfId="0" quotePrefix="1" applyFont="1" applyFill="1" applyBorder="1" applyAlignment="1">
      <alignment horizontal="left" vertical="top" wrapText="1"/>
    </xf>
    <xf numFmtId="0" fontId="21" fillId="0" borderId="0" xfId="0" quotePrefix="1" applyFont="1" applyFill="1" applyBorder="1" applyAlignment="1">
      <alignment horizontal="left" vertical="top" wrapText="1"/>
    </xf>
    <xf numFmtId="0" fontId="0" fillId="0" borderId="0" xfId="0" applyFill="1" applyBorder="1" applyAlignment="1">
      <alignment wrapText="1"/>
    </xf>
    <xf numFmtId="0" fontId="0" fillId="0" borderId="0" xfId="0" applyFill="1" applyBorder="1" applyAlignment="1">
      <alignment vertical="center" wrapText="1"/>
    </xf>
    <xf numFmtId="0" fontId="10" fillId="0" borderId="0" xfId="0" applyFont="1" applyFill="1" applyBorder="1" applyAlignment="1">
      <alignment wrapText="1"/>
    </xf>
    <xf numFmtId="0" fontId="20" fillId="0" borderId="0" xfId="0" applyFont="1" applyFill="1" applyBorder="1" applyAlignment="1">
      <alignment wrapText="1"/>
    </xf>
    <xf numFmtId="0" fontId="10" fillId="0" borderId="0" xfId="0" applyFont="1" applyFill="1" applyBorder="1" applyAlignment="1">
      <alignment horizontal="center" vertical="center" wrapText="1"/>
    </xf>
    <xf numFmtId="0" fontId="10" fillId="0" borderId="0" xfId="0" applyFont="1" applyFill="1" applyBorder="1" applyAlignment="1">
      <alignment horizontal="center" vertical="top" wrapText="1"/>
    </xf>
    <xf numFmtId="0" fontId="20" fillId="0" borderId="0" xfId="0" applyFont="1" applyFill="1" applyBorder="1" applyAlignment="1">
      <alignment horizontal="center" vertical="center"/>
    </xf>
    <xf numFmtId="0" fontId="20" fillId="0" borderId="0" xfId="0" applyFont="1" applyFill="1" applyBorder="1" applyAlignment="1">
      <alignment horizontal="center" vertical="center"/>
    </xf>
    <xf numFmtId="0" fontId="20" fillId="0" borderId="0" xfId="0" applyFont="1" applyFill="1" applyBorder="1" applyAlignment="1">
      <alignment horizontal="left" vertical="top"/>
    </xf>
    <xf numFmtId="0" fontId="0" fillId="0" borderId="0" xfId="0" applyFill="1" applyBorder="1" applyAlignment="1">
      <alignment horizontal="left" vertical="top" wrapText="1"/>
    </xf>
    <xf numFmtId="0" fontId="20" fillId="0" borderId="0" xfId="0" quotePrefix="1" applyFont="1" applyFill="1" applyBorder="1" applyAlignment="1">
      <alignment horizontal="center" vertical="center"/>
    </xf>
    <xf numFmtId="0" fontId="16" fillId="0" borderId="0" xfId="0" applyFont="1" applyFill="1" applyBorder="1" applyAlignment="1">
      <alignment vertical="center"/>
    </xf>
    <xf numFmtId="0" fontId="17" fillId="0" borderId="0" xfId="0" applyFont="1" applyFill="1" applyBorder="1"/>
    <xf numFmtId="0" fontId="15" fillId="0" borderId="0" xfId="0" applyFont="1" applyFill="1" applyBorder="1"/>
    <xf numFmtId="0" fontId="0" fillId="0" borderId="0" xfId="0" applyFill="1" applyBorder="1" applyAlignment="1">
      <alignment horizontal="left" vertical="top" wrapText="1"/>
    </xf>
    <xf numFmtId="0" fontId="0" fillId="0" borderId="0" xfId="0" applyFill="1" applyBorder="1" applyAlignment="1">
      <alignment vertical="top" wrapText="1"/>
    </xf>
    <xf numFmtId="0" fontId="20" fillId="0" borderId="0" xfId="0" applyFont="1" applyFill="1" applyBorder="1" applyAlignment="1">
      <alignment vertical="top" wrapText="1"/>
    </xf>
    <xf numFmtId="0" fontId="19" fillId="0" borderId="0" xfId="0" applyFont="1" applyFill="1" applyBorder="1" applyAlignment="1">
      <alignment horizontal="center" wrapText="1"/>
    </xf>
    <xf numFmtId="0" fontId="0" fillId="0" borderId="0" xfId="0" applyFill="1" applyBorder="1" applyAlignment="1">
      <alignment horizontal="center"/>
    </xf>
    <xf numFmtId="0" fontId="22" fillId="0" borderId="0" xfId="0" applyFont="1" applyFill="1" applyBorder="1" applyAlignment="1">
      <alignment vertical="top" wrapText="1"/>
    </xf>
    <xf numFmtId="0" fontId="20" fillId="0" borderId="0" xfId="0" applyFont="1" applyFill="1" applyBorder="1" applyAlignment="1">
      <alignment vertical="center" wrapText="1"/>
    </xf>
    <xf numFmtId="0" fontId="22" fillId="0" borderId="0" xfId="0" applyFont="1" applyFill="1" applyBorder="1" applyAlignment="1">
      <alignment horizontal="left" vertical="top" wrapText="1"/>
    </xf>
    <xf numFmtId="0" fontId="20" fillId="0" borderId="0" xfId="0" applyFont="1" applyFill="1" applyBorder="1" applyAlignment="1">
      <alignment horizontal="center" vertical="top" wrapText="1"/>
    </xf>
    <xf numFmtId="0" fontId="20" fillId="0" borderId="0" xfId="0" applyFont="1" applyFill="1" applyBorder="1" applyAlignment="1">
      <alignment horizontal="center" vertical="top" wrapText="1"/>
    </xf>
    <xf numFmtId="0" fontId="20" fillId="0" borderId="0" xfId="0" applyFont="1" applyFill="1" applyBorder="1" applyAlignment="1">
      <alignment horizontal="center"/>
    </xf>
    <xf numFmtId="0" fontId="20" fillId="0" borderId="0" xfId="0" quotePrefix="1" applyFont="1" applyFill="1" applyBorder="1" applyAlignment="1">
      <alignment horizontal="center"/>
    </xf>
    <xf numFmtId="0" fontId="20" fillId="0" borderId="0" xfId="0" quotePrefix="1" applyFont="1" applyFill="1" applyBorder="1" applyAlignment="1">
      <alignment horizontal="center"/>
    </xf>
    <xf numFmtId="2" fontId="20" fillId="0" borderId="0" xfId="0" quotePrefix="1" applyNumberFormat="1" applyFont="1" applyFill="1" applyBorder="1" applyAlignment="1">
      <alignment horizontal="center" vertical="center" wrapText="1"/>
    </xf>
    <xf numFmtId="0" fontId="20" fillId="0" borderId="0" xfId="0" applyFont="1" applyFill="1" applyBorder="1" applyAlignment="1">
      <alignment horizontal="center"/>
    </xf>
    <xf numFmtId="0" fontId="0" fillId="0" borderId="0" xfId="0" quotePrefix="1" applyFill="1" applyBorder="1" applyAlignment="1">
      <alignment wrapText="1"/>
    </xf>
    <xf numFmtId="0" fontId="20" fillId="0" borderId="0" xfId="0" quotePrefix="1" applyFont="1" applyFill="1" applyBorder="1" applyAlignment="1">
      <alignment vertical="center" wrapText="1"/>
    </xf>
    <xf numFmtId="0" fontId="0" fillId="0" borderId="0" xfId="0" applyFill="1" applyBorder="1" applyAlignment="1">
      <alignment horizontal="center"/>
    </xf>
    <xf numFmtId="0" fontId="0" fillId="0" borderId="0" xfId="0" applyFill="1" applyBorder="1" applyAlignment="1">
      <alignment horizontal="left"/>
    </xf>
    <xf numFmtId="0" fontId="0" fillId="0" borderId="0" xfId="0" applyFill="1" applyBorder="1" applyAlignment="1">
      <alignment horizontal="left"/>
    </xf>
    <xf numFmtId="0" fontId="10" fillId="0" borderId="0" xfId="0" applyFont="1" applyFill="1" applyBorder="1" applyAlignment="1">
      <alignment horizontal="left" vertical="top" wrapText="1"/>
    </xf>
    <xf numFmtId="0" fontId="12" fillId="0" borderId="0" xfId="0" applyFont="1" applyFill="1" applyBorder="1"/>
    <xf numFmtId="0" fontId="10" fillId="0" borderId="0" xfId="0" applyFont="1" applyFill="1" applyBorder="1" applyAlignment="1">
      <alignment horizontal="left" vertical="top" wrapText="1"/>
    </xf>
    <xf numFmtId="0" fontId="20" fillId="0" borderId="0" xfId="0" applyFont="1" applyFill="1" applyBorder="1" applyAlignment="1">
      <alignment horizontal="left" vertical="top"/>
    </xf>
    <xf numFmtId="0" fontId="10" fillId="0" borderId="0" xfId="0" applyFont="1" applyFill="1" applyBorder="1" applyAlignment="1">
      <alignment horizontal="center"/>
    </xf>
    <xf numFmtId="0" fontId="10" fillId="0" borderId="0" xfId="0" applyFont="1" applyFill="1" applyBorder="1" applyAlignment="1">
      <alignment horizontal="center"/>
    </xf>
    <xf numFmtId="0" fontId="20" fillId="0" borderId="0" xfId="0" applyFont="1" applyFill="1" applyBorder="1" applyAlignment="1">
      <alignment horizontal="left"/>
    </xf>
    <xf numFmtId="0" fontId="20" fillId="0" borderId="0" xfId="0" applyFont="1" applyFill="1" applyBorder="1" applyAlignment="1">
      <alignment horizontal="left"/>
    </xf>
    <xf numFmtId="0" fontId="10" fillId="0" borderId="0" xfId="0" applyFont="1" applyFill="1" applyBorder="1" applyAlignment="1">
      <alignment horizontal="center" vertical="center" wrapText="1"/>
    </xf>
    <xf numFmtId="0" fontId="20" fillId="0" borderId="0" xfId="0" applyFont="1" applyFill="1" applyBorder="1" applyAlignment="1">
      <alignment horizontal="center" vertical="top"/>
    </xf>
    <xf numFmtId="0" fontId="10" fillId="0" borderId="0" xfId="0" applyFont="1" applyFill="1" applyBorder="1" applyAlignment="1">
      <alignment horizontal="center" vertical="center"/>
    </xf>
    <xf numFmtId="0" fontId="10" fillId="0" borderId="0" xfId="0" quotePrefix="1" applyFont="1" applyFill="1" applyBorder="1" applyAlignment="1">
      <alignment horizontal="center"/>
    </xf>
    <xf numFmtId="0" fontId="10" fillId="0" borderId="0" xfId="0" applyFont="1" applyFill="1" applyBorder="1" applyAlignment="1">
      <alignment horizontal="center" vertical="center"/>
    </xf>
    <xf numFmtId="2" fontId="0" fillId="0" borderId="0" xfId="0" applyNumberFormat="1" applyFill="1"/>
    <xf numFmtId="0" fontId="0" fillId="0" borderId="0" xfId="0" quotePrefix="1" applyFill="1"/>
    <xf numFmtId="2" fontId="0" fillId="0" borderId="0" xfId="0" quotePrefix="1" applyNumberFormat="1" applyFill="1"/>
    <xf numFmtId="0" fontId="12" fillId="0" borderId="0" xfId="0" applyFont="1" applyFill="1" applyAlignment="1">
      <alignment wrapText="1"/>
    </xf>
    <xf numFmtId="0" fontId="12" fillId="0" borderId="0" xfId="0" applyFont="1" applyFill="1" applyAlignment="1">
      <alignment vertical="center"/>
    </xf>
    <xf numFmtId="0" fontId="12" fillId="0" borderId="0" xfId="0" applyFont="1" applyFill="1" applyAlignment="1">
      <alignment horizontal="right" vertical="center"/>
    </xf>
    <xf numFmtId="2" fontId="12" fillId="0" borderId="0" xfId="0" applyNumberFormat="1" applyFont="1" applyFill="1" applyAlignment="1">
      <alignment vertical="center"/>
    </xf>
    <xf numFmtId="0" fontId="23" fillId="0" borderId="0" xfId="0" applyFont="1" applyFill="1" applyAlignment="1">
      <alignment vertical="center"/>
    </xf>
    <xf numFmtId="0" fontId="23" fillId="0" borderId="0" xfId="0" applyFont="1" applyFill="1" applyAlignment="1">
      <alignment horizontal="right" vertical="center"/>
    </xf>
    <xf numFmtId="2" fontId="12" fillId="0" borderId="0" xfId="0" applyNumberFormat="1" applyFont="1" applyFill="1"/>
    <xf numFmtId="1" fontId="0" fillId="0" borderId="0" xfId="0" quotePrefix="1" applyNumberFormat="1" applyFill="1"/>
    <xf numFmtId="15" fontId="0" fillId="0" borderId="0" xfId="0" quotePrefix="1" applyNumberFormat="1" applyFill="1"/>
    <xf numFmtId="1" fontId="0" fillId="0" borderId="0" xfId="0" applyNumberFormat="1" applyFill="1"/>
    <xf numFmtId="1" fontId="12" fillId="0" borderId="0" xfId="0" applyNumberFormat="1" applyFont="1" applyFill="1"/>
    <xf numFmtId="2" fontId="12" fillId="0" borderId="0" xfId="0" quotePrefix="1" applyNumberFormat="1" applyFont="1" applyFill="1"/>
    <xf numFmtId="2" fontId="0" fillId="0" borderId="0" xfId="0" applyNumberFormat="1" applyFill="1" applyAlignment="1">
      <alignment vertical="center" wrapText="1"/>
    </xf>
    <xf numFmtId="2" fontId="0" fillId="0" borderId="0" xfId="0" quotePrefix="1" applyNumberFormat="1" applyFill="1" applyAlignment="1">
      <alignment vertical="center" wrapText="1"/>
    </xf>
    <xf numFmtId="0" fontId="12" fillId="0" borderId="2" xfId="0" applyFont="1" applyFill="1" applyBorder="1"/>
    <xf numFmtId="0" fontId="12" fillId="0" borderId="3" xfId="0" applyFont="1" applyFill="1" applyBorder="1"/>
    <xf numFmtId="0" fontId="12" fillId="0" borderId="0" xfId="0" quotePrefix="1" applyFont="1" applyFill="1"/>
    <xf numFmtId="0" fontId="12" fillId="0" borderId="4" xfId="0" applyFont="1" applyFill="1" applyBorder="1"/>
    <xf numFmtId="1" fontId="12" fillId="0" borderId="4" xfId="0" applyNumberFormat="1" applyFont="1" applyFill="1" applyBorder="1"/>
    <xf numFmtId="0" fontId="12" fillId="0" borderId="5" xfId="0" applyFont="1" applyFill="1" applyBorder="1"/>
    <xf numFmtId="0" fontId="23" fillId="0" borderId="4" xfId="0" applyFont="1" applyFill="1" applyBorder="1" applyAlignment="1">
      <alignment vertical="center"/>
    </xf>
    <xf numFmtId="0" fontId="0" fillId="0" borderId="4" xfId="0" applyFill="1" applyBorder="1"/>
    <xf numFmtId="0" fontId="23" fillId="0" borderId="4" xfId="0" applyFont="1" applyFill="1" applyBorder="1" applyAlignment="1">
      <alignment horizontal="right" vertical="center"/>
    </xf>
    <xf numFmtId="0" fontId="0" fillId="0" borderId="2" xfId="0" applyFill="1" applyBorder="1"/>
    <xf numFmtId="0" fontId="0" fillId="0" borderId="5" xfId="0" applyFill="1" applyBorder="1"/>
    <xf numFmtId="0" fontId="0" fillId="0" borderId="4" xfId="0" applyFill="1" applyBorder="1" applyAlignment="1">
      <alignment vertical="center" wrapText="1"/>
    </xf>
    <xf numFmtId="0" fontId="0" fillId="0" borderId="2" xfId="0" applyFill="1" applyBorder="1" applyAlignment="1">
      <alignment vertical="center" wrapText="1"/>
    </xf>
    <xf numFmtId="0" fontId="0" fillId="0" borderId="5" xfId="0" applyFill="1" applyBorder="1" applyAlignment="1">
      <alignment wrapText="1"/>
    </xf>
    <xf numFmtId="0" fontId="0" fillId="0" borderId="5" xfId="0" applyFill="1" applyBorder="1" applyAlignment="1">
      <alignment vertical="center" wrapText="1"/>
    </xf>
    <xf numFmtId="0" fontId="0" fillId="0" borderId="4" xfId="10" applyFont="1" applyFill="1" applyBorder="1"/>
    <xf numFmtId="0" fontId="0" fillId="0" borderId="0" xfId="10" applyFont="1" applyFill="1"/>
    <xf numFmtId="0" fontId="0" fillId="0" borderId="6" xfId="0" applyFill="1" applyBorder="1"/>
    <xf numFmtId="0" fontId="0" fillId="0" borderId="6" xfId="0" applyFill="1" applyBorder="1" applyAlignment="1">
      <alignment wrapText="1"/>
    </xf>
    <xf numFmtId="0" fontId="0" fillId="0" borderId="1" xfId="0" applyFill="1" applyBorder="1"/>
    <xf numFmtId="0" fontId="23" fillId="0" borderId="1" xfId="0" applyFont="1" applyFill="1" applyBorder="1" applyAlignment="1">
      <alignment horizontal="right" vertical="center"/>
    </xf>
    <xf numFmtId="0" fontId="23" fillId="0" borderId="1" xfId="0" applyFont="1" applyFill="1" applyBorder="1" applyAlignment="1">
      <alignment vertical="center"/>
    </xf>
    <xf numFmtId="0" fontId="0" fillId="0" borderId="0" xfId="0" applyBorder="1"/>
    <xf numFmtId="0" fontId="0" fillId="22" borderId="0" xfId="0" applyFill="1" applyBorder="1"/>
    <xf numFmtId="0" fontId="0" fillId="0" borderId="0" xfId="0" applyBorder="1" applyAlignment="1">
      <alignment vertical="center" wrapText="1"/>
    </xf>
    <xf numFmtId="0" fontId="0" fillId="0" borderId="82" xfId="0" applyBorder="1"/>
    <xf numFmtId="0" fontId="0" fillId="0" borderId="83" xfId="0" applyBorder="1"/>
    <xf numFmtId="0" fontId="0" fillId="0" borderId="84" xfId="0" applyBorder="1"/>
    <xf numFmtId="0" fontId="0" fillId="0" borderId="85" xfId="0" applyBorder="1"/>
    <xf numFmtId="0" fontId="0" fillId="0" borderId="86" xfId="0" applyBorder="1"/>
    <xf numFmtId="0" fontId="0" fillId="0" borderId="87" xfId="0" applyBorder="1"/>
    <xf numFmtId="0" fontId="0" fillId="0" borderId="88" xfId="0" applyBorder="1"/>
    <xf numFmtId="0" fontId="36" fillId="7" borderId="81" xfId="0" applyFont="1" applyFill="1" applyBorder="1" applyAlignment="1">
      <alignment horizontal="center"/>
    </xf>
    <xf numFmtId="0" fontId="36" fillId="7" borderId="82" xfId="0" applyFont="1" applyFill="1" applyBorder="1" applyAlignment="1">
      <alignment horizontal="center"/>
    </xf>
    <xf numFmtId="0" fontId="35" fillId="7" borderId="81" xfId="0" applyFont="1" applyFill="1" applyBorder="1" applyAlignment="1">
      <alignment horizontal="center"/>
    </xf>
    <xf numFmtId="0" fontId="35" fillId="7" borderId="82" xfId="0" applyFont="1" applyFill="1" applyBorder="1" applyAlignment="1">
      <alignment horizontal="center"/>
    </xf>
  </cellXfs>
  <cellStyles count="14">
    <cellStyle name="Komma 2" xfId="7" xr:uid="{00000000-0005-0000-0000-000000000000}"/>
    <cellStyle name="Link" xfId="3" builtinId="8"/>
    <cellStyle name="Link 3" xfId="9" xr:uid="{B12A3680-BDB1-EB46-B8C5-50C9D428768D}"/>
    <cellStyle name="Normal 2" xfId="1" xr:uid="{00000000-0005-0000-0000-000002000000}"/>
    <cellStyle name="Pourcentage 2" xfId="2" xr:uid="{00000000-0005-0000-0000-000003000000}"/>
    <cellStyle name="Prozent 2" xfId="5" xr:uid="{00000000-0005-0000-0000-000004000000}"/>
    <cellStyle name="Standard" xfId="0" builtinId="0"/>
    <cellStyle name="Standard 2" xfId="4" xr:uid="{00000000-0005-0000-0000-000006000000}"/>
    <cellStyle name="Standard 3" xfId="6" xr:uid="{00000000-0005-0000-0000-000007000000}"/>
    <cellStyle name="Standard 4" xfId="8" xr:uid="{C20824D2-224E-204C-A489-9416FB982FB8}"/>
    <cellStyle name="Standard 5" xfId="10" xr:uid="{CD961E0D-600F-42F1-8EB9-32ED00E8DEA9}"/>
    <cellStyle name="Standard 6" xfId="11" xr:uid="{28C17A92-B8E8-419A-8280-6867C3FA4ED7}"/>
    <cellStyle name="Standard 7" xfId="12" xr:uid="{9F4874A9-C2EC-4EF2-BCDD-8B27BE23CB1F}"/>
    <cellStyle name="Standard 8" xfId="13" xr:uid="{195E93D1-A85C-486B-99CA-840423E62EE9}"/>
  </cellStyles>
  <dxfs count="78">
    <dxf>
      <font>
        <strike val="0"/>
        <outline val="0"/>
        <shadow val="0"/>
        <u val="none"/>
        <vertAlign val="baseline"/>
        <sz val="10"/>
        <name val="Calibri"/>
        <family val="2"/>
        <scheme val="minor"/>
      </font>
      <fill>
        <patternFill patternType="none">
          <fgColor indexed="64"/>
          <bgColor auto="1"/>
        </patternFill>
      </fill>
    </dxf>
    <dxf>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2" formatCode="0.00"/>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numFmt numFmtId="0" formatCode="General"/>
    </dxf>
    <dxf>
      <font>
        <strike val="0"/>
        <outline val="0"/>
        <shadow val="0"/>
        <u val="none"/>
        <vertAlign val="baseline"/>
        <sz val="10"/>
        <name val="Calibri"/>
        <family val="2"/>
        <scheme val="minor"/>
      </font>
      <numFmt numFmtId="164" formatCode="0.0000"/>
    </dxf>
    <dxf>
      <font>
        <strike val="0"/>
        <outline val="0"/>
        <shadow val="0"/>
        <u val="none"/>
        <vertAlign val="baseline"/>
        <sz val="10"/>
        <name val="Calibri"/>
        <family val="2"/>
        <scheme val="minor"/>
      </font>
      <numFmt numFmtId="164" formatCode="0.0000"/>
    </dxf>
    <dxf>
      <font>
        <b val="0"/>
        <i val="0"/>
        <strike val="0"/>
        <condense val="0"/>
        <extend val="0"/>
        <outline val="0"/>
        <shadow val="0"/>
        <u val="none"/>
        <vertAlign val="baseline"/>
        <sz val="10"/>
        <color indexed="8"/>
        <name val="Calibri"/>
        <family val="2"/>
        <scheme val="minor"/>
      </font>
      <numFmt numFmtId="166" formatCode="#0.00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indexed="8"/>
        <name val="Calibri"/>
        <family val="2"/>
        <scheme val="minor"/>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font>
    </dxf>
    <dxf>
      <font>
        <b val="0"/>
        <i val="0"/>
        <strike val="0"/>
        <condense val="0"/>
        <extend val="0"/>
        <outline val="0"/>
        <shadow val="0"/>
        <u val="none"/>
        <vertAlign val="baseline"/>
        <sz val="10"/>
        <color auto="1"/>
        <name val="Calibri"/>
        <family val="2"/>
        <scheme val="minor"/>
      </font>
      <numFmt numFmtId="1" formatCode="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ill>
        <patternFill patternType="solid">
          <fgColor rgb="FFED7D31"/>
          <bgColor rgb="FF000000"/>
        </patternFill>
      </fill>
    </dxf>
    <dxf>
      <font>
        <strike val="0"/>
        <outline val="0"/>
        <shadow val="0"/>
        <u val="none"/>
        <vertAlign val="baseline"/>
        <sz val="10"/>
        <color theme="0"/>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2" formatCode="0.00"/>
    </dxf>
    <dxf>
      <font>
        <strike val="0"/>
        <outline val="0"/>
        <shadow val="0"/>
        <u val="none"/>
        <vertAlign val="baseline"/>
        <sz val="10"/>
        <name val="Calibri"/>
        <family val="2"/>
        <scheme val="minor"/>
      </font>
    </dxf>
    <dxf>
      <font>
        <b val="0"/>
        <i val="0"/>
        <strike val="0"/>
        <condense val="0"/>
        <extend val="0"/>
        <outline val="0"/>
        <shadow val="0"/>
        <u val="none"/>
        <vertAlign val="baseline"/>
        <sz val="10"/>
        <color rgb="FF000000"/>
        <name val="Calibri"/>
        <family val="2"/>
        <scheme val="minor"/>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Calibri"/>
        <family val="2"/>
        <scheme val="minor"/>
      </font>
      <fill>
        <patternFill patternType="solid">
          <fgColor indexed="64"/>
          <bgColor theme="9" tint="0.79998168889431442"/>
        </patternFill>
      </fill>
      <alignment horizontal="general"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none"/>
      </font>
    </dxf>
  </dxfs>
  <tableStyles count="2" defaultTableStyle="TableStyleMedium2" defaultPivotStyle="PivotStyleLight16">
    <tableStyle name="OCC" table="0" count="0" xr9:uid="{2D4C352E-671B-4253-AF67-593FF2716C6E}"/>
    <tableStyle name="tblDaten" table="0" count="0" xr9:uid="{21950D72-A9E5-494D-A9AE-7F80B6BB5106}"/>
  </tableStyles>
  <colors>
    <mruColors>
      <color rgb="FFBFCED6"/>
      <color rgb="FFCDC4D2"/>
      <color rgb="FFE0DBE3"/>
      <color rgb="FFA7C6D7"/>
      <color rgb="FF9080A4"/>
      <color rgb="FF7C6992"/>
      <color rgb="FFC48490"/>
      <color rgb="FFC996B6"/>
      <color rgb="FF9BB8D3"/>
      <color rgb="FF7A99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heetMetadata" Target="metadata.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'OCC Costs w Contingency'!$AO$1</c:f>
              <c:strCache>
                <c:ptCount val="1"/>
                <c:pt idx="0">
                  <c:v>Low Base</c:v>
                </c:pt>
              </c:strCache>
            </c:strRef>
          </c:tx>
          <c:spPr>
            <a:noFill/>
            <a:ln w="25400">
              <a:noFill/>
            </a:ln>
            <a:effectLst/>
          </c:spPr>
          <c:invertIfNegative val="0"/>
          <c:dPt>
            <c:idx val="1"/>
            <c:invertIfNegative val="0"/>
            <c:bubble3D val="0"/>
            <c:extLst>
              <c:ext xmlns:c16="http://schemas.microsoft.com/office/drawing/2014/chart" uri="{C3380CC4-5D6E-409C-BE32-E72D297353CC}">
                <c16:uniqueId val="{00000000-C0BC-499A-B3BB-7E345E747C77}"/>
              </c:ext>
            </c:extLst>
          </c:dPt>
          <c:dPt>
            <c:idx val="2"/>
            <c:invertIfNegative val="0"/>
            <c:bubble3D val="0"/>
            <c:extLst>
              <c:ext xmlns:c16="http://schemas.microsoft.com/office/drawing/2014/chart" uri="{C3380CC4-5D6E-409C-BE32-E72D297353CC}">
                <c16:uniqueId val="{00000001-C0BC-499A-B3BB-7E345E747C77}"/>
              </c:ext>
            </c:extLst>
          </c:dPt>
          <c:dPt>
            <c:idx val="3"/>
            <c:invertIfNegative val="0"/>
            <c:bubble3D val="0"/>
            <c:extLst>
              <c:ext xmlns:c16="http://schemas.microsoft.com/office/drawing/2014/chart" uri="{C3380CC4-5D6E-409C-BE32-E72D297353CC}">
                <c16:uniqueId val="{00000002-C0BC-499A-B3BB-7E345E747C77}"/>
              </c:ext>
            </c:extLst>
          </c:dPt>
          <c:dPt>
            <c:idx val="4"/>
            <c:invertIfNegative val="0"/>
            <c:bubble3D val="0"/>
            <c:extLst>
              <c:ext xmlns:c16="http://schemas.microsoft.com/office/drawing/2014/chart" uri="{C3380CC4-5D6E-409C-BE32-E72D297353CC}">
                <c16:uniqueId val="{00000003-C0BC-499A-B3BB-7E345E747C77}"/>
              </c:ext>
            </c:extLst>
          </c:dPt>
          <c:dPt>
            <c:idx val="5"/>
            <c:invertIfNegative val="0"/>
            <c:bubble3D val="0"/>
            <c:extLst>
              <c:ext xmlns:c16="http://schemas.microsoft.com/office/drawing/2014/chart" uri="{C3380CC4-5D6E-409C-BE32-E72D297353CC}">
                <c16:uniqueId val="{00000004-C0BC-499A-B3BB-7E345E747C77}"/>
              </c:ext>
            </c:extLst>
          </c:dPt>
          <c:dPt>
            <c:idx val="6"/>
            <c:invertIfNegative val="0"/>
            <c:bubble3D val="0"/>
            <c:extLst>
              <c:ext xmlns:c16="http://schemas.microsoft.com/office/drawing/2014/chart" uri="{C3380CC4-5D6E-409C-BE32-E72D297353CC}">
                <c16:uniqueId val="{00000005-C0BC-499A-B3BB-7E345E747C77}"/>
              </c:ext>
            </c:extLst>
          </c:dPt>
          <c:cat>
            <c:multiLvlStrRef>
              <c:f>'OCC Costs w Contingency'!$W$2:$X$9</c:f>
              <c:multiLvlStrCache>
                <c:ptCount val="8"/>
                <c:lvl>
                  <c:pt idx="0">
                    <c:v>NOAK</c:v>
                  </c:pt>
                  <c:pt idx="1">
                    <c:v>10th-OAK</c:v>
                  </c:pt>
                  <c:pt idx="2">
                    <c:v>FOAK</c:v>
                  </c:pt>
                  <c:pt idx="3">
                    <c:v>NOAK</c:v>
                  </c:pt>
                  <c:pt idx="4">
                    <c:v>10th-OAK</c:v>
                  </c:pt>
                  <c:pt idx="5">
                    <c:v>Mature
NOAK</c:v>
                  </c:pt>
                  <c:pt idx="6">
                    <c:v>10th-OAK</c:v>
                  </c:pt>
                  <c:pt idx="7">
                    <c:v>Mature
NOAK</c:v>
                  </c:pt>
                </c:lvl>
                <c:lvl>
                  <c:pt idx="0">
                    <c:v>ICF</c:v>
                  </c:pt>
                  <c:pt idx="1">
                    <c:v>ICF</c:v>
                  </c:pt>
                  <c:pt idx="2">
                    <c:v>MCF</c:v>
                  </c:pt>
                  <c:pt idx="3">
                    <c:v>MCF</c:v>
                  </c:pt>
                  <c:pt idx="4">
                    <c:v>MCF</c:v>
                  </c:pt>
                  <c:pt idx="5">
                    <c:v>MCF</c:v>
                  </c:pt>
                  <c:pt idx="6">
                    <c:v>MIF</c:v>
                  </c:pt>
                  <c:pt idx="7">
                    <c:v>MIF</c:v>
                  </c:pt>
                </c:lvl>
              </c:multiLvlStrCache>
            </c:multiLvlStrRef>
          </c:cat>
          <c:val>
            <c:numRef>
              <c:f>'OCC Costs w Contingency'!$AO$2:$AO$9</c:f>
              <c:numCache>
                <c:formatCode>General</c:formatCode>
                <c:ptCount val="8"/>
                <c:pt idx="0">
                  <c:v>2100.4187138060079</c:v>
                </c:pt>
                <c:pt idx="1">
                  <c:v>3040.1704299398643</c:v>
                </c:pt>
                <c:pt idx="2">
                  <c:v>8472.4900087569913</c:v>
                </c:pt>
                <c:pt idx="3">
                  <c:v>4674.9905385920883</c:v>
                </c:pt>
                <c:pt idx="4">
                  <c:v>4356.3171715074841</c:v>
                </c:pt>
                <c:pt idx="5">
                  <c:v>4017.420354239257</c:v>
                </c:pt>
                <c:pt idx="6">
                  <c:v>7562.6339995639009</c:v>
                </c:pt>
                <c:pt idx="7">
                  <c:v>1910.988530517179</c:v>
                </c:pt>
              </c:numCache>
            </c:numRef>
          </c:val>
          <c:extLst>
            <c:ext xmlns:c16="http://schemas.microsoft.com/office/drawing/2014/chart" uri="{C3380CC4-5D6E-409C-BE32-E72D297353CC}">
              <c16:uniqueId val="{00000000-0791-4C44-BF8C-F58DFFC38E97}"/>
            </c:ext>
          </c:extLst>
        </c:ser>
        <c:ser>
          <c:idx val="1"/>
          <c:order val="1"/>
          <c:tx>
            <c:strRef>
              <c:f>'OCC Costs w Contingency'!$AP$1</c:f>
              <c:strCache>
                <c:ptCount val="1"/>
                <c:pt idx="0">
                  <c:v>Lower box (Q1–Median, 25–50%)</c:v>
                </c:pt>
              </c:strCache>
            </c:strRef>
          </c:tx>
          <c:spPr>
            <a:solidFill>
              <a:srgbClr val="9590B2">
                <a:alpha val="85000"/>
              </a:srgbClr>
            </a:solidFill>
            <a:ln>
              <a:noFill/>
            </a:ln>
            <a:effectLst/>
          </c:spPr>
          <c:invertIfNegative val="0"/>
          <c:dPt>
            <c:idx val="1"/>
            <c:invertIfNegative val="0"/>
            <c:bubble3D val="0"/>
            <c:spPr>
              <a:solidFill>
                <a:srgbClr val="7A99AC">
                  <a:alpha val="84706"/>
                </a:srgbClr>
              </a:solidFill>
              <a:ln>
                <a:noFill/>
              </a:ln>
              <a:effectLst/>
            </c:spPr>
            <c:extLst>
              <c:ext xmlns:c16="http://schemas.microsoft.com/office/drawing/2014/chart" uri="{C3380CC4-5D6E-409C-BE32-E72D297353CC}">
                <c16:uniqueId val="{00000017-B748-4E63-9657-3B5939878031}"/>
              </c:ext>
            </c:extLst>
          </c:dPt>
          <c:dPt>
            <c:idx val="6"/>
            <c:invertIfNegative val="0"/>
            <c:bubble3D val="0"/>
            <c:spPr>
              <a:solidFill>
                <a:srgbClr val="B07C83">
                  <a:alpha val="84706"/>
                </a:srgbClr>
              </a:solidFill>
              <a:ln>
                <a:noFill/>
              </a:ln>
              <a:effectLst/>
            </c:spPr>
            <c:extLst>
              <c:ext xmlns:c16="http://schemas.microsoft.com/office/drawing/2014/chart" uri="{C3380CC4-5D6E-409C-BE32-E72D297353CC}">
                <c16:uniqueId val="{00000019-B748-4E63-9657-3B5939878031}"/>
              </c:ext>
            </c:extLst>
          </c:dPt>
          <c:cat>
            <c:multiLvlStrRef>
              <c:f>'OCC Costs w Contingency'!$W$2:$X$9</c:f>
              <c:multiLvlStrCache>
                <c:ptCount val="8"/>
                <c:lvl>
                  <c:pt idx="0">
                    <c:v>NOAK</c:v>
                  </c:pt>
                  <c:pt idx="1">
                    <c:v>10th-OAK</c:v>
                  </c:pt>
                  <c:pt idx="2">
                    <c:v>FOAK</c:v>
                  </c:pt>
                  <c:pt idx="3">
                    <c:v>NOAK</c:v>
                  </c:pt>
                  <c:pt idx="4">
                    <c:v>10th-OAK</c:v>
                  </c:pt>
                  <c:pt idx="5">
                    <c:v>Mature
NOAK</c:v>
                  </c:pt>
                  <c:pt idx="6">
                    <c:v>10th-OAK</c:v>
                  </c:pt>
                  <c:pt idx="7">
                    <c:v>Mature
NOAK</c:v>
                  </c:pt>
                </c:lvl>
                <c:lvl>
                  <c:pt idx="0">
                    <c:v>ICF</c:v>
                  </c:pt>
                  <c:pt idx="1">
                    <c:v>ICF</c:v>
                  </c:pt>
                  <c:pt idx="2">
                    <c:v>MCF</c:v>
                  </c:pt>
                  <c:pt idx="3">
                    <c:v>MCF</c:v>
                  </c:pt>
                  <c:pt idx="4">
                    <c:v>MCF</c:v>
                  </c:pt>
                  <c:pt idx="5">
                    <c:v>MCF</c:v>
                  </c:pt>
                  <c:pt idx="6">
                    <c:v>MIF</c:v>
                  </c:pt>
                  <c:pt idx="7">
                    <c:v>MIF</c:v>
                  </c:pt>
                </c:lvl>
              </c:multiLvlStrCache>
            </c:multiLvlStrRef>
          </c:cat>
          <c:val>
            <c:numRef>
              <c:f>'OCC Costs w Contingency'!$AP$2:$AP$9</c:f>
              <c:numCache>
                <c:formatCode>General</c:formatCode>
                <c:ptCount val="8"/>
                <c:pt idx="0">
                  <c:v>0</c:v>
                </c:pt>
                <c:pt idx="1">
                  <c:v>2027.5556242941775</c:v>
                </c:pt>
                <c:pt idx="2">
                  <c:v>3134.2640407639665</c:v>
                </c:pt>
                <c:pt idx="3">
                  <c:v>1710.9702485309454</c:v>
                </c:pt>
                <c:pt idx="4">
                  <c:v>1452.4667515587607</c:v>
                </c:pt>
                <c:pt idx="5">
                  <c:v>339.45421442360657</c:v>
                </c:pt>
                <c:pt idx="6">
                  <c:v>2673.1653035119816</c:v>
                </c:pt>
                <c:pt idx="7">
                  <c:v>38.190838693926935</c:v>
                </c:pt>
              </c:numCache>
            </c:numRef>
          </c:val>
          <c:extLst>
            <c:ext xmlns:c16="http://schemas.microsoft.com/office/drawing/2014/chart" uri="{C3380CC4-5D6E-409C-BE32-E72D297353CC}">
              <c16:uniqueId val="{00000003-0791-4C44-BF8C-F58DFFC38E97}"/>
            </c:ext>
          </c:extLst>
        </c:ser>
        <c:ser>
          <c:idx val="2"/>
          <c:order val="2"/>
          <c:tx>
            <c:strRef>
              <c:f>'OCC Costs w Contingency'!$AQ$1</c:f>
              <c:strCache>
                <c:ptCount val="1"/>
                <c:pt idx="0">
                  <c:v>Upper box (Median–Q3, 50–75%)</c:v>
                </c:pt>
              </c:strCache>
            </c:strRef>
          </c:tx>
          <c:spPr>
            <a:solidFill>
              <a:srgbClr val="C2BFD3">
                <a:alpha val="80000"/>
              </a:srgbClr>
            </a:solidFill>
            <a:ln>
              <a:noFill/>
            </a:ln>
            <a:effectLst/>
          </c:spPr>
          <c:invertIfNegative val="0"/>
          <c:dPt>
            <c:idx val="1"/>
            <c:invertIfNegative val="0"/>
            <c:bubble3D val="0"/>
            <c:spPr>
              <a:solidFill>
                <a:srgbClr val="BFCED6">
                  <a:alpha val="80000"/>
                </a:srgbClr>
              </a:solidFill>
              <a:ln>
                <a:noFill/>
              </a:ln>
              <a:effectLst/>
            </c:spPr>
            <c:extLst>
              <c:ext xmlns:c16="http://schemas.microsoft.com/office/drawing/2014/chart" uri="{C3380CC4-5D6E-409C-BE32-E72D297353CC}">
                <c16:uniqueId val="{00000016-B748-4E63-9657-3B5939878031}"/>
              </c:ext>
            </c:extLst>
          </c:dPt>
          <c:dPt>
            <c:idx val="6"/>
            <c:invertIfNegative val="0"/>
            <c:bubble3D val="0"/>
            <c:spPr>
              <a:solidFill>
                <a:srgbClr val="DFC2C3">
                  <a:alpha val="80000"/>
                </a:srgbClr>
              </a:solidFill>
              <a:ln>
                <a:noFill/>
              </a:ln>
              <a:effectLst/>
            </c:spPr>
            <c:extLst>
              <c:ext xmlns:c16="http://schemas.microsoft.com/office/drawing/2014/chart" uri="{C3380CC4-5D6E-409C-BE32-E72D297353CC}">
                <c16:uniqueId val="{00000018-B748-4E63-9657-3B5939878031}"/>
              </c:ext>
            </c:extLst>
          </c:dPt>
          <c:cat>
            <c:multiLvlStrRef>
              <c:f>'OCC Costs w Contingency'!$W$2:$X$9</c:f>
              <c:multiLvlStrCache>
                <c:ptCount val="8"/>
                <c:lvl>
                  <c:pt idx="0">
                    <c:v>NOAK</c:v>
                  </c:pt>
                  <c:pt idx="1">
                    <c:v>10th-OAK</c:v>
                  </c:pt>
                  <c:pt idx="2">
                    <c:v>FOAK</c:v>
                  </c:pt>
                  <c:pt idx="3">
                    <c:v>NOAK</c:v>
                  </c:pt>
                  <c:pt idx="4">
                    <c:v>10th-OAK</c:v>
                  </c:pt>
                  <c:pt idx="5">
                    <c:v>Mature
NOAK</c:v>
                  </c:pt>
                  <c:pt idx="6">
                    <c:v>10th-OAK</c:v>
                  </c:pt>
                  <c:pt idx="7">
                    <c:v>Mature
NOAK</c:v>
                  </c:pt>
                </c:lvl>
                <c:lvl>
                  <c:pt idx="0">
                    <c:v>ICF</c:v>
                  </c:pt>
                  <c:pt idx="1">
                    <c:v>ICF</c:v>
                  </c:pt>
                  <c:pt idx="2">
                    <c:v>MCF</c:v>
                  </c:pt>
                  <c:pt idx="3">
                    <c:v>MCF</c:v>
                  </c:pt>
                  <c:pt idx="4">
                    <c:v>MCF</c:v>
                  </c:pt>
                  <c:pt idx="5">
                    <c:v>MCF</c:v>
                  </c:pt>
                  <c:pt idx="6">
                    <c:v>MIF</c:v>
                  </c:pt>
                  <c:pt idx="7">
                    <c:v>MIF</c:v>
                  </c:pt>
                </c:lvl>
              </c:multiLvlStrCache>
            </c:multiLvlStrRef>
          </c:cat>
          <c:val>
            <c:numRef>
              <c:f>'OCC Costs w Contingency'!$AQ$2:$AQ$9</c:f>
              <c:numCache>
                <c:formatCode>General</c:formatCode>
                <c:ptCount val="8"/>
                <c:pt idx="0">
                  <c:v>0</c:v>
                </c:pt>
                <c:pt idx="1">
                  <c:v>1955.0110150948321</c:v>
                </c:pt>
                <c:pt idx="2">
                  <c:v>1727.254353180806</c:v>
                </c:pt>
                <c:pt idx="3">
                  <c:v>1476.2520328270011</c:v>
                </c:pt>
                <c:pt idx="4">
                  <c:v>1009.1214351421131</c:v>
                </c:pt>
                <c:pt idx="5">
                  <c:v>703.13425139379797</c:v>
                </c:pt>
                <c:pt idx="6">
                  <c:v>1595.5291928985389</c:v>
                </c:pt>
                <c:pt idx="7">
                  <c:v>38.190838693927162</c:v>
                </c:pt>
              </c:numCache>
            </c:numRef>
          </c:val>
          <c:extLst>
            <c:ext xmlns:c16="http://schemas.microsoft.com/office/drawing/2014/chart" uri="{C3380CC4-5D6E-409C-BE32-E72D297353CC}">
              <c16:uniqueId val="{00000012-0791-4C44-BF8C-F58DFFC38E97}"/>
            </c:ext>
          </c:extLst>
        </c:ser>
        <c:ser>
          <c:idx val="3"/>
          <c:order val="3"/>
          <c:tx>
            <c:strRef>
              <c:f>'OCC Costs w Contingency'!$AR$1</c:f>
              <c:strCache>
                <c:ptCount val="1"/>
                <c:pt idx="0">
                  <c:v>High Base</c:v>
                </c:pt>
              </c:strCache>
            </c:strRef>
          </c:tx>
          <c:spPr>
            <a:noFill/>
            <a:ln>
              <a:noFill/>
            </a:ln>
            <a:effectLst/>
          </c:spPr>
          <c:invertIfNegative val="0"/>
          <c:cat>
            <c:multiLvlStrRef>
              <c:f>'OCC Costs w Contingency'!$W$2:$X$9</c:f>
              <c:multiLvlStrCache>
                <c:ptCount val="8"/>
                <c:lvl>
                  <c:pt idx="0">
                    <c:v>NOAK</c:v>
                  </c:pt>
                  <c:pt idx="1">
                    <c:v>10th-OAK</c:v>
                  </c:pt>
                  <c:pt idx="2">
                    <c:v>FOAK</c:v>
                  </c:pt>
                  <c:pt idx="3">
                    <c:v>NOAK</c:v>
                  </c:pt>
                  <c:pt idx="4">
                    <c:v>10th-OAK</c:v>
                  </c:pt>
                  <c:pt idx="5">
                    <c:v>Mature
NOAK</c:v>
                  </c:pt>
                  <c:pt idx="6">
                    <c:v>10th-OAK</c:v>
                  </c:pt>
                  <c:pt idx="7">
                    <c:v>Mature
NOAK</c:v>
                  </c:pt>
                </c:lvl>
                <c:lvl>
                  <c:pt idx="0">
                    <c:v>ICF</c:v>
                  </c:pt>
                  <c:pt idx="1">
                    <c:v>ICF</c:v>
                  </c:pt>
                  <c:pt idx="2">
                    <c:v>MCF</c:v>
                  </c:pt>
                  <c:pt idx="3">
                    <c:v>MCF</c:v>
                  </c:pt>
                  <c:pt idx="4">
                    <c:v>MCF</c:v>
                  </c:pt>
                  <c:pt idx="5">
                    <c:v>MCF</c:v>
                  </c:pt>
                  <c:pt idx="6">
                    <c:v>MIF</c:v>
                  </c:pt>
                  <c:pt idx="7">
                    <c:v>MIF</c:v>
                  </c:pt>
                </c:lvl>
              </c:multiLvlStrCache>
            </c:multiLvlStrRef>
          </c:cat>
          <c:val>
            <c:numRef>
              <c:f>'OCC Costs w Contingency'!$AR$2:$AR$9</c:f>
              <c:numCache>
                <c:formatCode>General</c:formatCode>
                <c:ptCount val="8"/>
                <c:pt idx="0">
                  <c:v>0</c:v>
                </c:pt>
                <c:pt idx="1">
                  <c:v>2100.255345529511</c:v>
                </c:pt>
                <c:pt idx="2">
                  <c:v>15797.013586090749</c:v>
                </c:pt>
                <c:pt idx="3">
                  <c:v>7994.3068063409664</c:v>
                </c:pt>
                <c:pt idx="4">
                  <c:v>6622.5841080993996</c:v>
                </c:pt>
                <c:pt idx="5">
                  <c:v>1944.1039610847902</c:v>
                </c:pt>
                <c:pt idx="6">
                  <c:v>1595.5291928985389</c:v>
                </c:pt>
                <c:pt idx="7">
                  <c:v>38.190838693927162</c:v>
                </c:pt>
              </c:numCache>
            </c:numRef>
          </c:val>
          <c:extLst>
            <c:ext xmlns:c16="http://schemas.microsoft.com/office/drawing/2014/chart" uri="{C3380CC4-5D6E-409C-BE32-E72D297353CC}">
              <c16:uniqueId val="{00000013-0791-4C44-BF8C-F58DFFC38E97}"/>
            </c:ext>
          </c:extLst>
        </c:ser>
        <c:dLbls>
          <c:showLegendKey val="0"/>
          <c:showVal val="0"/>
          <c:showCatName val="0"/>
          <c:showSerName val="0"/>
          <c:showPercent val="0"/>
          <c:showBubbleSize val="0"/>
        </c:dLbls>
        <c:gapWidth val="40"/>
        <c:overlap val="100"/>
        <c:axId val="307037904"/>
        <c:axId val="307038384"/>
      </c:barChart>
      <c:lineChart>
        <c:grouping val="standard"/>
        <c:varyColors val="0"/>
        <c:ser>
          <c:idx val="4"/>
          <c:order val="4"/>
          <c:tx>
            <c:strRef>
              <c:f>'OCC Costs w Contingency'!$AK$1</c:f>
              <c:strCache>
                <c:ptCount val="1"/>
                <c:pt idx="0">
                  <c:v>Q1</c:v>
                </c:pt>
              </c:strCache>
            </c:strRef>
          </c:tx>
          <c:spPr>
            <a:ln w="25400" cap="rnd">
              <a:noFill/>
              <a:round/>
            </a:ln>
            <a:effectLst/>
          </c:spPr>
          <c:marker>
            <c:symbol val="triangle"/>
            <c:size val="16"/>
            <c:spPr>
              <a:solidFill>
                <a:srgbClr val="93B7BB"/>
              </a:solidFill>
              <a:ln w="38100">
                <a:noFill/>
              </a:ln>
              <a:effectLst/>
            </c:spPr>
          </c:marker>
          <c:dPt>
            <c:idx val="0"/>
            <c:marker>
              <c:symbol val="triangle"/>
              <c:size val="16"/>
              <c:spPr>
                <a:solidFill>
                  <a:srgbClr val="93B7BB"/>
                </a:solidFill>
                <a:ln w="38100">
                  <a:noFill/>
                </a:ln>
                <a:effectLst/>
              </c:spPr>
            </c:marker>
            <c:bubble3D val="0"/>
            <c:spPr>
              <a:ln w="25400" cap="rnd">
                <a:solidFill>
                  <a:srgbClr val="00B050"/>
                </a:solidFill>
                <a:round/>
              </a:ln>
              <a:effectLst/>
            </c:spPr>
            <c:extLst>
              <c:ext xmlns:c16="http://schemas.microsoft.com/office/drawing/2014/chart" uri="{C3380CC4-5D6E-409C-BE32-E72D297353CC}">
                <c16:uniqueId val="{00000007-C0BC-499A-B3BB-7E345E747C77}"/>
              </c:ext>
            </c:extLst>
          </c:dPt>
          <c:dPt>
            <c:idx val="1"/>
            <c:marker>
              <c:symbol val="triangle"/>
              <c:size val="16"/>
              <c:spPr>
                <a:noFill/>
                <a:ln w="38100">
                  <a:noFill/>
                </a:ln>
                <a:effectLst/>
              </c:spPr>
            </c:marker>
            <c:bubble3D val="0"/>
            <c:extLst>
              <c:ext xmlns:c16="http://schemas.microsoft.com/office/drawing/2014/chart" uri="{C3380CC4-5D6E-409C-BE32-E72D297353CC}">
                <c16:uniqueId val="{0000002B-BA45-4F51-A460-97507CBB0DF9}"/>
              </c:ext>
            </c:extLst>
          </c:dPt>
          <c:dPt>
            <c:idx val="2"/>
            <c:marker>
              <c:symbol val="none"/>
            </c:marker>
            <c:bubble3D val="0"/>
            <c:extLst>
              <c:ext xmlns:c16="http://schemas.microsoft.com/office/drawing/2014/chart" uri="{C3380CC4-5D6E-409C-BE32-E72D297353CC}">
                <c16:uniqueId val="{00000026-BA45-4F51-A460-97507CBB0DF9}"/>
              </c:ext>
            </c:extLst>
          </c:dPt>
          <c:dPt>
            <c:idx val="3"/>
            <c:marker>
              <c:symbol val="triangle"/>
              <c:size val="16"/>
              <c:spPr>
                <a:noFill/>
                <a:ln w="38100">
                  <a:noFill/>
                </a:ln>
                <a:effectLst/>
              </c:spPr>
            </c:marker>
            <c:bubble3D val="0"/>
            <c:extLst>
              <c:ext xmlns:c16="http://schemas.microsoft.com/office/drawing/2014/chart" uri="{C3380CC4-5D6E-409C-BE32-E72D297353CC}">
                <c16:uniqueId val="{0000002A-BA45-4F51-A460-97507CBB0DF9}"/>
              </c:ext>
            </c:extLst>
          </c:dPt>
          <c:dPt>
            <c:idx val="4"/>
            <c:marker>
              <c:symbol val="triangle"/>
              <c:size val="16"/>
              <c:spPr>
                <a:noFill/>
                <a:ln w="38100">
                  <a:noFill/>
                </a:ln>
                <a:effectLst/>
              </c:spPr>
            </c:marker>
            <c:bubble3D val="0"/>
            <c:extLst>
              <c:ext xmlns:c16="http://schemas.microsoft.com/office/drawing/2014/chart" uri="{C3380CC4-5D6E-409C-BE32-E72D297353CC}">
                <c16:uniqueId val="{00000029-BA45-4F51-A460-97507CBB0DF9}"/>
              </c:ext>
            </c:extLst>
          </c:dPt>
          <c:dPt>
            <c:idx val="5"/>
            <c:marker>
              <c:symbol val="triangle"/>
              <c:size val="16"/>
              <c:spPr>
                <a:noFill/>
                <a:ln w="38100">
                  <a:noFill/>
                </a:ln>
                <a:effectLst/>
              </c:spPr>
            </c:marker>
            <c:bubble3D val="0"/>
            <c:extLst>
              <c:ext xmlns:c16="http://schemas.microsoft.com/office/drawing/2014/chart" uri="{C3380CC4-5D6E-409C-BE32-E72D297353CC}">
                <c16:uniqueId val="{00000028-BA45-4F51-A460-97507CBB0DF9}"/>
              </c:ext>
            </c:extLst>
          </c:dPt>
          <c:dPt>
            <c:idx val="6"/>
            <c:marker>
              <c:symbol val="triangle"/>
              <c:size val="16"/>
              <c:spPr>
                <a:noFill/>
                <a:ln w="38100">
                  <a:noFill/>
                </a:ln>
                <a:effectLst/>
              </c:spPr>
            </c:marker>
            <c:bubble3D val="0"/>
            <c:extLst>
              <c:ext xmlns:c16="http://schemas.microsoft.com/office/drawing/2014/chart" uri="{C3380CC4-5D6E-409C-BE32-E72D297353CC}">
                <c16:uniqueId val="{00000027-BA45-4F51-A460-97507CBB0DF9}"/>
              </c:ext>
            </c:extLst>
          </c:dPt>
          <c:dPt>
            <c:idx val="7"/>
            <c:marker>
              <c:symbol val="triangle"/>
              <c:size val="16"/>
              <c:spPr>
                <a:noFill/>
                <a:ln w="38100">
                  <a:noFill/>
                </a:ln>
                <a:effectLst/>
              </c:spPr>
            </c:marker>
            <c:bubble3D val="0"/>
            <c:extLst>
              <c:ext xmlns:c16="http://schemas.microsoft.com/office/drawing/2014/chart" uri="{C3380CC4-5D6E-409C-BE32-E72D297353CC}">
                <c16:uniqueId val="{0000002C-BA45-4F51-A460-97507CBB0DF9}"/>
              </c:ext>
            </c:extLst>
          </c:dPt>
          <c:errBars>
            <c:errDir val="y"/>
            <c:errBarType val="minus"/>
            <c:errValType val="cust"/>
            <c:noEndCap val="0"/>
            <c:plus>
              <c:numRef>
                <c:f>'OCC Costs w Contingency'!$BC$2:$BC$9</c:f>
                <c:numCache>
                  <c:formatCode>General</c:formatCode>
                  <c:ptCount val="8"/>
                  <c:pt idx="0">
                    <c:v>0</c:v>
                  </c:pt>
                  <c:pt idx="1">
                    <c:v>0</c:v>
                  </c:pt>
                  <c:pt idx="2">
                    <c:v>0</c:v>
                  </c:pt>
                  <c:pt idx="3">
                    <c:v>0</c:v>
                  </c:pt>
                  <c:pt idx="4">
                    <c:v>0</c:v>
                  </c:pt>
                  <c:pt idx="5">
                    <c:v>0</c:v>
                  </c:pt>
                  <c:pt idx="6">
                    <c:v>0</c:v>
                  </c:pt>
                  <c:pt idx="7">
                    <c:v>0</c:v>
                  </c:pt>
                </c:numCache>
              </c:numRef>
            </c:plus>
            <c:minus>
              <c:numRef>
                <c:f>'OCC Costs w Contingency'!$AZ$2:$AZ$9</c:f>
                <c:numCache>
                  <c:formatCode>General</c:formatCode>
                  <c:ptCount val="8"/>
                  <c:pt idx="0">
                    <c:v>0</c:v>
                  </c:pt>
                  <c:pt idx="1">
                    <c:v>1322.0035574499043</c:v>
                  </c:pt>
                  <c:pt idx="2">
                    <c:v>2358.5804435396003</c:v>
                  </c:pt>
                  <c:pt idx="3">
                    <c:v>2155.6185773282059</c:v>
                  </c:pt>
                  <c:pt idx="4">
                    <c:v>1194.950302590209</c:v>
                  </c:pt>
                  <c:pt idx="5">
                    <c:v>853.06385017421599</c:v>
                  </c:pt>
                  <c:pt idx="6">
                    <c:v>2673.1653035119807</c:v>
                  </c:pt>
                  <c:pt idx="7">
                    <c:v>38.190838693927162</c:v>
                  </c:pt>
                </c:numCache>
              </c:numRef>
            </c:minus>
            <c:spPr>
              <a:noFill/>
              <a:ln w="12700" cap="flat" cmpd="sng" algn="ctr">
                <a:solidFill>
                  <a:schemeClr val="tx1">
                    <a:lumMod val="65000"/>
                    <a:lumOff val="35000"/>
                  </a:schemeClr>
                </a:solidFill>
                <a:round/>
              </a:ln>
              <a:effectLst/>
            </c:spPr>
          </c:errBars>
          <c:val>
            <c:numRef>
              <c:f>'OCC Costs w Contingency'!$AK$2:$AK$9</c:f>
              <c:numCache>
                <c:formatCode>General</c:formatCode>
                <c:ptCount val="8"/>
                <c:pt idx="0">
                  <c:v>2100.4187138060079</c:v>
                </c:pt>
                <c:pt idx="1">
                  <c:v>3040.1704299398643</c:v>
                </c:pt>
                <c:pt idx="2">
                  <c:v>8472.4900087569913</c:v>
                </c:pt>
                <c:pt idx="3">
                  <c:v>4674.9905385920883</c:v>
                </c:pt>
                <c:pt idx="4">
                  <c:v>4356.3171715074841</c:v>
                </c:pt>
                <c:pt idx="5">
                  <c:v>4017.420354239257</c:v>
                </c:pt>
                <c:pt idx="6">
                  <c:v>7562.6339995639009</c:v>
                </c:pt>
                <c:pt idx="7">
                  <c:v>1910.988530517179</c:v>
                </c:pt>
              </c:numCache>
            </c:numRef>
          </c:val>
          <c:smooth val="0"/>
          <c:extLst>
            <c:ext xmlns:c16="http://schemas.microsoft.com/office/drawing/2014/chart" uri="{C3380CC4-5D6E-409C-BE32-E72D297353CC}">
              <c16:uniqueId val="{00000014-0791-4C44-BF8C-F58DFFC38E97}"/>
            </c:ext>
          </c:extLst>
        </c:ser>
        <c:ser>
          <c:idx val="5"/>
          <c:order val="5"/>
          <c:tx>
            <c:strRef>
              <c:f>'OCC Costs w Contingency'!$AM$1</c:f>
              <c:strCache>
                <c:ptCount val="1"/>
                <c:pt idx="0">
                  <c:v>Q3</c:v>
                </c:pt>
              </c:strCache>
            </c:strRef>
          </c:tx>
          <c:spPr>
            <a:ln w="25400" cap="rnd">
              <a:noFill/>
              <a:round/>
            </a:ln>
            <a:effectLst/>
          </c:spPr>
          <c:marker>
            <c:symbol val="none"/>
          </c:marker>
          <c:errBars>
            <c:errDir val="y"/>
            <c:errBarType val="plus"/>
            <c:errValType val="cust"/>
            <c:noEndCap val="0"/>
            <c:plus>
              <c:numRef>
                <c:f>'OCC Costs w Contingency'!$BA$2:$BA$9</c:f>
                <c:numCache>
                  <c:formatCode>General</c:formatCode>
                  <c:ptCount val="8"/>
                  <c:pt idx="0">
                    <c:v>0</c:v>
                  </c:pt>
                  <c:pt idx="1">
                    <c:v>2100.255345529511</c:v>
                  </c:pt>
                  <c:pt idx="2">
                    <c:v>2640.694033620819</c:v>
                  </c:pt>
                  <c:pt idx="3">
                    <c:v>3373.0865297684868</c:v>
                  </c:pt>
                  <c:pt idx="4">
                    <c:v>3175.3034663400686</c:v>
                  </c:pt>
                  <c:pt idx="5">
                    <c:v>-648.03465369493006</c:v>
                  </c:pt>
                  <c:pt idx="6">
                    <c:v>1595.5291928985389</c:v>
                  </c:pt>
                  <c:pt idx="7">
                    <c:v>38.190838693927162</c:v>
                  </c:pt>
                </c:numCache>
              </c:numRef>
            </c:plus>
            <c:minus>
              <c:numRef>
                <c:f>'OCC Costs w Contingency'!$BC$2:$BC$9</c:f>
                <c:numCache>
                  <c:formatCode>General</c:formatCode>
                  <c:ptCount val="8"/>
                  <c:pt idx="0">
                    <c:v>0</c:v>
                  </c:pt>
                  <c:pt idx="1">
                    <c:v>0</c:v>
                  </c:pt>
                  <c:pt idx="2">
                    <c:v>0</c:v>
                  </c:pt>
                  <c:pt idx="3">
                    <c:v>0</c:v>
                  </c:pt>
                  <c:pt idx="4">
                    <c:v>0</c:v>
                  </c:pt>
                  <c:pt idx="5">
                    <c:v>0</c:v>
                  </c:pt>
                  <c:pt idx="6">
                    <c:v>0</c:v>
                  </c:pt>
                  <c:pt idx="7">
                    <c:v>0</c:v>
                  </c:pt>
                </c:numCache>
              </c:numRef>
            </c:minus>
            <c:spPr>
              <a:noFill/>
              <a:ln w="9525" cap="flat" cmpd="sng" algn="ctr">
                <a:solidFill>
                  <a:schemeClr val="tx1">
                    <a:lumMod val="65000"/>
                    <a:lumOff val="35000"/>
                  </a:schemeClr>
                </a:solidFill>
                <a:round/>
              </a:ln>
              <a:effectLst/>
            </c:spPr>
          </c:errBars>
          <c:val>
            <c:numRef>
              <c:f>'OCC Costs w Contingency'!$AM$2:$AM$9</c:f>
              <c:numCache>
                <c:formatCode>General</c:formatCode>
                <c:ptCount val="8"/>
                <c:pt idx="0">
                  <c:v>2100.4187138060079</c:v>
                </c:pt>
                <c:pt idx="1">
                  <c:v>7022.737069328874</c:v>
                </c:pt>
                <c:pt idx="2">
                  <c:v>13334.008402701764</c:v>
                </c:pt>
                <c:pt idx="3">
                  <c:v>7862.2128199500348</c:v>
                </c:pt>
                <c:pt idx="4">
                  <c:v>6817.9053582083579</c:v>
                </c:pt>
                <c:pt idx="5">
                  <c:v>5060.0088200566615</c:v>
                </c:pt>
                <c:pt idx="6">
                  <c:v>11831.328495974421</c:v>
                </c:pt>
                <c:pt idx="7">
                  <c:v>1987.3702079050331</c:v>
                </c:pt>
              </c:numCache>
            </c:numRef>
          </c:val>
          <c:smooth val="0"/>
          <c:extLst>
            <c:ext xmlns:c16="http://schemas.microsoft.com/office/drawing/2014/chart" uri="{C3380CC4-5D6E-409C-BE32-E72D297353CC}">
              <c16:uniqueId val="{00000015-0791-4C44-BF8C-F58DFFC38E97}"/>
            </c:ext>
          </c:extLst>
        </c:ser>
        <c:dLbls>
          <c:showLegendKey val="0"/>
          <c:showVal val="0"/>
          <c:showCatName val="0"/>
          <c:showSerName val="0"/>
          <c:showPercent val="0"/>
          <c:showBubbleSize val="0"/>
        </c:dLbls>
        <c:marker val="1"/>
        <c:smooth val="0"/>
        <c:axId val="307037904"/>
        <c:axId val="307038384"/>
      </c:lineChart>
      <c:scatterChart>
        <c:scatterStyle val="lineMarker"/>
        <c:varyColors val="0"/>
        <c:ser>
          <c:idx val="8"/>
          <c:order val="6"/>
          <c:tx>
            <c:strRef>
              <c:f>'OCC Costs w Contingency'!$AH$1</c:f>
              <c:strCache>
                <c:ptCount val="1"/>
                <c:pt idx="0">
                  <c:v>97.5th percentile</c:v>
                </c:pt>
              </c:strCache>
            </c:strRef>
          </c:tx>
          <c:spPr>
            <a:ln w="25400" cap="rnd">
              <a:noFill/>
              <a:round/>
            </a:ln>
            <a:effectLst/>
          </c:spPr>
          <c:marker>
            <c:symbol val="triangle"/>
            <c:size val="16"/>
            <c:spPr>
              <a:solidFill>
                <a:srgbClr val="CDC4D2"/>
              </a:solidFill>
              <a:ln w="38100">
                <a:noFill/>
              </a:ln>
              <a:effectLst/>
            </c:spPr>
          </c:marker>
          <c:xVal>
            <c:numRef>
              <c:f>'OCC Costs w Contingency'!$AG$2:$AG$9</c:f>
              <c:numCache>
                <c:formatCode>General</c:formatCode>
                <c:ptCount val="8"/>
                <c:pt idx="0">
                  <c:v>1</c:v>
                </c:pt>
                <c:pt idx="1">
                  <c:v>2</c:v>
                </c:pt>
                <c:pt idx="2">
                  <c:v>3</c:v>
                </c:pt>
                <c:pt idx="3">
                  <c:v>4</c:v>
                </c:pt>
                <c:pt idx="4">
                  <c:v>5</c:v>
                </c:pt>
                <c:pt idx="5">
                  <c:v>6</c:v>
                </c:pt>
                <c:pt idx="6">
                  <c:v>7</c:v>
                </c:pt>
                <c:pt idx="7">
                  <c:v>8</c:v>
                </c:pt>
              </c:numCache>
            </c:numRef>
          </c:xVal>
          <c:yVal>
            <c:numRef>
              <c:f>'OCC Costs w Contingency'!$AH$2:$AH$9</c:f>
              <c:numCache>
                <c:formatCode>General</c:formatCode>
                <c:ptCount val="8"/>
                <c:pt idx="0">
                  <c:v>2100.4187138060079</c:v>
                </c:pt>
                <c:pt idx="1">
                  <c:v>8999.3494539797648</c:v>
                </c:pt>
                <c:pt idx="2">
                  <c:v>29120.809725499665</c:v>
                </c:pt>
                <c:pt idx="3">
                  <c:v>14585.684050233567</c:v>
                </c:pt>
                <c:pt idx="4">
                  <c:v>11403.316498172044</c:v>
                </c:pt>
                <c:pt idx="5">
                  <c:v>6809.7023850329724</c:v>
                </c:pt>
                <c:pt idx="6">
                  <c:v>13267.304769583106</c:v>
                </c:pt>
                <c:pt idx="7">
                  <c:v>2021.7419627295676</c:v>
                </c:pt>
              </c:numCache>
            </c:numRef>
          </c:yVal>
          <c:smooth val="0"/>
          <c:extLst>
            <c:ext xmlns:c16="http://schemas.microsoft.com/office/drawing/2014/chart" uri="{C3380CC4-5D6E-409C-BE32-E72D297353CC}">
              <c16:uniqueId val="{00000025-0791-4C44-BF8C-F58DFFC38E97}"/>
            </c:ext>
          </c:extLst>
        </c:ser>
        <c:ser>
          <c:idx val="9"/>
          <c:order val="7"/>
          <c:tx>
            <c:strRef>
              <c:f>'OCC Costs w Contingency'!$AL$1</c:f>
              <c:strCache>
                <c:ptCount val="1"/>
                <c:pt idx="0">
                  <c:v>Median</c:v>
                </c:pt>
              </c:strCache>
            </c:strRef>
          </c:tx>
          <c:spPr>
            <a:ln w="25400" cap="rnd">
              <a:noFill/>
              <a:round/>
            </a:ln>
            <a:effectLst/>
          </c:spPr>
          <c:marker>
            <c:symbol val="diamond"/>
            <c:size val="17"/>
            <c:spPr>
              <a:solidFill>
                <a:srgbClr val="FFBE98"/>
              </a:solidFill>
              <a:ln w="0">
                <a:solidFill>
                  <a:srgbClr val="FFBE98"/>
                </a:solidFill>
              </a:ln>
              <a:effectLst/>
            </c:spPr>
          </c:marker>
          <c:dPt>
            <c:idx val="0"/>
            <c:marker>
              <c:symbol val="diamond"/>
              <c:size val="17"/>
              <c:spPr>
                <a:solidFill>
                  <a:srgbClr val="FFBE98"/>
                </a:solidFill>
                <a:ln w="0">
                  <a:solidFill>
                    <a:srgbClr val="FFBE98"/>
                  </a:solidFill>
                </a:ln>
                <a:effectLst/>
              </c:spPr>
            </c:marker>
            <c:bubble3D val="0"/>
            <c:extLst>
              <c:ext xmlns:c16="http://schemas.microsoft.com/office/drawing/2014/chart" uri="{C3380CC4-5D6E-409C-BE32-E72D297353CC}">
                <c16:uniqueId val="{0000000F-C0BC-499A-B3BB-7E345E747C77}"/>
              </c:ext>
            </c:extLst>
          </c:dPt>
          <c:dPt>
            <c:idx val="1"/>
            <c:marker>
              <c:symbol val="diamond"/>
              <c:size val="17"/>
              <c:spPr>
                <a:solidFill>
                  <a:srgbClr val="FFBE98"/>
                </a:solidFill>
                <a:ln w="0">
                  <a:solidFill>
                    <a:srgbClr val="FFBE98"/>
                  </a:solidFill>
                </a:ln>
                <a:effectLst/>
              </c:spPr>
            </c:marker>
            <c:bubble3D val="0"/>
            <c:extLst>
              <c:ext xmlns:c16="http://schemas.microsoft.com/office/drawing/2014/chart" uri="{C3380CC4-5D6E-409C-BE32-E72D297353CC}">
                <c16:uniqueId val="{00000026-0791-4C44-BF8C-F58DFFC38E97}"/>
              </c:ext>
            </c:extLst>
          </c:dPt>
          <c:dPt>
            <c:idx val="2"/>
            <c:marker>
              <c:symbol val="diamond"/>
              <c:size val="17"/>
              <c:spPr>
                <a:solidFill>
                  <a:srgbClr val="FFBE98"/>
                </a:solidFill>
                <a:ln w="0">
                  <a:solidFill>
                    <a:srgbClr val="FFBE98"/>
                  </a:solidFill>
                </a:ln>
                <a:effectLst/>
              </c:spPr>
            </c:marker>
            <c:bubble3D val="0"/>
            <c:extLst>
              <c:ext xmlns:c16="http://schemas.microsoft.com/office/drawing/2014/chart" uri="{C3380CC4-5D6E-409C-BE32-E72D297353CC}">
                <c16:uniqueId val="{00000027-0791-4C44-BF8C-F58DFFC38E97}"/>
              </c:ext>
            </c:extLst>
          </c:dPt>
          <c:dPt>
            <c:idx val="3"/>
            <c:marker>
              <c:symbol val="diamond"/>
              <c:size val="17"/>
              <c:spPr>
                <a:solidFill>
                  <a:srgbClr val="FFBE98"/>
                </a:solidFill>
                <a:ln w="0">
                  <a:solidFill>
                    <a:srgbClr val="FFBE98"/>
                  </a:solidFill>
                </a:ln>
                <a:effectLst/>
              </c:spPr>
            </c:marker>
            <c:bubble3D val="0"/>
            <c:extLst>
              <c:ext xmlns:c16="http://schemas.microsoft.com/office/drawing/2014/chart" uri="{C3380CC4-5D6E-409C-BE32-E72D297353CC}">
                <c16:uniqueId val="{00000028-0791-4C44-BF8C-F58DFFC38E97}"/>
              </c:ext>
            </c:extLst>
          </c:dPt>
          <c:dPt>
            <c:idx val="4"/>
            <c:marker>
              <c:symbol val="diamond"/>
              <c:size val="17"/>
              <c:spPr>
                <a:solidFill>
                  <a:srgbClr val="FFBE98"/>
                </a:solidFill>
                <a:ln w="0">
                  <a:solidFill>
                    <a:srgbClr val="FFBE98"/>
                  </a:solidFill>
                </a:ln>
                <a:effectLst/>
              </c:spPr>
            </c:marker>
            <c:bubble3D val="0"/>
            <c:extLst>
              <c:ext xmlns:c16="http://schemas.microsoft.com/office/drawing/2014/chart" uri="{C3380CC4-5D6E-409C-BE32-E72D297353CC}">
                <c16:uniqueId val="{00000029-0791-4C44-BF8C-F58DFFC38E97}"/>
              </c:ext>
            </c:extLst>
          </c:dPt>
          <c:dPt>
            <c:idx val="5"/>
            <c:marker>
              <c:symbol val="diamond"/>
              <c:size val="17"/>
              <c:spPr>
                <a:solidFill>
                  <a:srgbClr val="FFBE98"/>
                </a:solidFill>
                <a:ln w="0">
                  <a:solidFill>
                    <a:srgbClr val="FFBE98"/>
                  </a:solidFill>
                </a:ln>
                <a:effectLst/>
              </c:spPr>
            </c:marker>
            <c:bubble3D val="0"/>
            <c:extLst>
              <c:ext xmlns:c16="http://schemas.microsoft.com/office/drawing/2014/chart" uri="{C3380CC4-5D6E-409C-BE32-E72D297353CC}">
                <c16:uniqueId val="{0000002A-0791-4C44-BF8C-F58DFFC38E97}"/>
              </c:ext>
            </c:extLst>
          </c:dPt>
          <c:dPt>
            <c:idx val="6"/>
            <c:marker>
              <c:symbol val="diamond"/>
              <c:size val="17"/>
              <c:spPr>
                <a:solidFill>
                  <a:srgbClr val="FFBE98"/>
                </a:solidFill>
                <a:ln w="0">
                  <a:solidFill>
                    <a:srgbClr val="FFBE98"/>
                  </a:solidFill>
                </a:ln>
                <a:effectLst/>
              </c:spPr>
            </c:marker>
            <c:bubble3D val="0"/>
            <c:extLst>
              <c:ext xmlns:c16="http://schemas.microsoft.com/office/drawing/2014/chart" uri="{C3380CC4-5D6E-409C-BE32-E72D297353CC}">
                <c16:uniqueId val="{0000002B-0791-4C44-BF8C-F58DFFC38E97}"/>
              </c:ext>
            </c:extLst>
          </c:dPt>
          <c:errBars>
            <c:errDir val="y"/>
            <c:errBarType val="plus"/>
            <c:errValType val="cust"/>
            <c:noEndCap val="0"/>
            <c:plus>
              <c:numLit>
                <c:formatCode>General</c:formatCode>
                <c:ptCount val="1"/>
                <c:pt idx="0">
                  <c:v>1</c:v>
                </c:pt>
              </c:numLit>
            </c:plus>
            <c:minus>
              <c:numRef>
                <c:f>'OCC Chart_with_Contingency_tota'!$BA$2:$BA$11</c:f>
                <c:numCache>
                  <c:formatCode>General</c:formatCode>
                  <c:ptCount val="10"/>
                  <c:pt idx="0">
                    <c:v>#N/A</c:v>
                  </c:pt>
                  <c:pt idx="1">
                    <c:v>0</c:v>
                  </c:pt>
                  <c:pt idx="2">
                    <c:v>4055.2663606243432</c:v>
                  </c:pt>
                  <c:pt idx="3">
                    <c:v>4367.948386801625</c:v>
                  </c:pt>
                  <c:pt idx="4">
                    <c:v>4849.3385625954879</c:v>
                  </c:pt>
                  <c:pt idx="5">
                    <c:v>4184.4249014821817</c:v>
                  </c:pt>
                  <c:pt idx="6">
                    <c:v>55.09959769886791</c:v>
                  </c:pt>
                  <c:pt idx="7">
                    <c:v>#N/A</c:v>
                  </c:pt>
                  <c:pt idx="8">
                    <c:v>#N/A</c:v>
                  </c:pt>
                  <c:pt idx="9">
                    <c:v>3191.0583857970778</c:v>
                  </c:pt>
                </c:numCache>
              </c:numRef>
            </c:minus>
            <c:spPr>
              <a:noFill/>
              <a:ln w="9525" cap="flat" cmpd="sng" algn="ctr">
                <a:solidFill>
                  <a:schemeClr val="tx1">
                    <a:lumMod val="65000"/>
                    <a:lumOff val="35000"/>
                  </a:schemeClr>
                </a:solidFill>
                <a:round/>
              </a:ln>
              <a:effectLst/>
            </c:spPr>
          </c:errBars>
          <c:xVal>
            <c:numRef>
              <c:f>'OCC Costs w Contingency'!$AG$2:$AG$9</c:f>
              <c:numCache>
                <c:formatCode>General</c:formatCode>
                <c:ptCount val="8"/>
                <c:pt idx="0">
                  <c:v>1</c:v>
                </c:pt>
                <c:pt idx="1">
                  <c:v>2</c:v>
                </c:pt>
                <c:pt idx="2">
                  <c:v>3</c:v>
                </c:pt>
                <c:pt idx="3">
                  <c:v>4</c:v>
                </c:pt>
                <c:pt idx="4">
                  <c:v>5</c:v>
                </c:pt>
                <c:pt idx="5">
                  <c:v>6</c:v>
                </c:pt>
                <c:pt idx="6">
                  <c:v>7</c:v>
                </c:pt>
                <c:pt idx="7">
                  <c:v>8</c:v>
                </c:pt>
              </c:numCache>
            </c:numRef>
          </c:xVal>
          <c:yVal>
            <c:numRef>
              <c:f>'OCC Costs w Contingency'!$AL$2:$AL$9</c:f>
              <c:numCache>
                <c:formatCode>General</c:formatCode>
                <c:ptCount val="8"/>
                <c:pt idx="0">
                  <c:v>2100.4187138060079</c:v>
                </c:pt>
                <c:pt idx="1">
                  <c:v>5067.7260542340418</c:v>
                </c:pt>
                <c:pt idx="2">
                  <c:v>11606.754049520958</c:v>
                </c:pt>
                <c:pt idx="3">
                  <c:v>6385.9607871230337</c:v>
                </c:pt>
                <c:pt idx="4">
                  <c:v>5808.7839230662448</c:v>
                </c:pt>
                <c:pt idx="5">
                  <c:v>4356.8745686628636</c:v>
                </c:pt>
                <c:pt idx="6">
                  <c:v>10235.799303075883</c:v>
                </c:pt>
                <c:pt idx="7">
                  <c:v>1949.1793692111059</c:v>
                </c:pt>
              </c:numCache>
            </c:numRef>
          </c:yVal>
          <c:smooth val="0"/>
          <c:extLst>
            <c:ext xmlns:c16="http://schemas.microsoft.com/office/drawing/2014/chart" uri="{C3380CC4-5D6E-409C-BE32-E72D297353CC}">
              <c16:uniqueId val="{0000002F-0791-4C44-BF8C-F58DFFC38E97}"/>
            </c:ext>
          </c:extLst>
        </c:ser>
        <c:ser>
          <c:idx val="6"/>
          <c:order val="8"/>
          <c:tx>
            <c:strRef>
              <c:f>'OCC Costs w Contingency'!$BE$1</c:f>
              <c:strCache>
                <c:ptCount val="1"/>
                <c:pt idx="0">
                  <c:v>Data points</c:v>
                </c:pt>
              </c:strCache>
            </c:strRef>
          </c:tx>
          <c:spPr>
            <a:ln w="25400" cap="rnd">
              <a:noFill/>
              <a:round/>
            </a:ln>
            <a:effectLst/>
          </c:spPr>
          <c:marker>
            <c:symbol val="circle"/>
            <c:size val="6"/>
            <c:spPr>
              <a:solidFill>
                <a:schemeClr val="tx1">
                  <a:lumMod val="85000"/>
                  <a:lumOff val="15000"/>
                  <a:alpha val="50000"/>
                </a:schemeClr>
              </a:solidFill>
              <a:ln w="9525">
                <a:noFill/>
              </a:ln>
              <a:effectLst/>
            </c:spPr>
          </c:marker>
          <c:xVal>
            <c:numRef>
              <c:f>'OCC Costs w Contingency'!$BF$2:$BF$107</c:f>
              <c:numCache>
                <c:formatCode>General</c:formatCode>
                <c:ptCount val="106"/>
                <c:pt idx="0">
                  <c:v>1</c:v>
                </c:pt>
                <c:pt idx="1">
                  <c:v>2</c:v>
                </c:pt>
                <c:pt idx="2">
                  <c:v>2</c:v>
                </c:pt>
                <c:pt idx="3">
                  <c:v>2</c:v>
                </c:pt>
                <c:pt idx="4">
                  <c:v>2</c:v>
                </c:pt>
                <c:pt idx="5">
                  <c:v>2</c:v>
                </c:pt>
                <c:pt idx="6">
                  <c:v>2</c:v>
                </c:pt>
                <c:pt idx="7">
                  <c:v>2</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4</c:v>
                </c:pt>
                <c:pt idx="27">
                  <c:v>4</c:v>
                </c:pt>
                <c:pt idx="28">
                  <c:v>4</c:v>
                </c:pt>
                <c:pt idx="29">
                  <c:v>4</c:v>
                </c:pt>
                <c:pt idx="30">
                  <c:v>4</c:v>
                </c:pt>
                <c:pt idx="31">
                  <c:v>4</c:v>
                </c:pt>
                <c:pt idx="32">
                  <c:v>4</c:v>
                </c:pt>
                <c:pt idx="33">
                  <c:v>4</c:v>
                </c:pt>
                <c:pt idx="34">
                  <c:v>4</c:v>
                </c:pt>
                <c:pt idx="35">
                  <c:v>4</c:v>
                </c:pt>
                <c:pt idx="36">
                  <c:v>4</c:v>
                </c:pt>
                <c:pt idx="37">
                  <c:v>4</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5</c:v>
                </c:pt>
                <c:pt idx="54">
                  <c:v>5</c:v>
                </c:pt>
                <c:pt idx="55">
                  <c:v>5</c:v>
                </c:pt>
                <c:pt idx="56">
                  <c:v>5</c:v>
                </c:pt>
                <c:pt idx="57">
                  <c:v>5</c:v>
                </c:pt>
                <c:pt idx="58">
                  <c:v>5</c:v>
                </c:pt>
                <c:pt idx="59">
                  <c:v>5</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6</c:v>
                </c:pt>
                <c:pt idx="91">
                  <c:v>6</c:v>
                </c:pt>
                <c:pt idx="92">
                  <c:v>6</c:v>
                </c:pt>
                <c:pt idx="93">
                  <c:v>6</c:v>
                </c:pt>
                <c:pt idx="94">
                  <c:v>7</c:v>
                </c:pt>
                <c:pt idx="95">
                  <c:v>7</c:v>
                </c:pt>
                <c:pt idx="96">
                  <c:v>7</c:v>
                </c:pt>
                <c:pt idx="97">
                  <c:v>8</c:v>
                </c:pt>
                <c:pt idx="98">
                  <c:v>8</c:v>
                </c:pt>
              </c:numCache>
            </c:numRef>
          </c:xVal>
          <c:yVal>
            <c:numRef>
              <c:f>'OCC Costs w Contingency'!$BE$2:$BE$107</c:f>
              <c:numCache>
                <c:formatCode>General</c:formatCode>
                <c:ptCount val="106"/>
                <c:pt idx="0">
                  <c:v>2100.4187138060079</c:v>
                </c:pt>
                <c:pt idx="1">
                  <c:v>1718.16687248996</c:v>
                </c:pt>
                <c:pt idx="2">
                  <c:v>2196.6495685713148</c:v>
                </c:pt>
                <c:pt idx="3">
                  <c:v>3883.6912913084134</c:v>
                </c:pt>
                <c:pt idx="4">
                  <c:v>5067.7260542340418</c:v>
                </c:pt>
                <c:pt idx="5">
                  <c:v>9122.992414858385</c:v>
                </c:pt>
                <c:pt idx="6">
                  <c:v>5746.7681296568235</c:v>
                </c:pt>
                <c:pt idx="7">
                  <c:v>8298.7060090009236</c:v>
                </c:pt>
                <c:pt idx="8">
                  <c:v>12441.316506252808</c:v>
                </c:pt>
                <c:pt idx="9">
                  <c:v>15974.702436322583</c:v>
                </c:pt>
                <c:pt idx="10">
                  <c:v>29131.021988792512</c:v>
                </c:pt>
                <c:pt idx="11">
                  <c:v>9477.2166713718052</c:v>
                </c:pt>
                <c:pt idx="12">
                  <c:v>7837.9776810335725</c:v>
                </c:pt>
                <c:pt idx="13">
                  <c:v>10125.764141478647</c:v>
                </c:pt>
                <c:pt idx="14">
                  <c:v>13453.438306200078</c:v>
                </c:pt>
                <c:pt idx="15">
                  <c:v>13540.787173624165</c:v>
                </c:pt>
                <c:pt idx="16">
                  <c:v>11570.710845447591</c:v>
                </c:pt>
                <c:pt idx="17">
                  <c:v>6267.9451091988731</c:v>
                </c:pt>
                <c:pt idx="18">
                  <c:v>6697.3395729776639</c:v>
                </c:pt>
                <c:pt idx="19">
                  <c:v>8197.5598455096588</c:v>
                </c:pt>
                <c:pt idx="20">
                  <c:v>9297.2804984989853</c:v>
                </c:pt>
                <c:pt idx="21">
                  <c:v>12812.364031523692</c:v>
                </c:pt>
                <c:pt idx="22">
                  <c:v>12975.718692206821</c:v>
                </c:pt>
                <c:pt idx="23">
                  <c:v>6113.909565217391</c:v>
                </c:pt>
                <c:pt idx="24">
                  <c:v>11642.797253594323</c:v>
                </c:pt>
                <c:pt idx="25">
                  <c:v>29106.993133985809</c:v>
                </c:pt>
                <c:pt idx="26">
                  <c:v>4759.3274294038556</c:v>
                </c:pt>
                <c:pt idx="27">
                  <c:v>4421.9798661567875</c:v>
                </c:pt>
                <c:pt idx="28">
                  <c:v>5882.8595673719446</c:v>
                </c:pt>
                <c:pt idx="29">
                  <c:v>6326.4153748480385</c:v>
                </c:pt>
                <c:pt idx="30">
                  <c:v>6445.5061993980289</c:v>
                </c:pt>
                <c:pt idx="31">
                  <c:v>6730.1311012027963</c:v>
                </c:pt>
                <c:pt idx="32">
                  <c:v>8940.4134892889124</c:v>
                </c:pt>
                <c:pt idx="33">
                  <c:v>7502.812596837075</c:v>
                </c:pt>
                <c:pt idx="34">
                  <c:v>11235.299349718522</c:v>
                </c:pt>
                <c:pt idx="35">
                  <c:v>15856.519626291001</c:v>
                </c:pt>
                <c:pt idx="36">
                  <c:v>2519.3719612638824</c:v>
                </c:pt>
                <c:pt idx="37">
                  <c:v>3275.3086956521738</c:v>
                </c:pt>
                <c:pt idx="38">
                  <c:v>9993.2088245484265</c:v>
                </c:pt>
                <c:pt idx="39">
                  <c:v>10528.958851803813</c:v>
                </c:pt>
                <c:pt idx="40">
                  <c:v>5392.8326455299357</c:v>
                </c:pt>
                <c:pt idx="41">
                  <c:v>4828.7344554960473</c:v>
                </c:pt>
                <c:pt idx="42">
                  <c:v>5459.5439301198676</c:v>
                </c:pt>
                <c:pt idx="43">
                  <c:v>7569.7136954858461</c:v>
                </c:pt>
                <c:pt idx="44">
                  <c:v>3161.366868917275</c:v>
                </c:pt>
                <c:pt idx="45">
                  <c:v>3438.9745164233582</c:v>
                </c:pt>
                <c:pt idx="46">
                  <c:v>3489.3792062043799</c:v>
                </c:pt>
                <c:pt idx="47">
                  <c:v>4289.5536564781023</c:v>
                </c:pt>
                <c:pt idx="48">
                  <c:v>4991.0189225973236</c:v>
                </c:pt>
                <c:pt idx="49">
                  <c:v>5024.2401954075431</c:v>
                </c:pt>
                <c:pt idx="50">
                  <c:v>5873.2919206204388</c:v>
                </c:pt>
                <c:pt idx="51">
                  <c:v>6384.4031120742102</c:v>
                </c:pt>
                <c:pt idx="52">
                  <c:v>6368.8633163265304</c:v>
                </c:pt>
                <c:pt idx="53">
                  <c:v>7018.938040816327</c:v>
                </c:pt>
                <c:pt idx="54">
                  <c:v>4319.7384166072698</c:v>
                </c:pt>
                <c:pt idx="55">
                  <c:v>4112.2052264808362</c:v>
                </c:pt>
                <c:pt idx="56">
                  <c:v>4154.4938617886182</c:v>
                </c:pt>
                <c:pt idx="57">
                  <c:v>4182.2002090592341</c:v>
                </c:pt>
                <c:pt idx="58">
                  <c:v>5745.4214866434386</c:v>
                </c:pt>
                <c:pt idx="59">
                  <c:v>6058.9406794425095</c:v>
                </c:pt>
                <c:pt idx="60">
                  <c:v>7604.6632113821142</c:v>
                </c:pt>
                <c:pt idx="61">
                  <c:v>8202.5370209059238</c:v>
                </c:pt>
                <c:pt idx="62">
                  <c:v>6747.7326652507072</c:v>
                </c:pt>
                <c:pt idx="63">
                  <c:v>5635.4997213114757</c:v>
                </c:pt>
                <c:pt idx="64">
                  <c:v>6402.781053456878</c:v>
                </c:pt>
                <c:pt idx="65">
                  <c:v>6515.7165609408394</c:v>
                </c:pt>
                <c:pt idx="66">
                  <c:v>6750.8944640057016</c:v>
                </c:pt>
                <c:pt idx="67">
                  <c:v>8603.6378615167214</c:v>
                </c:pt>
                <c:pt idx="68">
                  <c:v>5575.9296513672143</c:v>
                </c:pt>
                <c:pt idx="69">
                  <c:v>7924.8639972798692</c:v>
                </c:pt>
                <c:pt idx="70">
                  <c:v>11734.969398518611</c:v>
                </c:pt>
                <c:pt idx="71">
                  <c:v>3438.9745164233582</c:v>
                </c:pt>
                <c:pt idx="72">
                  <c:v>3489.3792062043799</c:v>
                </c:pt>
                <c:pt idx="73">
                  <c:v>3161.7487226277376</c:v>
                </c:pt>
                <c:pt idx="74">
                  <c:v>4291.2719981751834</c:v>
                </c:pt>
                <c:pt idx="75">
                  <c:v>4990.0642883211685</c:v>
                </c:pt>
                <c:pt idx="76">
                  <c:v>5024.4311222627739</c:v>
                </c:pt>
                <c:pt idx="77">
                  <c:v>5872.146359489052</c:v>
                </c:pt>
                <c:pt idx="78">
                  <c:v>6385.3577463503652</c:v>
                </c:pt>
                <c:pt idx="79">
                  <c:v>6269.6698036215257</c:v>
                </c:pt>
                <c:pt idx="80">
                  <c:v>6588.8523981403214</c:v>
                </c:pt>
                <c:pt idx="81">
                  <c:v>4368.5100898075552</c:v>
                </c:pt>
                <c:pt idx="82">
                  <c:v>4003.0410836087576</c:v>
                </c:pt>
                <c:pt idx="83">
                  <c:v>4930.4048403441639</c:v>
                </c:pt>
                <c:pt idx="84">
                  <c:v>6226.9853411269696</c:v>
                </c:pt>
                <c:pt idx="85">
                  <c:v>7781.5816956501385</c:v>
                </c:pt>
                <c:pt idx="86">
                  <c:v>7985.1155612479279</c:v>
                </c:pt>
                <c:pt idx="87">
                  <c:v>5422.5833919009383</c:v>
                </c:pt>
                <c:pt idx="88">
                  <c:v>13440.489466307758</c:v>
                </c:pt>
                <c:pt idx="89">
                  <c:v>8732.0979401957429</c:v>
                </c:pt>
                <c:pt idx="90">
                  <c:v>3164.356504065041</c:v>
                </c:pt>
                <c:pt idx="91">
                  <c:v>4301.7749709639957</c:v>
                </c:pt>
                <c:pt idx="92">
                  <c:v>4411.9741663617315</c:v>
                </c:pt>
                <c:pt idx="93">
                  <c:v>7004.1127811414517</c:v>
                </c:pt>
                <c:pt idx="94">
                  <c:v>4889.4686960519202</c:v>
                </c:pt>
                <c:pt idx="95">
                  <c:v>10235.799303075883</c:v>
                </c:pt>
                <c:pt idx="96">
                  <c:v>13426.85768887296</c:v>
                </c:pt>
                <c:pt idx="97">
                  <c:v>1872.7976918232519</c:v>
                </c:pt>
                <c:pt idx="98">
                  <c:v>2025.5610465989603</c:v>
                </c:pt>
              </c:numCache>
            </c:numRef>
          </c:yVal>
          <c:smooth val="0"/>
          <c:extLst>
            <c:ext xmlns:c16="http://schemas.microsoft.com/office/drawing/2014/chart" uri="{C3380CC4-5D6E-409C-BE32-E72D297353CC}">
              <c16:uniqueId val="{00000016-0791-4C44-BF8C-F58DFFC38E97}"/>
            </c:ext>
          </c:extLst>
        </c:ser>
        <c:ser>
          <c:idx val="7"/>
          <c:order val="9"/>
          <c:tx>
            <c:strRef>
              <c:f>'OCC Costs w Contingency'!$AI$1</c:f>
              <c:strCache>
                <c:ptCount val="1"/>
                <c:pt idx="0">
                  <c:v>Mean</c:v>
                </c:pt>
              </c:strCache>
            </c:strRef>
          </c:tx>
          <c:spPr>
            <a:ln w="25400" cap="rnd">
              <a:noFill/>
              <a:round/>
            </a:ln>
            <a:effectLst/>
          </c:spPr>
          <c:marker>
            <c:symbol val="x"/>
            <c:size val="12"/>
            <c:spPr>
              <a:noFill/>
              <a:ln w="38100">
                <a:solidFill>
                  <a:srgbClr val="FF8C9E"/>
                </a:solidFill>
              </a:ln>
              <a:effectLst/>
            </c:spPr>
          </c:marker>
          <c:xVal>
            <c:numRef>
              <c:f>'OCC Costs w Contingency'!$AG$2:$AG$9</c:f>
              <c:numCache>
                <c:formatCode>General</c:formatCode>
                <c:ptCount val="8"/>
                <c:pt idx="0">
                  <c:v>1</c:v>
                </c:pt>
                <c:pt idx="1">
                  <c:v>2</c:v>
                </c:pt>
                <c:pt idx="2">
                  <c:v>3</c:v>
                </c:pt>
                <c:pt idx="3">
                  <c:v>4</c:v>
                </c:pt>
                <c:pt idx="4">
                  <c:v>5</c:v>
                </c:pt>
                <c:pt idx="5">
                  <c:v>6</c:v>
                </c:pt>
                <c:pt idx="6">
                  <c:v>7</c:v>
                </c:pt>
                <c:pt idx="7">
                  <c:v>8</c:v>
                </c:pt>
              </c:numCache>
            </c:numRef>
          </c:xVal>
          <c:yVal>
            <c:numRef>
              <c:f>'OCC Costs w Contingency'!$AI$2:$AI$9</c:f>
              <c:numCache>
                <c:formatCode>General</c:formatCode>
                <c:ptCount val="8"/>
                <c:pt idx="0">
                  <c:v>2100.4187138060079</c:v>
                </c:pt>
                <c:pt idx="1">
                  <c:v>5147.8143343028369</c:v>
                </c:pt>
                <c:pt idx="2">
                  <c:v>12592.491302957611</c:v>
                </c:pt>
                <c:pt idx="3">
                  <c:v>6991.3287714527505</c:v>
                </c:pt>
                <c:pt idx="4">
                  <c:v>6086.3067926271779</c:v>
                </c:pt>
                <c:pt idx="5">
                  <c:v>4720.554605633055</c:v>
                </c:pt>
                <c:pt idx="6">
                  <c:v>9517.3752293335874</c:v>
                </c:pt>
                <c:pt idx="7">
                  <c:v>1949.1793692111059</c:v>
                </c:pt>
              </c:numCache>
            </c:numRef>
          </c:yVal>
          <c:smooth val="0"/>
          <c:extLst>
            <c:ext xmlns:c16="http://schemas.microsoft.com/office/drawing/2014/chart" uri="{C3380CC4-5D6E-409C-BE32-E72D297353CC}">
              <c16:uniqueId val="{00000021-0791-4C44-BF8C-F58DFFC38E97}"/>
            </c:ext>
          </c:extLst>
        </c:ser>
        <c:dLbls>
          <c:showLegendKey val="0"/>
          <c:showVal val="0"/>
          <c:showCatName val="0"/>
          <c:showSerName val="0"/>
          <c:showPercent val="0"/>
          <c:showBubbleSize val="0"/>
        </c:dLbls>
        <c:axId val="307037904"/>
        <c:axId val="307038384"/>
      </c:scatterChart>
      <c:catAx>
        <c:axId val="3070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307038384"/>
        <c:crosses val="autoZero"/>
        <c:auto val="1"/>
        <c:lblAlgn val="ctr"/>
        <c:lblOffset val="100"/>
        <c:tickMarkSkip val="1"/>
        <c:noMultiLvlLbl val="0"/>
      </c:catAx>
      <c:valAx>
        <c:axId val="307038384"/>
        <c:scaling>
          <c:orientation val="minMax"/>
          <c:max val="30000"/>
        </c:scaling>
        <c:delete val="0"/>
        <c:axPos val="l"/>
        <c:majorGridlines>
          <c:spPr>
            <a:ln w="12700" cap="flat" cmpd="sng" algn="ctr">
              <a:solidFill>
                <a:schemeClr val="bg2">
                  <a:lumMod val="90000"/>
                  <a:alpha val="50000"/>
                </a:schemeClr>
              </a:solidFill>
              <a:round/>
            </a:ln>
            <a:effectLst/>
          </c:spPr>
        </c:majorGridlines>
        <c:minorGridlines>
          <c:spPr>
            <a:ln w="12700" cap="flat" cmpd="sng" algn="ctr">
              <a:solidFill>
                <a:schemeClr val="bg1">
                  <a:lumMod val="95000"/>
                  <a:alpha val="50000"/>
                </a:schemeClr>
              </a:solidFill>
              <a:round/>
            </a:ln>
            <a:effectLst/>
          </c:spPr>
        </c:minorGridlines>
        <c:title>
          <c:tx>
            <c:rich>
              <a:bodyPr rot="-5400000" spcFirstLastPara="1" vertOverflow="ellipsis" vert="horz" wrap="square" anchor="ctr" anchorCtr="1"/>
              <a:lstStyle/>
              <a:p>
                <a:pPr algn="ct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de-DE" sz="2000" b="1">
                    <a:solidFill>
                      <a:sysClr val="windowText" lastClr="000000"/>
                    </a:solidFill>
                  </a:rPr>
                  <a:t>Overnight Construction Costs [2018 USD/kW]</a:t>
                </a:r>
              </a:p>
            </c:rich>
          </c:tx>
          <c:layout>
            <c:manualLayout>
              <c:xMode val="edge"/>
              <c:yMode val="edge"/>
              <c:x val="4.8337866150484045E-4"/>
              <c:y val="0.13335425692299932"/>
            </c:manualLayout>
          </c:layout>
          <c:overlay val="0"/>
          <c:spPr>
            <a:noFill/>
            <a:ln>
              <a:noFill/>
            </a:ln>
            <a:effectLst/>
          </c:spPr>
          <c:txPr>
            <a:bodyPr rot="-5400000" spcFirstLastPara="1" vertOverflow="ellipsis" vert="horz" wrap="square" anchor="ctr" anchorCtr="1"/>
            <a:lstStyle/>
            <a:p>
              <a:pPr algn="ct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General" sourceLinked="1"/>
        <c:majorTickMark val="out"/>
        <c:minorTickMark val="out"/>
        <c:tickLblPos val="nextTo"/>
        <c:spPr>
          <a:noFill/>
          <a:ln>
            <a:solidFill>
              <a:schemeClr val="bg1">
                <a:lumMod val="75000"/>
              </a:schemeClr>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307037904"/>
        <c:crosses val="autoZero"/>
        <c:crossBetween val="between"/>
        <c:majorUnit val="2000"/>
      </c:valAx>
      <c:spPr>
        <a:noFill/>
        <a:ln>
          <a:noFill/>
        </a:ln>
        <a:effectLst/>
      </c:spPr>
    </c:plotArea>
    <c:legend>
      <c:legendPos val="b"/>
      <c:legendEntry>
        <c:idx val="0"/>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'O&amp;M Costs fixed'!$BK$1</c:f>
              <c:strCache>
                <c:ptCount val="1"/>
                <c:pt idx="0">
                  <c:v>Low Base</c:v>
                </c:pt>
              </c:strCache>
            </c:strRef>
          </c:tx>
          <c:spPr>
            <a:noFill/>
            <a:ln>
              <a:noFill/>
            </a:ln>
            <a:effectLst/>
          </c:spPr>
          <c:invertIfNegative val="0"/>
          <c:cat>
            <c:multiLvlStrRef>
              <c:f>'O&amp;M Costs fixed'!$AT$2:$AU$8</c:f>
              <c:multiLvlStrCache>
                <c:ptCount val="7"/>
                <c:lvl>
                  <c:pt idx="0">
                    <c:v>10th-OAK</c:v>
                  </c:pt>
                  <c:pt idx="1">
                    <c:v>FOAK</c:v>
                  </c:pt>
                  <c:pt idx="2">
                    <c:v>NOAK</c:v>
                  </c:pt>
                  <c:pt idx="3">
                    <c:v>10th-OAK</c:v>
                  </c:pt>
                  <c:pt idx="4">
                    <c:v>Mature
NOAK</c:v>
                  </c:pt>
                  <c:pt idx="5">
                    <c:v>10th-OAK</c:v>
                  </c:pt>
                  <c:pt idx="6">
                    <c:v>Mature
NOAK</c:v>
                  </c:pt>
                </c:lvl>
                <c:lvl>
                  <c:pt idx="0">
                    <c:v>ICF</c:v>
                  </c:pt>
                  <c:pt idx="1">
                    <c:v>MCF</c:v>
                  </c:pt>
                  <c:pt idx="2">
                    <c:v>MCF</c:v>
                  </c:pt>
                  <c:pt idx="3">
                    <c:v>MCF</c:v>
                  </c:pt>
                  <c:pt idx="4">
                    <c:v>MCF</c:v>
                  </c:pt>
                  <c:pt idx="5">
                    <c:v>MIF</c:v>
                  </c:pt>
                  <c:pt idx="6">
                    <c:v>MIF</c:v>
                  </c:pt>
                </c:lvl>
              </c:multiLvlStrCache>
            </c:multiLvlStrRef>
          </c:cat>
          <c:val>
            <c:numRef>
              <c:f>'O&amp;M Costs fixed'!$BK$2:$BK$8</c:f>
              <c:numCache>
                <c:formatCode>General</c:formatCode>
                <c:ptCount val="7"/>
                <c:pt idx="0">
                  <c:v>116.93569467809709</c:v>
                </c:pt>
                <c:pt idx="1">
                  <c:v>75.064687786811476</c:v>
                </c:pt>
                <c:pt idx="2">
                  <c:v>76.003696298198619</c:v>
                </c:pt>
                <c:pt idx="3">
                  <c:v>90.434693877551027</c:v>
                </c:pt>
                <c:pt idx="4">
                  <c:v>95.222340882694539</c:v>
                </c:pt>
                <c:pt idx="5">
                  <c:v>160.42479316575486</c:v>
                </c:pt>
                <c:pt idx="6">
                  <c:v>81.364321173840949</c:v>
                </c:pt>
              </c:numCache>
            </c:numRef>
          </c:val>
          <c:extLst>
            <c:ext xmlns:c16="http://schemas.microsoft.com/office/drawing/2014/chart" uri="{C3380CC4-5D6E-409C-BE32-E72D297353CC}">
              <c16:uniqueId val="{00000000-5AF6-42A4-B4CF-206C4160C53E}"/>
            </c:ext>
          </c:extLst>
        </c:ser>
        <c:ser>
          <c:idx val="1"/>
          <c:order val="1"/>
          <c:tx>
            <c:strRef>
              <c:f>'O&amp;M Costs fixed'!$BL$1</c:f>
              <c:strCache>
                <c:ptCount val="1"/>
                <c:pt idx="0">
                  <c:v>Lower box (Q1–Median, 25–50%)</c:v>
                </c:pt>
              </c:strCache>
            </c:strRef>
          </c:tx>
          <c:spPr>
            <a:solidFill>
              <a:srgbClr val="9590B2">
                <a:alpha val="85000"/>
              </a:srgbClr>
            </a:solidFill>
            <a:ln>
              <a:noFill/>
            </a:ln>
            <a:effectLst/>
          </c:spPr>
          <c:invertIfNegative val="0"/>
          <c:dPt>
            <c:idx val="0"/>
            <c:invertIfNegative val="0"/>
            <c:bubble3D val="0"/>
            <c:spPr>
              <a:solidFill>
                <a:srgbClr val="7A99AC">
                  <a:alpha val="85000"/>
                </a:srgbClr>
              </a:solidFill>
              <a:ln>
                <a:noFill/>
              </a:ln>
              <a:effectLst/>
            </c:spPr>
            <c:extLst>
              <c:ext xmlns:c16="http://schemas.microsoft.com/office/drawing/2014/chart" uri="{C3380CC4-5D6E-409C-BE32-E72D297353CC}">
                <c16:uniqueId val="{00000001-80DF-4585-A4AF-5CA165FB276D}"/>
              </c:ext>
            </c:extLst>
          </c:dPt>
          <c:dPt>
            <c:idx val="5"/>
            <c:invertIfNegative val="0"/>
            <c:bubble3D val="0"/>
            <c:spPr>
              <a:solidFill>
                <a:srgbClr val="B07C83">
                  <a:alpha val="85000"/>
                </a:srgbClr>
              </a:solidFill>
              <a:ln>
                <a:noFill/>
              </a:ln>
              <a:effectLst/>
            </c:spPr>
            <c:extLst>
              <c:ext xmlns:c16="http://schemas.microsoft.com/office/drawing/2014/chart" uri="{C3380CC4-5D6E-409C-BE32-E72D297353CC}">
                <c16:uniqueId val="{00000003-80DF-4585-A4AF-5CA165FB276D}"/>
              </c:ext>
            </c:extLst>
          </c:dPt>
          <c:dPt>
            <c:idx val="6"/>
            <c:invertIfNegative val="0"/>
            <c:bubble3D val="0"/>
            <c:spPr>
              <a:solidFill>
                <a:srgbClr val="B07C83">
                  <a:alpha val="85000"/>
                </a:srgbClr>
              </a:solidFill>
              <a:ln>
                <a:noFill/>
              </a:ln>
              <a:effectLst/>
            </c:spPr>
            <c:extLst>
              <c:ext xmlns:c16="http://schemas.microsoft.com/office/drawing/2014/chart" uri="{C3380CC4-5D6E-409C-BE32-E72D297353CC}">
                <c16:uniqueId val="{00000005-80DF-4585-A4AF-5CA165FB276D}"/>
              </c:ext>
            </c:extLst>
          </c:dPt>
          <c:cat>
            <c:multiLvlStrRef>
              <c:f>'O&amp;M Costs fixed'!$AT$2:$AU$8</c:f>
              <c:multiLvlStrCache>
                <c:ptCount val="7"/>
                <c:lvl>
                  <c:pt idx="0">
                    <c:v>10th-OAK</c:v>
                  </c:pt>
                  <c:pt idx="1">
                    <c:v>FOAK</c:v>
                  </c:pt>
                  <c:pt idx="2">
                    <c:v>NOAK</c:v>
                  </c:pt>
                  <c:pt idx="3">
                    <c:v>10th-OAK</c:v>
                  </c:pt>
                  <c:pt idx="4">
                    <c:v>Mature
NOAK</c:v>
                  </c:pt>
                  <c:pt idx="5">
                    <c:v>10th-OAK</c:v>
                  </c:pt>
                  <c:pt idx="6">
                    <c:v>Mature
NOAK</c:v>
                  </c:pt>
                </c:lvl>
                <c:lvl>
                  <c:pt idx="0">
                    <c:v>ICF</c:v>
                  </c:pt>
                  <c:pt idx="1">
                    <c:v>MCF</c:v>
                  </c:pt>
                  <c:pt idx="2">
                    <c:v>MCF</c:v>
                  </c:pt>
                  <c:pt idx="3">
                    <c:v>MCF</c:v>
                  </c:pt>
                  <c:pt idx="4">
                    <c:v>MCF</c:v>
                  </c:pt>
                  <c:pt idx="5">
                    <c:v>MIF</c:v>
                  </c:pt>
                  <c:pt idx="6">
                    <c:v>MIF</c:v>
                  </c:pt>
                </c:lvl>
              </c:multiLvlStrCache>
            </c:multiLvlStrRef>
          </c:cat>
          <c:val>
            <c:numRef>
              <c:f>'O&amp;M Costs fixed'!$BL$2:$BL$8</c:f>
              <c:numCache>
                <c:formatCode>General</c:formatCode>
                <c:ptCount val="7"/>
                <c:pt idx="0">
                  <c:v>13.478872287470608</c:v>
                </c:pt>
                <c:pt idx="1">
                  <c:v>3.6958741896928018</c:v>
                </c:pt>
                <c:pt idx="2">
                  <c:v>19.271475076964762</c:v>
                </c:pt>
                <c:pt idx="3">
                  <c:v>16.03640888583412</c:v>
                </c:pt>
                <c:pt idx="4">
                  <c:v>0</c:v>
                </c:pt>
                <c:pt idx="5">
                  <c:v>34.874955036033668</c:v>
                </c:pt>
                <c:pt idx="6">
                  <c:v>8.3347419697917644</c:v>
                </c:pt>
              </c:numCache>
            </c:numRef>
          </c:val>
          <c:extLst>
            <c:ext xmlns:c16="http://schemas.microsoft.com/office/drawing/2014/chart" uri="{C3380CC4-5D6E-409C-BE32-E72D297353CC}">
              <c16:uniqueId val="{00000003-5AF6-42A4-B4CF-206C4160C53E}"/>
            </c:ext>
          </c:extLst>
        </c:ser>
        <c:ser>
          <c:idx val="2"/>
          <c:order val="2"/>
          <c:tx>
            <c:strRef>
              <c:f>'O&amp;M Costs fixed'!$BM$1</c:f>
              <c:strCache>
                <c:ptCount val="1"/>
                <c:pt idx="0">
                  <c:v>Upper box (Median–Q3, 50–75%)</c:v>
                </c:pt>
              </c:strCache>
            </c:strRef>
          </c:tx>
          <c:spPr>
            <a:solidFill>
              <a:srgbClr val="C2BFD3">
                <a:alpha val="80000"/>
              </a:srgbClr>
            </a:solidFill>
            <a:ln>
              <a:noFill/>
            </a:ln>
            <a:effectLst/>
          </c:spPr>
          <c:invertIfNegative val="0"/>
          <c:dPt>
            <c:idx val="0"/>
            <c:invertIfNegative val="0"/>
            <c:bubble3D val="0"/>
            <c:spPr>
              <a:solidFill>
                <a:srgbClr val="BFCED6">
                  <a:alpha val="80000"/>
                </a:srgbClr>
              </a:solidFill>
              <a:ln>
                <a:noFill/>
              </a:ln>
              <a:effectLst/>
            </c:spPr>
            <c:extLst>
              <c:ext xmlns:c16="http://schemas.microsoft.com/office/drawing/2014/chart" uri="{C3380CC4-5D6E-409C-BE32-E72D297353CC}">
                <c16:uniqueId val="{00000000-80DF-4585-A4AF-5CA165FB276D}"/>
              </c:ext>
            </c:extLst>
          </c:dPt>
          <c:dPt>
            <c:idx val="5"/>
            <c:invertIfNegative val="0"/>
            <c:bubble3D val="0"/>
            <c:spPr>
              <a:solidFill>
                <a:srgbClr val="DFC2C3">
                  <a:alpha val="80000"/>
                </a:srgbClr>
              </a:solidFill>
              <a:ln>
                <a:noFill/>
              </a:ln>
              <a:effectLst/>
            </c:spPr>
            <c:extLst>
              <c:ext xmlns:c16="http://schemas.microsoft.com/office/drawing/2014/chart" uri="{C3380CC4-5D6E-409C-BE32-E72D297353CC}">
                <c16:uniqueId val="{00000002-80DF-4585-A4AF-5CA165FB276D}"/>
              </c:ext>
            </c:extLst>
          </c:dPt>
          <c:dPt>
            <c:idx val="6"/>
            <c:invertIfNegative val="0"/>
            <c:bubble3D val="0"/>
            <c:spPr>
              <a:solidFill>
                <a:srgbClr val="DFC2C3">
                  <a:alpha val="80000"/>
                </a:srgbClr>
              </a:solidFill>
              <a:ln>
                <a:noFill/>
              </a:ln>
              <a:effectLst/>
            </c:spPr>
            <c:extLst>
              <c:ext xmlns:c16="http://schemas.microsoft.com/office/drawing/2014/chart" uri="{C3380CC4-5D6E-409C-BE32-E72D297353CC}">
                <c16:uniqueId val="{00000004-80DF-4585-A4AF-5CA165FB276D}"/>
              </c:ext>
            </c:extLst>
          </c:dPt>
          <c:cat>
            <c:multiLvlStrRef>
              <c:f>'O&amp;M Costs fixed'!$AT$2:$AU$8</c:f>
              <c:multiLvlStrCache>
                <c:ptCount val="7"/>
                <c:lvl>
                  <c:pt idx="0">
                    <c:v>10th-OAK</c:v>
                  </c:pt>
                  <c:pt idx="1">
                    <c:v>FOAK</c:v>
                  </c:pt>
                  <c:pt idx="2">
                    <c:v>NOAK</c:v>
                  </c:pt>
                  <c:pt idx="3">
                    <c:v>10th-OAK</c:v>
                  </c:pt>
                  <c:pt idx="4">
                    <c:v>Mature
NOAK</c:v>
                  </c:pt>
                  <c:pt idx="5">
                    <c:v>10th-OAK</c:v>
                  </c:pt>
                  <c:pt idx="6">
                    <c:v>Mature
NOAK</c:v>
                  </c:pt>
                </c:lvl>
                <c:lvl>
                  <c:pt idx="0">
                    <c:v>ICF</c:v>
                  </c:pt>
                  <c:pt idx="1">
                    <c:v>MCF</c:v>
                  </c:pt>
                  <c:pt idx="2">
                    <c:v>MCF</c:v>
                  </c:pt>
                  <c:pt idx="3">
                    <c:v>MCF</c:v>
                  </c:pt>
                  <c:pt idx="4">
                    <c:v>MCF</c:v>
                  </c:pt>
                  <c:pt idx="5">
                    <c:v>MIF</c:v>
                  </c:pt>
                  <c:pt idx="6">
                    <c:v>MIF</c:v>
                  </c:pt>
                </c:lvl>
              </c:multiLvlStrCache>
            </c:multiLvlStrRef>
          </c:cat>
          <c:val>
            <c:numRef>
              <c:f>'O&amp;M Costs fixed'!$BM$2:$BM$8</c:f>
              <c:numCache>
                <c:formatCode>General</c:formatCode>
                <c:ptCount val="7"/>
                <c:pt idx="0">
                  <c:v>19.916327964530154</c:v>
                </c:pt>
                <c:pt idx="1">
                  <c:v>34.890615980536268</c:v>
                </c:pt>
                <c:pt idx="2">
                  <c:v>17.008446511015492</c:v>
                </c:pt>
                <c:pt idx="3">
                  <c:v>8.3809470009092593</c:v>
                </c:pt>
                <c:pt idx="4">
                  <c:v>0</c:v>
                </c:pt>
                <c:pt idx="5">
                  <c:v>34.874955036033668</c:v>
                </c:pt>
                <c:pt idx="6">
                  <c:v>8.3347419697917502</c:v>
                </c:pt>
              </c:numCache>
            </c:numRef>
          </c:val>
          <c:extLst>
            <c:ext xmlns:c16="http://schemas.microsoft.com/office/drawing/2014/chart" uri="{C3380CC4-5D6E-409C-BE32-E72D297353CC}">
              <c16:uniqueId val="{00000012-5AF6-42A4-B4CF-206C4160C53E}"/>
            </c:ext>
          </c:extLst>
        </c:ser>
        <c:ser>
          <c:idx val="3"/>
          <c:order val="3"/>
          <c:tx>
            <c:strRef>
              <c:f>'O&amp;M Costs fixed'!$BN$1</c:f>
              <c:strCache>
                <c:ptCount val="1"/>
                <c:pt idx="0">
                  <c:v>High Base</c:v>
                </c:pt>
              </c:strCache>
            </c:strRef>
          </c:tx>
          <c:spPr>
            <a:noFill/>
            <a:ln>
              <a:noFill/>
            </a:ln>
            <a:effectLst/>
          </c:spPr>
          <c:invertIfNegative val="0"/>
          <c:cat>
            <c:multiLvlStrRef>
              <c:f>'O&amp;M Costs fixed'!$AT$2:$AU$8</c:f>
              <c:multiLvlStrCache>
                <c:ptCount val="7"/>
                <c:lvl>
                  <c:pt idx="0">
                    <c:v>10th-OAK</c:v>
                  </c:pt>
                  <c:pt idx="1">
                    <c:v>FOAK</c:v>
                  </c:pt>
                  <c:pt idx="2">
                    <c:v>NOAK</c:v>
                  </c:pt>
                  <c:pt idx="3">
                    <c:v>10th-OAK</c:v>
                  </c:pt>
                  <c:pt idx="4">
                    <c:v>Mature
NOAK</c:v>
                  </c:pt>
                  <c:pt idx="5">
                    <c:v>10th-OAK</c:v>
                  </c:pt>
                  <c:pt idx="6">
                    <c:v>Mature
NOAK</c:v>
                  </c:pt>
                </c:lvl>
                <c:lvl>
                  <c:pt idx="0">
                    <c:v>ICF</c:v>
                  </c:pt>
                  <c:pt idx="1">
                    <c:v>MCF</c:v>
                  </c:pt>
                  <c:pt idx="2">
                    <c:v>MCF</c:v>
                  </c:pt>
                  <c:pt idx="3">
                    <c:v>MCF</c:v>
                  </c:pt>
                  <c:pt idx="4">
                    <c:v>MCF</c:v>
                  </c:pt>
                  <c:pt idx="5">
                    <c:v>MIF</c:v>
                  </c:pt>
                  <c:pt idx="6">
                    <c:v>MIF</c:v>
                  </c:pt>
                </c:lvl>
              </c:multiLvlStrCache>
            </c:multiLvlStrRef>
          </c:cat>
          <c:val>
            <c:numRef>
              <c:f>'O&amp;M Costs fixed'!$BN$2:$BN$8</c:f>
              <c:numCache>
                <c:formatCode>General</c:formatCode>
                <c:ptCount val="7"/>
                <c:pt idx="0">
                  <c:v>21.475842132871122</c:v>
                </c:pt>
                <c:pt idx="1">
                  <c:v>24.188477508722372</c:v>
                </c:pt>
                <c:pt idx="2">
                  <c:v>78.528892658839183</c:v>
                </c:pt>
                <c:pt idx="3">
                  <c:v>57.835759938955704</c:v>
                </c:pt>
                <c:pt idx="4">
                  <c:v>0</c:v>
                </c:pt>
                <c:pt idx="5">
                  <c:v>34.874955036033668</c:v>
                </c:pt>
                <c:pt idx="6">
                  <c:v>8.3347419697917502</c:v>
                </c:pt>
              </c:numCache>
            </c:numRef>
          </c:val>
          <c:extLst>
            <c:ext xmlns:c16="http://schemas.microsoft.com/office/drawing/2014/chart" uri="{C3380CC4-5D6E-409C-BE32-E72D297353CC}">
              <c16:uniqueId val="{00000013-5AF6-42A4-B4CF-206C4160C53E}"/>
            </c:ext>
          </c:extLst>
        </c:ser>
        <c:dLbls>
          <c:showLegendKey val="0"/>
          <c:showVal val="0"/>
          <c:showCatName val="0"/>
          <c:showSerName val="0"/>
          <c:showPercent val="0"/>
          <c:showBubbleSize val="0"/>
        </c:dLbls>
        <c:gapWidth val="40"/>
        <c:overlap val="100"/>
        <c:axId val="307037904"/>
        <c:axId val="307038384"/>
      </c:barChart>
      <c:lineChart>
        <c:grouping val="standard"/>
        <c:varyColors val="0"/>
        <c:ser>
          <c:idx val="4"/>
          <c:order val="4"/>
          <c:tx>
            <c:strRef>
              <c:f>'O&amp;M Costs fixed'!$BG$1</c:f>
              <c:strCache>
                <c:ptCount val="1"/>
                <c:pt idx="0">
                  <c:v>Q1</c:v>
                </c:pt>
              </c:strCache>
            </c:strRef>
          </c:tx>
          <c:spPr>
            <a:ln w="25400" cap="rnd">
              <a:noFill/>
              <a:round/>
            </a:ln>
            <a:effectLst/>
          </c:spPr>
          <c:marker>
            <c:symbol val="none"/>
          </c:marker>
          <c:errBars>
            <c:errDir val="y"/>
            <c:errBarType val="minus"/>
            <c:errValType val="cust"/>
            <c:noEndCap val="0"/>
            <c:plus>
              <c:numRef>
                <c:f>'O&amp;M Costs fixed'!$BY$2:$BY$8</c:f>
                <c:numCache>
                  <c:formatCode>General</c:formatCode>
                  <c:ptCount val="7"/>
                  <c:pt idx="0">
                    <c:v>0</c:v>
                  </c:pt>
                  <c:pt idx="1">
                    <c:v>0</c:v>
                  </c:pt>
                  <c:pt idx="2">
                    <c:v>0</c:v>
                  </c:pt>
                  <c:pt idx="3">
                    <c:v>0</c:v>
                  </c:pt>
                  <c:pt idx="4">
                    <c:v>0</c:v>
                  </c:pt>
                  <c:pt idx="5">
                    <c:v>0</c:v>
                  </c:pt>
                  <c:pt idx="6">
                    <c:v>0</c:v>
                  </c:pt>
                </c:numCache>
              </c:numRef>
            </c:plus>
            <c:minus>
              <c:numRef>
                <c:f>'O&amp;M Costs fixed'!$BV$2:$BV$8</c:f>
                <c:numCache>
                  <c:formatCode>General</c:formatCode>
                  <c:ptCount val="7"/>
                  <c:pt idx="0">
                    <c:v>2.1634751016924838</c:v>
                  </c:pt>
                  <c:pt idx="1">
                    <c:v>18.588704608465257</c:v>
                  </c:pt>
                  <c:pt idx="2">
                    <c:v>5.4016598011121175</c:v>
                  </c:pt>
                  <c:pt idx="3">
                    <c:v>24.795137983652225</c:v>
                  </c:pt>
                  <c:pt idx="4">
                    <c:v>0</c:v>
                  </c:pt>
                  <c:pt idx="5">
                    <c:v>34.874955036033654</c:v>
                  </c:pt>
                  <c:pt idx="6">
                    <c:v>8.3347419697917502</c:v>
                  </c:pt>
                </c:numCache>
              </c:numRef>
            </c:minus>
            <c:spPr>
              <a:noFill/>
              <a:ln w="12700" cap="flat" cmpd="sng" algn="ctr">
                <a:solidFill>
                  <a:schemeClr val="tx1">
                    <a:lumMod val="65000"/>
                    <a:lumOff val="35000"/>
                  </a:schemeClr>
                </a:solidFill>
                <a:round/>
              </a:ln>
              <a:effectLst/>
            </c:spPr>
          </c:errBars>
          <c:val>
            <c:numRef>
              <c:f>'O&amp;M Costs fixed'!$BG$2:$BG$8</c:f>
              <c:numCache>
                <c:formatCode>General</c:formatCode>
                <c:ptCount val="7"/>
                <c:pt idx="0">
                  <c:v>116.93569467809709</c:v>
                </c:pt>
                <c:pt idx="1">
                  <c:v>75.064687786811476</c:v>
                </c:pt>
                <c:pt idx="2">
                  <c:v>76.003696298198619</c:v>
                </c:pt>
                <c:pt idx="3">
                  <c:v>90.434693877551027</c:v>
                </c:pt>
                <c:pt idx="4">
                  <c:v>95.222340882694539</c:v>
                </c:pt>
                <c:pt idx="5">
                  <c:v>160.42479316575486</c:v>
                </c:pt>
                <c:pt idx="6">
                  <c:v>81.364321173840949</c:v>
                </c:pt>
              </c:numCache>
            </c:numRef>
          </c:val>
          <c:smooth val="0"/>
          <c:extLst>
            <c:ext xmlns:c16="http://schemas.microsoft.com/office/drawing/2014/chart" uri="{C3380CC4-5D6E-409C-BE32-E72D297353CC}">
              <c16:uniqueId val="{00000014-5AF6-42A4-B4CF-206C4160C53E}"/>
            </c:ext>
          </c:extLst>
        </c:ser>
        <c:ser>
          <c:idx val="5"/>
          <c:order val="5"/>
          <c:tx>
            <c:strRef>
              <c:f>'OCC Chart_with_Contingency_tota'!$AP$1</c:f>
              <c:strCache>
                <c:ptCount val="1"/>
                <c:pt idx="0">
                  <c:v>Q3</c:v>
                </c:pt>
              </c:strCache>
            </c:strRef>
          </c:tx>
          <c:spPr>
            <a:ln w="25400" cap="rnd">
              <a:noFill/>
              <a:round/>
            </a:ln>
            <a:effectLst/>
          </c:spPr>
          <c:marker>
            <c:symbol val="none"/>
          </c:marker>
          <c:errBars>
            <c:errDir val="y"/>
            <c:errBarType val="plus"/>
            <c:errValType val="cust"/>
            <c:noEndCap val="0"/>
            <c:plus>
              <c:numRef>
                <c:f>'O&amp;M Costs fixed'!$BW$2:$BW$8</c:f>
                <c:numCache>
                  <c:formatCode>General</c:formatCode>
                  <c:ptCount val="7"/>
                  <c:pt idx="0">
                    <c:v>21.475842132871122</c:v>
                  </c:pt>
                  <c:pt idx="1">
                    <c:v>24.188477508722372</c:v>
                  </c:pt>
                  <c:pt idx="2">
                    <c:v>1.2498518855355059</c:v>
                  </c:pt>
                  <c:pt idx="3">
                    <c:v>10.987840518552318</c:v>
                  </c:pt>
                  <c:pt idx="4">
                    <c:v>0</c:v>
                  </c:pt>
                  <c:pt idx="5">
                    <c:v>34.874955036033668</c:v>
                  </c:pt>
                  <c:pt idx="6">
                    <c:v>8.3347419697917502</c:v>
                  </c:pt>
                </c:numCache>
              </c:numRef>
            </c:plus>
            <c:minus>
              <c:numRef>
                <c:f>'O&amp;M Costs fixed'!$BY$2:$BY$8</c:f>
                <c:numCache>
                  <c:formatCode>General</c:formatCode>
                  <c:ptCount val="7"/>
                  <c:pt idx="0">
                    <c:v>0</c:v>
                  </c:pt>
                  <c:pt idx="1">
                    <c:v>0</c:v>
                  </c:pt>
                  <c:pt idx="2">
                    <c:v>0</c:v>
                  </c:pt>
                  <c:pt idx="3">
                    <c:v>0</c:v>
                  </c:pt>
                  <c:pt idx="4">
                    <c:v>0</c:v>
                  </c:pt>
                  <c:pt idx="5">
                    <c:v>0</c:v>
                  </c:pt>
                  <c:pt idx="6">
                    <c:v>0</c:v>
                  </c:pt>
                </c:numCache>
              </c:numRef>
            </c:minus>
            <c:spPr>
              <a:noFill/>
              <a:ln w="12700" cap="flat" cmpd="sng" algn="ctr">
                <a:solidFill>
                  <a:schemeClr val="tx1">
                    <a:lumMod val="65000"/>
                    <a:lumOff val="35000"/>
                  </a:schemeClr>
                </a:solidFill>
                <a:round/>
              </a:ln>
              <a:effectLst/>
            </c:spPr>
          </c:errBars>
          <c:val>
            <c:numRef>
              <c:f>'O&amp;M Costs fixed'!$BI$2:$BI$8</c:f>
              <c:numCache>
                <c:formatCode>General</c:formatCode>
                <c:ptCount val="7"/>
                <c:pt idx="0">
                  <c:v>150.33089493009786</c:v>
                </c:pt>
                <c:pt idx="1">
                  <c:v>113.65117795704055</c:v>
                </c:pt>
                <c:pt idx="2">
                  <c:v>112.28361788617887</c:v>
                </c:pt>
                <c:pt idx="3">
                  <c:v>114.85204976429441</c:v>
                </c:pt>
                <c:pt idx="4">
                  <c:v>95.222340882694539</c:v>
                </c:pt>
                <c:pt idx="5">
                  <c:v>230.1747032378222</c:v>
                </c:pt>
                <c:pt idx="6">
                  <c:v>98.033805113424464</c:v>
                </c:pt>
              </c:numCache>
            </c:numRef>
          </c:val>
          <c:smooth val="0"/>
          <c:extLst>
            <c:ext xmlns:c16="http://schemas.microsoft.com/office/drawing/2014/chart" uri="{C3380CC4-5D6E-409C-BE32-E72D297353CC}">
              <c16:uniqueId val="{00000015-5AF6-42A4-B4CF-206C4160C53E}"/>
            </c:ext>
          </c:extLst>
        </c:ser>
        <c:dLbls>
          <c:showLegendKey val="0"/>
          <c:showVal val="0"/>
          <c:showCatName val="0"/>
          <c:showSerName val="0"/>
          <c:showPercent val="0"/>
          <c:showBubbleSize val="0"/>
        </c:dLbls>
        <c:marker val="1"/>
        <c:smooth val="0"/>
        <c:axId val="307037904"/>
        <c:axId val="307038384"/>
      </c:lineChart>
      <c:scatterChart>
        <c:scatterStyle val="lineMarker"/>
        <c:varyColors val="0"/>
        <c:ser>
          <c:idx val="8"/>
          <c:order val="6"/>
          <c:tx>
            <c:strRef>
              <c:f>'OCC Chart_with_Contingency_tota'!$AK$1</c:f>
              <c:strCache>
                <c:ptCount val="1"/>
                <c:pt idx="0">
                  <c:v>97.5th percentile</c:v>
                </c:pt>
              </c:strCache>
            </c:strRef>
          </c:tx>
          <c:spPr>
            <a:ln w="25400" cap="rnd">
              <a:noFill/>
              <a:round/>
            </a:ln>
            <a:effectLst/>
          </c:spPr>
          <c:marker>
            <c:symbol val="triangle"/>
            <c:size val="16"/>
            <c:spPr>
              <a:solidFill>
                <a:srgbClr val="CDC4D2"/>
              </a:solidFill>
              <a:ln w="9525">
                <a:noFill/>
              </a:ln>
              <a:effectLst/>
            </c:spPr>
          </c:marker>
          <c:xVal>
            <c:numRef>
              <c:f>'O&amp;M Costs fixed'!$BC$2:$BC$8</c:f>
              <c:numCache>
                <c:formatCode>General</c:formatCode>
                <c:ptCount val="7"/>
                <c:pt idx="0">
                  <c:v>1</c:v>
                </c:pt>
                <c:pt idx="1">
                  <c:v>2</c:v>
                </c:pt>
                <c:pt idx="2">
                  <c:v>3</c:v>
                </c:pt>
                <c:pt idx="3">
                  <c:v>4</c:v>
                </c:pt>
                <c:pt idx="4">
                  <c:v>5</c:v>
                </c:pt>
                <c:pt idx="5">
                  <c:v>6</c:v>
                </c:pt>
                <c:pt idx="6">
                  <c:v>7</c:v>
                </c:pt>
              </c:numCache>
            </c:numRef>
          </c:xVal>
          <c:yVal>
            <c:numRef>
              <c:f>'O&amp;M Costs fixed'!$BD$2:$BD$8</c:f>
              <c:numCache>
                <c:formatCode>General</c:formatCode>
                <c:ptCount val="7"/>
                <c:pt idx="0">
                  <c:v>169.65915284968185</c:v>
                </c:pt>
                <c:pt idx="1">
                  <c:v>133.93233221071657</c:v>
                </c:pt>
                <c:pt idx="2">
                  <c:v>175.35670239035738</c:v>
                </c:pt>
                <c:pt idx="3">
                  <c:v>142.23666207998781</c:v>
                </c:pt>
                <c:pt idx="4">
                  <c:v>95.222340882694539</c:v>
                </c:pt>
                <c:pt idx="5">
                  <c:v>261.56216277025254</c:v>
                </c:pt>
                <c:pt idx="6">
                  <c:v>105.53507288623703</c:v>
                </c:pt>
              </c:numCache>
            </c:numRef>
          </c:yVal>
          <c:smooth val="0"/>
          <c:extLst>
            <c:ext xmlns:c16="http://schemas.microsoft.com/office/drawing/2014/chart" uri="{C3380CC4-5D6E-409C-BE32-E72D297353CC}">
              <c16:uniqueId val="{00000025-5AF6-42A4-B4CF-206C4160C53E}"/>
            </c:ext>
          </c:extLst>
        </c:ser>
        <c:ser>
          <c:idx val="9"/>
          <c:order val="7"/>
          <c:tx>
            <c:strRef>
              <c:f>'OCC Chart_with_Contingency_tota'!$AO$1</c:f>
              <c:strCache>
                <c:ptCount val="1"/>
                <c:pt idx="0">
                  <c:v>Median</c:v>
                </c:pt>
              </c:strCache>
            </c:strRef>
          </c:tx>
          <c:spPr>
            <a:ln w="25400" cap="rnd">
              <a:noFill/>
              <a:round/>
            </a:ln>
            <a:effectLst/>
          </c:spPr>
          <c:marker>
            <c:symbol val="diamond"/>
            <c:size val="17"/>
            <c:spPr>
              <a:solidFill>
                <a:srgbClr val="FFBE98"/>
              </a:solidFill>
              <a:ln w="9525">
                <a:noFill/>
              </a:ln>
              <a:effectLst/>
            </c:spPr>
          </c:marker>
          <c:xVal>
            <c:numRef>
              <c:f>'O&amp;M Costs fixed'!$BC$2:$BC$8</c:f>
              <c:numCache>
                <c:formatCode>General</c:formatCode>
                <c:ptCount val="7"/>
                <c:pt idx="0">
                  <c:v>1</c:v>
                </c:pt>
                <c:pt idx="1">
                  <c:v>2</c:v>
                </c:pt>
                <c:pt idx="2">
                  <c:v>3</c:v>
                </c:pt>
                <c:pt idx="3">
                  <c:v>4</c:v>
                </c:pt>
                <c:pt idx="4">
                  <c:v>5</c:v>
                </c:pt>
                <c:pt idx="5">
                  <c:v>6</c:v>
                </c:pt>
                <c:pt idx="6">
                  <c:v>7</c:v>
                </c:pt>
              </c:numCache>
            </c:numRef>
          </c:xVal>
          <c:yVal>
            <c:numRef>
              <c:f>'O&amp;M Costs fixed'!$BH$2:$BH$8</c:f>
              <c:numCache>
                <c:formatCode>General</c:formatCode>
                <c:ptCount val="7"/>
                <c:pt idx="0">
                  <c:v>130.4145669655677</c:v>
                </c:pt>
                <c:pt idx="1">
                  <c:v>78.760561976504277</c:v>
                </c:pt>
                <c:pt idx="2">
                  <c:v>95.275171375163382</c:v>
                </c:pt>
                <c:pt idx="3">
                  <c:v>106.47110276338515</c:v>
                </c:pt>
                <c:pt idx="4">
                  <c:v>95.222340882694539</c:v>
                </c:pt>
                <c:pt idx="5">
                  <c:v>195.29974820178853</c:v>
                </c:pt>
                <c:pt idx="6">
                  <c:v>89.699063143632713</c:v>
                </c:pt>
              </c:numCache>
            </c:numRef>
          </c:yVal>
          <c:smooth val="0"/>
          <c:extLst>
            <c:ext xmlns:c16="http://schemas.microsoft.com/office/drawing/2014/chart" uri="{C3380CC4-5D6E-409C-BE32-E72D297353CC}">
              <c16:uniqueId val="{0000002F-5AF6-42A4-B4CF-206C4160C53E}"/>
            </c:ext>
          </c:extLst>
        </c:ser>
        <c:ser>
          <c:idx val="6"/>
          <c:order val="8"/>
          <c:tx>
            <c:strRef>
              <c:f>'O&amp;M Costs fixed'!$AN$1</c:f>
              <c:strCache>
                <c:ptCount val="1"/>
                <c:pt idx="0">
                  <c:v>Data points</c:v>
                </c:pt>
              </c:strCache>
            </c:strRef>
          </c:tx>
          <c:spPr>
            <a:ln w="25400" cap="rnd">
              <a:noFill/>
              <a:round/>
            </a:ln>
            <a:effectLst/>
          </c:spPr>
          <c:marker>
            <c:symbol val="circle"/>
            <c:size val="6"/>
            <c:spPr>
              <a:solidFill>
                <a:schemeClr val="tx1">
                  <a:lumMod val="85000"/>
                  <a:lumOff val="15000"/>
                  <a:alpha val="50000"/>
                </a:schemeClr>
              </a:solidFill>
              <a:ln w="9525">
                <a:noFill/>
              </a:ln>
              <a:effectLst/>
            </c:spPr>
          </c:marker>
          <c:xVal>
            <c:numRef>
              <c:f>'O&amp;M Costs fixed'!$CB$2:$CB$75</c:f>
              <c:numCache>
                <c:formatCode>General</c:formatCode>
                <c:ptCount val="74"/>
                <c:pt idx="0">
                  <c:v>1</c:v>
                </c:pt>
                <c:pt idx="1">
                  <c:v>1</c:v>
                </c:pt>
                <c:pt idx="2">
                  <c:v>1</c:v>
                </c:pt>
                <c:pt idx="3">
                  <c:v>1</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3</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5</c:v>
                </c:pt>
                <c:pt idx="56">
                  <c:v>6</c:v>
                </c:pt>
                <c:pt idx="57">
                  <c:v>6</c:v>
                </c:pt>
                <c:pt idx="58">
                  <c:v>7</c:v>
                </c:pt>
                <c:pt idx="59">
                  <c:v>7</c:v>
                </c:pt>
              </c:numCache>
            </c:numRef>
          </c:xVal>
          <c:yVal>
            <c:numRef>
              <c:f>'O&amp;M Costs fixed'!$CA$2:$CA$75</c:f>
              <c:numCache>
                <c:formatCode>General</c:formatCode>
                <c:ptCount val="74"/>
                <c:pt idx="0">
                  <c:v>143.17228088580748</c:v>
                </c:pt>
                <c:pt idx="1">
                  <c:v>171.80673706296898</c:v>
                </c:pt>
                <c:pt idx="2">
                  <c:v>114.77221957640461</c:v>
                </c:pt>
                <c:pt idx="3">
                  <c:v>117.65685304532792</c:v>
                </c:pt>
                <c:pt idx="4">
                  <c:v>56.475983178346219</c:v>
                </c:pt>
                <c:pt idx="5">
                  <c:v>60.950009161464997</c:v>
                </c:pt>
                <c:pt idx="6">
                  <c:v>72.681644233090395</c:v>
                </c:pt>
                <c:pt idx="7">
                  <c:v>74.125679275424346</c:v>
                </c:pt>
                <c:pt idx="8">
                  <c:v>77.893154078040325</c:v>
                </c:pt>
                <c:pt idx="9">
                  <c:v>78.760561976504277</c:v>
                </c:pt>
                <c:pt idx="10">
                  <c:v>88.911569724392777</c:v>
                </c:pt>
                <c:pt idx="11">
                  <c:v>96.624928974956291</c:v>
                </c:pt>
                <c:pt idx="12">
                  <c:v>76.003696298198619</c:v>
                </c:pt>
                <c:pt idx="13">
                  <c:v>76.003696298198619</c:v>
                </c:pt>
                <c:pt idx="14">
                  <c:v>121.2180164245592</c:v>
                </c:pt>
                <c:pt idx="15">
                  <c:v>113.36353743190816</c:v>
                </c:pt>
                <c:pt idx="16">
                  <c:v>113.93881848217292</c:v>
                </c:pt>
                <c:pt idx="17">
                  <c:v>126.67587473705902</c:v>
                </c:pt>
                <c:pt idx="18">
                  <c:v>137.83965546576292</c:v>
                </c:pt>
                <c:pt idx="19">
                  <c:v>70.602036497086502</c:v>
                </c:pt>
                <c:pt idx="20">
                  <c:v>89.75608878512358</c:v>
                </c:pt>
                <c:pt idx="21">
                  <c:v>95.275171375163382</c:v>
                </c:pt>
                <c:pt idx="22">
                  <c:v>103.64140404299812</c:v>
                </c:pt>
                <c:pt idx="23">
                  <c:v>113.53346977171438</c:v>
                </c:pt>
                <c:pt idx="24">
                  <c:v>76.003696298198619</c:v>
                </c:pt>
                <c:pt idx="25">
                  <c:v>190.81251054501806</c:v>
                </c:pt>
                <c:pt idx="26">
                  <c:v>74.369668989547037</c:v>
                </c:pt>
                <c:pt idx="27">
                  <c:v>112.28361788617887</c:v>
                </c:pt>
                <c:pt idx="28">
                  <c:v>49.29193841019417</c:v>
                </c:pt>
                <c:pt idx="29">
                  <c:v>77.325376368613149</c:v>
                </c:pt>
                <c:pt idx="30">
                  <c:v>110.16479546836985</c:v>
                </c:pt>
                <c:pt idx="31">
                  <c:v>114.07879600060828</c:v>
                </c:pt>
                <c:pt idx="32">
                  <c:v>115.62530352798053</c:v>
                </c:pt>
                <c:pt idx="33">
                  <c:v>115.89260112530415</c:v>
                </c:pt>
                <c:pt idx="34">
                  <c:v>121.50585066909977</c:v>
                </c:pt>
                <c:pt idx="35">
                  <c:v>124.59886572384431</c:v>
                </c:pt>
                <c:pt idx="36">
                  <c:v>125.43894388686132</c:v>
                </c:pt>
                <c:pt idx="37">
                  <c:v>125.83989028284672</c:v>
                </c:pt>
                <c:pt idx="38">
                  <c:v>90.434693877551027</c:v>
                </c:pt>
                <c:pt idx="39">
                  <c:v>90.434693877551027</c:v>
                </c:pt>
                <c:pt idx="40">
                  <c:v>95.222340882694539</c:v>
                </c:pt>
                <c:pt idx="41">
                  <c:v>95.95145528455285</c:v>
                </c:pt>
                <c:pt idx="42">
                  <c:v>172.68780970325011</c:v>
                </c:pt>
                <c:pt idx="43">
                  <c:v>106.47110276338515</c:v>
                </c:pt>
                <c:pt idx="44">
                  <c:v>65.639555893898802</c:v>
                </c:pt>
                <c:pt idx="45">
                  <c:v>71.858040136478692</c:v>
                </c:pt>
                <c:pt idx="46">
                  <c:v>80.034195344315208</c:v>
                </c:pt>
                <c:pt idx="47">
                  <c:v>92.893406586687206</c:v>
                </c:pt>
                <c:pt idx="48">
                  <c:v>94.508253495147713</c:v>
                </c:pt>
                <c:pt idx="49">
                  <c:v>103.64140404299812</c:v>
                </c:pt>
                <c:pt idx="50">
                  <c:v>114.00554444729792</c:v>
                </c:pt>
                <c:pt idx="51">
                  <c:v>114.00554444729792</c:v>
                </c:pt>
                <c:pt idx="52">
                  <c:v>114.00554444729792</c:v>
                </c:pt>
                <c:pt idx="53">
                  <c:v>114.00554444729792</c:v>
                </c:pt>
                <c:pt idx="54">
                  <c:v>20.47142642984074</c:v>
                </c:pt>
                <c:pt idx="55">
                  <c:v>95.222340882694539</c:v>
                </c:pt>
                <c:pt idx="56">
                  <c:v>125.54983812972121</c:v>
                </c:pt>
                <c:pt idx="57">
                  <c:v>265.04965827385587</c:v>
                </c:pt>
                <c:pt idx="58">
                  <c:v>73.029579204049199</c:v>
                </c:pt>
                <c:pt idx="59">
                  <c:v>106.36854708321621</c:v>
                </c:pt>
              </c:numCache>
            </c:numRef>
          </c:yVal>
          <c:smooth val="0"/>
          <c:extLst>
            <c:ext xmlns:c16="http://schemas.microsoft.com/office/drawing/2014/chart" uri="{C3380CC4-5D6E-409C-BE32-E72D297353CC}">
              <c16:uniqueId val="{00000016-5AF6-42A4-B4CF-206C4160C53E}"/>
            </c:ext>
          </c:extLst>
        </c:ser>
        <c:ser>
          <c:idx val="7"/>
          <c:order val="9"/>
          <c:tx>
            <c:strRef>
              <c:f>'OCC Chart_with_Contingency_tota'!$AL$1</c:f>
              <c:strCache>
                <c:ptCount val="1"/>
                <c:pt idx="0">
                  <c:v>Mean</c:v>
                </c:pt>
              </c:strCache>
            </c:strRef>
          </c:tx>
          <c:spPr>
            <a:ln w="25400" cap="rnd">
              <a:noFill/>
              <a:round/>
            </a:ln>
            <a:effectLst/>
          </c:spPr>
          <c:marker>
            <c:symbol val="x"/>
            <c:size val="12"/>
            <c:spPr>
              <a:noFill/>
              <a:ln w="38100">
                <a:solidFill>
                  <a:srgbClr val="FF8C9E"/>
                </a:solidFill>
              </a:ln>
              <a:effectLst/>
            </c:spPr>
          </c:marker>
          <c:xVal>
            <c:numRef>
              <c:f>'O&amp;M Costs fixed'!$BC$2:$BC$8</c:f>
              <c:numCache>
                <c:formatCode>General</c:formatCode>
                <c:ptCount val="7"/>
                <c:pt idx="0">
                  <c:v>1</c:v>
                </c:pt>
                <c:pt idx="1">
                  <c:v>2</c:v>
                </c:pt>
                <c:pt idx="2">
                  <c:v>3</c:v>
                </c:pt>
                <c:pt idx="3">
                  <c:v>4</c:v>
                </c:pt>
                <c:pt idx="4">
                  <c:v>5</c:v>
                </c:pt>
                <c:pt idx="5">
                  <c:v>6</c:v>
                </c:pt>
                <c:pt idx="6">
                  <c:v>7</c:v>
                </c:pt>
              </c:numCache>
            </c:numRef>
          </c:xVal>
          <c:yVal>
            <c:numRef>
              <c:f>'O&amp;M Costs fixed'!$BE$2:$BE$8</c:f>
              <c:numCache>
                <c:formatCode>General</c:formatCode>
                <c:ptCount val="7"/>
                <c:pt idx="0">
                  <c:v>136.85202264262725</c:v>
                </c:pt>
                <c:pt idx="1">
                  <c:v>91.431121716005279</c:v>
                </c:pt>
                <c:pt idx="2">
                  <c:v>102.91974046566983</c:v>
                </c:pt>
                <c:pt idx="3">
                  <c:v>100.59381176189871</c:v>
                </c:pt>
                <c:pt idx="4">
                  <c:v>95.222340882694539</c:v>
                </c:pt>
                <c:pt idx="5">
                  <c:v>195.29974820178853</c:v>
                </c:pt>
                <c:pt idx="6">
                  <c:v>89.699063143632713</c:v>
                </c:pt>
              </c:numCache>
            </c:numRef>
          </c:yVal>
          <c:smooth val="0"/>
          <c:extLst>
            <c:ext xmlns:c16="http://schemas.microsoft.com/office/drawing/2014/chart" uri="{C3380CC4-5D6E-409C-BE32-E72D297353CC}">
              <c16:uniqueId val="{00000021-5AF6-42A4-B4CF-206C4160C53E}"/>
            </c:ext>
          </c:extLst>
        </c:ser>
        <c:dLbls>
          <c:showLegendKey val="0"/>
          <c:showVal val="0"/>
          <c:showCatName val="0"/>
          <c:showSerName val="0"/>
          <c:showPercent val="0"/>
          <c:showBubbleSize val="0"/>
        </c:dLbls>
        <c:axId val="307037904"/>
        <c:axId val="307038384"/>
      </c:scatterChart>
      <c:catAx>
        <c:axId val="3070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307038384"/>
        <c:crosses val="autoZero"/>
        <c:auto val="1"/>
        <c:lblAlgn val="ctr"/>
        <c:lblOffset val="100"/>
        <c:tickMarkSkip val="1"/>
        <c:noMultiLvlLbl val="0"/>
      </c:catAx>
      <c:valAx>
        <c:axId val="307038384"/>
        <c:scaling>
          <c:orientation val="minMax"/>
          <c:max val="280"/>
          <c:min val="0"/>
        </c:scaling>
        <c:delete val="0"/>
        <c:axPos val="l"/>
        <c:majorGridlines>
          <c:spPr>
            <a:ln w="12700" cap="flat" cmpd="sng" algn="ctr">
              <a:solidFill>
                <a:schemeClr val="bg2">
                  <a:lumMod val="90000"/>
                  <a:alpha val="50000"/>
                </a:schemeClr>
              </a:solidFill>
              <a:round/>
            </a:ln>
            <a:effectLst/>
          </c:spPr>
        </c:majorGridlines>
        <c:minorGridlines>
          <c:spPr>
            <a:ln w="12700" cap="flat" cmpd="sng" algn="ctr">
              <a:solidFill>
                <a:schemeClr val="bg1">
                  <a:lumMod val="95000"/>
                  <a:alpha val="50000"/>
                </a:schemeClr>
              </a:solidFill>
              <a:round/>
            </a:ln>
            <a:effectLst/>
          </c:spPr>
        </c:minorGridlines>
        <c:title>
          <c:tx>
            <c:rich>
              <a:bodyPr rot="-5400000" spcFirstLastPara="1" vertOverflow="ellipsis" vert="horz" wrap="square" anchor="ctr" anchorCtr="1"/>
              <a:lstStyle/>
              <a:p>
                <a:pPr algn="ct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de-DE" sz="2000" b="1">
                    <a:solidFill>
                      <a:sysClr val="windowText" lastClr="000000"/>
                    </a:solidFill>
                  </a:rPr>
                  <a:t>Fixed O&amp;M Costs [2018 USD/kW]</a:t>
                </a:r>
              </a:p>
            </c:rich>
          </c:tx>
          <c:layout>
            <c:manualLayout>
              <c:xMode val="edge"/>
              <c:yMode val="edge"/>
              <c:x val="4.8339347326298315E-4"/>
              <c:y val="0.29205184839833054"/>
            </c:manualLayout>
          </c:layout>
          <c:overlay val="0"/>
          <c:spPr>
            <a:noFill/>
            <a:ln>
              <a:noFill/>
            </a:ln>
            <a:effectLst/>
          </c:spPr>
          <c:txPr>
            <a:bodyPr rot="-5400000" spcFirstLastPara="1" vertOverflow="ellipsis" vert="horz" wrap="square" anchor="ctr" anchorCtr="1"/>
            <a:lstStyle/>
            <a:p>
              <a:pPr algn="ct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General" sourceLinked="1"/>
        <c:majorTickMark val="out"/>
        <c:minorTickMark val="out"/>
        <c:tickLblPos val="nextTo"/>
        <c:spPr>
          <a:noFill/>
          <a:ln>
            <a:solidFill>
              <a:schemeClr val="bg1">
                <a:lumMod val="75000"/>
              </a:schemeClr>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307037904"/>
        <c:crosses val="autoZero"/>
        <c:crossBetween val="between"/>
        <c:majorUnit val="20"/>
        <c:minorUnit val="5"/>
      </c:valAx>
      <c:spPr>
        <a:noFill/>
        <a:ln>
          <a:noFill/>
        </a:ln>
        <a:effectLst/>
      </c:spPr>
    </c:plotArea>
    <c:legend>
      <c:legendPos val="b"/>
      <c:legendEntry>
        <c:idx val="0"/>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'O&amp;M Costs fixed'!$BK$1</c:f>
              <c:strCache>
                <c:ptCount val="1"/>
                <c:pt idx="0">
                  <c:v>Low Base</c:v>
                </c:pt>
              </c:strCache>
            </c:strRef>
          </c:tx>
          <c:spPr>
            <a:noFill/>
            <a:ln w="25400">
              <a:noFill/>
            </a:ln>
            <a:effectLst/>
          </c:spPr>
          <c:invertIfNegative val="0"/>
          <c:cat>
            <c:multiLvlStrRef>
              <c:f>'O&amp;M Costs fixed'!$AT$2:$AU$8</c:f>
              <c:multiLvlStrCache>
                <c:ptCount val="7"/>
                <c:lvl>
                  <c:pt idx="0">
                    <c:v>10th-OAK</c:v>
                  </c:pt>
                  <c:pt idx="1">
                    <c:v>FOAK</c:v>
                  </c:pt>
                  <c:pt idx="2">
                    <c:v>NOAK</c:v>
                  </c:pt>
                  <c:pt idx="3">
                    <c:v>10th-OAK</c:v>
                  </c:pt>
                  <c:pt idx="4">
                    <c:v>Mature
NOAK</c:v>
                  </c:pt>
                  <c:pt idx="5">
                    <c:v>10th-OAK</c:v>
                  </c:pt>
                  <c:pt idx="6">
                    <c:v>Mature
NOAK</c:v>
                  </c:pt>
                </c:lvl>
                <c:lvl>
                  <c:pt idx="0">
                    <c:v>ICF</c:v>
                  </c:pt>
                  <c:pt idx="1">
                    <c:v>MCF</c:v>
                  </c:pt>
                  <c:pt idx="2">
                    <c:v>MCF</c:v>
                  </c:pt>
                  <c:pt idx="3">
                    <c:v>MCF</c:v>
                  </c:pt>
                  <c:pt idx="4">
                    <c:v>MCF</c:v>
                  </c:pt>
                  <c:pt idx="5">
                    <c:v>MIF</c:v>
                  </c:pt>
                  <c:pt idx="6">
                    <c:v>MIF</c:v>
                  </c:pt>
                </c:lvl>
              </c:multiLvlStrCache>
            </c:multiLvlStrRef>
          </c:cat>
          <c:val>
            <c:numRef>
              <c:f>'O&amp;M Costs variabel'!$BI$2:$BI$6</c:f>
              <c:numCache>
                <c:formatCode>General</c:formatCode>
                <c:ptCount val="5"/>
                <c:pt idx="0">
                  <c:v>2.4940297876201583</c:v>
                </c:pt>
                <c:pt idx="1">
                  <c:v>8.8278294133140616</c:v>
                </c:pt>
                <c:pt idx="2">
                  <c:v>13.061105010691788</c:v>
                </c:pt>
                <c:pt idx="3">
                  <c:v>12.855527501155503</c:v>
                </c:pt>
                <c:pt idx="4">
                  <c:v>8.6035499419279926</c:v>
                </c:pt>
              </c:numCache>
            </c:numRef>
          </c:val>
          <c:extLst>
            <c:ext xmlns:c16="http://schemas.microsoft.com/office/drawing/2014/chart" uri="{C3380CC4-5D6E-409C-BE32-E72D297353CC}">
              <c16:uniqueId val="{00000000-0C8A-4077-A518-88500A05C942}"/>
            </c:ext>
          </c:extLst>
        </c:ser>
        <c:ser>
          <c:idx val="1"/>
          <c:order val="1"/>
          <c:tx>
            <c:strRef>
              <c:f>'O&amp;M Costs fixed'!$BL$1</c:f>
              <c:strCache>
                <c:ptCount val="1"/>
                <c:pt idx="0">
                  <c:v>Lower box (Q1–Median, 25–50%)</c:v>
                </c:pt>
              </c:strCache>
            </c:strRef>
          </c:tx>
          <c:spPr>
            <a:solidFill>
              <a:srgbClr val="9590B2">
                <a:alpha val="80000"/>
              </a:srgbClr>
            </a:solidFill>
            <a:ln>
              <a:noFill/>
            </a:ln>
            <a:effectLst/>
          </c:spPr>
          <c:invertIfNegative val="0"/>
          <c:dPt>
            <c:idx val="0"/>
            <c:invertIfNegative val="0"/>
            <c:bubble3D val="0"/>
            <c:spPr>
              <a:solidFill>
                <a:srgbClr val="7A99AC">
                  <a:alpha val="85000"/>
                </a:srgbClr>
              </a:solidFill>
              <a:ln>
                <a:noFill/>
              </a:ln>
              <a:effectLst/>
            </c:spPr>
            <c:extLst>
              <c:ext xmlns:c16="http://schemas.microsoft.com/office/drawing/2014/chart" uri="{C3380CC4-5D6E-409C-BE32-E72D297353CC}">
                <c16:uniqueId val="{0000000A-0C8A-4077-A518-88500A05C942}"/>
              </c:ext>
            </c:extLst>
          </c:dPt>
          <c:cat>
            <c:multiLvlStrRef>
              <c:f>'O&amp;M Costs fixed'!$AT$2:$AU$8</c:f>
              <c:multiLvlStrCache>
                <c:ptCount val="7"/>
                <c:lvl>
                  <c:pt idx="0">
                    <c:v>10th-OAK</c:v>
                  </c:pt>
                  <c:pt idx="1">
                    <c:v>FOAK</c:v>
                  </c:pt>
                  <c:pt idx="2">
                    <c:v>NOAK</c:v>
                  </c:pt>
                  <c:pt idx="3">
                    <c:v>10th-OAK</c:v>
                  </c:pt>
                  <c:pt idx="4">
                    <c:v>Mature
NOAK</c:v>
                  </c:pt>
                  <c:pt idx="5">
                    <c:v>10th-OAK</c:v>
                  </c:pt>
                  <c:pt idx="6">
                    <c:v>Mature
NOAK</c:v>
                  </c:pt>
                </c:lvl>
                <c:lvl>
                  <c:pt idx="0">
                    <c:v>ICF</c:v>
                  </c:pt>
                  <c:pt idx="1">
                    <c:v>MCF</c:v>
                  </c:pt>
                  <c:pt idx="2">
                    <c:v>MCF</c:v>
                  </c:pt>
                  <c:pt idx="3">
                    <c:v>MCF</c:v>
                  </c:pt>
                  <c:pt idx="4">
                    <c:v>MCF</c:v>
                  </c:pt>
                  <c:pt idx="5">
                    <c:v>MIF</c:v>
                  </c:pt>
                  <c:pt idx="6">
                    <c:v>MIF</c:v>
                  </c:pt>
                </c:lvl>
              </c:multiLvlStrCache>
            </c:multiLvlStrRef>
          </c:cat>
          <c:val>
            <c:numRef>
              <c:f>'O&amp;M Costs variabel'!$BJ$2:$BJ$6</c:f>
              <c:numCache>
                <c:formatCode>General</c:formatCode>
                <c:ptCount val="5"/>
                <c:pt idx="0">
                  <c:v>12.364372579243746</c:v>
                </c:pt>
                <c:pt idx="1">
                  <c:v>1.1626556670225892</c:v>
                </c:pt>
                <c:pt idx="2">
                  <c:v>1.9507265110473426</c:v>
                </c:pt>
                <c:pt idx="3">
                  <c:v>2.0028748657084012</c:v>
                </c:pt>
                <c:pt idx="4">
                  <c:v>0</c:v>
                </c:pt>
              </c:numCache>
            </c:numRef>
          </c:val>
          <c:extLst>
            <c:ext xmlns:c16="http://schemas.microsoft.com/office/drawing/2014/chart" uri="{C3380CC4-5D6E-409C-BE32-E72D297353CC}">
              <c16:uniqueId val="{00000001-0C8A-4077-A518-88500A05C942}"/>
            </c:ext>
          </c:extLst>
        </c:ser>
        <c:ser>
          <c:idx val="2"/>
          <c:order val="2"/>
          <c:tx>
            <c:strRef>
              <c:f>'O&amp;M Costs fixed'!$BM$1</c:f>
              <c:strCache>
                <c:ptCount val="1"/>
                <c:pt idx="0">
                  <c:v>Upper box (Median–Q3, 50–75%)</c:v>
                </c:pt>
              </c:strCache>
            </c:strRef>
          </c:tx>
          <c:spPr>
            <a:solidFill>
              <a:srgbClr val="C2BFD3">
                <a:alpha val="80000"/>
              </a:srgbClr>
            </a:solidFill>
            <a:ln>
              <a:noFill/>
            </a:ln>
            <a:effectLst/>
          </c:spPr>
          <c:invertIfNegative val="0"/>
          <c:dPt>
            <c:idx val="0"/>
            <c:invertIfNegative val="0"/>
            <c:bubble3D val="0"/>
            <c:spPr>
              <a:solidFill>
                <a:srgbClr val="BFCED6">
                  <a:alpha val="80000"/>
                </a:srgbClr>
              </a:solidFill>
              <a:ln>
                <a:noFill/>
              </a:ln>
              <a:effectLst/>
            </c:spPr>
            <c:extLst>
              <c:ext xmlns:c16="http://schemas.microsoft.com/office/drawing/2014/chart" uri="{C3380CC4-5D6E-409C-BE32-E72D297353CC}">
                <c16:uniqueId val="{00000002-205C-437C-92E9-90FEFB398510}"/>
              </c:ext>
            </c:extLst>
          </c:dPt>
          <c:cat>
            <c:multiLvlStrRef>
              <c:f>'O&amp;M Costs fixed'!$AT$2:$AU$8</c:f>
              <c:multiLvlStrCache>
                <c:ptCount val="7"/>
                <c:lvl>
                  <c:pt idx="0">
                    <c:v>10th-OAK</c:v>
                  </c:pt>
                  <c:pt idx="1">
                    <c:v>FOAK</c:v>
                  </c:pt>
                  <c:pt idx="2">
                    <c:v>NOAK</c:v>
                  </c:pt>
                  <c:pt idx="3">
                    <c:v>10th-OAK</c:v>
                  </c:pt>
                  <c:pt idx="4">
                    <c:v>Mature
NOAK</c:v>
                  </c:pt>
                  <c:pt idx="5">
                    <c:v>10th-OAK</c:v>
                  </c:pt>
                  <c:pt idx="6">
                    <c:v>Mature
NOAK</c:v>
                  </c:pt>
                </c:lvl>
                <c:lvl>
                  <c:pt idx="0">
                    <c:v>ICF</c:v>
                  </c:pt>
                  <c:pt idx="1">
                    <c:v>MCF</c:v>
                  </c:pt>
                  <c:pt idx="2">
                    <c:v>MCF</c:v>
                  </c:pt>
                  <c:pt idx="3">
                    <c:v>MCF</c:v>
                  </c:pt>
                  <c:pt idx="4">
                    <c:v>MCF</c:v>
                  </c:pt>
                  <c:pt idx="5">
                    <c:v>MIF</c:v>
                  </c:pt>
                  <c:pt idx="6">
                    <c:v>MIF</c:v>
                  </c:pt>
                </c:lvl>
              </c:multiLvlStrCache>
            </c:multiLvlStrRef>
          </c:cat>
          <c:val>
            <c:numRef>
              <c:f>'O&amp;M Costs variabel'!$BK$2:$BK$6</c:f>
              <c:numCache>
                <c:formatCode>General</c:formatCode>
                <c:ptCount val="5"/>
                <c:pt idx="0">
                  <c:v>2.65541729046363</c:v>
                </c:pt>
                <c:pt idx="1">
                  <c:v>0.40269207573232357</c:v>
                </c:pt>
                <c:pt idx="2">
                  <c:v>4.6400206521739147</c:v>
                </c:pt>
                <c:pt idx="3">
                  <c:v>5.741411011030662</c:v>
                </c:pt>
                <c:pt idx="4">
                  <c:v>0</c:v>
                </c:pt>
              </c:numCache>
            </c:numRef>
          </c:val>
          <c:extLst>
            <c:ext xmlns:c16="http://schemas.microsoft.com/office/drawing/2014/chart" uri="{C3380CC4-5D6E-409C-BE32-E72D297353CC}">
              <c16:uniqueId val="{00000002-0C8A-4077-A518-88500A05C942}"/>
            </c:ext>
          </c:extLst>
        </c:ser>
        <c:ser>
          <c:idx val="3"/>
          <c:order val="3"/>
          <c:tx>
            <c:strRef>
              <c:f>'O&amp;M Costs fixed'!$BN$1</c:f>
              <c:strCache>
                <c:ptCount val="1"/>
                <c:pt idx="0">
                  <c:v>High Base</c:v>
                </c:pt>
              </c:strCache>
            </c:strRef>
          </c:tx>
          <c:spPr>
            <a:noFill/>
            <a:ln>
              <a:noFill/>
            </a:ln>
            <a:effectLst/>
          </c:spPr>
          <c:invertIfNegative val="0"/>
          <c:cat>
            <c:multiLvlStrRef>
              <c:f>'O&amp;M Costs fixed'!$AT$2:$AU$8</c:f>
              <c:multiLvlStrCache>
                <c:ptCount val="7"/>
                <c:lvl>
                  <c:pt idx="0">
                    <c:v>10th-OAK</c:v>
                  </c:pt>
                  <c:pt idx="1">
                    <c:v>FOAK</c:v>
                  </c:pt>
                  <c:pt idx="2">
                    <c:v>NOAK</c:v>
                  </c:pt>
                  <c:pt idx="3">
                    <c:v>10th-OAK</c:v>
                  </c:pt>
                  <c:pt idx="4">
                    <c:v>Mature
NOAK</c:v>
                  </c:pt>
                  <c:pt idx="5">
                    <c:v>10th-OAK</c:v>
                  </c:pt>
                  <c:pt idx="6">
                    <c:v>Mature
NOAK</c:v>
                  </c:pt>
                </c:lvl>
                <c:lvl>
                  <c:pt idx="0">
                    <c:v>ICF</c:v>
                  </c:pt>
                  <c:pt idx="1">
                    <c:v>MCF</c:v>
                  </c:pt>
                  <c:pt idx="2">
                    <c:v>MCF</c:v>
                  </c:pt>
                  <c:pt idx="3">
                    <c:v>MCF</c:v>
                  </c:pt>
                  <c:pt idx="4">
                    <c:v>MCF</c:v>
                  </c:pt>
                  <c:pt idx="5">
                    <c:v>MIF</c:v>
                  </c:pt>
                  <c:pt idx="6">
                    <c:v>MIF</c:v>
                  </c:pt>
                </c:lvl>
              </c:multiLvlStrCache>
            </c:multiLvlStrRef>
          </c:cat>
          <c:val>
            <c:numRef>
              <c:f>'O&amp;M Costs variabel'!$BL$2:$BL$6</c:f>
              <c:numCache>
                <c:formatCode>General</c:formatCode>
                <c:ptCount val="5"/>
                <c:pt idx="0">
                  <c:v>10.218881145885319</c:v>
                </c:pt>
                <c:pt idx="1">
                  <c:v>41.465877191757116</c:v>
                </c:pt>
                <c:pt idx="2">
                  <c:v>24.176718142929648</c:v>
                </c:pt>
                <c:pt idx="3">
                  <c:v>20.869499578309824</c:v>
                </c:pt>
                <c:pt idx="4">
                  <c:v>0</c:v>
                </c:pt>
              </c:numCache>
            </c:numRef>
          </c:val>
          <c:extLst>
            <c:ext xmlns:c16="http://schemas.microsoft.com/office/drawing/2014/chart" uri="{C3380CC4-5D6E-409C-BE32-E72D297353CC}">
              <c16:uniqueId val="{00000003-0C8A-4077-A518-88500A05C942}"/>
            </c:ext>
          </c:extLst>
        </c:ser>
        <c:dLbls>
          <c:showLegendKey val="0"/>
          <c:showVal val="0"/>
          <c:showCatName val="0"/>
          <c:showSerName val="0"/>
          <c:showPercent val="0"/>
          <c:showBubbleSize val="0"/>
        </c:dLbls>
        <c:gapWidth val="40"/>
        <c:overlap val="100"/>
        <c:axId val="307037904"/>
        <c:axId val="307038384"/>
      </c:barChart>
      <c:lineChart>
        <c:grouping val="standard"/>
        <c:varyColors val="0"/>
        <c:ser>
          <c:idx val="4"/>
          <c:order val="4"/>
          <c:tx>
            <c:strRef>
              <c:f>'O&amp;M Costs fixed'!$BG$1</c:f>
              <c:strCache>
                <c:ptCount val="1"/>
                <c:pt idx="0">
                  <c:v>Q1</c:v>
                </c:pt>
              </c:strCache>
            </c:strRef>
          </c:tx>
          <c:spPr>
            <a:ln w="25400" cap="rnd">
              <a:noFill/>
              <a:round/>
            </a:ln>
            <a:effectLst/>
          </c:spPr>
          <c:marker>
            <c:symbol val="none"/>
          </c:marker>
          <c:errBars>
            <c:errDir val="y"/>
            <c:errBarType val="minus"/>
            <c:errValType val="cust"/>
            <c:noEndCap val="0"/>
            <c:plus>
              <c:numRef>
                <c:f>'O&amp;M Costs variabel'!$BW$2:$BW$6</c:f>
                <c:numCache>
                  <c:formatCode>General</c:formatCode>
                  <c:ptCount val="5"/>
                  <c:pt idx="0">
                    <c:v>0</c:v>
                  </c:pt>
                  <c:pt idx="1">
                    <c:v>0</c:v>
                  </c:pt>
                  <c:pt idx="2">
                    <c:v>0</c:v>
                  </c:pt>
                  <c:pt idx="3">
                    <c:v>0</c:v>
                  </c:pt>
                  <c:pt idx="4">
                    <c:v>0</c:v>
                  </c:pt>
                </c:numCache>
              </c:numRef>
            </c:plus>
            <c:minus>
              <c:numRef>
                <c:f>'O&amp;M Costs variabel'!$BT$2:$BT$6</c:f>
                <c:numCache>
                  <c:formatCode>General</c:formatCode>
                  <c:ptCount val="5"/>
                  <c:pt idx="0">
                    <c:v>2.260658969776292</c:v>
                  </c:pt>
                  <c:pt idx="1">
                    <c:v>0</c:v>
                  </c:pt>
                  <c:pt idx="2">
                    <c:v>6.5361876182422645</c:v>
                  </c:pt>
                  <c:pt idx="3">
                    <c:v>1.6271657125376162</c:v>
                  </c:pt>
                  <c:pt idx="4">
                    <c:v>0</c:v>
                  </c:pt>
                </c:numCache>
              </c:numRef>
            </c:minus>
            <c:spPr>
              <a:noFill/>
              <a:ln w="12700" cap="flat" cmpd="sng" algn="ctr">
                <a:solidFill>
                  <a:schemeClr val="tx1">
                    <a:lumMod val="65000"/>
                    <a:lumOff val="35000"/>
                  </a:schemeClr>
                </a:solidFill>
                <a:round/>
              </a:ln>
              <a:effectLst/>
            </c:spPr>
          </c:errBars>
          <c:val>
            <c:numRef>
              <c:f>'O&amp;M Costs variabel'!$BE$2:$BE$6</c:f>
              <c:numCache>
                <c:formatCode>General</c:formatCode>
                <c:ptCount val="5"/>
                <c:pt idx="0">
                  <c:v>2.4940297876201583</c:v>
                </c:pt>
                <c:pt idx="1">
                  <c:v>8.8278294133140616</c:v>
                </c:pt>
                <c:pt idx="2">
                  <c:v>13.061105010691788</c:v>
                </c:pt>
                <c:pt idx="3">
                  <c:v>12.855527501155503</c:v>
                </c:pt>
                <c:pt idx="4">
                  <c:v>8.6035499419279926</c:v>
                </c:pt>
              </c:numCache>
            </c:numRef>
          </c:val>
          <c:smooth val="0"/>
          <c:extLst>
            <c:ext xmlns:c16="http://schemas.microsoft.com/office/drawing/2014/chart" uri="{C3380CC4-5D6E-409C-BE32-E72D297353CC}">
              <c16:uniqueId val="{00000004-0C8A-4077-A518-88500A05C942}"/>
            </c:ext>
          </c:extLst>
        </c:ser>
        <c:ser>
          <c:idx val="5"/>
          <c:order val="5"/>
          <c:tx>
            <c:strRef>
              <c:f>'OCC Chart_with_Contingency_tota'!$AP$1</c:f>
              <c:strCache>
                <c:ptCount val="1"/>
                <c:pt idx="0">
                  <c:v>Q3</c:v>
                </c:pt>
              </c:strCache>
            </c:strRef>
          </c:tx>
          <c:spPr>
            <a:ln w="25400" cap="rnd">
              <a:noFill/>
              <a:round/>
            </a:ln>
            <a:effectLst/>
          </c:spPr>
          <c:marker>
            <c:symbol val="none"/>
          </c:marker>
          <c:errBars>
            <c:errDir val="y"/>
            <c:errBarType val="plus"/>
            <c:errValType val="cust"/>
            <c:noEndCap val="0"/>
            <c:plus>
              <c:numRef>
                <c:f>'O&amp;M Costs variabel'!$BU$2:$BU$6</c:f>
                <c:numCache>
                  <c:formatCode>General</c:formatCode>
                  <c:ptCount val="5"/>
                  <c:pt idx="0">
                    <c:v>10.218881145885319</c:v>
                  </c:pt>
                  <c:pt idx="1">
                    <c:v>0</c:v>
                  </c:pt>
                  <c:pt idx="2">
                    <c:v>0</c:v>
                  </c:pt>
                  <c:pt idx="3">
                    <c:v>10.330337169550692</c:v>
                  </c:pt>
                  <c:pt idx="4">
                    <c:v>0</c:v>
                  </c:pt>
                </c:numCache>
              </c:numRef>
            </c:plus>
            <c:minus>
              <c:numRef>
                <c:f>'O&amp;M Costs variabel'!$BW$2:$BW$6</c:f>
                <c:numCache>
                  <c:formatCode>General</c:formatCode>
                  <c:ptCount val="5"/>
                  <c:pt idx="0">
                    <c:v>0</c:v>
                  </c:pt>
                  <c:pt idx="1">
                    <c:v>0</c:v>
                  </c:pt>
                  <c:pt idx="2">
                    <c:v>0</c:v>
                  </c:pt>
                  <c:pt idx="3">
                    <c:v>0</c:v>
                  </c:pt>
                  <c:pt idx="4">
                    <c:v>0</c:v>
                  </c:pt>
                </c:numCache>
              </c:numRef>
            </c:minus>
            <c:spPr>
              <a:noFill/>
              <a:ln w="12700" cap="flat" cmpd="sng" algn="ctr">
                <a:solidFill>
                  <a:schemeClr val="tx1">
                    <a:lumMod val="65000"/>
                    <a:lumOff val="35000"/>
                  </a:schemeClr>
                </a:solidFill>
                <a:round/>
              </a:ln>
              <a:effectLst/>
            </c:spPr>
          </c:errBars>
          <c:val>
            <c:numRef>
              <c:f>'O&amp;M Costs variabel'!$BG$2:$BG$6</c:f>
              <c:numCache>
                <c:formatCode>General</c:formatCode>
                <c:ptCount val="5"/>
                <c:pt idx="0">
                  <c:v>17.513819657327534</c:v>
                </c:pt>
                <c:pt idx="1">
                  <c:v>10.393177156068974</c:v>
                </c:pt>
                <c:pt idx="2">
                  <c:v>19.651852173913046</c:v>
                </c:pt>
                <c:pt idx="3">
                  <c:v>20.599813377894566</c:v>
                </c:pt>
                <c:pt idx="4">
                  <c:v>8.6035499419279926</c:v>
                </c:pt>
              </c:numCache>
            </c:numRef>
          </c:val>
          <c:smooth val="0"/>
          <c:extLst>
            <c:ext xmlns:c16="http://schemas.microsoft.com/office/drawing/2014/chart" uri="{C3380CC4-5D6E-409C-BE32-E72D297353CC}">
              <c16:uniqueId val="{00000005-0C8A-4077-A518-88500A05C942}"/>
            </c:ext>
          </c:extLst>
        </c:ser>
        <c:dLbls>
          <c:showLegendKey val="0"/>
          <c:showVal val="0"/>
          <c:showCatName val="0"/>
          <c:showSerName val="0"/>
          <c:showPercent val="0"/>
          <c:showBubbleSize val="0"/>
        </c:dLbls>
        <c:marker val="1"/>
        <c:smooth val="0"/>
        <c:axId val="307037904"/>
        <c:axId val="307038384"/>
      </c:lineChart>
      <c:scatterChart>
        <c:scatterStyle val="lineMarker"/>
        <c:varyColors val="0"/>
        <c:ser>
          <c:idx val="8"/>
          <c:order val="6"/>
          <c:tx>
            <c:strRef>
              <c:f>'OCC Chart_with_Contingency_tota'!$AK$1</c:f>
              <c:strCache>
                <c:ptCount val="1"/>
                <c:pt idx="0">
                  <c:v>97.5th percentile</c:v>
                </c:pt>
              </c:strCache>
            </c:strRef>
          </c:tx>
          <c:spPr>
            <a:ln w="25400" cap="rnd">
              <a:noFill/>
              <a:round/>
            </a:ln>
            <a:effectLst/>
          </c:spPr>
          <c:marker>
            <c:symbol val="triangle"/>
            <c:size val="16"/>
            <c:spPr>
              <a:solidFill>
                <a:srgbClr val="CDC4D2"/>
              </a:solidFill>
              <a:ln w="9525">
                <a:noFill/>
              </a:ln>
              <a:effectLst/>
            </c:spPr>
          </c:marker>
          <c:xVal>
            <c:numRef>
              <c:f>'O&amp;M Costs variabel'!$BA$2:$BA$6</c:f>
              <c:numCache>
                <c:formatCode>General</c:formatCode>
                <c:ptCount val="5"/>
                <c:pt idx="0">
                  <c:v>1</c:v>
                </c:pt>
                <c:pt idx="1">
                  <c:v>2</c:v>
                </c:pt>
                <c:pt idx="2">
                  <c:v>3</c:v>
                </c:pt>
                <c:pt idx="3">
                  <c:v>4</c:v>
                </c:pt>
                <c:pt idx="4">
                  <c:v>5</c:v>
                </c:pt>
              </c:numCache>
            </c:numRef>
          </c:xVal>
          <c:yVal>
            <c:numRef>
              <c:f>'O&amp;M Costs variabel'!$BB$2:$BB$6</c:f>
              <c:numCache>
                <c:formatCode>General</c:formatCode>
                <c:ptCount val="5"/>
                <c:pt idx="0">
                  <c:v>26.598181224899598</c:v>
                </c:pt>
                <c:pt idx="1">
                  <c:v>47.71246662865039</c:v>
                </c:pt>
                <c:pt idx="2">
                  <c:v>42.041927959977777</c:v>
                </c:pt>
                <c:pt idx="3">
                  <c:v>40.936627030109491</c:v>
                </c:pt>
                <c:pt idx="4">
                  <c:v>8.6035499419279926</c:v>
                </c:pt>
              </c:numCache>
            </c:numRef>
          </c:yVal>
          <c:smooth val="0"/>
          <c:extLst>
            <c:ext xmlns:c16="http://schemas.microsoft.com/office/drawing/2014/chart" uri="{C3380CC4-5D6E-409C-BE32-E72D297353CC}">
              <c16:uniqueId val="{00000006-0C8A-4077-A518-88500A05C942}"/>
            </c:ext>
          </c:extLst>
        </c:ser>
        <c:ser>
          <c:idx val="9"/>
          <c:order val="7"/>
          <c:tx>
            <c:strRef>
              <c:f>'OCC Chart_with_Contingency_tota'!$AO$1</c:f>
              <c:strCache>
                <c:ptCount val="1"/>
                <c:pt idx="0">
                  <c:v>Median</c:v>
                </c:pt>
              </c:strCache>
            </c:strRef>
          </c:tx>
          <c:spPr>
            <a:ln w="25400" cap="rnd">
              <a:noFill/>
              <a:round/>
            </a:ln>
            <a:effectLst/>
          </c:spPr>
          <c:marker>
            <c:symbol val="diamond"/>
            <c:size val="17"/>
            <c:spPr>
              <a:solidFill>
                <a:srgbClr val="FFBE98"/>
              </a:solidFill>
              <a:ln w="9525">
                <a:noFill/>
              </a:ln>
              <a:effectLst/>
            </c:spPr>
          </c:marker>
          <c:xVal>
            <c:numRef>
              <c:f>'O&amp;M Costs variabel'!$BA$2:$BA$6</c:f>
              <c:numCache>
                <c:formatCode>General</c:formatCode>
                <c:ptCount val="5"/>
                <c:pt idx="0">
                  <c:v>1</c:v>
                </c:pt>
                <c:pt idx="1">
                  <c:v>2</c:v>
                </c:pt>
                <c:pt idx="2">
                  <c:v>3</c:v>
                </c:pt>
                <c:pt idx="3">
                  <c:v>4</c:v>
                </c:pt>
                <c:pt idx="4">
                  <c:v>5</c:v>
                </c:pt>
              </c:numCache>
            </c:numRef>
          </c:xVal>
          <c:yVal>
            <c:numRef>
              <c:f>'O&amp;M Costs variabel'!$BF$2:$BF$6</c:f>
              <c:numCache>
                <c:formatCode>General</c:formatCode>
                <c:ptCount val="5"/>
                <c:pt idx="0">
                  <c:v>14.858402366863904</c:v>
                </c:pt>
                <c:pt idx="1">
                  <c:v>9.9904850803366507</c:v>
                </c:pt>
                <c:pt idx="2">
                  <c:v>15.011831521739131</c:v>
                </c:pt>
                <c:pt idx="3">
                  <c:v>14.858402366863904</c:v>
                </c:pt>
                <c:pt idx="4">
                  <c:v>8.6035499419279926</c:v>
                </c:pt>
              </c:numCache>
            </c:numRef>
          </c:yVal>
          <c:smooth val="0"/>
          <c:extLst>
            <c:ext xmlns:c16="http://schemas.microsoft.com/office/drawing/2014/chart" uri="{C3380CC4-5D6E-409C-BE32-E72D297353CC}">
              <c16:uniqueId val="{00000007-0C8A-4077-A518-88500A05C942}"/>
            </c:ext>
          </c:extLst>
        </c:ser>
        <c:ser>
          <c:idx val="6"/>
          <c:order val="8"/>
          <c:tx>
            <c:strRef>
              <c:f>'O&amp;M Costs fixed'!$AN$1</c:f>
              <c:strCache>
                <c:ptCount val="1"/>
                <c:pt idx="0">
                  <c:v>Data points</c:v>
                </c:pt>
              </c:strCache>
            </c:strRef>
          </c:tx>
          <c:spPr>
            <a:ln w="25400" cap="rnd">
              <a:noFill/>
              <a:round/>
            </a:ln>
            <a:effectLst/>
          </c:spPr>
          <c:marker>
            <c:symbol val="circle"/>
            <c:size val="6"/>
            <c:spPr>
              <a:solidFill>
                <a:schemeClr val="tx1">
                  <a:lumMod val="85000"/>
                  <a:lumOff val="15000"/>
                  <a:alpha val="50000"/>
                </a:schemeClr>
              </a:solidFill>
              <a:ln w="9525">
                <a:noFill/>
              </a:ln>
              <a:effectLst/>
            </c:spPr>
          </c:marker>
          <c:xVal>
            <c:numRef>
              <c:f>'O&amp;M Costs variabel'!$BZ$2:$BZ$60</c:f>
              <c:numCache>
                <c:formatCode>General</c:formatCode>
                <c:ptCount val="59"/>
                <c:pt idx="0">
                  <c:v>1</c:v>
                </c:pt>
                <c:pt idx="1">
                  <c:v>1</c:v>
                </c:pt>
                <c:pt idx="2">
                  <c:v>1</c:v>
                </c:pt>
                <c:pt idx="3">
                  <c:v>1</c:v>
                </c:pt>
                <c:pt idx="4">
                  <c:v>1</c:v>
                </c:pt>
                <c:pt idx="5">
                  <c:v>1</c:v>
                </c:pt>
                <c:pt idx="6">
                  <c:v>1</c:v>
                </c:pt>
                <c:pt idx="7">
                  <c:v>2</c:v>
                </c:pt>
                <c:pt idx="8">
                  <c:v>2</c:v>
                </c:pt>
                <c:pt idx="9">
                  <c:v>2</c:v>
                </c:pt>
                <c:pt idx="10">
                  <c:v>2</c:v>
                </c:pt>
                <c:pt idx="11">
                  <c:v>2</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4</c:v>
                </c:pt>
                <c:pt idx="57">
                  <c:v>4</c:v>
                </c:pt>
                <c:pt idx="58">
                  <c:v>4</c:v>
                </c:pt>
              </c:numCache>
            </c:numRef>
          </c:xVal>
          <c:yVal>
            <c:numRef>
              <c:f>'O&amp;M Costs variabel'!$BY$2:$BY$60</c:f>
              <c:numCache>
                <c:formatCode>General</c:formatCode>
                <c:ptCount val="59"/>
                <c:pt idx="0">
                  <c:v>0.23337081784386618</c:v>
                </c:pt>
                <c:pt idx="1">
                  <c:v>0.23337081784386618</c:v>
                </c:pt>
                <c:pt idx="2">
                  <c:v>4.7546887573964502</c:v>
                </c:pt>
                <c:pt idx="3">
                  <c:v>14.858402366863904</c:v>
                </c:pt>
                <c:pt idx="4">
                  <c:v>14.858402366863904</c:v>
                </c:pt>
                <c:pt idx="5">
                  <c:v>20.169236947791166</c:v>
                </c:pt>
                <c:pt idx="6">
                  <c:v>27.732700803212854</c:v>
                </c:pt>
                <c:pt idx="7">
                  <c:v>8.8278294133140616</c:v>
                </c:pt>
                <c:pt idx="8">
                  <c:v>8.8278294133140616</c:v>
                </c:pt>
                <c:pt idx="9">
                  <c:v>9.9904850803366507</c:v>
                </c:pt>
                <c:pt idx="10">
                  <c:v>10.393177156068974</c:v>
                </c:pt>
                <c:pt idx="11">
                  <c:v>51.859054347826088</c:v>
                </c:pt>
                <c:pt idx="12">
                  <c:v>0.52495816967262177</c:v>
                </c:pt>
                <c:pt idx="13">
                  <c:v>1.8898494108214381</c:v>
                </c:pt>
                <c:pt idx="14">
                  <c:v>6.5249173924495238</c:v>
                </c:pt>
                <c:pt idx="15">
                  <c:v>10.74692276403451</c:v>
                </c:pt>
                <c:pt idx="16">
                  <c:v>13.061105010691788</c:v>
                </c:pt>
                <c:pt idx="17">
                  <c:v>13.284371763011308</c:v>
                </c:pt>
                <c:pt idx="18">
                  <c:v>13.321840244620001</c:v>
                </c:pt>
                <c:pt idx="19">
                  <c:v>14.512338900768654</c:v>
                </c:pt>
                <c:pt idx="20">
                  <c:v>15.011831521739131</c:v>
                </c:pt>
                <c:pt idx="21">
                  <c:v>17.439499956593455</c:v>
                </c:pt>
                <c:pt idx="22">
                  <c:v>17.741255434782609</c:v>
                </c:pt>
                <c:pt idx="23">
                  <c:v>19.105967391304347</c:v>
                </c:pt>
                <c:pt idx="24">
                  <c:v>19.651852173913046</c:v>
                </c:pt>
                <c:pt idx="25">
                  <c:v>37.407824346859371</c:v>
                </c:pt>
                <c:pt idx="26">
                  <c:v>37.826568649249587</c:v>
                </c:pt>
                <c:pt idx="27">
                  <c:v>39.36196442468038</c:v>
                </c:pt>
                <c:pt idx="28">
                  <c:v>43.828570316842693</c:v>
                </c:pt>
                <c:pt idx="29">
                  <c:v>0.6028979591836735</c:v>
                </c:pt>
                <c:pt idx="30">
                  <c:v>0.6028979591836735</c:v>
                </c:pt>
                <c:pt idx="31">
                  <c:v>1.0080937956204381</c:v>
                </c:pt>
                <c:pt idx="32">
                  <c:v>11.228361788617887</c:v>
                </c:pt>
                <c:pt idx="33">
                  <c:v>11.345020092915217</c:v>
                </c:pt>
                <c:pt idx="34">
                  <c:v>12.295831004989308</c:v>
                </c:pt>
                <c:pt idx="35">
                  <c:v>12.295831004989308</c:v>
                </c:pt>
                <c:pt idx="36">
                  <c:v>12.805042674859189</c:v>
                </c:pt>
                <c:pt idx="37">
                  <c:v>12.872355776587607</c:v>
                </c:pt>
                <c:pt idx="38">
                  <c:v>13.423396293656449</c:v>
                </c:pt>
                <c:pt idx="39">
                  <c:v>13.423396293656449</c:v>
                </c:pt>
                <c:pt idx="40">
                  <c:v>13.445294808602149</c:v>
                </c:pt>
                <c:pt idx="41">
                  <c:v>13.605357842037888</c:v>
                </c:pt>
                <c:pt idx="42">
                  <c:v>13.68538935875576</c:v>
                </c:pt>
                <c:pt idx="43">
                  <c:v>14.221613693998309</c:v>
                </c:pt>
                <c:pt idx="44">
                  <c:v>14.858402366863904</c:v>
                </c:pt>
                <c:pt idx="45">
                  <c:v>14.858402366863904</c:v>
                </c:pt>
                <c:pt idx="46">
                  <c:v>14.858402366863904</c:v>
                </c:pt>
                <c:pt idx="47">
                  <c:v>16.466032786885243</c:v>
                </c:pt>
                <c:pt idx="48">
                  <c:v>16.466032786885243</c:v>
                </c:pt>
                <c:pt idx="49">
                  <c:v>16.714850038255548</c:v>
                </c:pt>
                <c:pt idx="50">
                  <c:v>16.714850038255548</c:v>
                </c:pt>
                <c:pt idx="51">
                  <c:v>20.390988138686133</c:v>
                </c:pt>
                <c:pt idx="52">
                  <c:v>20.390988138686133</c:v>
                </c:pt>
                <c:pt idx="53">
                  <c:v>21.226289095519864</c:v>
                </c:pt>
                <c:pt idx="54">
                  <c:v>29.326364963503654</c:v>
                </c:pt>
                <c:pt idx="55">
                  <c:v>30.24281386861314</c:v>
                </c:pt>
                <c:pt idx="56">
                  <c:v>30.701038321167889</c:v>
                </c:pt>
                <c:pt idx="57">
                  <c:v>30.930150547445258</c:v>
                </c:pt>
                <c:pt idx="58">
                  <c:v>36.887068430656939</c:v>
                </c:pt>
              </c:numCache>
            </c:numRef>
          </c:yVal>
          <c:smooth val="0"/>
          <c:extLst>
            <c:ext xmlns:c16="http://schemas.microsoft.com/office/drawing/2014/chart" uri="{C3380CC4-5D6E-409C-BE32-E72D297353CC}">
              <c16:uniqueId val="{00000008-0C8A-4077-A518-88500A05C942}"/>
            </c:ext>
          </c:extLst>
        </c:ser>
        <c:ser>
          <c:idx val="7"/>
          <c:order val="9"/>
          <c:tx>
            <c:strRef>
              <c:f>'OCC Chart_with_Contingency_tota'!$AL$1</c:f>
              <c:strCache>
                <c:ptCount val="1"/>
                <c:pt idx="0">
                  <c:v>Mean</c:v>
                </c:pt>
              </c:strCache>
            </c:strRef>
          </c:tx>
          <c:spPr>
            <a:ln w="25400" cap="rnd">
              <a:noFill/>
              <a:round/>
            </a:ln>
            <a:effectLst/>
          </c:spPr>
          <c:marker>
            <c:symbol val="x"/>
            <c:size val="12"/>
            <c:spPr>
              <a:noFill/>
              <a:ln w="38100">
                <a:solidFill>
                  <a:srgbClr val="FF8C9E"/>
                </a:solidFill>
              </a:ln>
              <a:effectLst/>
            </c:spPr>
          </c:marker>
          <c:xVal>
            <c:numRef>
              <c:f>'O&amp;M Costs variabel'!$BA$2:$BA$6</c:f>
              <c:numCache>
                <c:formatCode>General</c:formatCode>
                <c:ptCount val="5"/>
                <c:pt idx="0">
                  <c:v>1</c:v>
                </c:pt>
                <c:pt idx="1">
                  <c:v>2</c:v>
                </c:pt>
                <c:pt idx="2">
                  <c:v>3</c:v>
                </c:pt>
                <c:pt idx="3">
                  <c:v>4</c:v>
                </c:pt>
                <c:pt idx="4">
                  <c:v>5</c:v>
                </c:pt>
              </c:numCache>
            </c:numRef>
          </c:xVal>
          <c:yVal>
            <c:numRef>
              <c:f>'O&amp;M Costs variabel'!$BC$2:$BC$6</c:f>
              <c:numCache>
                <c:formatCode>General</c:formatCode>
                <c:ptCount val="5"/>
                <c:pt idx="0">
                  <c:v>11.834310411116572</c:v>
                </c:pt>
                <c:pt idx="1">
                  <c:v>17.979675082171969</c:v>
                </c:pt>
                <c:pt idx="2">
                  <c:v>18.896566933649087</c:v>
                </c:pt>
                <c:pt idx="3">
                  <c:v>17.817023244886943</c:v>
                </c:pt>
                <c:pt idx="4">
                  <c:v>8.6035499419279926</c:v>
                </c:pt>
              </c:numCache>
            </c:numRef>
          </c:yVal>
          <c:smooth val="0"/>
          <c:extLst>
            <c:ext xmlns:c16="http://schemas.microsoft.com/office/drawing/2014/chart" uri="{C3380CC4-5D6E-409C-BE32-E72D297353CC}">
              <c16:uniqueId val="{00000009-0C8A-4077-A518-88500A05C942}"/>
            </c:ext>
          </c:extLst>
        </c:ser>
        <c:dLbls>
          <c:showLegendKey val="0"/>
          <c:showVal val="0"/>
          <c:showCatName val="0"/>
          <c:showSerName val="0"/>
          <c:showPercent val="0"/>
          <c:showBubbleSize val="0"/>
        </c:dLbls>
        <c:axId val="307037904"/>
        <c:axId val="307038384"/>
      </c:scatterChart>
      <c:catAx>
        <c:axId val="3070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307038384"/>
        <c:crosses val="autoZero"/>
        <c:auto val="1"/>
        <c:lblAlgn val="ctr"/>
        <c:lblOffset val="100"/>
        <c:tickMarkSkip val="1"/>
        <c:noMultiLvlLbl val="0"/>
      </c:catAx>
      <c:valAx>
        <c:axId val="307038384"/>
        <c:scaling>
          <c:orientation val="minMax"/>
          <c:max val="60"/>
          <c:min val="0"/>
        </c:scaling>
        <c:delete val="0"/>
        <c:axPos val="l"/>
        <c:majorGridlines>
          <c:spPr>
            <a:ln w="12700" cap="flat" cmpd="sng" algn="ctr">
              <a:solidFill>
                <a:schemeClr val="bg2">
                  <a:lumMod val="90000"/>
                  <a:alpha val="50000"/>
                </a:schemeClr>
              </a:solidFill>
              <a:round/>
            </a:ln>
            <a:effectLst/>
          </c:spPr>
        </c:majorGridlines>
        <c:minorGridlines>
          <c:spPr>
            <a:ln w="12700" cap="flat" cmpd="sng" algn="ctr">
              <a:solidFill>
                <a:schemeClr val="bg1">
                  <a:lumMod val="95000"/>
                  <a:alpha val="50000"/>
                </a:schemeClr>
              </a:solidFill>
              <a:round/>
            </a:ln>
            <a:effectLst/>
          </c:spPr>
        </c:minorGridlines>
        <c:title>
          <c:tx>
            <c:rich>
              <a:bodyPr rot="-5400000" spcFirstLastPara="1" vertOverflow="ellipsis" vert="horz" wrap="square" anchor="ctr" anchorCtr="1"/>
              <a:lstStyle/>
              <a:p>
                <a:pPr algn="ct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de-DE" sz="2000" b="1">
                    <a:solidFill>
                      <a:sysClr val="windowText" lastClr="000000"/>
                    </a:solidFill>
                  </a:rPr>
                  <a:t>Variable O&amp;M Costs [2018 USD/MWh]</a:t>
                </a:r>
              </a:p>
            </c:rich>
          </c:tx>
          <c:layout>
            <c:manualLayout>
              <c:xMode val="edge"/>
              <c:yMode val="edge"/>
              <c:x val="4.8338320256308359E-4"/>
              <c:y val="0.24305624877571291"/>
            </c:manualLayout>
          </c:layout>
          <c:overlay val="0"/>
          <c:spPr>
            <a:noFill/>
            <a:ln>
              <a:noFill/>
            </a:ln>
            <a:effectLst/>
          </c:spPr>
          <c:txPr>
            <a:bodyPr rot="-5400000" spcFirstLastPara="1" vertOverflow="ellipsis" vert="horz" wrap="square" anchor="ctr" anchorCtr="1"/>
            <a:lstStyle/>
            <a:p>
              <a:pPr algn="ct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General" sourceLinked="1"/>
        <c:majorTickMark val="out"/>
        <c:minorTickMark val="out"/>
        <c:tickLblPos val="nextTo"/>
        <c:spPr>
          <a:noFill/>
          <a:ln>
            <a:solidFill>
              <a:schemeClr val="bg1">
                <a:lumMod val="75000"/>
              </a:schemeClr>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307037904"/>
        <c:crosses val="autoZero"/>
        <c:crossBetween val="between"/>
        <c:majorUnit val="5"/>
        <c:minorUnit val="1"/>
      </c:valAx>
      <c:spPr>
        <a:noFill/>
        <a:ln>
          <a:noFill/>
        </a:ln>
        <a:effectLst/>
      </c:spPr>
    </c:plotArea>
    <c:legend>
      <c:legendPos val="b"/>
      <c:legendEntry>
        <c:idx val="0"/>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'OCC Chart_with_Contingency_tota'!$J$1</c:f>
              <c:strCache>
                <c:ptCount val="1"/>
                <c:pt idx="0">
                  <c:v>97.5 percentile for FOAK</c:v>
                </c:pt>
              </c:strCache>
            </c:strRef>
          </c:tx>
          <c:spPr>
            <a:solidFill>
              <a:srgbClr val="C1D3E5">
                <a:alpha val="74000"/>
              </a:srgbClr>
            </a:solidFill>
            <a:ln>
              <a:noFill/>
            </a:ln>
            <a:effectLst/>
          </c:spPr>
          <c:invertIfNegative val="0"/>
          <c:dPt>
            <c:idx val="0"/>
            <c:invertIfNegative val="0"/>
            <c:bubble3D val="0"/>
            <c:spPr>
              <a:solidFill>
                <a:srgbClr val="3B5969">
                  <a:alpha val="73333"/>
                </a:srgbClr>
              </a:solidFill>
              <a:ln>
                <a:noFill/>
              </a:ln>
              <a:effectLst/>
            </c:spPr>
            <c:extLst>
              <c:ext xmlns:c16="http://schemas.microsoft.com/office/drawing/2014/chart" uri="{C3380CC4-5D6E-409C-BE32-E72D297353CC}">
                <c16:uniqueId val="{00000001-94DB-4F68-A589-2D3E6F47082A}"/>
              </c:ext>
            </c:extLst>
          </c:dPt>
          <c:dPt>
            <c:idx val="3"/>
            <c:invertIfNegative val="0"/>
            <c:bubble3D val="0"/>
            <c:spPr>
              <a:solidFill>
                <a:srgbClr val="AC3D00">
                  <a:alpha val="73725"/>
                </a:srgbClr>
              </a:solidFill>
              <a:ln>
                <a:noFill/>
              </a:ln>
              <a:effectLst/>
            </c:spPr>
            <c:extLst>
              <c:ext xmlns:c16="http://schemas.microsoft.com/office/drawing/2014/chart" uri="{C3380CC4-5D6E-409C-BE32-E72D297353CC}">
                <c16:uniqueId val="{00000003-94DB-4F68-A589-2D3E6F47082A}"/>
              </c:ext>
            </c:extLst>
          </c:dPt>
          <c:dPt>
            <c:idx val="7"/>
            <c:invertIfNegative val="0"/>
            <c:bubble3D val="0"/>
            <c:spPr>
              <a:solidFill>
                <a:srgbClr val="4F758B">
                  <a:alpha val="74000"/>
                </a:srgbClr>
              </a:solidFill>
              <a:ln>
                <a:noFill/>
              </a:ln>
              <a:effectLst/>
            </c:spPr>
            <c:extLst>
              <c:ext xmlns:c16="http://schemas.microsoft.com/office/drawing/2014/chart" uri="{C3380CC4-5D6E-409C-BE32-E72D297353CC}">
                <c16:uniqueId val="{00000005-94DB-4F68-A589-2D3E6F47082A}"/>
              </c:ext>
            </c:extLst>
          </c:dPt>
          <c:dLbls>
            <c:dLbl>
              <c:idx val="0"/>
              <c:layout>
                <c:manualLayout>
                  <c:x val="0"/>
                  <c:y val="3.6365866386939019E-2"/>
                </c:manualLayout>
              </c:layout>
              <c:tx>
                <c:rich>
                  <a:bodyPr/>
                  <a:lstStyle/>
                  <a:p>
                    <a:fld id="{7BBB3303-5FE8-461F-8902-B6C905D689F4}" type="CELLRANGE">
                      <a:rPr lang="en-US" sz="800" b="1">
                        <a:latin typeface="Arial" panose="020B0604020202020204" pitchFamily="34" charset="0"/>
                        <a:cs typeface="Arial" panose="020B0604020202020204" pitchFamily="34" charset="0"/>
                      </a:rPr>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4DB-4F68-A589-2D3E6F47082A}"/>
                </c:ext>
              </c:extLst>
            </c:dLbl>
            <c:dLbl>
              <c:idx val="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6-94DB-4F68-A589-2D3E6F47082A}"/>
                </c:ext>
              </c:extLst>
            </c:dLbl>
            <c:dLbl>
              <c:idx val="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4DB-4F68-A589-2D3E6F47082A}"/>
                </c:ext>
              </c:extLst>
            </c:dLbl>
            <c:dLbl>
              <c:idx val="3"/>
              <c:layout>
                <c:manualLayout>
                  <c:x val="9.4824409087135124E-4"/>
                  <c:y val="-6.538976418494491E-2"/>
                </c:manualLayout>
              </c:layout>
              <c:tx>
                <c:rich>
                  <a:bodyPr/>
                  <a:lstStyle/>
                  <a:p>
                    <a:fld id="{2FD7B108-A37E-4E47-8B2A-987D7F5350B0}" type="CELLRANGE">
                      <a:rPr lang="en-US"/>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4DB-4F68-A589-2D3E6F47082A}"/>
                </c:ext>
              </c:extLst>
            </c:dLbl>
            <c:dLbl>
              <c:idx val="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94DB-4F68-A589-2D3E6F47082A}"/>
                </c:ext>
              </c:extLst>
            </c:dLbl>
            <c:dLbl>
              <c:idx val="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4DB-4F68-A589-2D3E6F47082A}"/>
                </c:ext>
              </c:extLst>
            </c:dLbl>
            <c:dLbl>
              <c:idx val="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4DB-4F68-A589-2D3E6F47082A}"/>
                </c:ext>
              </c:extLst>
            </c:dLbl>
            <c:dLbl>
              <c:idx val="7"/>
              <c:tx>
                <c:rich>
                  <a:bodyPr/>
                  <a:lstStyle/>
                  <a:p>
                    <a:fld id="{90FF64CA-F502-4BA4-9EC0-FB4E4785F0FC}" type="CELLRANGE">
                      <a:rPr lang="en-US" sz="700" b="1">
                        <a:latin typeface="Arial" panose="020B0604020202020204" pitchFamily="34" charset="0"/>
                        <a:cs typeface="Arial" panose="020B0604020202020204" pitchFamily="34" charset="0"/>
                      </a:rPr>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4DB-4F68-A589-2D3E6F47082A}"/>
                </c:ext>
              </c:extLst>
            </c:dLbl>
            <c:dLbl>
              <c:idx val="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94DB-4F68-A589-2D3E6F47082A}"/>
                </c:ext>
              </c:extLst>
            </c:dLbl>
            <c:dLbl>
              <c:idx val="9"/>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94DB-4F68-A589-2D3E6F47082A}"/>
                </c:ext>
              </c:extLst>
            </c:dLbl>
            <c:dLbl>
              <c:idx val="10"/>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94DB-4F68-A589-2D3E6F47082A}"/>
                </c:ext>
              </c:extLst>
            </c:dLbl>
            <c:dLbl>
              <c:idx val="1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94DB-4F68-A589-2D3E6F47082A}"/>
                </c:ext>
              </c:extLst>
            </c:dLbl>
            <c:dLbl>
              <c:idx val="1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94DB-4F68-A589-2D3E6F47082A}"/>
                </c:ext>
              </c:extLst>
            </c:dLbl>
            <c:dLbl>
              <c:idx val="1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94DB-4F68-A589-2D3E6F47082A}"/>
                </c:ext>
              </c:extLst>
            </c:dLbl>
            <c:dLbl>
              <c:idx val="1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94DB-4F68-A589-2D3E6F47082A}"/>
                </c:ext>
              </c:extLst>
            </c:dLbl>
            <c:dLbl>
              <c:idx val="1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94DB-4F68-A589-2D3E6F47082A}"/>
                </c:ext>
              </c:extLst>
            </c:dLbl>
            <c:dLbl>
              <c:idx val="1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94DB-4F68-A589-2D3E6F47082A}"/>
                </c:ext>
              </c:extLst>
            </c:dLbl>
            <c:dLbl>
              <c:idx val="1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94DB-4F68-A589-2D3E6F47082A}"/>
                </c:ext>
              </c:extLst>
            </c:dLbl>
            <c:dLbl>
              <c:idx val="1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94DB-4F68-A589-2D3E6F47082A}"/>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'OCC Chart_with_Contingency_tota'!$A$2:$C$20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'OCC Chart_with_Contingency_tota'!$J$2:$J$20</c:f>
              <c:numCache>
                <c:formatCode>General</c:formatCode>
                <c:ptCount val="19"/>
                <c:pt idx="0">
                  <c:v>#N/A</c:v>
                </c:pt>
                <c:pt idx="1">
                  <c:v>#N/A</c:v>
                </c:pt>
                <c:pt idx="2">
                  <c:v>#N/A</c:v>
                </c:pt>
                <c:pt idx="3">
                  <c:v>27331.987939932962</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extLst>
            <c:ext xmlns:c15="http://schemas.microsoft.com/office/drawing/2012/chart" uri="{02D57815-91ED-43cb-92C2-25804820EDAC}">
              <c15:datalabelsRange>
                <c15:f>'OCC Chart_with_Contingency_tota'!$P$2:$P$20</c15:f>
                <c15:dlblRangeCache>
                  <c:ptCount val="19"/>
                  <c:pt idx="1">
                    <c:v>n=1</c:v>
                  </c:pt>
                  <c:pt idx="2">
                    <c:v>n=7</c:v>
                  </c:pt>
                  <c:pt idx="3">
                    <c:v>n=18</c:v>
                  </c:pt>
                  <c:pt idx="4">
                    <c:v>n=7</c:v>
                  </c:pt>
                  <c:pt idx="5">
                    <c:v>n=46</c:v>
                  </c:pt>
                  <c:pt idx="6">
                    <c:v>n=2</c:v>
                  </c:pt>
                  <c:pt idx="8">
                    <c:v>n=5</c:v>
                  </c:pt>
                  <c:pt idx="12">
                    <c:v>n=4</c:v>
                  </c:pt>
                  <c:pt idx="15">
                    <c:v>n=2</c:v>
                  </c:pt>
                  <c:pt idx="18">
                    <c:v>n=3</c:v>
                  </c:pt>
                </c15:dlblRangeCache>
              </c15:datalabelsRange>
            </c:ext>
            <c:ext xmlns:c16="http://schemas.microsoft.com/office/drawing/2014/chart" uri="{C3380CC4-5D6E-409C-BE32-E72D297353CC}">
              <c16:uniqueId val="{00000016-94DB-4F68-A589-2D3E6F47082A}"/>
            </c:ext>
          </c:extLst>
        </c:ser>
        <c:ser>
          <c:idx val="1"/>
          <c:order val="1"/>
          <c:tx>
            <c:strRef>
              <c:f>'OCC Chart_with_Contingency_tota'!$K$1</c:f>
              <c:strCache>
                <c:ptCount val="1"/>
                <c:pt idx="0">
                  <c:v>97.5 percentile for NOAK</c:v>
                </c:pt>
              </c:strCache>
            </c:strRef>
          </c:tx>
          <c:spPr>
            <a:solidFill>
              <a:srgbClr val="57839B">
                <a:alpha val="69804"/>
              </a:srgbClr>
            </a:solidFill>
            <a:ln>
              <a:noFill/>
            </a:ln>
            <a:effectLst/>
          </c:spPr>
          <c:invertIfNegative val="0"/>
          <c:dPt>
            <c:idx val="1"/>
            <c:invertIfNegative val="0"/>
            <c:bubble3D val="0"/>
            <c:spPr>
              <a:solidFill>
                <a:srgbClr val="57839B">
                  <a:alpha val="69804"/>
                </a:srgbClr>
              </a:solidFill>
              <a:ln>
                <a:noFill/>
              </a:ln>
              <a:effectLst/>
            </c:spPr>
            <c:extLst>
              <c:ext xmlns:c16="http://schemas.microsoft.com/office/drawing/2014/chart" uri="{C3380CC4-5D6E-409C-BE32-E72D297353CC}">
                <c16:uniqueId val="{00000018-94DB-4F68-A589-2D3E6F47082A}"/>
              </c:ext>
            </c:extLst>
          </c:dPt>
          <c:dPt>
            <c:idx val="4"/>
            <c:invertIfNegative val="0"/>
            <c:bubble3D val="0"/>
            <c:spPr>
              <a:solidFill>
                <a:srgbClr val="FF5E05">
                  <a:alpha val="69804"/>
                </a:srgbClr>
              </a:solidFill>
              <a:ln>
                <a:noFill/>
              </a:ln>
              <a:effectLst/>
            </c:spPr>
            <c:extLst>
              <c:ext xmlns:c16="http://schemas.microsoft.com/office/drawing/2014/chart" uri="{C3380CC4-5D6E-409C-BE32-E72D297353CC}">
                <c16:uniqueId val="{0000001A-94DB-4F68-A589-2D3E6F47082A}"/>
              </c:ext>
            </c:extLst>
          </c:dPt>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B-94DB-4F68-A589-2D3E6F47082A}"/>
                </c:ext>
              </c:extLst>
            </c:dLbl>
            <c:dLbl>
              <c:idx val="1"/>
              <c:layout>
                <c:manualLayout>
                  <c:x val="0"/>
                  <c:y val="2.7274399790204268E-2"/>
                </c:manualLayout>
              </c:layout>
              <c:tx>
                <c:rich>
                  <a:bodyPr/>
                  <a:lstStyle/>
                  <a:p>
                    <a:fld id="{2339B5CA-188F-444B-9D1E-7305048C25D1}" type="CELLRANGE">
                      <a:rPr lang="en-US" sz="800" b="1">
                        <a:latin typeface="Arial" panose="020B0604020202020204" pitchFamily="34" charset="0"/>
                        <a:cs typeface="Arial" panose="020B0604020202020204" pitchFamily="34" charset="0"/>
                      </a:rPr>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94DB-4F68-A589-2D3E6F47082A}"/>
                </c:ext>
              </c:extLst>
            </c:dLbl>
            <c:dLbl>
              <c:idx val="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94DB-4F68-A589-2D3E6F47082A}"/>
                </c:ext>
              </c:extLst>
            </c:dLbl>
            <c:dLbl>
              <c:idx val="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94DB-4F68-A589-2D3E6F47082A}"/>
                </c:ext>
              </c:extLst>
            </c:dLbl>
            <c:dLbl>
              <c:idx val="4"/>
              <c:layout>
                <c:manualLayout>
                  <c:x val="-3.2017329388881537E-17"/>
                  <c:y val="-1.4793785119222873E-2"/>
                </c:manualLayout>
              </c:layout>
              <c:tx>
                <c:rich>
                  <a:bodyPr/>
                  <a:lstStyle/>
                  <a:p>
                    <a:fld id="{9F58C290-E6FD-4A35-AE3C-15B6962857FB}" type="CELLRANGE">
                      <a:rPr lang="en-US"/>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94DB-4F68-A589-2D3E6F47082A}"/>
                </c:ext>
              </c:extLst>
            </c:dLbl>
            <c:dLbl>
              <c:idx val="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94DB-4F68-A589-2D3E6F47082A}"/>
                </c:ext>
              </c:extLst>
            </c:dLbl>
            <c:dLbl>
              <c:idx val="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94DB-4F68-A589-2D3E6F47082A}"/>
                </c:ext>
              </c:extLst>
            </c:dLbl>
            <c:dLbl>
              <c:idx val="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94DB-4F68-A589-2D3E6F47082A}"/>
                </c:ext>
              </c:extLst>
            </c:dLbl>
            <c:dLbl>
              <c:idx val="8"/>
              <c:tx>
                <c:rich>
                  <a:bodyPr/>
                  <a:lstStyle/>
                  <a:p>
                    <a:fld id="{0FE31A70-962F-442B-B1BF-4BBAAA6D063F}" type="CELLRANGE">
                      <a:rPr lang="de-DE"/>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94DB-4F68-A589-2D3E6F47082A}"/>
                </c:ext>
              </c:extLst>
            </c:dLbl>
            <c:dLbl>
              <c:idx val="9"/>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94DB-4F68-A589-2D3E6F47082A}"/>
                </c:ext>
              </c:extLst>
            </c:dLbl>
            <c:dLbl>
              <c:idx val="10"/>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94DB-4F68-A589-2D3E6F47082A}"/>
                </c:ext>
              </c:extLst>
            </c:dLbl>
            <c:dLbl>
              <c:idx val="1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94DB-4F68-A589-2D3E6F47082A}"/>
                </c:ext>
              </c:extLst>
            </c:dLbl>
            <c:dLbl>
              <c:idx val="1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94DB-4F68-A589-2D3E6F47082A}"/>
                </c:ext>
              </c:extLst>
            </c:dLbl>
            <c:dLbl>
              <c:idx val="1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94DB-4F68-A589-2D3E6F47082A}"/>
                </c:ext>
              </c:extLst>
            </c:dLbl>
            <c:dLbl>
              <c:idx val="1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94DB-4F68-A589-2D3E6F47082A}"/>
                </c:ext>
              </c:extLst>
            </c:dLbl>
            <c:dLbl>
              <c:idx val="1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94DB-4F68-A589-2D3E6F47082A}"/>
                </c:ext>
              </c:extLst>
            </c:dLbl>
            <c:dLbl>
              <c:idx val="1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94DB-4F68-A589-2D3E6F47082A}"/>
                </c:ext>
              </c:extLst>
            </c:dLbl>
            <c:dLbl>
              <c:idx val="1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94DB-4F68-A589-2D3E6F47082A}"/>
                </c:ext>
              </c:extLst>
            </c:dLbl>
            <c:dLbl>
              <c:idx val="1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94DB-4F68-A589-2D3E6F47082A}"/>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'OCC Chart_with_Contingency_tota'!$A$2:$C$20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'OCC Chart_with_Contingency_tota'!$K$2:$K$20</c:f>
              <c:numCache>
                <c:formatCode>General</c:formatCode>
                <c:ptCount val="19"/>
                <c:pt idx="0">
                  <c:v>#N/A</c:v>
                </c:pt>
                <c:pt idx="1">
                  <c:v>2100.3070606742936</c:v>
                </c:pt>
                <c:pt idx="2">
                  <c:v>#N/A</c:v>
                </c:pt>
                <c:pt idx="3">
                  <c:v>#N/A</c:v>
                </c:pt>
                <c:pt idx="4">
                  <c:v>15163.336584805127</c:v>
                </c:pt>
                <c:pt idx="5">
                  <c:v>#N/A</c:v>
                </c:pt>
                <c:pt idx="6">
                  <c:v>#N/A</c:v>
                </c:pt>
                <c:pt idx="7">
                  <c:v>#N/A</c:v>
                </c:pt>
                <c:pt idx="8">
                  <c:v>6701.66861102232</c:v>
                </c:pt>
                <c:pt idx="9">
                  <c:v>#N/A</c:v>
                </c:pt>
                <c:pt idx="10">
                  <c:v>#N/A</c:v>
                </c:pt>
                <c:pt idx="11">
                  <c:v>#N/A</c:v>
                </c:pt>
                <c:pt idx="12">
                  <c:v>#N/A</c:v>
                </c:pt>
                <c:pt idx="13">
                  <c:v>#N/A</c:v>
                </c:pt>
                <c:pt idx="14">
                  <c:v>#N/A</c:v>
                </c:pt>
                <c:pt idx="15">
                  <c:v>#N/A</c:v>
                </c:pt>
                <c:pt idx="16">
                  <c:v>#N/A</c:v>
                </c:pt>
                <c:pt idx="17">
                  <c:v>#N/A</c:v>
                </c:pt>
                <c:pt idx="18">
                  <c:v>#N/A</c:v>
                </c:pt>
              </c:numCache>
            </c:numRef>
          </c:val>
          <c:extLst>
            <c:ext xmlns:c15="http://schemas.microsoft.com/office/drawing/2012/chart" uri="{02D57815-91ED-43cb-92C2-25804820EDAC}">
              <c15:datalabelsRange>
                <c15:f>'OCC Chart_with_Contingency_tota'!$P$2:$P$20</c15:f>
                <c15:dlblRangeCache>
                  <c:ptCount val="19"/>
                  <c:pt idx="1">
                    <c:v>n=1</c:v>
                  </c:pt>
                  <c:pt idx="2">
                    <c:v>n=7</c:v>
                  </c:pt>
                  <c:pt idx="3">
                    <c:v>n=18</c:v>
                  </c:pt>
                  <c:pt idx="4">
                    <c:v>n=7</c:v>
                  </c:pt>
                  <c:pt idx="5">
                    <c:v>n=46</c:v>
                  </c:pt>
                  <c:pt idx="6">
                    <c:v>n=2</c:v>
                  </c:pt>
                  <c:pt idx="8">
                    <c:v>n=5</c:v>
                  </c:pt>
                  <c:pt idx="12">
                    <c:v>n=4</c:v>
                  </c:pt>
                  <c:pt idx="15">
                    <c:v>n=2</c:v>
                  </c:pt>
                  <c:pt idx="18">
                    <c:v>n=3</c:v>
                  </c:pt>
                </c15:dlblRangeCache>
              </c15:datalabelsRange>
            </c:ext>
            <c:ext xmlns:c16="http://schemas.microsoft.com/office/drawing/2014/chart" uri="{C3380CC4-5D6E-409C-BE32-E72D297353CC}">
              <c16:uniqueId val="{0000002C-94DB-4F68-A589-2D3E6F47082A}"/>
            </c:ext>
          </c:extLst>
        </c:ser>
        <c:ser>
          <c:idx val="2"/>
          <c:order val="2"/>
          <c:tx>
            <c:strRef>
              <c:f>'OCC Chart_with_Contingency_tota'!$L$1</c:f>
              <c:strCache>
                <c:ptCount val="1"/>
                <c:pt idx="0">
                  <c:v>97.5 percentile for 1Oth-OAK</c:v>
                </c:pt>
              </c:strCache>
            </c:strRef>
          </c:tx>
          <c:spPr>
            <a:solidFill>
              <a:srgbClr val="A7BFCD">
                <a:alpha val="69804"/>
              </a:srgbClr>
            </a:solidFill>
            <a:ln>
              <a:noFill/>
            </a:ln>
            <a:effectLst/>
          </c:spPr>
          <c:invertIfNegative val="0"/>
          <c:dPt>
            <c:idx val="2"/>
            <c:invertIfNegative val="0"/>
            <c:bubble3D val="0"/>
            <c:spPr>
              <a:solidFill>
                <a:srgbClr val="A7BFCD">
                  <a:alpha val="69804"/>
                </a:srgbClr>
              </a:solidFill>
              <a:ln>
                <a:noFill/>
              </a:ln>
              <a:effectLst/>
            </c:spPr>
            <c:extLst>
              <c:ext xmlns:c16="http://schemas.microsoft.com/office/drawing/2014/chart" uri="{C3380CC4-5D6E-409C-BE32-E72D297353CC}">
                <c16:uniqueId val="{0000002E-94DB-4F68-A589-2D3E6F47082A}"/>
              </c:ext>
            </c:extLst>
          </c:dPt>
          <c:dPt>
            <c:idx val="5"/>
            <c:invertIfNegative val="0"/>
            <c:bubble3D val="0"/>
            <c:spPr>
              <a:solidFill>
                <a:srgbClr val="AC3D00">
                  <a:alpha val="69804"/>
                </a:srgbClr>
              </a:solidFill>
              <a:ln>
                <a:noFill/>
              </a:ln>
              <a:effectLst/>
            </c:spPr>
            <c:extLst>
              <c:ext xmlns:c16="http://schemas.microsoft.com/office/drawing/2014/chart" uri="{C3380CC4-5D6E-409C-BE32-E72D297353CC}">
                <c16:uniqueId val="{00000030-94DB-4F68-A589-2D3E6F47082A}"/>
              </c:ext>
            </c:extLst>
          </c:dPt>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31-94DB-4F68-A589-2D3E6F47082A}"/>
                </c:ext>
              </c:extLst>
            </c:dLbl>
            <c:dLbl>
              <c:idx val="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94DB-4F68-A589-2D3E6F47082A}"/>
                </c:ext>
              </c:extLst>
            </c:dLbl>
            <c:dLbl>
              <c:idx val="2"/>
              <c:layout>
                <c:manualLayout>
                  <c:x val="0"/>
                  <c:y val="3.0196379333482026E-2"/>
                </c:manualLayout>
              </c:layout>
              <c:tx>
                <c:rich>
                  <a:bodyPr/>
                  <a:lstStyle/>
                  <a:p>
                    <a:fld id="{83FFB45C-F4B0-42BC-BDF7-9C39CE750961}" type="CELLRANGE">
                      <a:rPr lang="en-US" sz="800" b="1">
                        <a:latin typeface="Arial" panose="020B0604020202020204" pitchFamily="34" charset="0"/>
                        <a:cs typeface="Arial" panose="020B0604020202020204" pitchFamily="34" charset="0"/>
                      </a:rPr>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94DB-4F68-A589-2D3E6F47082A}"/>
                </c:ext>
              </c:extLst>
            </c:dLbl>
            <c:dLbl>
              <c:idx val="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94DB-4F68-A589-2D3E6F47082A}"/>
                </c:ext>
              </c:extLst>
            </c:dLbl>
            <c:dLbl>
              <c:idx val="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94DB-4F68-A589-2D3E6F47082A}"/>
                </c:ext>
              </c:extLst>
            </c:dLbl>
            <c:dLbl>
              <c:idx val="5"/>
              <c:layout>
                <c:manualLayout>
                  <c:x val="0"/>
                  <c:y val="4.4381355357668295E-2"/>
                </c:manualLayout>
              </c:layout>
              <c:tx>
                <c:rich>
                  <a:bodyPr/>
                  <a:lstStyle/>
                  <a:p>
                    <a:fld id="{E717B419-21D0-450C-996B-C828BDD98493}" type="CELLRANGE">
                      <a:rPr lang="en-US"/>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94DB-4F68-A589-2D3E6F47082A}"/>
                </c:ext>
              </c:extLst>
            </c:dLbl>
            <c:dLbl>
              <c:idx val="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94DB-4F68-A589-2D3E6F47082A}"/>
                </c:ext>
              </c:extLst>
            </c:dLbl>
            <c:dLbl>
              <c:idx val="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94DB-4F68-A589-2D3E6F47082A}"/>
                </c:ext>
              </c:extLst>
            </c:dLbl>
            <c:dLbl>
              <c:idx val="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94DB-4F68-A589-2D3E6F47082A}"/>
                </c:ext>
              </c:extLst>
            </c:dLbl>
            <c:dLbl>
              <c:idx val="9"/>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94DB-4F68-A589-2D3E6F47082A}"/>
                </c:ext>
              </c:extLst>
            </c:dLbl>
            <c:dLbl>
              <c:idx val="10"/>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94DB-4F68-A589-2D3E6F47082A}"/>
                </c:ext>
              </c:extLst>
            </c:dLbl>
            <c:dLbl>
              <c:idx val="1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94DB-4F68-A589-2D3E6F47082A}"/>
                </c:ext>
              </c:extLst>
            </c:dLbl>
            <c:dLbl>
              <c:idx val="12"/>
              <c:tx>
                <c:rich>
                  <a:bodyPr/>
                  <a:lstStyle/>
                  <a:p>
                    <a:fld id="{F8B2D66D-EF15-49EE-945A-ABF803177DC9}" type="CELLRANGE">
                      <a:rPr lang="de-DE"/>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94DB-4F68-A589-2D3E6F47082A}"/>
                </c:ext>
              </c:extLst>
            </c:dLbl>
            <c:dLbl>
              <c:idx val="1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94DB-4F68-A589-2D3E6F47082A}"/>
                </c:ext>
              </c:extLst>
            </c:dLbl>
            <c:dLbl>
              <c:idx val="1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94DB-4F68-A589-2D3E6F47082A}"/>
                </c:ext>
              </c:extLst>
            </c:dLbl>
            <c:dLbl>
              <c:idx val="15"/>
              <c:tx>
                <c:rich>
                  <a:bodyPr/>
                  <a:lstStyle/>
                  <a:p>
                    <a:fld id="{BEAD6CA5-1031-4044-8FEB-90CE6592EADE}" type="CELLRANGE">
                      <a:rPr lang="de-DE"/>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94DB-4F68-A589-2D3E6F47082A}"/>
                </c:ext>
              </c:extLst>
            </c:dLbl>
            <c:dLbl>
              <c:idx val="1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94DB-4F68-A589-2D3E6F47082A}"/>
                </c:ext>
              </c:extLst>
            </c:dLbl>
            <c:dLbl>
              <c:idx val="1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94DB-4F68-A589-2D3E6F47082A}"/>
                </c:ext>
              </c:extLst>
            </c:dLbl>
            <c:dLbl>
              <c:idx val="18"/>
              <c:tx>
                <c:rich>
                  <a:bodyPr/>
                  <a:lstStyle/>
                  <a:p>
                    <a:fld id="{523B9E4F-D347-43FE-B3CE-13FFDF090EA8}" type="CELLRANGE">
                      <a:rPr lang="de-DE"/>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94DB-4F68-A589-2D3E6F47082A}"/>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'OCC Chart_with_Contingency_tota'!$A$2:$C$20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'OCC Chart_with_Contingency_tota'!$L$2:$L$20</c:f>
              <c:numCache>
                <c:formatCode>General</c:formatCode>
                <c:ptCount val="19"/>
                <c:pt idx="0">
                  <c:v>#N/A</c:v>
                </c:pt>
                <c:pt idx="1">
                  <c:v>#N/A</c:v>
                </c:pt>
                <c:pt idx="2">
                  <c:v>8167.628781002586</c:v>
                </c:pt>
                <c:pt idx="3">
                  <c:v>#N/A</c:v>
                </c:pt>
                <c:pt idx="4">
                  <c:v>#N/A</c:v>
                </c:pt>
                <c:pt idx="5">
                  <c:v>11359.610466228252</c:v>
                </c:pt>
                <c:pt idx="6">
                  <c:v>#N/A</c:v>
                </c:pt>
                <c:pt idx="7">
                  <c:v>#N/A</c:v>
                </c:pt>
                <c:pt idx="8">
                  <c:v>#N/A</c:v>
                </c:pt>
                <c:pt idx="9">
                  <c:v>#N/A</c:v>
                </c:pt>
                <c:pt idx="10">
                  <c:v>#N/A</c:v>
                </c:pt>
                <c:pt idx="11">
                  <c:v>#N/A</c:v>
                </c:pt>
                <c:pt idx="12">
                  <c:v>3485.5988544708034</c:v>
                </c:pt>
                <c:pt idx="13">
                  <c:v>#N/A</c:v>
                </c:pt>
                <c:pt idx="14">
                  <c:v>#N/A</c:v>
                </c:pt>
                <c:pt idx="15">
                  <c:v>9652.7295443636012</c:v>
                </c:pt>
                <c:pt idx="16">
                  <c:v>#N/A</c:v>
                </c:pt>
                <c:pt idx="17">
                  <c:v>#N/A</c:v>
                </c:pt>
                <c:pt idx="18">
                  <c:v>11815.286016657847</c:v>
                </c:pt>
              </c:numCache>
            </c:numRef>
          </c:val>
          <c:extLst>
            <c:ext xmlns:c15="http://schemas.microsoft.com/office/drawing/2012/chart" uri="{02D57815-91ED-43cb-92C2-25804820EDAC}">
              <c15:datalabelsRange>
                <c15:f>'OCC Chart_with_Contingency_tota'!$P$2:$P$20</c15:f>
                <c15:dlblRangeCache>
                  <c:ptCount val="19"/>
                  <c:pt idx="1">
                    <c:v>n=1</c:v>
                  </c:pt>
                  <c:pt idx="2">
                    <c:v>n=7</c:v>
                  </c:pt>
                  <c:pt idx="3">
                    <c:v>n=18</c:v>
                  </c:pt>
                  <c:pt idx="4">
                    <c:v>n=7</c:v>
                  </c:pt>
                  <c:pt idx="5">
                    <c:v>n=46</c:v>
                  </c:pt>
                  <c:pt idx="6">
                    <c:v>n=2</c:v>
                  </c:pt>
                  <c:pt idx="8">
                    <c:v>n=5</c:v>
                  </c:pt>
                  <c:pt idx="12">
                    <c:v>n=4</c:v>
                  </c:pt>
                  <c:pt idx="15">
                    <c:v>n=2</c:v>
                  </c:pt>
                  <c:pt idx="18">
                    <c:v>n=3</c:v>
                  </c:pt>
                </c15:dlblRangeCache>
              </c15:datalabelsRange>
            </c:ext>
            <c:ext xmlns:c16="http://schemas.microsoft.com/office/drawing/2014/chart" uri="{C3380CC4-5D6E-409C-BE32-E72D297353CC}">
              <c16:uniqueId val="{00000042-94DB-4F68-A589-2D3E6F47082A}"/>
            </c:ext>
          </c:extLst>
        </c:ser>
        <c:ser>
          <c:idx val="3"/>
          <c:order val="3"/>
          <c:tx>
            <c:strRef>
              <c:f>'OCC Chart_with_Contingency_tota'!$M$1</c:f>
              <c:strCache>
                <c:ptCount val="1"/>
                <c:pt idx="0">
                  <c:v>97.5 percentile for 75th-OAK</c:v>
                </c:pt>
              </c:strCache>
            </c:strRef>
          </c:tx>
          <c:spPr>
            <a:solidFill>
              <a:schemeClr val="accent4"/>
            </a:solidFill>
            <a:ln>
              <a:noFill/>
            </a:ln>
            <a:effectLst/>
          </c:spPr>
          <c:invertIfNegative val="0"/>
          <c:dPt>
            <c:idx val="6"/>
            <c:invertIfNegative val="0"/>
            <c:bubble3D val="0"/>
            <c:spPr>
              <a:solidFill>
                <a:srgbClr val="AC3D00">
                  <a:alpha val="69804"/>
                </a:srgbClr>
              </a:solidFill>
              <a:ln>
                <a:noFill/>
              </a:ln>
              <a:effectLst/>
            </c:spPr>
            <c:extLst>
              <c:ext xmlns:c16="http://schemas.microsoft.com/office/drawing/2014/chart" uri="{C3380CC4-5D6E-409C-BE32-E72D297353CC}">
                <c16:uniqueId val="{00000044-94DB-4F68-A589-2D3E6F47082A}"/>
              </c:ext>
            </c:extLst>
          </c:dPt>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45-94DB-4F68-A589-2D3E6F47082A}"/>
                </c:ext>
              </c:extLst>
            </c:dLbl>
            <c:dLbl>
              <c:idx val="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94DB-4F68-A589-2D3E6F47082A}"/>
                </c:ext>
              </c:extLst>
            </c:dLbl>
            <c:dLbl>
              <c:idx val="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94DB-4F68-A589-2D3E6F47082A}"/>
                </c:ext>
              </c:extLst>
            </c:dLbl>
            <c:dLbl>
              <c:idx val="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94DB-4F68-A589-2D3E6F47082A}"/>
                </c:ext>
              </c:extLst>
            </c:dLbl>
            <c:dLbl>
              <c:idx val="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94DB-4F68-A589-2D3E6F47082A}"/>
                </c:ext>
              </c:extLst>
            </c:dLbl>
            <c:dLbl>
              <c:idx val="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94DB-4F68-A589-2D3E6F47082A}"/>
                </c:ext>
              </c:extLst>
            </c:dLbl>
            <c:dLbl>
              <c:idx val="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94DB-4F68-A589-2D3E6F47082A}"/>
                </c:ext>
              </c:extLst>
            </c:dLbl>
            <c:dLbl>
              <c:idx val="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94DB-4F68-A589-2D3E6F47082A}"/>
                </c:ext>
              </c:extLst>
            </c:dLbl>
            <c:dLbl>
              <c:idx val="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94DB-4F68-A589-2D3E6F47082A}"/>
                </c:ext>
              </c:extLst>
            </c:dLbl>
            <c:dLbl>
              <c:idx val="9"/>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94DB-4F68-A589-2D3E6F47082A}"/>
                </c:ext>
              </c:extLst>
            </c:dLbl>
            <c:dLbl>
              <c:idx val="10"/>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94DB-4F68-A589-2D3E6F47082A}"/>
                </c:ext>
              </c:extLst>
            </c:dLbl>
            <c:dLbl>
              <c:idx val="1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94DB-4F68-A589-2D3E6F47082A}"/>
                </c:ext>
              </c:extLst>
            </c:dLbl>
            <c:dLbl>
              <c:idx val="1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94DB-4F68-A589-2D3E6F47082A}"/>
                </c:ext>
              </c:extLst>
            </c:dLbl>
            <c:dLbl>
              <c:idx val="1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94DB-4F68-A589-2D3E6F47082A}"/>
                </c:ext>
              </c:extLst>
            </c:dLbl>
            <c:dLbl>
              <c:idx val="1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94DB-4F68-A589-2D3E6F47082A}"/>
                </c:ext>
              </c:extLst>
            </c:dLbl>
            <c:dLbl>
              <c:idx val="1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94DB-4F68-A589-2D3E6F47082A}"/>
                </c:ext>
              </c:extLst>
            </c:dLbl>
            <c:dLbl>
              <c:idx val="1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94DB-4F68-A589-2D3E6F47082A}"/>
                </c:ext>
              </c:extLst>
            </c:dLbl>
            <c:dLbl>
              <c:idx val="1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94DB-4F68-A589-2D3E6F47082A}"/>
                </c:ext>
              </c:extLst>
            </c:dLbl>
            <c:dLbl>
              <c:idx val="1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94DB-4F68-A589-2D3E6F47082A}"/>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'OCC Chart_with_Contingency_tota'!$A$2:$C$20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'OCC Chart_with_Contingency_tota'!$M$2:$M$20</c:f>
              <c:numCache>
                <c:formatCode>General</c:formatCode>
                <c:ptCount val="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extLst>
            <c:ext xmlns:c15="http://schemas.microsoft.com/office/drawing/2012/chart" uri="{02D57815-91ED-43cb-92C2-25804820EDAC}">
              <c15:datalabelsRange>
                <c15:f>'OCC Chart_with_Contingency_tota'!$P$2:$P$20</c15:f>
                <c15:dlblRangeCache>
                  <c:ptCount val="19"/>
                  <c:pt idx="1">
                    <c:v>n=1</c:v>
                  </c:pt>
                  <c:pt idx="2">
                    <c:v>n=7</c:v>
                  </c:pt>
                  <c:pt idx="3">
                    <c:v>n=18</c:v>
                  </c:pt>
                  <c:pt idx="4">
                    <c:v>n=7</c:v>
                  </c:pt>
                  <c:pt idx="5">
                    <c:v>n=46</c:v>
                  </c:pt>
                  <c:pt idx="6">
                    <c:v>n=2</c:v>
                  </c:pt>
                  <c:pt idx="8">
                    <c:v>n=5</c:v>
                  </c:pt>
                  <c:pt idx="12">
                    <c:v>n=4</c:v>
                  </c:pt>
                  <c:pt idx="15">
                    <c:v>n=2</c:v>
                  </c:pt>
                  <c:pt idx="18">
                    <c:v>n=3</c:v>
                  </c:pt>
                </c15:dlblRangeCache>
              </c15:datalabelsRange>
            </c:ext>
            <c:ext xmlns:c16="http://schemas.microsoft.com/office/drawing/2014/chart" uri="{C3380CC4-5D6E-409C-BE32-E72D297353CC}">
              <c16:uniqueId val="{00000057-94DB-4F68-A589-2D3E6F47082A}"/>
            </c:ext>
          </c:extLst>
        </c:ser>
        <c:dLbls>
          <c:showLegendKey val="0"/>
          <c:showVal val="0"/>
          <c:showCatName val="0"/>
          <c:showSerName val="0"/>
          <c:showPercent val="0"/>
          <c:showBubbleSize val="0"/>
        </c:dLbls>
        <c:gapWidth val="60"/>
        <c:overlap val="100"/>
        <c:axId val="1235677343"/>
        <c:axId val="1235683583"/>
      </c:barChart>
      <c:barChart>
        <c:barDir val="col"/>
        <c:grouping val="stacked"/>
        <c:varyColors val="0"/>
        <c:ser>
          <c:idx val="7"/>
          <c:order val="7"/>
          <c:tx>
            <c:strRef>
              <c:f>'OCC Chart_with_Contingency_tota'!$N$1</c:f>
              <c:strCache>
                <c:ptCount val="1"/>
                <c:pt idx="0">
                  <c:v>97.5 percentile for 100th-OAK</c:v>
                </c:pt>
              </c:strCache>
            </c:strRef>
          </c:tx>
          <c:spPr>
            <a:solidFill>
              <a:schemeClr val="accent2">
                <a:lumMod val="60000"/>
              </a:schemeClr>
            </a:solidFill>
            <a:ln w="25400">
              <a:noFill/>
            </a:ln>
            <a:effectLst/>
          </c:spPr>
          <c:invertIfNegative val="0"/>
          <c:cat>
            <c:numRef>
              <c:f>'OCC Chart_with_Contingency_tota'!$I$2:$I$20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'OCC Chart_with_Contingency_tota'!$N$2:$N$20</c:f>
              <c:numCache>
                <c:formatCode>General</c:formatCode>
                <c:ptCount val="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extLst>
            <c:ext xmlns:c16="http://schemas.microsoft.com/office/drawing/2014/chart" uri="{C3380CC4-5D6E-409C-BE32-E72D297353CC}">
              <c16:uniqueId val="{00000058-94DB-4F68-A589-2D3E6F47082A}"/>
            </c:ext>
          </c:extLst>
        </c:ser>
        <c:dLbls>
          <c:showLegendKey val="0"/>
          <c:showVal val="0"/>
          <c:showCatName val="0"/>
          <c:showSerName val="0"/>
          <c:showPercent val="0"/>
          <c:showBubbleSize val="0"/>
        </c:dLbls>
        <c:gapWidth val="150"/>
        <c:overlap val="100"/>
        <c:axId val="1180805679"/>
        <c:axId val="1180805199"/>
      </c:barChart>
      <c:scatterChart>
        <c:scatterStyle val="lineMarker"/>
        <c:varyColors val="0"/>
        <c:ser>
          <c:idx val="4"/>
          <c:order val="4"/>
          <c:tx>
            <c:strRef>
              <c:f>'OCC Chart_with_Contingency_tota'!$E$1</c:f>
              <c:strCache>
                <c:ptCount val="1"/>
                <c:pt idx="0">
                  <c:v>Mean</c:v>
                </c:pt>
              </c:strCache>
            </c:strRef>
          </c:tx>
          <c:spPr>
            <a:ln w="25400" cap="rnd">
              <a:noFill/>
              <a:round/>
            </a:ln>
            <a:effectLst/>
          </c:spPr>
          <c:marker>
            <c:symbol val="circle"/>
            <c:size val="7"/>
            <c:spPr>
              <a:solidFill>
                <a:srgbClr val="FA7268"/>
              </a:solidFill>
              <a:ln w="9525">
                <a:noFill/>
              </a:ln>
              <a:effectLst/>
            </c:spPr>
          </c:marker>
          <c:xVal>
            <c:numRef>
              <c:f>'OCC Chart_with_Contingency_tota'!$I$2:$I$20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'OCC Chart_with_Contingency_tota'!$E$2:$E$20</c:f>
              <c:numCache>
                <c:formatCode>General</c:formatCode>
                <c:ptCount val="19"/>
                <c:pt idx="0">
                  <c:v>#N/A</c:v>
                </c:pt>
                <c:pt idx="1">
                  <c:v>2100.3070606742936</c:v>
                </c:pt>
                <c:pt idx="2">
                  <c:v>4458.9761418676444</c:v>
                </c:pt>
                <c:pt idx="3">
                  <c:v>11915.65033208227</c:v>
                </c:pt>
                <c:pt idx="4">
                  <c:v>7678.8150836011937</c:v>
                </c:pt>
                <c:pt idx="5">
                  <c:v>5715.4644368060463</c:v>
                </c:pt>
                <c:pt idx="6">
                  <c:v>5708.0434737515916</c:v>
                </c:pt>
                <c:pt idx="7">
                  <c:v>#N/A</c:v>
                </c:pt>
                <c:pt idx="8">
                  <c:v>5888.4655024637586</c:v>
                </c:pt>
                <c:pt idx="9">
                  <c:v>#N/A</c:v>
                </c:pt>
                <c:pt idx="10">
                  <c:v>#N/A</c:v>
                </c:pt>
                <c:pt idx="11">
                  <c:v>#N/A</c:v>
                </c:pt>
                <c:pt idx="12">
                  <c:v>3238.262659861618</c:v>
                </c:pt>
                <c:pt idx="13">
                  <c:v>#N/A</c:v>
                </c:pt>
                <c:pt idx="14">
                  <c:v>#N/A</c:v>
                </c:pt>
                <c:pt idx="15">
                  <c:v>9141.6335963099918</c:v>
                </c:pt>
                <c:pt idx="16">
                  <c:v>#N/A</c:v>
                </c:pt>
                <c:pt idx="17">
                  <c:v>#N/A</c:v>
                </c:pt>
                <c:pt idx="18">
                  <c:v>8439.7391187201483</c:v>
                </c:pt>
              </c:numCache>
            </c:numRef>
          </c:yVal>
          <c:smooth val="0"/>
          <c:extLst>
            <c:ext xmlns:c16="http://schemas.microsoft.com/office/drawing/2014/chart" uri="{C3380CC4-5D6E-409C-BE32-E72D297353CC}">
              <c16:uniqueId val="{00000059-94DB-4F68-A589-2D3E6F47082A}"/>
            </c:ext>
          </c:extLst>
        </c:ser>
        <c:ser>
          <c:idx val="5"/>
          <c:order val="5"/>
          <c:tx>
            <c:strRef>
              <c:f>'OCC Chart_with_Contingency_tota'!$F$1</c:f>
              <c:strCache>
                <c:ptCount val="1"/>
                <c:pt idx="0">
                  <c:v>Median</c:v>
                </c:pt>
              </c:strCache>
            </c:strRef>
          </c:tx>
          <c:spPr>
            <a:ln w="25400" cap="rnd">
              <a:noFill/>
              <a:round/>
            </a:ln>
            <a:effectLst/>
          </c:spPr>
          <c:marker>
            <c:symbol val="diamond"/>
            <c:size val="6"/>
            <c:spPr>
              <a:solidFill>
                <a:srgbClr val="6B5876"/>
              </a:solidFill>
              <a:ln w="9525">
                <a:noFill/>
              </a:ln>
              <a:effectLst/>
            </c:spPr>
          </c:marker>
          <c:xVal>
            <c:numRef>
              <c:f>'OCC Chart_with_Contingency_tota'!$I$2:$I$20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'OCC Chart_with_Contingency_tota'!$F$2:$F$20</c:f>
              <c:numCache>
                <c:formatCode>General</c:formatCode>
                <c:ptCount val="19"/>
                <c:pt idx="0">
                  <c:v>#N/A</c:v>
                </c:pt>
                <c:pt idx="1">
                  <c:v>2100.3070606742936</c:v>
                </c:pt>
                <c:pt idx="2">
                  <c:v>4466.4024745136494</c:v>
                </c:pt>
                <c:pt idx="3">
                  <c:v>11606.754049520958</c:v>
                </c:pt>
                <c:pt idx="4">
                  <c:v>7502.812596837075</c:v>
                </c:pt>
                <c:pt idx="5">
                  <c:v>5514.9683324615162</c:v>
                </c:pt>
                <c:pt idx="6">
                  <c:v>5708.0434737515916</c:v>
                </c:pt>
                <c:pt idx="7">
                  <c:v>#N/A</c:v>
                </c:pt>
                <c:pt idx="8">
                  <c:v>6326.4153748480385</c:v>
                </c:pt>
                <c:pt idx="9">
                  <c:v>#N/A</c:v>
                </c:pt>
                <c:pt idx="10">
                  <c:v>#N/A</c:v>
                </c:pt>
                <c:pt idx="11">
                  <c:v>#N/A</c:v>
                </c:pt>
                <c:pt idx="12">
                  <c:v>3236.5920498783457</c:v>
                </c:pt>
                <c:pt idx="13">
                  <c:v>#N/A</c:v>
                </c:pt>
                <c:pt idx="14">
                  <c:v>#N/A</c:v>
                </c:pt>
                <c:pt idx="15">
                  <c:v>9141.6335963099918</c:v>
                </c:pt>
                <c:pt idx="16">
                  <c:v>#N/A</c:v>
                </c:pt>
                <c:pt idx="17">
                  <c:v>#N/A</c:v>
                </c:pt>
                <c:pt idx="18">
                  <c:v>9158.1631924624417</c:v>
                </c:pt>
              </c:numCache>
            </c:numRef>
          </c:yVal>
          <c:smooth val="0"/>
          <c:extLst>
            <c:ext xmlns:c16="http://schemas.microsoft.com/office/drawing/2014/chart" uri="{C3380CC4-5D6E-409C-BE32-E72D297353CC}">
              <c16:uniqueId val="{0000005A-94DB-4F68-A589-2D3E6F47082A}"/>
            </c:ext>
          </c:extLst>
        </c:ser>
        <c:ser>
          <c:idx val="6"/>
          <c:order val="6"/>
          <c:tx>
            <c:strRef>
              <c:f>'OCC Chart_with_Contingency_tota'!$H$1</c:f>
              <c:strCache>
                <c:ptCount val="1"/>
                <c:pt idx="0">
                  <c:v>MaxΔ</c:v>
                </c:pt>
              </c:strCache>
            </c:strRef>
          </c:tx>
          <c:spPr>
            <a:ln w="25400" cap="rnd">
              <a:noFill/>
              <a:round/>
            </a:ln>
            <a:effectLst/>
          </c:spPr>
          <c:marker>
            <c:symbol val="none"/>
          </c:marker>
          <c:errBars>
            <c:errDir val="y"/>
            <c:errBarType val="plus"/>
            <c:errValType val="cust"/>
            <c:noEndCap val="0"/>
            <c:plus>
              <c:numRef>
                <c:f>'OCC Chart_with_Contingency_tota'!$H$2:$H$20</c:f>
                <c:numCache>
                  <c:formatCode>General</c:formatCode>
                  <c:ptCount val="19"/>
                  <c:pt idx="0">
                    <c:v>#N/A</c:v>
                  </c:pt>
                  <c:pt idx="1">
                    <c:v>0</c:v>
                  </c:pt>
                  <c:pt idx="2">
                    <c:v>125.91159828571472</c:v>
                  </c:pt>
                  <c:pt idx="3">
                    <c:v>1775.0051940528465</c:v>
                  </c:pt>
                  <c:pt idx="4">
                    <c:v>693.18304148587413</c:v>
                  </c:pt>
                  <c:pt idx="5">
                    <c:v>2080.8790000795052</c:v>
                  </c:pt>
                  <c:pt idx="6">
                    <c:v>64.803465369492187</c:v>
                  </c:pt>
                  <c:pt idx="7">
                    <c:v>#N/A</c:v>
                  </c:pt>
                  <c:pt idx="8">
                    <c:v>28.462490180476379</c:v>
                  </c:pt>
                  <c:pt idx="9">
                    <c:v>#N/A</c:v>
                  </c:pt>
                  <c:pt idx="10">
                    <c:v>#N/A</c:v>
                  </c:pt>
                  <c:pt idx="11">
                    <c:v>#N/A</c:v>
                  </c:pt>
                  <c:pt idx="12">
                    <c:v>3.7803517335764809</c:v>
                  </c:pt>
                  <c:pt idx="13">
                    <c:v>#N/A</c:v>
                  </c:pt>
                  <c:pt idx="14">
                    <c:v>#N/A</c:v>
                  </c:pt>
                  <c:pt idx="15">
                    <c:v>26.899786739662886</c:v>
                  </c:pt>
                  <c:pt idx="16">
                    <c:v>#N/A</c:v>
                  </c:pt>
                  <c:pt idx="17">
                    <c:v>#N/A</c:v>
                  </c:pt>
                  <c:pt idx="18">
                    <c:v>139.84856969449356</c:v>
                  </c:pt>
                </c:numCache>
              </c:numRef>
            </c:plus>
            <c:minus>
              <c:numLit>
                <c:formatCode>General</c:formatCode>
                <c:ptCount val="1"/>
                <c:pt idx="0">
                  <c:v>0</c:v>
                </c:pt>
              </c:numLit>
            </c:minus>
            <c:spPr>
              <a:noFill/>
              <a:ln w="9525" cap="flat" cmpd="sng" algn="ctr">
                <a:solidFill>
                  <a:schemeClr val="tx1">
                    <a:lumMod val="65000"/>
                    <a:lumOff val="35000"/>
                  </a:schemeClr>
                </a:solidFill>
                <a:round/>
              </a:ln>
              <a:effectLst/>
            </c:spPr>
          </c:errBars>
          <c:errBars>
            <c:errDir val="x"/>
            <c:errBarType val="plus"/>
            <c:errValType val="cust"/>
            <c:noEndCap val="0"/>
            <c:plus>
              <c:numLit>
                <c:formatCode>General</c:formatCode>
                <c:ptCount val="1"/>
                <c:pt idx="0">
                  <c:v>0</c:v>
                </c:pt>
              </c:numLit>
            </c:plus>
            <c:minus>
              <c:numLit>
                <c:formatCode>General</c:formatCode>
                <c:ptCount val="1"/>
                <c:pt idx="0">
                  <c:v>0</c:v>
                </c:pt>
              </c:numLit>
            </c:minus>
            <c:spPr>
              <a:noFill/>
              <a:ln w="9525" cap="flat" cmpd="sng" algn="ctr">
                <a:noFill/>
                <a:round/>
              </a:ln>
              <a:effectLst/>
            </c:spPr>
          </c:errBars>
          <c:xVal>
            <c:numRef>
              <c:f>'OCC Chart_with_Contingency_tota'!$I$2:$I$20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'OCC Chart_with_Contingency_tota'!$G$2:$G$20</c:f>
              <c:numCache>
                <c:formatCode>General</c:formatCode>
                <c:ptCount val="19"/>
                <c:pt idx="0">
                  <c:v>#N/A</c:v>
                </c:pt>
                <c:pt idx="1">
                  <c:v>2100.3070606742936</c:v>
                </c:pt>
                <c:pt idx="2">
                  <c:v>8167.628781002586</c:v>
                </c:pt>
                <c:pt idx="3">
                  <c:v>27331.987939932962</c:v>
                </c:pt>
                <c:pt idx="4">
                  <c:v>15163.336584805127</c:v>
                </c:pt>
                <c:pt idx="5">
                  <c:v>11359.610466228252</c:v>
                </c:pt>
                <c:pt idx="6">
                  <c:v>6939.3093157719595</c:v>
                </c:pt>
                <c:pt idx="7">
                  <c:v>#N/A</c:v>
                </c:pt>
                <c:pt idx="8">
                  <c:v>6701.66861102232</c:v>
                </c:pt>
                <c:pt idx="9">
                  <c:v>#N/A</c:v>
                </c:pt>
                <c:pt idx="10">
                  <c:v>#N/A</c:v>
                </c:pt>
                <c:pt idx="11">
                  <c:v>#N/A</c:v>
                </c:pt>
                <c:pt idx="12">
                  <c:v>3485.5988544708034</c:v>
                </c:pt>
                <c:pt idx="13">
                  <c:v>#N/A</c:v>
                </c:pt>
                <c:pt idx="14">
                  <c:v>#N/A</c:v>
                </c:pt>
                <c:pt idx="15">
                  <c:v>9652.7295443636012</c:v>
                </c:pt>
                <c:pt idx="16">
                  <c:v>#N/A</c:v>
                </c:pt>
                <c:pt idx="17">
                  <c:v>#N/A</c:v>
                </c:pt>
                <c:pt idx="18">
                  <c:v>11815.286016657847</c:v>
                </c:pt>
              </c:numCache>
            </c:numRef>
          </c:yVal>
          <c:smooth val="0"/>
          <c:extLst>
            <c:ext xmlns:c16="http://schemas.microsoft.com/office/drawing/2014/chart" uri="{C3380CC4-5D6E-409C-BE32-E72D297353CC}">
              <c16:uniqueId val="{0000005B-94DB-4F68-A589-2D3E6F47082A}"/>
            </c:ext>
          </c:extLst>
        </c:ser>
        <c:dLbls>
          <c:showLegendKey val="0"/>
          <c:showVal val="0"/>
          <c:showCatName val="0"/>
          <c:showSerName val="0"/>
          <c:showPercent val="0"/>
          <c:showBubbleSize val="0"/>
        </c:dLbls>
        <c:axId val="1180805679"/>
        <c:axId val="1180805199"/>
      </c:scatterChart>
      <c:catAx>
        <c:axId val="1235677343"/>
        <c:scaling>
          <c:orientation val="minMax"/>
        </c:scaling>
        <c:delete val="0"/>
        <c:axPos val="b"/>
        <c:minorGridlines>
          <c:spPr>
            <a:ln w="9525" cap="flat" cmpd="sng" algn="ctr">
              <a:no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235683583"/>
        <c:crosses val="autoZero"/>
        <c:auto val="1"/>
        <c:lblAlgn val="ctr"/>
        <c:lblOffset val="100"/>
        <c:noMultiLvlLbl val="0"/>
      </c:catAx>
      <c:valAx>
        <c:axId val="1235683583"/>
        <c:scaling>
          <c:orientation val="minMax"/>
          <c:max val="34000"/>
          <c:min val="0"/>
        </c:scaling>
        <c:delete val="0"/>
        <c:axPos val="l"/>
        <c:majorGridlines>
          <c:spPr>
            <a:ln w="9525" cap="flat" cmpd="sng" algn="ctr">
              <a:solidFill>
                <a:schemeClr val="bg2">
                  <a:lumMod val="90000"/>
                  <a:alpha val="50000"/>
                </a:schemeClr>
              </a:solidFill>
              <a:round/>
            </a:ln>
            <a:effectLst/>
          </c:spPr>
        </c:majorGridlines>
        <c:minorGridlines>
          <c:spPr>
            <a:ln w="9525" cap="flat" cmpd="sng" algn="ctr">
              <a:solidFill>
                <a:schemeClr val="bg1">
                  <a:lumMod val="95000"/>
                  <a:alpha val="50000"/>
                </a:schemeClr>
              </a:solidFill>
              <a:round/>
            </a:ln>
            <a:effectLst/>
          </c:spPr>
        </c:minorGridlines>
        <c:numFmt formatCode="General" sourceLinked="1"/>
        <c:majorTickMark val="out"/>
        <c:minorTickMark val="out"/>
        <c:tickLblPos val="nextTo"/>
        <c:spPr>
          <a:no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235677343"/>
        <c:crosses val="autoZero"/>
        <c:crossBetween val="between"/>
        <c:majorUnit val="2000"/>
        <c:minorUnit val="400"/>
      </c:valAx>
      <c:valAx>
        <c:axId val="1180805199"/>
        <c:scaling>
          <c:orientation val="minMax"/>
          <c:max val="34000"/>
          <c:min val="0"/>
        </c:scaling>
        <c:delete val="0"/>
        <c:axPos val="l"/>
        <c:minorGridlines>
          <c:spPr>
            <a:ln w="0" cap="flat" cmpd="sng" algn="ctr">
              <a:solidFill>
                <a:schemeClr val="tx1">
                  <a:lumMod val="5000"/>
                  <a:lumOff val="95000"/>
                  <a:alpha val="70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sz="1000"/>
                  <a:t>Overnight Construction Costs [2018 USD/kW]</a:t>
                </a:r>
              </a:p>
            </c:rich>
          </c:tx>
          <c:layout>
            <c:manualLayout>
              <c:xMode val="edge"/>
              <c:yMode val="edge"/>
              <c:x val="4.1585822626839545E-3"/>
              <c:y val="8.5836346437477437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180805679"/>
        <c:crosses val="autoZero"/>
        <c:crossBetween val="between"/>
        <c:majorUnit val="2000"/>
      </c:valAx>
      <c:catAx>
        <c:axId val="1180805679"/>
        <c:scaling>
          <c:orientation val="minMax"/>
        </c:scaling>
        <c:delete val="0"/>
        <c:axPos val="t"/>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180805199"/>
        <c:crosses val="max"/>
        <c:auto val="1"/>
        <c:lblAlgn val="ctr"/>
        <c:lblOffset val="100"/>
        <c:tickLblSkip val="1"/>
        <c:noMultiLvlLbl val="1"/>
      </c:catAx>
      <c:spPr>
        <a:noFill/>
        <a:ln>
          <a:noFill/>
        </a:ln>
        <a:effectLst/>
      </c:spPr>
    </c:plotArea>
    <c:legend>
      <c:legendPos val="b"/>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'OCC Chart_with_Contingency_tota'!$AR$1</c:f>
              <c:strCache>
                <c:ptCount val="1"/>
                <c:pt idx="0">
                  <c:v>Low Base</c:v>
                </c:pt>
              </c:strCache>
            </c:strRef>
          </c:tx>
          <c:spPr>
            <a:noFill/>
            <a:ln>
              <a:noFill/>
            </a:ln>
            <a:effectLst/>
          </c:spPr>
          <c:invertIfNegative val="0"/>
          <c:cat>
            <c:multiLvlStrRef>
              <c:f>'OCC Chart_with_Contingency_tota'!$W$2:$X$12</c:f>
              <c:multiLvlStrCache>
                <c:ptCount val="11"/>
                <c:lvl>
                  <c:pt idx="0">
                    <c:v>FOAK</c:v>
                  </c:pt>
                  <c:pt idx="1">
                    <c:v>NOAK</c:v>
                  </c:pt>
                  <c:pt idx="2">
                    <c:v>10th-OAK</c:v>
                  </c:pt>
                  <c:pt idx="3">
                    <c:v>FOAK</c:v>
                  </c:pt>
                  <c:pt idx="4">
                    <c:v>NOAK</c:v>
                  </c:pt>
                  <c:pt idx="5">
                    <c:v>10th-OAK</c:v>
                  </c:pt>
                  <c:pt idx="6">
                    <c:v>Mature
NOAK</c:v>
                  </c:pt>
                  <c:pt idx="7">
                    <c:v>FOAK</c:v>
                  </c:pt>
                  <c:pt idx="8">
                    <c:v>NOAK</c:v>
                  </c:pt>
                  <c:pt idx="9">
                    <c:v>10th-OAK</c:v>
                  </c:pt>
                  <c:pt idx="10">
                    <c:v>Mature
NOAK</c:v>
                  </c:pt>
                </c:lvl>
                <c:lvl>
                  <c:pt idx="0">
                    <c:v>ICF</c:v>
                  </c:pt>
                  <c:pt idx="1">
                    <c:v>ICF</c:v>
                  </c:pt>
                  <c:pt idx="2">
                    <c:v>ICF</c:v>
                  </c:pt>
                  <c:pt idx="3">
                    <c:v>MCF</c:v>
                  </c:pt>
                  <c:pt idx="4">
                    <c:v>MCF</c:v>
                  </c:pt>
                  <c:pt idx="5">
                    <c:v>MCF</c:v>
                  </c:pt>
                  <c:pt idx="6">
                    <c:v>MCF</c:v>
                  </c:pt>
                  <c:pt idx="7">
                    <c:v>MIF</c:v>
                  </c:pt>
                  <c:pt idx="8">
                    <c:v>MIF</c:v>
                  </c:pt>
                  <c:pt idx="9">
                    <c:v>MIF</c:v>
                  </c:pt>
                  <c:pt idx="10">
                    <c:v>MIF</c:v>
                  </c:pt>
                </c:lvl>
              </c:multiLvlStrCache>
            </c:multiLvlStrRef>
          </c:cat>
          <c:val>
            <c:numRef>
              <c:f>'OCC Chart_with_Contingency_tota'!$AR$2:$AR$12</c:f>
              <c:numCache>
                <c:formatCode>General</c:formatCode>
                <c:ptCount val="11"/>
                <c:pt idx="0">
                  <c:v>0</c:v>
                </c:pt>
                <c:pt idx="1">
                  <c:v>2100.4187138060079</c:v>
                </c:pt>
                <c:pt idx="2">
                  <c:v>3040.1704299398643</c:v>
                </c:pt>
                <c:pt idx="3">
                  <c:v>8472.4900087569913</c:v>
                </c:pt>
                <c:pt idx="4">
                  <c:v>4674.9905385920883</c:v>
                </c:pt>
                <c:pt idx="5">
                  <c:v>4356.3171715074841</c:v>
                </c:pt>
                <c:pt idx="6">
                  <c:v>4017.420354239257</c:v>
                </c:pt>
                <c:pt idx="7">
                  <c:v>0</c:v>
                </c:pt>
                <c:pt idx="8">
                  <c:v>0</c:v>
                </c:pt>
                <c:pt idx="9">
                  <c:v>7562.6339995639009</c:v>
                </c:pt>
                <c:pt idx="10">
                  <c:v>1910.988530517179</c:v>
                </c:pt>
              </c:numCache>
            </c:numRef>
          </c:val>
          <c:extLst>
            <c:ext xmlns:c16="http://schemas.microsoft.com/office/drawing/2014/chart" uri="{C3380CC4-5D6E-409C-BE32-E72D297353CC}">
              <c16:uniqueId val="{00000000-9892-4026-BFA7-0900C68272DD}"/>
            </c:ext>
          </c:extLst>
        </c:ser>
        <c:ser>
          <c:idx val="1"/>
          <c:order val="1"/>
          <c:tx>
            <c:strRef>
              <c:f>'OCC Chart_with_Contingency_tota'!$AS$1</c:f>
              <c:strCache>
                <c:ptCount val="1"/>
                <c:pt idx="0">
                  <c:v>Lower box (Q1–Median, 25–50%)</c:v>
                </c:pt>
              </c:strCache>
            </c:strRef>
          </c:tx>
          <c:spPr>
            <a:solidFill>
              <a:srgbClr val="9590B2">
                <a:alpha val="84706"/>
              </a:srgbClr>
            </a:solidFill>
            <a:ln>
              <a:noFill/>
            </a:ln>
            <a:effectLst/>
          </c:spPr>
          <c:invertIfNegative val="0"/>
          <c:dPt>
            <c:idx val="3"/>
            <c:invertIfNegative val="0"/>
            <c:bubble3D val="0"/>
            <c:spPr>
              <a:solidFill>
                <a:srgbClr val="9590B2">
                  <a:alpha val="84706"/>
                </a:srgbClr>
              </a:solidFill>
              <a:ln>
                <a:noFill/>
              </a:ln>
              <a:effectLst/>
            </c:spPr>
            <c:extLst>
              <c:ext xmlns:c16="http://schemas.microsoft.com/office/drawing/2014/chart" uri="{C3380CC4-5D6E-409C-BE32-E72D297353CC}">
                <c16:uniqueId val="{00000002-9892-4026-BFA7-0900C68272DD}"/>
              </c:ext>
            </c:extLst>
          </c:dPt>
          <c:errBars>
            <c:errBarType val="both"/>
            <c:errValType val="cust"/>
            <c:noEndCap val="0"/>
            <c:plus>
              <c:numLit>
                <c:formatCode>General</c:formatCode>
                <c:ptCount val="1"/>
                <c:pt idx="0">
                  <c:v>1</c:v>
                </c:pt>
              </c:numLit>
            </c:plus>
            <c:minus>
              <c:numLit>
                <c:formatCode>General</c:formatCode>
                <c:ptCount val="1"/>
                <c:pt idx="0">
                  <c:v>1</c:v>
                </c:pt>
              </c:numLit>
            </c:minus>
            <c:spPr>
              <a:noFill/>
              <a:ln w="9525" cap="flat" cmpd="sng" algn="ctr">
                <a:solidFill>
                  <a:schemeClr val="tx1">
                    <a:lumMod val="65000"/>
                    <a:lumOff val="35000"/>
                  </a:schemeClr>
                </a:solidFill>
                <a:round/>
              </a:ln>
              <a:effectLst/>
            </c:spPr>
          </c:errBars>
          <c:cat>
            <c:multiLvlStrRef>
              <c:f>'OCC Chart_with_Contingency_tota'!$W$2:$X$12</c:f>
              <c:multiLvlStrCache>
                <c:ptCount val="11"/>
                <c:lvl>
                  <c:pt idx="0">
                    <c:v>FOAK</c:v>
                  </c:pt>
                  <c:pt idx="1">
                    <c:v>NOAK</c:v>
                  </c:pt>
                  <c:pt idx="2">
                    <c:v>10th-OAK</c:v>
                  </c:pt>
                  <c:pt idx="3">
                    <c:v>FOAK</c:v>
                  </c:pt>
                  <c:pt idx="4">
                    <c:v>NOAK</c:v>
                  </c:pt>
                  <c:pt idx="5">
                    <c:v>10th-OAK</c:v>
                  </c:pt>
                  <c:pt idx="6">
                    <c:v>Mature
NOAK</c:v>
                  </c:pt>
                  <c:pt idx="7">
                    <c:v>FOAK</c:v>
                  </c:pt>
                  <c:pt idx="8">
                    <c:v>NOAK</c:v>
                  </c:pt>
                  <c:pt idx="9">
                    <c:v>10th-OAK</c:v>
                  </c:pt>
                  <c:pt idx="10">
                    <c:v>Mature
NOAK</c:v>
                  </c:pt>
                </c:lvl>
                <c:lvl>
                  <c:pt idx="0">
                    <c:v>ICF</c:v>
                  </c:pt>
                  <c:pt idx="1">
                    <c:v>ICF</c:v>
                  </c:pt>
                  <c:pt idx="2">
                    <c:v>ICF</c:v>
                  </c:pt>
                  <c:pt idx="3">
                    <c:v>MCF</c:v>
                  </c:pt>
                  <c:pt idx="4">
                    <c:v>MCF</c:v>
                  </c:pt>
                  <c:pt idx="5">
                    <c:v>MCF</c:v>
                  </c:pt>
                  <c:pt idx="6">
                    <c:v>MCF</c:v>
                  </c:pt>
                  <c:pt idx="7">
                    <c:v>MIF</c:v>
                  </c:pt>
                  <c:pt idx="8">
                    <c:v>MIF</c:v>
                  </c:pt>
                  <c:pt idx="9">
                    <c:v>MIF</c:v>
                  </c:pt>
                  <c:pt idx="10">
                    <c:v>MIF</c:v>
                  </c:pt>
                </c:lvl>
              </c:multiLvlStrCache>
            </c:multiLvlStrRef>
          </c:cat>
          <c:val>
            <c:numRef>
              <c:f>'OCC Chart_with_Contingency_tota'!$AS$2:$AS$12</c:f>
              <c:numCache>
                <c:formatCode>General</c:formatCode>
                <c:ptCount val="11"/>
                <c:pt idx="0">
                  <c:v>#N/A</c:v>
                </c:pt>
                <c:pt idx="1">
                  <c:v>0</c:v>
                </c:pt>
                <c:pt idx="2">
                  <c:v>2027.5556242941775</c:v>
                </c:pt>
                <c:pt idx="3">
                  <c:v>3134.2640407639665</c:v>
                </c:pt>
                <c:pt idx="4">
                  <c:v>1710.9702485309454</c:v>
                </c:pt>
                <c:pt idx="5">
                  <c:v>1452.4667515587607</c:v>
                </c:pt>
                <c:pt idx="6">
                  <c:v>339.45421442360657</c:v>
                </c:pt>
                <c:pt idx="7">
                  <c:v>#N/A</c:v>
                </c:pt>
                <c:pt idx="8">
                  <c:v>#N/A</c:v>
                </c:pt>
                <c:pt idx="9">
                  <c:v>2673.1653035119816</c:v>
                </c:pt>
                <c:pt idx="10">
                  <c:v>38.190838693926935</c:v>
                </c:pt>
              </c:numCache>
            </c:numRef>
          </c:val>
          <c:extLst>
            <c:ext xmlns:c16="http://schemas.microsoft.com/office/drawing/2014/chart" uri="{C3380CC4-5D6E-409C-BE32-E72D297353CC}">
              <c16:uniqueId val="{00000003-9892-4026-BFA7-0900C68272DD}"/>
            </c:ext>
          </c:extLst>
        </c:ser>
        <c:ser>
          <c:idx val="2"/>
          <c:order val="2"/>
          <c:tx>
            <c:strRef>
              <c:f>'OCC Chart_with_Contingency_tota'!$AT$1</c:f>
              <c:strCache>
                <c:ptCount val="1"/>
                <c:pt idx="0">
                  <c:v>Upper box (Median–Q3, 50–75%)</c:v>
                </c:pt>
              </c:strCache>
            </c:strRef>
          </c:tx>
          <c:spPr>
            <a:solidFill>
              <a:srgbClr val="C2BFD3"/>
            </a:solidFill>
            <a:ln>
              <a:noFill/>
            </a:ln>
            <a:effectLst/>
          </c:spPr>
          <c:invertIfNegative val="0"/>
          <c:dPt>
            <c:idx val="0"/>
            <c:invertIfNegative val="0"/>
            <c:bubble3D val="0"/>
            <c:spPr>
              <a:solidFill>
                <a:srgbClr val="C2BFD3">
                  <a:alpha val="80000"/>
                </a:srgbClr>
              </a:solidFill>
              <a:ln>
                <a:noFill/>
              </a:ln>
              <a:effectLst/>
            </c:spPr>
            <c:extLst>
              <c:ext xmlns:c16="http://schemas.microsoft.com/office/drawing/2014/chart" uri="{C3380CC4-5D6E-409C-BE32-E72D297353CC}">
                <c16:uniqueId val="{00000005-9892-4026-BFA7-0900C68272DD}"/>
              </c:ext>
            </c:extLst>
          </c:dPt>
          <c:dPt>
            <c:idx val="1"/>
            <c:invertIfNegative val="0"/>
            <c:bubble3D val="0"/>
            <c:spPr>
              <a:solidFill>
                <a:srgbClr val="C2BFD3">
                  <a:alpha val="80000"/>
                </a:srgbClr>
              </a:solidFill>
              <a:ln>
                <a:noFill/>
              </a:ln>
              <a:effectLst/>
            </c:spPr>
            <c:extLst>
              <c:ext xmlns:c16="http://schemas.microsoft.com/office/drawing/2014/chart" uri="{C3380CC4-5D6E-409C-BE32-E72D297353CC}">
                <c16:uniqueId val="{00000007-9892-4026-BFA7-0900C68272DD}"/>
              </c:ext>
            </c:extLst>
          </c:dPt>
          <c:dPt>
            <c:idx val="2"/>
            <c:invertIfNegative val="0"/>
            <c:bubble3D val="0"/>
            <c:spPr>
              <a:solidFill>
                <a:srgbClr val="C2BFD3">
                  <a:alpha val="80000"/>
                </a:srgbClr>
              </a:solidFill>
              <a:ln>
                <a:noFill/>
              </a:ln>
              <a:effectLst/>
            </c:spPr>
            <c:extLst>
              <c:ext xmlns:c16="http://schemas.microsoft.com/office/drawing/2014/chart" uri="{C3380CC4-5D6E-409C-BE32-E72D297353CC}">
                <c16:uniqueId val="{00000009-9892-4026-BFA7-0900C68272DD}"/>
              </c:ext>
            </c:extLst>
          </c:dPt>
          <c:dPt>
            <c:idx val="3"/>
            <c:invertIfNegative val="0"/>
            <c:bubble3D val="0"/>
            <c:spPr>
              <a:solidFill>
                <a:srgbClr val="C2BFD3">
                  <a:alpha val="80000"/>
                </a:srgbClr>
              </a:solidFill>
              <a:ln>
                <a:noFill/>
              </a:ln>
              <a:effectLst/>
            </c:spPr>
            <c:extLst>
              <c:ext xmlns:c16="http://schemas.microsoft.com/office/drawing/2014/chart" uri="{C3380CC4-5D6E-409C-BE32-E72D297353CC}">
                <c16:uniqueId val="{0000000B-9892-4026-BFA7-0900C68272DD}"/>
              </c:ext>
            </c:extLst>
          </c:dPt>
          <c:dPt>
            <c:idx val="4"/>
            <c:invertIfNegative val="0"/>
            <c:bubble3D val="0"/>
            <c:spPr>
              <a:solidFill>
                <a:srgbClr val="C2BFD3">
                  <a:alpha val="80000"/>
                </a:srgbClr>
              </a:solidFill>
              <a:ln>
                <a:noFill/>
              </a:ln>
              <a:effectLst/>
            </c:spPr>
            <c:extLst>
              <c:ext xmlns:c16="http://schemas.microsoft.com/office/drawing/2014/chart" uri="{C3380CC4-5D6E-409C-BE32-E72D297353CC}">
                <c16:uniqueId val="{0000000D-9892-4026-BFA7-0900C68272DD}"/>
              </c:ext>
            </c:extLst>
          </c:dPt>
          <c:dPt>
            <c:idx val="5"/>
            <c:invertIfNegative val="0"/>
            <c:bubble3D val="0"/>
            <c:spPr>
              <a:solidFill>
                <a:srgbClr val="C2BFD3">
                  <a:alpha val="80000"/>
                </a:srgbClr>
              </a:solidFill>
              <a:ln>
                <a:noFill/>
              </a:ln>
              <a:effectLst/>
            </c:spPr>
            <c:extLst>
              <c:ext xmlns:c16="http://schemas.microsoft.com/office/drawing/2014/chart" uri="{C3380CC4-5D6E-409C-BE32-E72D297353CC}">
                <c16:uniqueId val="{0000000F-9892-4026-BFA7-0900C68272DD}"/>
              </c:ext>
            </c:extLst>
          </c:dPt>
          <c:dPt>
            <c:idx val="9"/>
            <c:invertIfNegative val="0"/>
            <c:bubble3D val="0"/>
            <c:spPr>
              <a:solidFill>
                <a:srgbClr val="C2BFD3">
                  <a:alpha val="85000"/>
                </a:srgbClr>
              </a:solidFill>
              <a:ln>
                <a:noFill/>
              </a:ln>
              <a:effectLst/>
            </c:spPr>
            <c:extLst>
              <c:ext xmlns:c16="http://schemas.microsoft.com/office/drawing/2014/chart" uri="{C3380CC4-5D6E-409C-BE32-E72D297353CC}">
                <c16:uniqueId val="{00000011-9892-4026-BFA7-0900C68272DD}"/>
              </c:ext>
            </c:extLst>
          </c:dPt>
          <c:cat>
            <c:multiLvlStrRef>
              <c:f>'OCC Chart_with_Contingency_tota'!$W$2:$X$12</c:f>
              <c:multiLvlStrCache>
                <c:ptCount val="11"/>
                <c:lvl>
                  <c:pt idx="0">
                    <c:v>FOAK</c:v>
                  </c:pt>
                  <c:pt idx="1">
                    <c:v>NOAK</c:v>
                  </c:pt>
                  <c:pt idx="2">
                    <c:v>10th-OAK</c:v>
                  </c:pt>
                  <c:pt idx="3">
                    <c:v>FOAK</c:v>
                  </c:pt>
                  <c:pt idx="4">
                    <c:v>NOAK</c:v>
                  </c:pt>
                  <c:pt idx="5">
                    <c:v>10th-OAK</c:v>
                  </c:pt>
                  <c:pt idx="6">
                    <c:v>Mature
NOAK</c:v>
                  </c:pt>
                  <c:pt idx="7">
                    <c:v>FOAK</c:v>
                  </c:pt>
                  <c:pt idx="8">
                    <c:v>NOAK</c:v>
                  </c:pt>
                  <c:pt idx="9">
                    <c:v>10th-OAK</c:v>
                  </c:pt>
                  <c:pt idx="10">
                    <c:v>Mature
NOAK</c:v>
                  </c:pt>
                </c:lvl>
                <c:lvl>
                  <c:pt idx="0">
                    <c:v>ICF</c:v>
                  </c:pt>
                  <c:pt idx="1">
                    <c:v>ICF</c:v>
                  </c:pt>
                  <c:pt idx="2">
                    <c:v>ICF</c:v>
                  </c:pt>
                  <c:pt idx="3">
                    <c:v>MCF</c:v>
                  </c:pt>
                  <c:pt idx="4">
                    <c:v>MCF</c:v>
                  </c:pt>
                  <c:pt idx="5">
                    <c:v>MCF</c:v>
                  </c:pt>
                  <c:pt idx="6">
                    <c:v>MCF</c:v>
                  </c:pt>
                  <c:pt idx="7">
                    <c:v>MIF</c:v>
                  </c:pt>
                  <c:pt idx="8">
                    <c:v>MIF</c:v>
                  </c:pt>
                  <c:pt idx="9">
                    <c:v>MIF</c:v>
                  </c:pt>
                  <c:pt idx="10">
                    <c:v>MIF</c:v>
                  </c:pt>
                </c:lvl>
              </c:multiLvlStrCache>
            </c:multiLvlStrRef>
          </c:cat>
          <c:val>
            <c:numRef>
              <c:f>'OCC Chart_with_Contingency_tota'!$AT$2:$AT$12</c:f>
              <c:numCache>
                <c:formatCode>General</c:formatCode>
                <c:ptCount val="11"/>
                <c:pt idx="0">
                  <c:v>0</c:v>
                </c:pt>
                <c:pt idx="1">
                  <c:v>0</c:v>
                </c:pt>
                <c:pt idx="2">
                  <c:v>1955.0110150948321</c:v>
                </c:pt>
                <c:pt idx="3">
                  <c:v>1727.254353180806</c:v>
                </c:pt>
                <c:pt idx="4">
                  <c:v>1476.2520328270011</c:v>
                </c:pt>
                <c:pt idx="5">
                  <c:v>1009.1214351421131</c:v>
                </c:pt>
                <c:pt idx="6">
                  <c:v>703.13425139379797</c:v>
                </c:pt>
                <c:pt idx="7">
                  <c:v>0</c:v>
                </c:pt>
                <c:pt idx="8">
                  <c:v>0</c:v>
                </c:pt>
                <c:pt idx="9">
                  <c:v>1595.5291928985389</c:v>
                </c:pt>
                <c:pt idx="10">
                  <c:v>38.190838693927162</c:v>
                </c:pt>
              </c:numCache>
            </c:numRef>
          </c:val>
          <c:extLst>
            <c:ext xmlns:c16="http://schemas.microsoft.com/office/drawing/2014/chart" uri="{C3380CC4-5D6E-409C-BE32-E72D297353CC}">
              <c16:uniqueId val="{00000012-9892-4026-BFA7-0900C68272DD}"/>
            </c:ext>
          </c:extLst>
        </c:ser>
        <c:ser>
          <c:idx val="3"/>
          <c:order val="3"/>
          <c:tx>
            <c:strRef>
              <c:f>'OCC Chart_with_Contingency_tota'!$AU$1</c:f>
              <c:strCache>
                <c:ptCount val="1"/>
                <c:pt idx="0">
                  <c:v>High Base</c:v>
                </c:pt>
              </c:strCache>
            </c:strRef>
          </c:tx>
          <c:spPr>
            <a:noFill/>
            <a:ln>
              <a:noFill/>
            </a:ln>
            <a:effectLst/>
          </c:spPr>
          <c:invertIfNegative val="0"/>
          <c:cat>
            <c:multiLvlStrRef>
              <c:f>'OCC Chart_with_Contingency_tota'!$W$2:$X$12</c:f>
              <c:multiLvlStrCache>
                <c:ptCount val="11"/>
                <c:lvl>
                  <c:pt idx="0">
                    <c:v>FOAK</c:v>
                  </c:pt>
                  <c:pt idx="1">
                    <c:v>NOAK</c:v>
                  </c:pt>
                  <c:pt idx="2">
                    <c:v>10th-OAK</c:v>
                  </c:pt>
                  <c:pt idx="3">
                    <c:v>FOAK</c:v>
                  </c:pt>
                  <c:pt idx="4">
                    <c:v>NOAK</c:v>
                  </c:pt>
                  <c:pt idx="5">
                    <c:v>10th-OAK</c:v>
                  </c:pt>
                  <c:pt idx="6">
                    <c:v>Mature
NOAK</c:v>
                  </c:pt>
                  <c:pt idx="7">
                    <c:v>FOAK</c:v>
                  </c:pt>
                  <c:pt idx="8">
                    <c:v>NOAK</c:v>
                  </c:pt>
                  <c:pt idx="9">
                    <c:v>10th-OAK</c:v>
                  </c:pt>
                  <c:pt idx="10">
                    <c:v>Mature
NOAK</c:v>
                  </c:pt>
                </c:lvl>
                <c:lvl>
                  <c:pt idx="0">
                    <c:v>ICF</c:v>
                  </c:pt>
                  <c:pt idx="1">
                    <c:v>ICF</c:v>
                  </c:pt>
                  <c:pt idx="2">
                    <c:v>ICF</c:v>
                  </c:pt>
                  <c:pt idx="3">
                    <c:v>MCF</c:v>
                  </c:pt>
                  <c:pt idx="4">
                    <c:v>MCF</c:v>
                  </c:pt>
                  <c:pt idx="5">
                    <c:v>MCF</c:v>
                  </c:pt>
                  <c:pt idx="6">
                    <c:v>MCF</c:v>
                  </c:pt>
                  <c:pt idx="7">
                    <c:v>MIF</c:v>
                  </c:pt>
                  <c:pt idx="8">
                    <c:v>MIF</c:v>
                  </c:pt>
                  <c:pt idx="9">
                    <c:v>MIF</c:v>
                  </c:pt>
                  <c:pt idx="10">
                    <c:v>MIF</c:v>
                  </c:pt>
                </c:lvl>
              </c:multiLvlStrCache>
            </c:multiLvlStrRef>
          </c:cat>
          <c:val>
            <c:numRef>
              <c:f>'OCC Chart_with_Contingency_tota'!$AU$2:$AU$12</c:f>
              <c:numCache>
                <c:formatCode>General</c:formatCode>
                <c:ptCount val="11"/>
                <c:pt idx="0">
                  <c:v>0</c:v>
                </c:pt>
                <c:pt idx="1">
                  <c:v>0</c:v>
                </c:pt>
                <c:pt idx="2">
                  <c:v>2100.255345529511</c:v>
                </c:pt>
                <c:pt idx="3">
                  <c:v>15797.013586090749</c:v>
                </c:pt>
                <c:pt idx="4">
                  <c:v>7994.3068063409664</c:v>
                </c:pt>
                <c:pt idx="5">
                  <c:v>6622.5841080993996</c:v>
                </c:pt>
                <c:pt idx="6">
                  <c:v>1944.1039610847902</c:v>
                </c:pt>
                <c:pt idx="7">
                  <c:v>0</c:v>
                </c:pt>
                <c:pt idx="8">
                  <c:v>0</c:v>
                </c:pt>
                <c:pt idx="9">
                  <c:v>1595.5291928985389</c:v>
                </c:pt>
                <c:pt idx="10">
                  <c:v>38.190838693927162</c:v>
                </c:pt>
              </c:numCache>
            </c:numRef>
          </c:val>
          <c:extLst>
            <c:ext xmlns:c16="http://schemas.microsoft.com/office/drawing/2014/chart" uri="{C3380CC4-5D6E-409C-BE32-E72D297353CC}">
              <c16:uniqueId val="{00000013-9892-4026-BFA7-0900C68272DD}"/>
            </c:ext>
          </c:extLst>
        </c:ser>
        <c:dLbls>
          <c:showLegendKey val="0"/>
          <c:showVal val="0"/>
          <c:showCatName val="0"/>
          <c:showSerName val="0"/>
          <c:showPercent val="0"/>
          <c:showBubbleSize val="0"/>
        </c:dLbls>
        <c:gapWidth val="25"/>
        <c:overlap val="100"/>
        <c:axId val="307037904"/>
        <c:axId val="307038384"/>
      </c:barChart>
      <c:lineChart>
        <c:grouping val="standard"/>
        <c:varyColors val="0"/>
        <c:ser>
          <c:idx val="4"/>
          <c:order val="4"/>
          <c:tx>
            <c:strRef>
              <c:f>'OCC Chart_with_Contingency_tota'!$AN$1</c:f>
              <c:strCache>
                <c:ptCount val="1"/>
                <c:pt idx="0">
                  <c:v>Q1</c:v>
                </c:pt>
              </c:strCache>
            </c:strRef>
          </c:tx>
          <c:spPr>
            <a:ln w="28575" cap="rnd">
              <a:noFill/>
              <a:round/>
            </a:ln>
            <a:effectLst/>
          </c:spPr>
          <c:marker>
            <c:symbol val="none"/>
          </c:marker>
          <c:errBars>
            <c:errDir val="y"/>
            <c:errBarType val="minus"/>
            <c:errValType val="cust"/>
            <c:noEndCap val="0"/>
            <c:plus>
              <c:numRef>
                <c:f>'OCC Chart_with_Contingency_tota'!$BF$2:$BF$12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plus>
            <c:minus>
              <c:numRef>
                <c:f>'OCC Chart_with_Contingency_tota'!$BC$2:$BC$12</c:f>
                <c:numCache>
                  <c:formatCode>General</c:formatCode>
                  <c:ptCount val="11"/>
                  <c:pt idx="0">
                    <c:v>#N/A</c:v>
                  </c:pt>
                  <c:pt idx="1">
                    <c:v>0</c:v>
                  </c:pt>
                  <c:pt idx="2">
                    <c:v>1322.0035574499043</c:v>
                  </c:pt>
                  <c:pt idx="3">
                    <c:v>2358.5804435396003</c:v>
                  </c:pt>
                  <c:pt idx="4">
                    <c:v>2155.6185773282059</c:v>
                  </c:pt>
                  <c:pt idx="5">
                    <c:v>1194.950302590209</c:v>
                  </c:pt>
                  <c:pt idx="6">
                    <c:v>853.06385017421599</c:v>
                  </c:pt>
                  <c:pt idx="7">
                    <c:v>#N/A</c:v>
                  </c:pt>
                  <c:pt idx="8">
                    <c:v>#N/A</c:v>
                  </c:pt>
                  <c:pt idx="9">
                    <c:v>2673.1653035119807</c:v>
                  </c:pt>
                  <c:pt idx="10">
                    <c:v>38.190838693927162</c:v>
                  </c:pt>
                </c:numCache>
              </c:numRef>
            </c:minus>
            <c:spPr>
              <a:noFill/>
              <a:ln w="12700" cap="flat" cmpd="sng" algn="ctr">
                <a:solidFill>
                  <a:schemeClr val="tx1">
                    <a:lumMod val="65000"/>
                    <a:lumOff val="35000"/>
                  </a:schemeClr>
                </a:solidFill>
                <a:round/>
              </a:ln>
              <a:effectLst/>
            </c:spPr>
          </c:errBars>
          <c:val>
            <c:numRef>
              <c:f>'OCC Chart_with_Contingency_tota'!$AN$2:$AN$12</c:f>
              <c:numCache>
                <c:formatCode>General</c:formatCode>
                <c:ptCount val="11"/>
                <c:pt idx="0">
                  <c:v>#N/A</c:v>
                </c:pt>
                <c:pt idx="1">
                  <c:v>2100.4187138060079</c:v>
                </c:pt>
                <c:pt idx="2">
                  <c:v>3040.1704299398643</c:v>
                </c:pt>
                <c:pt idx="3">
                  <c:v>8472.4900087569913</c:v>
                </c:pt>
                <c:pt idx="4">
                  <c:v>4674.9905385920883</c:v>
                </c:pt>
                <c:pt idx="5">
                  <c:v>4356.3171715074841</c:v>
                </c:pt>
                <c:pt idx="6">
                  <c:v>4017.420354239257</c:v>
                </c:pt>
                <c:pt idx="7">
                  <c:v>#N/A</c:v>
                </c:pt>
                <c:pt idx="8">
                  <c:v>#N/A</c:v>
                </c:pt>
                <c:pt idx="9">
                  <c:v>7562.6339995639009</c:v>
                </c:pt>
                <c:pt idx="10">
                  <c:v>1910.988530517179</c:v>
                </c:pt>
              </c:numCache>
            </c:numRef>
          </c:val>
          <c:smooth val="0"/>
          <c:extLst>
            <c:ext xmlns:c16="http://schemas.microsoft.com/office/drawing/2014/chart" uri="{C3380CC4-5D6E-409C-BE32-E72D297353CC}">
              <c16:uniqueId val="{00000014-9892-4026-BFA7-0900C68272DD}"/>
            </c:ext>
          </c:extLst>
        </c:ser>
        <c:ser>
          <c:idx val="5"/>
          <c:order val="5"/>
          <c:tx>
            <c:strRef>
              <c:f>'OCC Chart_with_Contingency_tota'!$AP$1</c:f>
              <c:strCache>
                <c:ptCount val="1"/>
                <c:pt idx="0">
                  <c:v>Q3</c:v>
                </c:pt>
              </c:strCache>
            </c:strRef>
          </c:tx>
          <c:spPr>
            <a:ln w="28575" cap="rnd">
              <a:noFill/>
              <a:round/>
            </a:ln>
            <a:effectLst/>
          </c:spPr>
          <c:marker>
            <c:symbol val="none"/>
          </c:marker>
          <c:errBars>
            <c:errDir val="y"/>
            <c:errBarType val="plus"/>
            <c:errValType val="cust"/>
            <c:noEndCap val="0"/>
            <c:plus>
              <c:numRef>
                <c:f>'OCC Chart_with_Contingency_tota'!$BD$2:$BD$12</c:f>
                <c:numCache>
                  <c:formatCode>General</c:formatCode>
                  <c:ptCount val="11"/>
                  <c:pt idx="0">
                    <c:v>#N/A</c:v>
                  </c:pt>
                  <c:pt idx="1">
                    <c:v>0</c:v>
                  </c:pt>
                  <c:pt idx="2">
                    <c:v>2100.255345529511</c:v>
                  </c:pt>
                  <c:pt idx="3">
                    <c:v>2640.694033620819</c:v>
                  </c:pt>
                  <c:pt idx="4">
                    <c:v>3373.0865297684868</c:v>
                  </c:pt>
                  <c:pt idx="5">
                    <c:v>3175.3034663400686</c:v>
                  </c:pt>
                  <c:pt idx="6">
                    <c:v>-648.03465369493006</c:v>
                  </c:pt>
                  <c:pt idx="7">
                    <c:v>#N/A</c:v>
                  </c:pt>
                  <c:pt idx="8">
                    <c:v>#N/A</c:v>
                  </c:pt>
                  <c:pt idx="9">
                    <c:v>1595.5291928985389</c:v>
                  </c:pt>
                  <c:pt idx="10">
                    <c:v>38.190838693927162</c:v>
                  </c:pt>
                </c:numCache>
              </c:numRef>
            </c:plus>
            <c:minus>
              <c:numRef>
                <c:f>'OCC Chart_with_Contingency_tota'!$BF$2:$BF$12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minus>
            <c:spPr>
              <a:noFill/>
              <a:ln w="12700" cap="flat" cmpd="sng" algn="ctr">
                <a:solidFill>
                  <a:schemeClr val="tx1">
                    <a:lumMod val="65000"/>
                    <a:lumOff val="35000"/>
                  </a:schemeClr>
                </a:solidFill>
                <a:round/>
              </a:ln>
              <a:effectLst/>
            </c:spPr>
          </c:errBars>
          <c:val>
            <c:numRef>
              <c:f>'OCC Chart_with_Contingency_tota'!$AP$2:$AP$12</c:f>
              <c:numCache>
                <c:formatCode>General</c:formatCode>
                <c:ptCount val="11"/>
                <c:pt idx="0">
                  <c:v>#N/A</c:v>
                </c:pt>
                <c:pt idx="1">
                  <c:v>2100.4187138060079</c:v>
                </c:pt>
                <c:pt idx="2">
                  <c:v>7022.737069328874</c:v>
                </c:pt>
                <c:pt idx="3">
                  <c:v>13334.008402701764</c:v>
                </c:pt>
                <c:pt idx="4">
                  <c:v>7862.2128199500348</c:v>
                </c:pt>
                <c:pt idx="5">
                  <c:v>6817.9053582083579</c:v>
                </c:pt>
                <c:pt idx="6">
                  <c:v>5060.0088200566615</c:v>
                </c:pt>
                <c:pt idx="7">
                  <c:v>#N/A</c:v>
                </c:pt>
                <c:pt idx="8">
                  <c:v>#N/A</c:v>
                </c:pt>
                <c:pt idx="9">
                  <c:v>11831.328495974421</c:v>
                </c:pt>
                <c:pt idx="10">
                  <c:v>1987.3702079050331</c:v>
                </c:pt>
              </c:numCache>
            </c:numRef>
          </c:val>
          <c:smooth val="0"/>
          <c:extLst>
            <c:ext xmlns:c16="http://schemas.microsoft.com/office/drawing/2014/chart" uri="{C3380CC4-5D6E-409C-BE32-E72D297353CC}">
              <c16:uniqueId val="{00000015-9892-4026-BFA7-0900C68272DD}"/>
            </c:ext>
          </c:extLst>
        </c:ser>
        <c:dLbls>
          <c:showLegendKey val="0"/>
          <c:showVal val="0"/>
          <c:showCatName val="0"/>
          <c:showSerName val="0"/>
          <c:showPercent val="0"/>
          <c:showBubbleSize val="0"/>
        </c:dLbls>
        <c:marker val="1"/>
        <c:smooth val="0"/>
        <c:axId val="307037904"/>
        <c:axId val="307038384"/>
      </c:lineChart>
      <c:scatterChart>
        <c:scatterStyle val="lineMarker"/>
        <c:varyColors val="0"/>
        <c:ser>
          <c:idx val="6"/>
          <c:order val="6"/>
          <c:tx>
            <c:strRef>
              <c:f>'OCC Chart_with_Contingency_tota'!$BH$1</c:f>
              <c:strCache>
                <c:ptCount val="1"/>
                <c:pt idx="0">
                  <c:v>Data points</c:v>
                </c:pt>
              </c:strCache>
            </c:strRef>
          </c:tx>
          <c:spPr>
            <a:ln w="25400" cap="rnd">
              <a:noFill/>
              <a:round/>
            </a:ln>
            <a:effectLst/>
          </c:spPr>
          <c:marker>
            <c:symbol val="circle"/>
            <c:size val="6"/>
            <c:spPr>
              <a:solidFill>
                <a:schemeClr val="tx1">
                  <a:lumMod val="85000"/>
                  <a:lumOff val="15000"/>
                  <a:alpha val="40000"/>
                </a:schemeClr>
              </a:solidFill>
              <a:ln w="9525">
                <a:noFill/>
              </a:ln>
              <a:effectLst/>
            </c:spPr>
          </c:marker>
          <c:xVal>
            <c:numRef>
              <c:f>'OCC Chart_with_Contingency_tota'!$BI$2:$BI$121</c:f>
              <c:numCache>
                <c:formatCode>General</c:formatCode>
                <c:ptCount val="120"/>
                <c:pt idx="0">
                  <c:v>2</c:v>
                </c:pt>
                <c:pt idx="1">
                  <c:v>3</c:v>
                </c:pt>
                <c:pt idx="2">
                  <c:v>3</c:v>
                </c:pt>
                <c:pt idx="3">
                  <c:v>3</c:v>
                </c:pt>
                <c:pt idx="4">
                  <c:v>3</c:v>
                </c:pt>
                <c:pt idx="5">
                  <c:v>3</c:v>
                </c:pt>
                <c:pt idx="6">
                  <c:v>3</c:v>
                </c:pt>
                <c:pt idx="7">
                  <c:v>3</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5</c:v>
                </c:pt>
                <c:pt idx="27">
                  <c:v>5</c:v>
                </c:pt>
                <c:pt idx="28">
                  <c:v>5</c:v>
                </c:pt>
                <c:pt idx="29">
                  <c:v>5</c:v>
                </c:pt>
                <c:pt idx="30">
                  <c:v>5</c:v>
                </c:pt>
                <c:pt idx="31">
                  <c:v>5</c:v>
                </c:pt>
                <c:pt idx="32">
                  <c:v>5</c:v>
                </c:pt>
                <c:pt idx="33">
                  <c:v>5</c:v>
                </c:pt>
                <c:pt idx="34">
                  <c:v>5</c:v>
                </c:pt>
                <c:pt idx="35">
                  <c:v>5</c:v>
                </c:pt>
                <c:pt idx="36">
                  <c:v>5</c:v>
                </c:pt>
                <c:pt idx="37">
                  <c:v>5</c:v>
                </c:pt>
                <c:pt idx="38">
                  <c:v>6</c:v>
                </c:pt>
                <c:pt idx="39">
                  <c:v>6</c:v>
                </c:pt>
                <c:pt idx="40">
                  <c:v>6</c:v>
                </c:pt>
                <c:pt idx="41">
                  <c:v>6</c:v>
                </c:pt>
                <c:pt idx="42">
                  <c:v>6</c:v>
                </c:pt>
                <c:pt idx="43">
                  <c:v>6</c:v>
                </c:pt>
                <c:pt idx="44">
                  <c:v>6</c:v>
                </c:pt>
                <c:pt idx="45">
                  <c:v>6</c:v>
                </c:pt>
                <c:pt idx="46">
                  <c:v>6</c:v>
                </c:pt>
                <c:pt idx="47">
                  <c:v>6</c:v>
                </c:pt>
                <c:pt idx="48">
                  <c:v>6</c:v>
                </c:pt>
                <c:pt idx="49">
                  <c:v>6</c:v>
                </c:pt>
                <c:pt idx="50">
                  <c:v>6</c:v>
                </c:pt>
                <c:pt idx="51">
                  <c:v>6</c:v>
                </c:pt>
                <c:pt idx="52">
                  <c:v>6</c:v>
                </c:pt>
                <c:pt idx="53">
                  <c:v>6</c:v>
                </c:pt>
                <c:pt idx="54">
                  <c:v>6</c:v>
                </c:pt>
                <c:pt idx="55">
                  <c:v>6</c:v>
                </c:pt>
                <c:pt idx="56">
                  <c:v>6</c:v>
                </c:pt>
                <c:pt idx="57">
                  <c:v>6</c:v>
                </c:pt>
                <c:pt idx="58">
                  <c:v>6</c:v>
                </c:pt>
                <c:pt idx="59">
                  <c:v>6</c:v>
                </c:pt>
                <c:pt idx="60">
                  <c:v>6</c:v>
                </c:pt>
                <c:pt idx="61">
                  <c:v>6</c:v>
                </c:pt>
                <c:pt idx="62">
                  <c:v>6</c:v>
                </c:pt>
                <c:pt idx="63">
                  <c:v>6</c:v>
                </c:pt>
                <c:pt idx="64">
                  <c:v>6</c:v>
                </c:pt>
                <c:pt idx="65">
                  <c:v>6</c:v>
                </c:pt>
                <c:pt idx="66">
                  <c:v>6</c:v>
                </c:pt>
                <c:pt idx="67">
                  <c:v>6</c:v>
                </c:pt>
                <c:pt idx="68">
                  <c:v>6</c:v>
                </c:pt>
                <c:pt idx="69">
                  <c:v>6</c:v>
                </c:pt>
                <c:pt idx="70">
                  <c:v>6</c:v>
                </c:pt>
                <c:pt idx="71">
                  <c:v>6</c:v>
                </c:pt>
                <c:pt idx="72">
                  <c:v>6</c:v>
                </c:pt>
                <c:pt idx="73">
                  <c:v>6</c:v>
                </c:pt>
                <c:pt idx="74">
                  <c:v>6</c:v>
                </c:pt>
                <c:pt idx="75">
                  <c:v>6</c:v>
                </c:pt>
                <c:pt idx="76">
                  <c:v>6</c:v>
                </c:pt>
                <c:pt idx="77">
                  <c:v>6</c:v>
                </c:pt>
                <c:pt idx="78">
                  <c:v>6</c:v>
                </c:pt>
                <c:pt idx="79">
                  <c:v>6</c:v>
                </c:pt>
                <c:pt idx="80">
                  <c:v>6</c:v>
                </c:pt>
                <c:pt idx="81">
                  <c:v>6</c:v>
                </c:pt>
                <c:pt idx="82">
                  <c:v>6</c:v>
                </c:pt>
                <c:pt idx="83">
                  <c:v>6</c:v>
                </c:pt>
                <c:pt idx="84">
                  <c:v>6</c:v>
                </c:pt>
                <c:pt idx="85">
                  <c:v>6</c:v>
                </c:pt>
                <c:pt idx="86">
                  <c:v>6</c:v>
                </c:pt>
                <c:pt idx="87">
                  <c:v>6</c:v>
                </c:pt>
                <c:pt idx="88">
                  <c:v>6</c:v>
                </c:pt>
                <c:pt idx="89">
                  <c:v>6</c:v>
                </c:pt>
                <c:pt idx="90">
                  <c:v>7</c:v>
                </c:pt>
                <c:pt idx="91">
                  <c:v>7</c:v>
                </c:pt>
                <c:pt idx="92">
                  <c:v>7</c:v>
                </c:pt>
                <c:pt idx="93">
                  <c:v>7</c:v>
                </c:pt>
                <c:pt idx="94">
                  <c:v>10</c:v>
                </c:pt>
                <c:pt idx="95">
                  <c:v>10</c:v>
                </c:pt>
                <c:pt idx="96">
                  <c:v>10</c:v>
                </c:pt>
                <c:pt idx="97">
                  <c:v>11</c:v>
                </c:pt>
                <c:pt idx="98">
                  <c:v>11</c:v>
                </c:pt>
              </c:numCache>
            </c:numRef>
          </c:xVal>
          <c:yVal>
            <c:numRef>
              <c:f>'OCC Chart_with_Contingency_tota'!$BH$2:$BH$121</c:f>
              <c:numCache>
                <c:formatCode>General</c:formatCode>
                <c:ptCount val="120"/>
                <c:pt idx="0">
                  <c:v>2100.4187138060079</c:v>
                </c:pt>
                <c:pt idx="1">
                  <c:v>1718.16687248996</c:v>
                </c:pt>
                <c:pt idx="2">
                  <c:v>2196.6495685713148</c:v>
                </c:pt>
                <c:pt idx="3">
                  <c:v>3883.6912913084134</c:v>
                </c:pt>
                <c:pt idx="4">
                  <c:v>5067.7260542340418</c:v>
                </c:pt>
                <c:pt idx="5">
                  <c:v>9122.992414858385</c:v>
                </c:pt>
                <c:pt idx="6">
                  <c:v>5746.7681296568235</c:v>
                </c:pt>
                <c:pt idx="7">
                  <c:v>8298.7060090009236</c:v>
                </c:pt>
                <c:pt idx="8">
                  <c:v>12441.316506252808</c:v>
                </c:pt>
                <c:pt idx="9">
                  <c:v>15974.702436322583</c:v>
                </c:pt>
                <c:pt idx="10">
                  <c:v>29131.021988792512</c:v>
                </c:pt>
                <c:pt idx="11">
                  <c:v>9477.2166713718052</c:v>
                </c:pt>
                <c:pt idx="12">
                  <c:v>7837.9776810335725</c:v>
                </c:pt>
                <c:pt idx="13">
                  <c:v>10125.764141478647</c:v>
                </c:pt>
                <c:pt idx="14">
                  <c:v>13453.438306200078</c:v>
                </c:pt>
                <c:pt idx="15">
                  <c:v>13540.787173624165</c:v>
                </c:pt>
                <c:pt idx="16">
                  <c:v>11570.710845447591</c:v>
                </c:pt>
                <c:pt idx="17">
                  <c:v>6267.9451091988731</c:v>
                </c:pt>
                <c:pt idx="18">
                  <c:v>6697.3395729776639</c:v>
                </c:pt>
                <c:pt idx="19">
                  <c:v>8197.5598455096588</c:v>
                </c:pt>
                <c:pt idx="20">
                  <c:v>9297.2804984989853</c:v>
                </c:pt>
                <c:pt idx="21">
                  <c:v>12812.364031523692</c:v>
                </c:pt>
                <c:pt idx="22">
                  <c:v>12975.718692206821</c:v>
                </c:pt>
                <c:pt idx="23">
                  <c:v>6113.909565217391</c:v>
                </c:pt>
                <c:pt idx="24">
                  <c:v>11642.797253594323</c:v>
                </c:pt>
                <c:pt idx="25">
                  <c:v>29106.993133985809</c:v>
                </c:pt>
                <c:pt idx="26">
                  <c:v>4759.3274294038556</c:v>
                </c:pt>
                <c:pt idx="27">
                  <c:v>4421.9798661567875</c:v>
                </c:pt>
                <c:pt idx="28">
                  <c:v>5882.8595673719446</c:v>
                </c:pt>
                <c:pt idx="29">
                  <c:v>6326.4153748480385</c:v>
                </c:pt>
                <c:pt idx="30">
                  <c:v>6445.5061993980289</c:v>
                </c:pt>
                <c:pt idx="31">
                  <c:v>6730.1311012027963</c:v>
                </c:pt>
                <c:pt idx="32">
                  <c:v>8940.4134892889124</c:v>
                </c:pt>
                <c:pt idx="33">
                  <c:v>7502.812596837075</c:v>
                </c:pt>
                <c:pt idx="34">
                  <c:v>11235.299349718522</c:v>
                </c:pt>
                <c:pt idx="35">
                  <c:v>15856.519626291001</c:v>
                </c:pt>
                <c:pt idx="36">
                  <c:v>2519.3719612638824</c:v>
                </c:pt>
                <c:pt idx="37">
                  <c:v>3275.3086956521738</c:v>
                </c:pt>
                <c:pt idx="38">
                  <c:v>9993.2088245484265</c:v>
                </c:pt>
                <c:pt idx="39">
                  <c:v>10528.958851803813</c:v>
                </c:pt>
                <c:pt idx="40">
                  <c:v>5392.8326455299357</c:v>
                </c:pt>
                <c:pt idx="41">
                  <c:v>4828.7344554960473</c:v>
                </c:pt>
                <c:pt idx="42">
                  <c:v>5459.5439301198676</c:v>
                </c:pt>
                <c:pt idx="43">
                  <c:v>7569.7136954858461</c:v>
                </c:pt>
                <c:pt idx="44">
                  <c:v>3161.366868917275</c:v>
                </c:pt>
                <c:pt idx="45">
                  <c:v>3438.9745164233582</c:v>
                </c:pt>
                <c:pt idx="46">
                  <c:v>3489.3792062043799</c:v>
                </c:pt>
                <c:pt idx="47">
                  <c:v>4289.5536564781023</c:v>
                </c:pt>
                <c:pt idx="48">
                  <c:v>4991.0189225973236</c:v>
                </c:pt>
                <c:pt idx="49">
                  <c:v>5024.2401954075431</c:v>
                </c:pt>
                <c:pt idx="50">
                  <c:v>5873.2919206204388</c:v>
                </c:pt>
                <c:pt idx="51">
                  <c:v>6384.4031120742102</c:v>
                </c:pt>
                <c:pt idx="52">
                  <c:v>6368.8633163265304</c:v>
                </c:pt>
                <c:pt idx="53">
                  <c:v>7018.938040816327</c:v>
                </c:pt>
                <c:pt idx="54">
                  <c:v>4319.7384166072698</c:v>
                </c:pt>
                <c:pt idx="55">
                  <c:v>4112.2052264808362</c:v>
                </c:pt>
                <c:pt idx="56">
                  <c:v>4154.4938617886182</c:v>
                </c:pt>
                <c:pt idx="57">
                  <c:v>4182.2002090592341</c:v>
                </c:pt>
                <c:pt idx="58">
                  <c:v>5745.4214866434386</c:v>
                </c:pt>
                <c:pt idx="59">
                  <c:v>6058.9406794425095</c:v>
                </c:pt>
                <c:pt idx="60">
                  <c:v>7604.6632113821142</c:v>
                </c:pt>
                <c:pt idx="61">
                  <c:v>8202.5370209059238</c:v>
                </c:pt>
                <c:pt idx="62">
                  <c:v>6747.7326652507072</c:v>
                </c:pt>
                <c:pt idx="63">
                  <c:v>5635.4997213114757</c:v>
                </c:pt>
                <c:pt idx="64">
                  <c:v>6402.781053456878</c:v>
                </c:pt>
                <c:pt idx="65">
                  <c:v>6515.7165609408394</c:v>
                </c:pt>
                <c:pt idx="66">
                  <c:v>6750.8944640057016</c:v>
                </c:pt>
                <c:pt idx="67">
                  <c:v>8603.6378615167214</c:v>
                </c:pt>
                <c:pt idx="68">
                  <c:v>5575.9296513672143</c:v>
                </c:pt>
                <c:pt idx="69">
                  <c:v>7924.8639972798692</c:v>
                </c:pt>
                <c:pt idx="70">
                  <c:v>11734.969398518611</c:v>
                </c:pt>
                <c:pt idx="71">
                  <c:v>3438.9745164233582</c:v>
                </c:pt>
                <c:pt idx="72">
                  <c:v>3489.3792062043799</c:v>
                </c:pt>
                <c:pt idx="73">
                  <c:v>3161.7487226277376</c:v>
                </c:pt>
                <c:pt idx="74">
                  <c:v>4291.2719981751834</c:v>
                </c:pt>
                <c:pt idx="75">
                  <c:v>4990.0642883211685</c:v>
                </c:pt>
                <c:pt idx="76">
                  <c:v>5024.4311222627739</c:v>
                </c:pt>
                <c:pt idx="77">
                  <c:v>5872.146359489052</c:v>
                </c:pt>
                <c:pt idx="78">
                  <c:v>6385.3577463503652</c:v>
                </c:pt>
                <c:pt idx="79">
                  <c:v>6269.6698036215257</c:v>
                </c:pt>
                <c:pt idx="80">
                  <c:v>6588.8523981403214</c:v>
                </c:pt>
                <c:pt idx="81">
                  <c:v>4368.5100898075552</c:v>
                </c:pt>
                <c:pt idx="82">
                  <c:v>4003.0410836087576</c:v>
                </c:pt>
                <c:pt idx="83">
                  <c:v>4930.4048403441639</c:v>
                </c:pt>
                <c:pt idx="84">
                  <c:v>6226.9853411269696</c:v>
                </c:pt>
                <c:pt idx="85">
                  <c:v>7781.5816956501385</c:v>
                </c:pt>
                <c:pt idx="86">
                  <c:v>7985.1155612479279</c:v>
                </c:pt>
                <c:pt idx="87">
                  <c:v>5422.5833919009383</c:v>
                </c:pt>
                <c:pt idx="88">
                  <c:v>13440.489466307758</c:v>
                </c:pt>
                <c:pt idx="89">
                  <c:v>8732.0979401957429</c:v>
                </c:pt>
                <c:pt idx="90">
                  <c:v>3164.356504065041</c:v>
                </c:pt>
                <c:pt idx="91">
                  <c:v>4301.7749709639957</c:v>
                </c:pt>
                <c:pt idx="92">
                  <c:v>4411.9741663617315</c:v>
                </c:pt>
                <c:pt idx="93">
                  <c:v>7004.1127811414517</c:v>
                </c:pt>
                <c:pt idx="94">
                  <c:v>4889.4686960519202</c:v>
                </c:pt>
                <c:pt idx="95">
                  <c:v>10235.799303075883</c:v>
                </c:pt>
                <c:pt idx="96">
                  <c:v>13426.85768887296</c:v>
                </c:pt>
                <c:pt idx="97">
                  <c:v>1872.7976918232519</c:v>
                </c:pt>
                <c:pt idx="98">
                  <c:v>2025.5610465989603</c:v>
                </c:pt>
              </c:numCache>
            </c:numRef>
          </c:yVal>
          <c:smooth val="0"/>
          <c:extLst>
            <c:ext xmlns:c16="http://schemas.microsoft.com/office/drawing/2014/chart" uri="{C3380CC4-5D6E-409C-BE32-E72D297353CC}">
              <c16:uniqueId val="{00000016-9892-4026-BFA7-0900C68272DD}"/>
            </c:ext>
          </c:extLst>
        </c:ser>
        <c:ser>
          <c:idx val="7"/>
          <c:order val="7"/>
          <c:tx>
            <c:strRef>
              <c:f>'OCC Chart_with_Contingency_tota'!$AL$1</c:f>
              <c:strCache>
                <c:ptCount val="1"/>
                <c:pt idx="0">
                  <c:v>Mean</c:v>
                </c:pt>
              </c:strCache>
            </c:strRef>
          </c:tx>
          <c:spPr>
            <a:ln w="25400" cap="rnd">
              <a:noFill/>
              <a:round/>
            </a:ln>
            <a:effectLst/>
          </c:spPr>
          <c:marker>
            <c:symbol val="x"/>
            <c:size val="10"/>
            <c:spPr>
              <a:noFill/>
              <a:ln w="31750">
                <a:solidFill>
                  <a:srgbClr val="FF8C9E"/>
                </a:solidFill>
              </a:ln>
              <a:effectLst/>
            </c:spPr>
          </c:marker>
          <c:dPt>
            <c:idx val="0"/>
            <c:marker>
              <c:symbol val="x"/>
              <c:size val="9"/>
              <c:spPr>
                <a:noFill/>
                <a:ln w="31750">
                  <a:solidFill>
                    <a:srgbClr val="FF8C9E"/>
                  </a:solidFill>
                </a:ln>
                <a:effectLst/>
              </c:spPr>
            </c:marker>
            <c:bubble3D val="0"/>
            <c:extLst>
              <c:ext xmlns:c16="http://schemas.microsoft.com/office/drawing/2014/chart" uri="{C3380CC4-5D6E-409C-BE32-E72D297353CC}">
                <c16:uniqueId val="{00000017-9892-4026-BFA7-0900C68272DD}"/>
              </c:ext>
            </c:extLst>
          </c:dPt>
          <c:dPt>
            <c:idx val="1"/>
            <c:marker>
              <c:symbol val="x"/>
              <c:size val="12"/>
              <c:spPr>
                <a:noFill/>
                <a:ln w="38100">
                  <a:solidFill>
                    <a:srgbClr val="FF8C9E"/>
                  </a:solidFill>
                </a:ln>
                <a:effectLst/>
              </c:spPr>
            </c:marker>
            <c:bubble3D val="0"/>
            <c:extLst>
              <c:ext xmlns:c16="http://schemas.microsoft.com/office/drawing/2014/chart" uri="{C3380CC4-5D6E-409C-BE32-E72D297353CC}">
                <c16:uniqueId val="{00000018-9892-4026-BFA7-0900C68272DD}"/>
              </c:ext>
            </c:extLst>
          </c:dPt>
          <c:dPt>
            <c:idx val="2"/>
            <c:marker>
              <c:symbol val="x"/>
              <c:size val="12"/>
              <c:spPr>
                <a:noFill/>
                <a:ln w="38100">
                  <a:solidFill>
                    <a:srgbClr val="FF8C9E"/>
                  </a:solidFill>
                </a:ln>
                <a:effectLst/>
              </c:spPr>
            </c:marker>
            <c:bubble3D val="0"/>
            <c:extLst>
              <c:ext xmlns:c16="http://schemas.microsoft.com/office/drawing/2014/chart" uri="{C3380CC4-5D6E-409C-BE32-E72D297353CC}">
                <c16:uniqueId val="{00000019-9892-4026-BFA7-0900C68272DD}"/>
              </c:ext>
            </c:extLst>
          </c:dPt>
          <c:dPt>
            <c:idx val="3"/>
            <c:marker>
              <c:symbol val="x"/>
              <c:size val="12"/>
              <c:spPr>
                <a:noFill/>
                <a:ln w="38100">
                  <a:solidFill>
                    <a:srgbClr val="FF8C9E"/>
                  </a:solidFill>
                </a:ln>
                <a:effectLst/>
              </c:spPr>
            </c:marker>
            <c:bubble3D val="0"/>
            <c:extLst>
              <c:ext xmlns:c16="http://schemas.microsoft.com/office/drawing/2014/chart" uri="{C3380CC4-5D6E-409C-BE32-E72D297353CC}">
                <c16:uniqueId val="{0000001A-9892-4026-BFA7-0900C68272DD}"/>
              </c:ext>
            </c:extLst>
          </c:dPt>
          <c:dPt>
            <c:idx val="4"/>
            <c:marker>
              <c:symbol val="x"/>
              <c:size val="12"/>
              <c:spPr>
                <a:noFill/>
                <a:ln w="38100">
                  <a:solidFill>
                    <a:srgbClr val="FF8C9E"/>
                  </a:solidFill>
                </a:ln>
                <a:effectLst/>
              </c:spPr>
            </c:marker>
            <c:bubble3D val="0"/>
            <c:extLst>
              <c:ext xmlns:c16="http://schemas.microsoft.com/office/drawing/2014/chart" uri="{C3380CC4-5D6E-409C-BE32-E72D297353CC}">
                <c16:uniqueId val="{0000001B-9892-4026-BFA7-0900C68272DD}"/>
              </c:ext>
            </c:extLst>
          </c:dPt>
          <c:dPt>
            <c:idx val="5"/>
            <c:marker>
              <c:symbol val="x"/>
              <c:size val="12"/>
              <c:spPr>
                <a:noFill/>
                <a:ln w="38100">
                  <a:solidFill>
                    <a:srgbClr val="FF8C9E"/>
                  </a:solidFill>
                </a:ln>
                <a:effectLst/>
              </c:spPr>
            </c:marker>
            <c:bubble3D val="0"/>
            <c:extLst>
              <c:ext xmlns:c16="http://schemas.microsoft.com/office/drawing/2014/chart" uri="{C3380CC4-5D6E-409C-BE32-E72D297353CC}">
                <c16:uniqueId val="{0000001C-9892-4026-BFA7-0900C68272DD}"/>
              </c:ext>
            </c:extLst>
          </c:dPt>
          <c:dPt>
            <c:idx val="6"/>
            <c:marker>
              <c:symbol val="x"/>
              <c:size val="12"/>
              <c:spPr>
                <a:noFill/>
                <a:ln w="38100">
                  <a:solidFill>
                    <a:srgbClr val="FF8C9E"/>
                  </a:solidFill>
                </a:ln>
                <a:effectLst/>
              </c:spPr>
            </c:marker>
            <c:bubble3D val="0"/>
            <c:extLst>
              <c:ext xmlns:c16="http://schemas.microsoft.com/office/drawing/2014/chart" uri="{C3380CC4-5D6E-409C-BE32-E72D297353CC}">
                <c16:uniqueId val="{0000001D-9892-4026-BFA7-0900C68272DD}"/>
              </c:ext>
            </c:extLst>
          </c:dPt>
          <c:dPt>
            <c:idx val="8"/>
            <c:marker>
              <c:symbol val="x"/>
              <c:size val="9"/>
              <c:spPr>
                <a:noFill/>
                <a:ln w="31750">
                  <a:solidFill>
                    <a:srgbClr val="FF8C9E"/>
                  </a:solidFill>
                </a:ln>
                <a:effectLst/>
              </c:spPr>
            </c:marker>
            <c:bubble3D val="0"/>
            <c:extLst>
              <c:ext xmlns:c16="http://schemas.microsoft.com/office/drawing/2014/chart" uri="{C3380CC4-5D6E-409C-BE32-E72D297353CC}">
                <c16:uniqueId val="{0000001E-9892-4026-BFA7-0900C68272DD}"/>
              </c:ext>
            </c:extLst>
          </c:dPt>
          <c:dPt>
            <c:idx val="9"/>
            <c:marker>
              <c:symbol val="x"/>
              <c:size val="12"/>
              <c:spPr>
                <a:noFill/>
                <a:ln w="38100">
                  <a:solidFill>
                    <a:srgbClr val="FF8C9E"/>
                  </a:solidFill>
                </a:ln>
                <a:effectLst/>
              </c:spPr>
            </c:marker>
            <c:bubble3D val="0"/>
            <c:extLst>
              <c:ext xmlns:c16="http://schemas.microsoft.com/office/drawing/2014/chart" uri="{C3380CC4-5D6E-409C-BE32-E72D297353CC}">
                <c16:uniqueId val="{0000001F-9892-4026-BFA7-0900C68272DD}"/>
              </c:ext>
            </c:extLst>
          </c:dPt>
          <c:dPt>
            <c:idx val="10"/>
            <c:marker>
              <c:symbol val="x"/>
              <c:size val="12"/>
              <c:spPr>
                <a:noFill/>
                <a:ln w="38100">
                  <a:solidFill>
                    <a:srgbClr val="FF8C9E"/>
                  </a:solidFill>
                </a:ln>
                <a:effectLst/>
              </c:spPr>
            </c:marker>
            <c:bubble3D val="0"/>
            <c:extLst>
              <c:ext xmlns:c16="http://schemas.microsoft.com/office/drawing/2014/chart" uri="{C3380CC4-5D6E-409C-BE32-E72D297353CC}">
                <c16:uniqueId val="{00000021-EC12-494B-94F1-15CB47BBC3A3}"/>
              </c:ext>
            </c:extLst>
          </c:dPt>
          <c:xVal>
            <c:numRef>
              <c:f>'OCC Chart_with_Contingency_tota'!$AJ$2:$AJ$12</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'OCC Chart_with_Contingency_tota'!$AL$2:$AL$12</c:f>
              <c:numCache>
                <c:formatCode>General</c:formatCode>
                <c:ptCount val="11"/>
                <c:pt idx="0">
                  <c:v>#N/A</c:v>
                </c:pt>
                <c:pt idx="1">
                  <c:v>2100.4187138060079</c:v>
                </c:pt>
                <c:pt idx="2">
                  <c:v>5147.8143343028369</c:v>
                </c:pt>
                <c:pt idx="3">
                  <c:v>12592.491302957611</c:v>
                </c:pt>
                <c:pt idx="4">
                  <c:v>6991.3287714527505</c:v>
                </c:pt>
                <c:pt idx="5">
                  <c:v>6086.3067926271779</c:v>
                </c:pt>
                <c:pt idx="6">
                  <c:v>4720.554605633055</c:v>
                </c:pt>
                <c:pt idx="7">
                  <c:v>#N/A</c:v>
                </c:pt>
                <c:pt idx="8">
                  <c:v>#N/A</c:v>
                </c:pt>
                <c:pt idx="9">
                  <c:v>9517.3752293335874</c:v>
                </c:pt>
                <c:pt idx="10">
                  <c:v>1949.1793692111059</c:v>
                </c:pt>
              </c:numCache>
            </c:numRef>
          </c:yVal>
          <c:smooth val="0"/>
          <c:extLst>
            <c:ext xmlns:c16="http://schemas.microsoft.com/office/drawing/2014/chart" uri="{C3380CC4-5D6E-409C-BE32-E72D297353CC}">
              <c16:uniqueId val="{00000020-9892-4026-BFA7-0900C68272DD}"/>
            </c:ext>
          </c:extLst>
        </c:ser>
        <c:ser>
          <c:idx val="8"/>
          <c:order val="8"/>
          <c:tx>
            <c:strRef>
              <c:f>'OCC Chart_with_Contingency_tota'!$AK$1</c:f>
              <c:strCache>
                <c:ptCount val="1"/>
                <c:pt idx="0">
                  <c:v>97.5th percentile</c:v>
                </c:pt>
              </c:strCache>
            </c:strRef>
          </c:tx>
          <c:spPr>
            <a:ln w="25400" cap="rnd">
              <a:noFill/>
              <a:round/>
            </a:ln>
            <a:effectLst/>
          </c:spPr>
          <c:marker>
            <c:symbol val="triangle"/>
            <c:size val="16"/>
            <c:spPr>
              <a:solidFill>
                <a:srgbClr val="93B7BB"/>
              </a:solidFill>
              <a:ln w="38100">
                <a:noFill/>
              </a:ln>
              <a:effectLst/>
            </c:spPr>
          </c:marker>
          <c:dPt>
            <c:idx val="0"/>
            <c:marker>
              <c:symbol val="triangle"/>
              <c:size val="16"/>
              <c:spPr>
                <a:solidFill>
                  <a:srgbClr val="93B7BB"/>
                </a:solidFill>
                <a:ln w="38100">
                  <a:noFill/>
                </a:ln>
                <a:effectLst/>
              </c:spPr>
            </c:marker>
            <c:bubble3D val="0"/>
            <c:spPr>
              <a:ln w="25400" cap="rnd">
                <a:solidFill>
                  <a:srgbClr val="00B050"/>
                </a:solidFill>
                <a:round/>
              </a:ln>
              <a:effectLst/>
            </c:spPr>
            <c:extLst>
              <c:ext xmlns:c16="http://schemas.microsoft.com/office/drawing/2014/chart" uri="{C3380CC4-5D6E-409C-BE32-E72D297353CC}">
                <c16:uniqueId val="{00000022-9892-4026-BFA7-0900C68272DD}"/>
              </c:ext>
            </c:extLst>
          </c:dPt>
          <c:dPt>
            <c:idx val="3"/>
            <c:marker>
              <c:symbol val="triangle"/>
              <c:size val="16"/>
              <c:spPr>
                <a:solidFill>
                  <a:srgbClr val="93B7BB"/>
                </a:solidFill>
                <a:ln w="38100">
                  <a:noFill/>
                </a:ln>
                <a:effectLst/>
              </c:spPr>
            </c:marker>
            <c:bubble3D val="0"/>
            <c:extLst>
              <c:ext xmlns:c16="http://schemas.microsoft.com/office/drawing/2014/chart" uri="{C3380CC4-5D6E-409C-BE32-E72D297353CC}">
                <c16:uniqueId val="{00000023-9892-4026-BFA7-0900C68272DD}"/>
              </c:ext>
            </c:extLst>
          </c:dPt>
          <c:xVal>
            <c:numRef>
              <c:f>'OCC Chart_with_Contingency_tota'!$AJ$2:$AJ$12</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'OCC Chart_with_Contingency_tota'!$AK$2:$AK$12</c:f>
              <c:numCache>
                <c:formatCode>General</c:formatCode>
                <c:ptCount val="11"/>
                <c:pt idx="0">
                  <c:v>#N/A</c:v>
                </c:pt>
                <c:pt idx="1">
                  <c:v>2100.4187138060079</c:v>
                </c:pt>
                <c:pt idx="2">
                  <c:v>8999.3494539797648</c:v>
                </c:pt>
                <c:pt idx="3">
                  <c:v>29120.809725499665</c:v>
                </c:pt>
                <c:pt idx="4">
                  <c:v>14585.684050233567</c:v>
                </c:pt>
                <c:pt idx="5">
                  <c:v>11403.316498172044</c:v>
                </c:pt>
                <c:pt idx="6">
                  <c:v>6809.7023850329724</c:v>
                </c:pt>
                <c:pt idx="7">
                  <c:v>#N/A</c:v>
                </c:pt>
                <c:pt idx="8">
                  <c:v>#N/A</c:v>
                </c:pt>
                <c:pt idx="9">
                  <c:v>13267.304769583106</c:v>
                </c:pt>
                <c:pt idx="10">
                  <c:v>2021.7419627295676</c:v>
                </c:pt>
              </c:numCache>
            </c:numRef>
          </c:yVal>
          <c:smooth val="0"/>
          <c:extLst>
            <c:ext xmlns:c16="http://schemas.microsoft.com/office/drawing/2014/chart" uri="{C3380CC4-5D6E-409C-BE32-E72D297353CC}">
              <c16:uniqueId val="{00000024-9892-4026-BFA7-0900C68272DD}"/>
            </c:ext>
          </c:extLst>
        </c:ser>
        <c:ser>
          <c:idx val="9"/>
          <c:order val="9"/>
          <c:tx>
            <c:strRef>
              <c:f>'OCC Chart_with_Contingency_tota'!$AO$1</c:f>
              <c:strCache>
                <c:ptCount val="1"/>
                <c:pt idx="0">
                  <c:v>Median</c:v>
                </c:pt>
              </c:strCache>
            </c:strRef>
          </c:tx>
          <c:spPr>
            <a:ln w="25400" cap="rnd">
              <a:noFill/>
              <a:round/>
            </a:ln>
            <a:effectLst/>
          </c:spPr>
          <c:marker>
            <c:symbol val="diamond"/>
            <c:size val="12"/>
            <c:spPr>
              <a:solidFill>
                <a:srgbClr val="FFBE98"/>
              </a:solidFill>
              <a:ln w="9525">
                <a:noFill/>
              </a:ln>
              <a:effectLst/>
            </c:spPr>
          </c:marker>
          <c:dPt>
            <c:idx val="1"/>
            <c:marker>
              <c:symbol val="diamond"/>
              <c:size val="15"/>
              <c:spPr>
                <a:solidFill>
                  <a:srgbClr val="FFBE98"/>
                </a:solidFill>
                <a:ln w="9525">
                  <a:noFill/>
                </a:ln>
                <a:effectLst/>
              </c:spPr>
            </c:marker>
            <c:bubble3D val="0"/>
            <c:extLst>
              <c:ext xmlns:c16="http://schemas.microsoft.com/office/drawing/2014/chart" uri="{C3380CC4-5D6E-409C-BE32-E72D297353CC}">
                <c16:uniqueId val="{00000025-EC12-494B-94F1-15CB47BBC3A3}"/>
              </c:ext>
            </c:extLst>
          </c:dPt>
          <c:dPt>
            <c:idx val="2"/>
            <c:marker>
              <c:symbol val="diamond"/>
              <c:size val="15"/>
              <c:spPr>
                <a:solidFill>
                  <a:srgbClr val="FFBE98"/>
                </a:solidFill>
                <a:ln w="9525">
                  <a:noFill/>
                </a:ln>
                <a:effectLst/>
              </c:spPr>
            </c:marker>
            <c:bubble3D val="0"/>
            <c:extLst>
              <c:ext xmlns:c16="http://schemas.microsoft.com/office/drawing/2014/chart" uri="{C3380CC4-5D6E-409C-BE32-E72D297353CC}">
                <c16:uniqueId val="{00000024-EC12-494B-94F1-15CB47BBC3A3}"/>
              </c:ext>
            </c:extLst>
          </c:dPt>
          <c:dPt>
            <c:idx val="3"/>
            <c:marker>
              <c:symbol val="diamond"/>
              <c:size val="15"/>
              <c:spPr>
                <a:solidFill>
                  <a:srgbClr val="FFBE98"/>
                </a:solidFill>
                <a:ln w="9525">
                  <a:noFill/>
                </a:ln>
                <a:effectLst/>
              </c:spPr>
            </c:marker>
            <c:bubble3D val="0"/>
            <c:extLst>
              <c:ext xmlns:c16="http://schemas.microsoft.com/office/drawing/2014/chart" uri="{C3380CC4-5D6E-409C-BE32-E72D297353CC}">
                <c16:uniqueId val="{0000001E-EC12-494B-94F1-15CB47BBC3A3}"/>
              </c:ext>
            </c:extLst>
          </c:dPt>
          <c:dPt>
            <c:idx val="4"/>
            <c:marker>
              <c:symbol val="diamond"/>
              <c:size val="15"/>
              <c:spPr>
                <a:solidFill>
                  <a:srgbClr val="FFBE98"/>
                </a:solidFill>
                <a:ln w="9525">
                  <a:noFill/>
                </a:ln>
                <a:effectLst/>
              </c:spPr>
            </c:marker>
            <c:bubble3D val="0"/>
            <c:extLst>
              <c:ext xmlns:c16="http://schemas.microsoft.com/office/drawing/2014/chart" uri="{C3380CC4-5D6E-409C-BE32-E72D297353CC}">
                <c16:uniqueId val="{0000001F-EC12-494B-94F1-15CB47BBC3A3}"/>
              </c:ext>
            </c:extLst>
          </c:dPt>
          <c:dPt>
            <c:idx val="5"/>
            <c:marker>
              <c:symbol val="diamond"/>
              <c:size val="15"/>
              <c:spPr>
                <a:solidFill>
                  <a:srgbClr val="FFBE98"/>
                </a:solidFill>
                <a:ln w="9525">
                  <a:noFill/>
                </a:ln>
                <a:effectLst/>
              </c:spPr>
            </c:marker>
            <c:bubble3D val="0"/>
            <c:extLst>
              <c:ext xmlns:c16="http://schemas.microsoft.com/office/drawing/2014/chart" uri="{C3380CC4-5D6E-409C-BE32-E72D297353CC}">
                <c16:uniqueId val="{00000023-EC12-494B-94F1-15CB47BBC3A3}"/>
              </c:ext>
            </c:extLst>
          </c:dPt>
          <c:dPt>
            <c:idx val="6"/>
            <c:marker>
              <c:symbol val="diamond"/>
              <c:size val="15"/>
              <c:spPr>
                <a:solidFill>
                  <a:srgbClr val="FFBE98"/>
                </a:solidFill>
                <a:ln w="9525">
                  <a:noFill/>
                </a:ln>
                <a:effectLst/>
              </c:spPr>
            </c:marker>
            <c:bubble3D val="0"/>
            <c:extLst>
              <c:ext xmlns:c16="http://schemas.microsoft.com/office/drawing/2014/chart" uri="{C3380CC4-5D6E-409C-BE32-E72D297353CC}">
                <c16:uniqueId val="{00000020-EC12-494B-94F1-15CB47BBC3A3}"/>
              </c:ext>
            </c:extLst>
          </c:dPt>
          <c:dPt>
            <c:idx val="9"/>
            <c:marker>
              <c:symbol val="diamond"/>
              <c:size val="15"/>
              <c:spPr>
                <a:solidFill>
                  <a:srgbClr val="FFBE98"/>
                </a:solidFill>
                <a:ln w="9525">
                  <a:noFill/>
                </a:ln>
                <a:effectLst/>
              </c:spPr>
            </c:marker>
            <c:bubble3D val="0"/>
            <c:spPr>
              <a:ln w="25400" cap="rnd">
                <a:noFill/>
                <a:round/>
              </a:ln>
              <a:effectLst/>
            </c:spPr>
            <c:extLst>
              <c:ext xmlns:c16="http://schemas.microsoft.com/office/drawing/2014/chart" uri="{C3380CC4-5D6E-409C-BE32-E72D297353CC}">
                <c16:uniqueId val="{00000026-9892-4026-BFA7-0900C68272DD}"/>
              </c:ext>
            </c:extLst>
          </c:dPt>
          <c:dPt>
            <c:idx val="10"/>
            <c:marker>
              <c:symbol val="diamond"/>
              <c:size val="15"/>
              <c:spPr>
                <a:solidFill>
                  <a:srgbClr val="FFBE98"/>
                </a:solidFill>
                <a:ln w="9525">
                  <a:noFill/>
                </a:ln>
                <a:effectLst/>
              </c:spPr>
            </c:marker>
            <c:bubble3D val="0"/>
            <c:extLst>
              <c:ext xmlns:c16="http://schemas.microsoft.com/office/drawing/2014/chart" uri="{C3380CC4-5D6E-409C-BE32-E72D297353CC}">
                <c16:uniqueId val="{00000022-EC12-494B-94F1-15CB47BBC3A3}"/>
              </c:ext>
            </c:extLst>
          </c:dPt>
          <c:errBars>
            <c:errDir val="y"/>
            <c:errBarType val="plus"/>
            <c:errValType val="cust"/>
            <c:noEndCap val="0"/>
            <c:plus>
              <c:numLit>
                <c:formatCode>General</c:formatCode>
                <c:ptCount val="1"/>
                <c:pt idx="0">
                  <c:v>1</c:v>
                </c:pt>
              </c:numLit>
            </c:plus>
            <c:minus>
              <c:numRef>
                <c:f>'OCC Chart_with_Contingency_tota'!$BA$2:$BA$11</c:f>
                <c:numCache>
                  <c:formatCode>General</c:formatCode>
                  <c:ptCount val="10"/>
                  <c:pt idx="0">
                    <c:v>#N/A</c:v>
                  </c:pt>
                  <c:pt idx="1">
                    <c:v>0</c:v>
                  </c:pt>
                  <c:pt idx="2">
                    <c:v>4055.2663606243432</c:v>
                  </c:pt>
                  <c:pt idx="3">
                    <c:v>4367.948386801625</c:v>
                  </c:pt>
                  <c:pt idx="4">
                    <c:v>4849.3385625954879</c:v>
                  </c:pt>
                  <c:pt idx="5">
                    <c:v>4184.4249014821817</c:v>
                  </c:pt>
                  <c:pt idx="6">
                    <c:v>55.09959769886791</c:v>
                  </c:pt>
                  <c:pt idx="7">
                    <c:v>#N/A</c:v>
                  </c:pt>
                  <c:pt idx="8">
                    <c:v>#N/A</c:v>
                  </c:pt>
                  <c:pt idx="9">
                    <c:v>3191.0583857970778</c:v>
                  </c:pt>
                </c:numCache>
              </c:numRef>
            </c:minus>
            <c:spPr>
              <a:noFill/>
              <a:ln w="9525" cap="flat" cmpd="sng" algn="ctr">
                <a:solidFill>
                  <a:schemeClr val="tx1">
                    <a:lumMod val="65000"/>
                    <a:lumOff val="35000"/>
                  </a:schemeClr>
                </a:solidFill>
                <a:round/>
              </a:ln>
              <a:effectLst/>
            </c:spPr>
          </c:errBars>
          <c:xVal>
            <c:numRef>
              <c:f>'OCC Chart_with_Contingency_tota'!$AJ$2:$AJ$12</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xVal>
          <c:yVal>
            <c:numRef>
              <c:f>'OCC Chart_with_Contingency_tota'!$AO$2:$AO$12</c:f>
              <c:numCache>
                <c:formatCode>General</c:formatCode>
                <c:ptCount val="11"/>
                <c:pt idx="0">
                  <c:v>#N/A</c:v>
                </c:pt>
                <c:pt idx="1">
                  <c:v>2100.4187138060079</c:v>
                </c:pt>
                <c:pt idx="2">
                  <c:v>5067.7260542340418</c:v>
                </c:pt>
                <c:pt idx="3">
                  <c:v>11606.754049520958</c:v>
                </c:pt>
                <c:pt idx="4">
                  <c:v>6385.9607871230337</c:v>
                </c:pt>
                <c:pt idx="5">
                  <c:v>5808.7839230662448</c:v>
                </c:pt>
                <c:pt idx="6">
                  <c:v>4356.8745686628636</c:v>
                </c:pt>
                <c:pt idx="7">
                  <c:v>#N/A</c:v>
                </c:pt>
                <c:pt idx="8">
                  <c:v>#N/A</c:v>
                </c:pt>
                <c:pt idx="9">
                  <c:v>10235.799303075883</c:v>
                </c:pt>
                <c:pt idx="10">
                  <c:v>1949.1793692111059</c:v>
                </c:pt>
              </c:numCache>
            </c:numRef>
          </c:yVal>
          <c:smooth val="0"/>
          <c:extLst>
            <c:ext xmlns:c16="http://schemas.microsoft.com/office/drawing/2014/chart" uri="{C3380CC4-5D6E-409C-BE32-E72D297353CC}">
              <c16:uniqueId val="{00000027-9892-4026-BFA7-0900C68272DD}"/>
            </c:ext>
          </c:extLst>
        </c:ser>
        <c:dLbls>
          <c:showLegendKey val="0"/>
          <c:showVal val="0"/>
          <c:showCatName val="0"/>
          <c:showSerName val="0"/>
          <c:showPercent val="0"/>
          <c:showBubbleSize val="0"/>
        </c:dLbls>
        <c:axId val="307037904"/>
        <c:axId val="307038384"/>
      </c:scatterChart>
      <c:catAx>
        <c:axId val="3070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307038384"/>
        <c:crosses val="autoZero"/>
        <c:auto val="1"/>
        <c:lblAlgn val="ctr"/>
        <c:lblOffset val="100"/>
        <c:tickMarkSkip val="1"/>
        <c:noMultiLvlLbl val="0"/>
      </c:catAx>
      <c:valAx>
        <c:axId val="307038384"/>
        <c:scaling>
          <c:orientation val="minMax"/>
          <c:max val="30000"/>
        </c:scaling>
        <c:delete val="0"/>
        <c:axPos val="l"/>
        <c:majorGridlines>
          <c:spPr>
            <a:ln w="12700" cap="flat" cmpd="sng" algn="ctr">
              <a:solidFill>
                <a:schemeClr val="bg2">
                  <a:lumMod val="90000"/>
                  <a:alpha val="50000"/>
                </a:schemeClr>
              </a:solidFill>
              <a:round/>
            </a:ln>
            <a:effectLst/>
          </c:spPr>
        </c:majorGridlines>
        <c:minorGridlines>
          <c:spPr>
            <a:ln w="12700" cap="flat" cmpd="sng" algn="ctr">
              <a:solidFill>
                <a:schemeClr val="bg1">
                  <a:lumMod val="95000"/>
                  <a:alpha val="50000"/>
                </a:schemeClr>
              </a:solidFill>
              <a:round/>
            </a:ln>
            <a:effectLst/>
          </c:spPr>
        </c:minorGridlines>
        <c:title>
          <c:tx>
            <c:rich>
              <a:bodyPr rot="-5400000" spcFirstLastPara="1" vertOverflow="ellipsis" vert="horz" wrap="square" anchor="ctr" anchorCtr="1"/>
              <a:lstStyle/>
              <a:p>
                <a:pPr algn="ct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de-DE" sz="2000" b="1">
                    <a:solidFill>
                      <a:sysClr val="windowText" lastClr="000000"/>
                    </a:solidFill>
                  </a:rPr>
                  <a:t>Overnight Construction Costs [2018 USD/kW]</a:t>
                </a:r>
                <a:br>
                  <a:rPr lang="de-DE" sz="2000" b="1">
                    <a:solidFill>
                      <a:sysClr val="windowText" lastClr="000000"/>
                    </a:solidFill>
                  </a:rPr>
                </a:br>
                <a:r>
                  <a:rPr lang="de-DE" sz="2000" b="1">
                    <a:solidFill>
                      <a:sysClr val="windowText" lastClr="000000"/>
                    </a:solidFill>
                  </a:rPr>
                  <a:t>per Confinement Type</a:t>
                </a:r>
              </a:p>
            </c:rich>
          </c:tx>
          <c:layout>
            <c:manualLayout>
              <c:xMode val="edge"/>
              <c:yMode val="edge"/>
              <c:x val="4.8337866150484045E-4"/>
              <c:y val="0.13335425692299932"/>
            </c:manualLayout>
          </c:layout>
          <c:overlay val="0"/>
          <c:spPr>
            <a:noFill/>
            <a:ln>
              <a:noFill/>
            </a:ln>
            <a:effectLst/>
          </c:spPr>
          <c:txPr>
            <a:bodyPr rot="-5400000" spcFirstLastPara="1" vertOverflow="ellipsis" vert="horz" wrap="square" anchor="ctr" anchorCtr="1"/>
            <a:lstStyle/>
            <a:p>
              <a:pPr algn="ct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General" sourceLinked="1"/>
        <c:majorTickMark val="out"/>
        <c:minorTickMark val="out"/>
        <c:tickLblPos val="nextTo"/>
        <c:spPr>
          <a:noFill/>
          <a:ln>
            <a:solidFill>
              <a:schemeClr val="bg1">
                <a:lumMod val="75000"/>
              </a:schemeClr>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307037904"/>
        <c:crosses val="autoZero"/>
        <c:crossBetween val="between"/>
        <c:majorUnit val="2000"/>
      </c:valAx>
      <c:spPr>
        <a:noFill/>
        <a:ln>
          <a:noFill/>
        </a:ln>
        <a:effectLst/>
      </c:spPr>
    </c:plotArea>
    <c:legend>
      <c:legendPos val="b"/>
      <c:legendEntry>
        <c:idx val="0"/>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'OCC Chart_with_Contingency_tota'!$J$121</c:f>
              <c:strCache>
                <c:ptCount val="1"/>
                <c:pt idx="0">
                  <c:v>97.5 percentile for FOAK</c:v>
                </c:pt>
              </c:strCache>
            </c:strRef>
          </c:tx>
          <c:spPr>
            <a:solidFill>
              <a:schemeClr val="accent1"/>
            </a:solidFill>
            <a:ln>
              <a:noFill/>
            </a:ln>
            <a:effectLst/>
          </c:spPr>
          <c:invertIfNegative val="0"/>
          <c:cat>
            <c:multiLvlStrRef>
              <c:f>'OCC Chart_with_Contingency_tota'!$A$2:$C$20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'OCC Chart_with_Contingency_tota'!$J$122:$J$141</c:f>
              <c:numCache>
                <c:formatCode>General</c:formatCode>
                <c:ptCount val="20"/>
                <c:pt idx="0">
                  <c:v>#N/A</c:v>
                </c:pt>
                <c:pt idx="1">
                  <c:v>#N/A</c:v>
                </c:pt>
                <c:pt idx="2">
                  <c:v>#N/A</c:v>
                </c:pt>
                <c:pt idx="3">
                  <c:v>27331.987939932962</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0-FCF3-4F4D-93F3-018AEDCCB240}"/>
            </c:ext>
          </c:extLst>
        </c:ser>
        <c:ser>
          <c:idx val="1"/>
          <c:order val="1"/>
          <c:tx>
            <c:strRef>
              <c:f>'OCC Chart_with_Contingency_tota'!$K$121</c:f>
              <c:strCache>
                <c:ptCount val="1"/>
                <c:pt idx="0">
                  <c:v>97.5 percentile for NOAK</c:v>
                </c:pt>
              </c:strCache>
            </c:strRef>
          </c:tx>
          <c:spPr>
            <a:solidFill>
              <a:schemeClr val="accent2"/>
            </a:solidFill>
            <a:ln>
              <a:noFill/>
            </a:ln>
            <a:effectLst/>
          </c:spPr>
          <c:invertIfNegative val="0"/>
          <c:cat>
            <c:multiLvlStrRef>
              <c:f>'OCC Chart_with_Contingency_tota'!$A$2:$C$20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'OCC Chart_with_Contingency_tota'!$K$122:$K$141</c:f>
              <c:numCache>
                <c:formatCode>General</c:formatCode>
                <c:ptCount val="20"/>
                <c:pt idx="0">
                  <c:v>#N/A</c:v>
                </c:pt>
                <c:pt idx="1">
                  <c:v>2100.3070606742936</c:v>
                </c:pt>
                <c:pt idx="2">
                  <c:v>#N/A</c:v>
                </c:pt>
                <c:pt idx="3">
                  <c:v>#N/A</c:v>
                </c:pt>
                <c:pt idx="4">
                  <c:v>15163.336584805127</c:v>
                </c:pt>
                <c:pt idx="5">
                  <c:v>#N/A</c:v>
                </c:pt>
                <c:pt idx="6">
                  <c:v>#N/A</c:v>
                </c:pt>
                <c:pt idx="7">
                  <c:v>#N/A</c:v>
                </c:pt>
                <c:pt idx="8">
                  <c:v>#N/A</c:v>
                </c:pt>
                <c:pt idx="9">
                  <c:v>6701.66861102232</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1-FCF3-4F4D-93F3-018AEDCCB240}"/>
            </c:ext>
          </c:extLst>
        </c:ser>
        <c:ser>
          <c:idx val="2"/>
          <c:order val="2"/>
          <c:tx>
            <c:strRef>
              <c:f>'OCC Chart_with_Contingency_tota'!$L$121</c:f>
              <c:strCache>
                <c:ptCount val="1"/>
                <c:pt idx="0">
                  <c:v>97.5 percentile for 1Oth-OAK</c:v>
                </c:pt>
              </c:strCache>
            </c:strRef>
          </c:tx>
          <c:spPr>
            <a:solidFill>
              <a:schemeClr val="accent3"/>
            </a:solidFill>
            <a:ln>
              <a:noFill/>
            </a:ln>
            <a:effectLst/>
          </c:spPr>
          <c:invertIfNegative val="0"/>
          <c:cat>
            <c:multiLvlStrRef>
              <c:f>'OCC Chart_with_Contingency_tota'!$A$2:$C$20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'OCC Chart_with_Contingency_tota'!$L$122:$L$141</c:f>
              <c:numCache>
                <c:formatCode>General</c:formatCode>
                <c:ptCount val="20"/>
                <c:pt idx="0">
                  <c:v>#N/A</c:v>
                </c:pt>
                <c:pt idx="1">
                  <c:v>#N/A</c:v>
                </c:pt>
                <c:pt idx="2">
                  <c:v>8167.628781002586</c:v>
                </c:pt>
                <c:pt idx="3">
                  <c:v>#N/A</c:v>
                </c:pt>
                <c:pt idx="4">
                  <c:v>#N/A</c:v>
                </c:pt>
                <c:pt idx="5">
                  <c:v>11359.610466228252</c:v>
                </c:pt>
                <c:pt idx="6">
                  <c:v>#N/A</c:v>
                </c:pt>
                <c:pt idx="7">
                  <c:v>#N/A</c:v>
                </c:pt>
                <c:pt idx="8">
                  <c:v>#N/A</c:v>
                </c:pt>
                <c:pt idx="9">
                  <c:v>#N/A</c:v>
                </c:pt>
                <c:pt idx="10">
                  <c:v>#N/A</c:v>
                </c:pt>
                <c:pt idx="11">
                  <c:v>#N/A</c:v>
                </c:pt>
                <c:pt idx="12">
                  <c:v>#N/A</c:v>
                </c:pt>
                <c:pt idx="13">
                  <c:v>3485.5988544708034</c:v>
                </c:pt>
                <c:pt idx="14">
                  <c:v>#N/A</c:v>
                </c:pt>
                <c:pt idx="15">
                  <c:v>#N/A</c:v>
                </c:pt>
                <c:pt idx="16">
                  <c:v>9652.7295443636012</c:v>
                </c:pt>
                <c:pt idx="17">
                  <c:v>#N/A</c:v>
                </c:pt>
                <c:pt idx="18">
                  <c:v>#N/A</c:v>
                </c:pt>
                <c:pt idx="19">
                  <c:v>11815.286016657847</c:v>
                </c:pt>
              </c:numCache>
            </c:numRef>
          </c:val>
          <c:extLst>
            <c:ext xmlns:c16="http://schemas.microsoft.com/office/drawing/2014/chart" uri="{C3380CC4-5D6E-409C-BE32-E72D297353CC}">
              <c16:uniqueId val="{00000002-FCF3-4F4D-93F3-018AEDCCB240}"/>
            </c:ext>
          </c:extLst>
        </c:ser>
        <c:ser>
          <c:idx val="3"/>
          <c:order val="3"/>
          <c:tx>
            <c:strRef>
              <c:f>'OCC Chart_with_Contingency_tota'!$M$121</c:f>
              <c:strCache>
                <c:ptCount val="1"/>
                <c:pt idx="0">
                  <c:v>97.5 percentile for 75th-OAK</c:v>
                </c:pt>
              </c:strCache>
            </c:strRef>
          </c:tx>
          <c:spPr>
            <a:solidFill>
              <a:schemeClr val="accent4"/>
            </a:solidFill>
            <a:ln>
              <a:noFill/>
            </a:ln>
            <a:effectLst/>
          </c:spPr>
          <c:invertIfNegative val="0"/>
          <c:cat>
            <c:multiLvlStrRef>
              <c:f>'OCC Chart_with_Contingency_tota'!$A$2:$C$20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'OCC Chart_with_Contingency_tota'!$M$122:$M$141</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3-FCF3-4F4D-93F3-018AEDCCB240}"/>
            </c:ext>
          </c:extLst>
        </c:ser>
        <c:dLbls>
          <c:showLegendKey val="0"/>
          <c:showVal val="0"/>
          <c:showCatName val="0"/>
          <c:showSerName val="0"/>
          <c:showPercent val="0"/>
          <c:showBubbleSize val="0"/>
        </c:dLbls>
        <c:gapWidth val="60"/>
        <c:overlap val="100"/>
        <c:axId val="1235677343"/>
        <c:axId val="1235683583"/>
      </c:barChart>
      <c:barChart>
        <c:barDir val="col"/>
        <c:grouping val="stacked"/>
        <c:varyColors val="0"/>
        <c:ser>
          <c:idx val="7"/>
          <c:order val="7"/>
          <c:tx>
            <c:strRef>
              <c:f>'OCC Chart_with_Contingency_tota'!$N$121</c:f>
              <c:strCache>
                <c:ptCount val="1"/>
                <c:pt idx="0">
                  <c:v>97.5 percentile for 100th-OAK</c:v>
                </c:pt>
              </c:strCache>
            </c:strRef>
          </c:tx>
          <c:spPr>
            <a:solidFill>
              <a:schemeClr val="accent2">
                <a:lumMod val="60000"/>
              </a:schemeClr>
            </a:solidFill>
            <a:ln>
              <a:noFill/>
            </a:ln>
            <a:effectLst/>
          </c:spPr>
          <c:invertIfNegative val="0"/>
          <c:cat>
            <c:numRef>
              <c:f>'OCC Chart_with_Contingency_tota'!$I$2:$I$20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'OCC Chart_with_Contingency_tota'!$N$122:$N$141</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4-FCF3-4F4D-93F3-018AEDCCB240}"/>
            </c:ext>
          </c:extLst>
        </c:ser>
        <c:dLbls>
          <c:showLegendKey val="0"/>
          <c:showVal val="0"/>
          <c:showCatName val="0"/>
          <c:showSerName val="0"/>
          <c:showPercent val="0"/>
          <c:showBubbleSize val="0"/>
        </c:dLbls>
        <c:gapWidth val="150"/>
        <c:overlap val="100"/>
        <c:axId val="1180805679"/>
        <c:axId val="1180805199"/>
      </c:barChart>
      <c:scatterChart>
        <c:scatterStyle val="lineMarker"/>
        <c:varyColors val="0"/>
        <c:ser>
          <c:idx val="4"/>
          <c:order val="4"/>
          <c:tx>
            <c:strRef>
              <c:f>'OCC Chart_with_Contingency_tota'!$E$121</c:f>
              <c:strCache>
                <c:ptCount val="1"/>
                <c:pt idx="0">
                  <c:v>Mean</c:v>
                </c:pt>
              </c:strCache>
            </c:strRef>
          </c:tx>
          <c:spPr>
            <a:ln w="25400" cap="rnd">
              <a:noFill/>
              <a:round/>
            </a:ln>
            <a:effectLst/>
          </c:spPr>
          <c:marker>
            <c:symbol val="circle"/>
            <c:size val="7"/>
            <c:spPr>
              <a:solidFill>
                <a:srgbClr val="FA7268"/>
              </a:solidFill>
              <a:ln w="9525">
                <a:noFill/>
              </a:ln>
              <a:effectLst/>
            </c:spPr>
          </c:marker>
          <c:xVal>
            <c:numRef>
              <c:f>'OCC Chart_with_Contingency_tota'!$I$122:$I$141</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'OCC Chart_with_Contingency_tota'!$E$122:$E$141</c:f>
              <c:numCache>
                <c:formatCode>General</c:formatCode>
                <c:ptCount val="20"/>
                <c:pt idx="0">
                  <c:v>#N/A</c:v>
                </c:pt>
                <c:pt idx="1">
                  <c:v>2100.3070606742936</c:v>
                </c:pt>
                <c:pt idx="2">
                  <c:v>4458.9761418676444</c:v>
                </c:pt>
                <c:pt idx="3">
                  <c:v>11915.65033208227</c:v>
                </c:pt>
                <c:pt idx="4">
                  <c:v>7678.8150836011937</c:v>
                </c:pt>
                <c:pt idx="5">
                  <c:v>5715.4644368060463</c:v>
                </c:pt>
                <c:pt idx="6">
                  <c:v>#N/A</c:v>
                </c:pt>
                <c:pt idx="7">
                  <c:v>#N/A</c:v>
                </c:pt>
                <c:pt idx="8">
                  <c:v>#N/A</c:v>
                </c:pt>
                <c:pt idx="9">
                  <c:v>5888.4655024637586</c:v>
                </c:pt>
                <c:pt idx="10">
                  <c:v>#N/A</c:v>
                </c:pt>
                <c:pt idx="11">
                  <c:v>#N/A</c:v>
                </c:pt>
                <c:pt idx="12">
                  <c:v>#N/A</c:v>
                </c:pt>
                <c:pt idx="13">
                  <c:v>3238.262659861618</c:v>
                </c:pt>
                <c:pt idx="14">
                  <c:v>#N/A</c:v>
                </c:pt>
                <c:pt idx="15">
                  <c:v>#N/A</c:v>
                </c:pt>
                <c:pt idx="16">
                  <c:v>9141.6335963099918</c:v>
                </c:pt>
                <c:pt idx="17">
                  <c:v>#N/A</c:v>
                </c:pt>
                <c:pt idx="18">
                  <c:v>#N/A</c:v>
                </c:pt>
                <c:pt idx="19">
                  <c:v>8439.7391187201483</c:v>
                </c:pt>
              </c:numCache>
            </c:numRef>
          </c:yVal>
          <c:smooth val="0"/>
          <c:extLst>
            <c:ext xmlns:c16="http://schemas.microsoft.com/office/drawing/2014/chart" uri="{C3380CC4-5D6E-409C-BE32-E72D297353CC}">
              <c16:uniqueId val="{00000005-FCF3-4F4D-93F3-018AEDCCB240}"/>
            </c:ext>
          </c:extLst>
        </c:ser>
        <c:ser>
          <c:idx val="5"/>
          <c:order val="5"/>
          <c:tx>
            <c:strRef>
              <c:f>'OCC Chart_with_Contingency_tota'!$F$121</c:f>
              <c:strCache>
                <c:ptCount val="1"/>
                <c:pt idx="0">
                  <c:v>Median</c:v>
                </c:pt>
              </c:strCache>
            </c:strRef>
          </c:tx>
          <c:spPr>
            <a:ln w="25400" cap="rnd">
              <a:noFill/>
              <a:round/>
            </a:ln>
            <a:effectLst/>
          </c:spPr>
          <c:marker>
            <c:symbol val="diamond"/>
            <c:size val="6"/>
            <c:spPr>
              <a:solidFill>
                <a:srgbClr val="6B5876"/>
              </a:solidFill>
              <a:ln w="9525">
                <a:noFill/>
              </a:ln>
              <a:effectLst/>
            </c:spPr>
          </c:marker>
          <c:xVal>
            <c:numRef>
              <c:f>'OCC Chart_with_Contingency_tota'!$I$122:$I$141</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'OCC Chart_with_Contingency_tota'!$F$122:$F$141</c:f>
              <c:numCache>
                <c:formatCode>General</c:formatCode>
                <c:ptCount val="20"/>
                <c:pt idx="0">
                  <c:v>#N/A</c:v>
                </c:pt>
                <c:pt idx="1">
                  <c:v>2100.3070606742936</c:v>
                </c:pt>
                <c:pt idx="2">
                  <c:v>4466.4024745136494</c:v>
                </c:pt>
                <c:pt idx="3">
                  <c:v>11606.754049520958</c:v>
                </c:pt>
                <c:pt idx="4">
                  <c:v>7502.812596837075</c:v>
                </c:pt>
                <c:pt idx="5">
                  <c:v>5514.9683324615162</c:v>
                </c:pt>
                <c:pt idx="6">
                  <c:v>#N/A</c:v>
                </c:pt>
                <c:pt idx="7">
                  <c:v>#N/A</c:v>
                </c:pt>
                <c:pt idx="8">
                  <c:v>#N/A</c:v>
                </c:pt>
                <c:pt idx="9">
                  <c:v>6326.4153748480385</c:v>
                </c:pt>
                <c:pt idx="10">
                  <c:v>#N/A</c:v>
                </c:pt>
                <c:pt idx="11">
                  <c:v>#N/A</c:v>
                </c:pt>
                <c:pt idx="12">
                  <c:v>#N/A</c:v>
                </c:pt>
                <c:pt idx="13">
                  <c:v>3236.5920498783457</c:v>
                </c:pt>
                <c:pt idx="14">
                  <c:v>#N/A</c:v>
                </c:pt>
                <c:pt idx="15">
                  <c:v>#N/A</c:v>
                </c:pt>
                <c:pt idx="16">
                  <c:v>9141.6335963099918</c:v>
                </c:pt>
                <c:pt idx="17">
                  <c:v>#N/A</c:v>
                </c:pt>
                <c:pt idx="18">
                  <c:v>#N/A</c:v>
                </c:pt>
                <c:pt idx="19">
                  <c:v>9158.1631924624417</c:v>
                </c:pt>
              </c:numCache>
            </c:numRef>
          </c:yVal>
          <c:smooth val="0"/>
          <c:extLst>
            <c:ext xmlns:c16="http://schemas.microsoft.com/office/drawing/2014/chart" uri="{C3380CC4-5D6E-409C-BE32-E72D297353CC}">
              <c16:uniqueId val="{00000006-FCF3-4F4D-93F3-018AEDCCB240}"/>
            </c:ext>
          </c:extLst>
        </c:ser>
        <c:ser>
          <c:idx val="6"/>
          <c:order val="6"/>
          <c:tx>
            <c:strRef>
              <c:f>'OCC Chart_with_Contingency_tota'!$H$121</c:f>
              <c:strCache>
                <c:ptCount val="1"/>
                <c:pt idx="0">
                  <c:v>MaxΔ</c:v>
                </c:pt>
              </c:strCache>
            </c:strRef>
          </c:tx>
          <c:spPr>
            <a:ln w="25400" cap="rnd">
              <a:noFill/>
              <a:round/>
            </a:ln>
            <a:effectLst/>
          </c:spPr>
          <c:marker>
            <c:symbol val="none"/>
          </c:marker>
          <c:errBars>
            <c:errDir val="y"/>
            <c:errBarType val="plus"/>
            <c:errValType val="cust"/>
            <c:noEndCap val="0"/>
            <c:plus>
              <c:numRef>
                <c:f>'OCC Chart_with_Contingency_tota'!$H$2:$H$20</c:f>
                <c:numCache>
                  <c:formatCode>General</c:formatCode>
                  <c:ptCount val="19"/>
                  <c:pt idx="0">
                    <c:v>#N/A</c:v>
                  </c:pt>
                  <c:pt idx="1">
                    <c:v>0</c:v>
                  </c:pt>
                  <c:pt idx="2">
                    <c:v>125.91159828571472</c:v>
                  </c:pt>
                  <c:pt idx="3">
                    <c:v>1775.0051940528465</c:v>
                  </c:pt>
                  <c:pt idx="4">
                    <c:v>693.18304148587413</c:v>
                  </c:pt>
                  <c:pt idx="5">
                    <c:v>2080.8790000795052</c:v>
                  </c:pt>
                  <c:pt idx="6">
                    <c:v>64.803465369492187</c:v>
                  </c:pt>
                  <c:pt idx="7">
                    <c:v>#N/A</c:v>
                  </c:pt>
                  <c:pt idx="8">
                    <c:v>28.462490180476379</c:v>
                  </c:pt>
                  <c:pt idx="9">
                    <c:v>#N/A</c:v>
                  </c:pt>
                  <c:pt idx="10">
                    <c:v>#N/A</c:v>
                  </c:pt>
                  <c:pt idx="11">
                    <c:v>#N/A</c:v>
                  </c:pt>
                  <c:pt idx="12">
                    <c:v>3.7803517335764809</c:v>
                  </c:pt>
                  <c:pt idx="13">
                    <c:v>#N/A</c:v>
                  </c:pt>
                  <c:pt idx="14">
                    <c:v>#N/A</c:v>
                  </c:pt>
                  <c:pt idx="15">
                    <c:v>26.899786739662886</c:v>
                  </c:pt>
                  <c:pt idx="16">
                    <c:v>#N/A</c:v>
                  </c:pt>
                  <c:pt idx="17">
                    <c:v>#N/A</c:v>
                  </c:pt>
                  <c:pt idx="18">
                    <c:v>139.84856969449356</c:v>
                  </c:pt>
                </c:numCache>
              </c:numRef>
            </c:plus>
            <c:minus>
              <c:numLit>
                <c:formatCode>General</c:formatCode>
                <c:ptCount val="1"/>
                <c:pt idx="0">
                  <c:v>0</c:v>
                </c:pt>
              </c:numLit>
            </c:minus>
            <c:spPr>
              <a:noFill/>
              <a:ln w="9525" cap="flat" cmpd="sng" algn="ctr">
                <a:solidFill>
                  <a:schemeClr val="tx1">
                    <a:lumMod val="65000"/>
                    <a:lumOff val="35000"/>
                  </a:schemeClr>
                </a:solidFill>
                <a:round/>
              </a:ln>
              <a:effectLst/>
            </c:spPr>
          </c:errBars>
          <c:errBars>
            <c:errDir val="x"/>
            <c:errBarType val="plus"/>
            <c:errValType val="cust"/>
            <c:noEndCap val="0"/>
            <c:plus>
              <c:numLit>
                <c:formatCode>General</c:formatCode>
                <c:ptCount val="1"/>
                <c:pt idx="0">
                  <c:v>0</c:v>
                </c:pt>
              </c:numLit>
            </c:plus>
            <c:minus>
              <c:numLit>
                <c:formatCode>General</c:formatCode>
                <c:ptCount val="1"/>
                <c:pt idx="0">
                  <c:v>0</c:v>
                </c:pt>
              </c:numLit>
            </c:minus>
            <c:spPr>
              <a:noFill/>
              <a:ln w="9525" cap="flat" cmpd="sng" algn="ctr">
                <a:noFill/>
                <a:round/>
              </a:ln>
              <a:effectLst/>
            </c:spPr>
          </c:errBars>
          <c:xVal>
            <c:numRef>
              <c:f>'OCC Chart_with_Contingency_tota'!$I$122:$I$141</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'OCC Chart_with_Contingency_tota'!$G$122:$G$141</c:f>
              <c:numCache>
                <c:formatCode>General</c:formatCode>
                <c:ptCount val="20"/>
                <c:pt idx="0">
                  <c:v>#N/A</c:v>
                </c:pt>
                <c:pt idx="1">
                  <c:v>2100.3070606742936</c:v>
                </c:pt>
                <c:pt idx="2">
                  <c:v>8167.628781002586</c:v>
                </c:pt>
                <c:pt idx="3">
                  <c:v>27331.987939932962</c:v>
                </c:pt>
                <c:pt idx="4">
                  <c:v>15163.336584805127</c:v>
                </c:pt>
                <c:pt idx="5">
                  <c:v>11359.610466228252</c:v>
                </c:pt>
                <c:pt idx="6">
                  <c:v>#N/A</c:v>
                </c:pt>
                <c:pt idx="7">
                  <c:v>#N/A</c:v>
                </c:pt>
                <c:pt idx="8">
                  <c:v>#N/A</c:v>
                </c:pt>
                <c:pt idx="9">
                  <c:v>6701.66861102232</c:v>
                </c:pt>
                <c:pt idx="10">
                  <c:v>#N/A</c:v>
                </c:pt>
                <c:pt idx="11">
                  <c:v>#N/A</c:v>
                </c:pt>
                <c:pt idx="12">
                  <c:v>#N/A</c:v>
                </c:pt>
                <c:pt idx="13">
                  <c:v>3485.5988544708034</c:v>
                </c:pt>
                <c:pt idx="14">
                  <c:v>#N/A</c:v>
                </c:pt>
                <c:pt idx="15">
                  <c:v>#N/A</c:v>
                </c:pt>
                <c:pt idx="16">
                  <c:v>9652.7295443636012</c:v>
                </c:pt>
                <c:pt idx="17">
                  <c:v>#N/A</c:v>
                </c:pt>
                <c:pt idx="18">
                  <c:v>#N/A</c:v>
                </c:pt>
                <c:pt idx="19">
                  <c:v>11815.286016657847</c:v>
                </c:pt>
              </c:numCache>
            </c:numRef>
          </c:yVal>
          <c:smooth val="0"/>
          <c:extLst>
            <c:ext xmlns:c16="http://schemas.microsoft.com/office/drawing/2014/chart" uri="{C3380CC4-5D6E-409C-BE32-E72D297353CC}">
              <c16:uniqueId val="{00000007-FCF3-4F4D-93F3-018AEDCCB240}"/>
            </c:ext>
          </c:extLst>
        </c:ser>
        <c:dLbls>
          <c:showLegendKey val="0"/>
          <c:showVal val="0"/>
          <c:showCatName val="0"/>
          <c:showSerName val="0"/>
          <c:showPercent val="0"/>
          <c:showBubbleSize val="0"/>
        </c:dLbls>
        <c:axId val="1180805679"/>
        <c:axId val="1180805199"/>
      </c:scatterChart>
      <c:catAx>
        <c:axId val="1235677343"/>
        <c:scaling>
          <c:orientation val="minMax"/>
        </c:scaling>
        <c:delete val="0"/>
        <c:axPos val="b"/>
        <c:minorGridlines>
          <c:spPr>
            <a:ln w="9525" cap="flat" cmpd="sng" algn="ctr">
              <a:no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235683583"/>
        <c:crosses val="autoZero"/>
        <c:auto val="1"/>
        <c:lblAlgn val="ctr"/>
        <c:lblOffset val="100"/>
        <c:noMultiLvlLbl val="0"/>
      </c:catAx>
      <c:valAx>
        <c:axId val="1235683583"/>
        <c:scaling>
          <c:orientation val="minMax"/>
          <c:max val="34000"/>
          <c:min val="0"/>
        </c:scaling>
        <c:delete val="0"/>
        <c:axPos val="l"/>
        <c:majorGridlines>
          <c:spPr>
            <a:ln w="9525" cap="flat" cmpd="sng" algn="ctr">
              <a:solidFill>
                <a:schemeClr val="bg2">
                  <a:lumMod val="90000"/>
                  <a:alpha val="50000"/>
                </a:schemeClr>
              </a:solidFill>
              <a:round/>
            </a:ln>
            <a:effectLst/>
          </c:spPr>
        </c:majorGridlines>
        <c:minorGridlines>
          <c:spPr>
            <a:ln w="9525" cap="flat" cmpd="sng" algn="ctr">
              <a:solidFill>
                <a:schemeClr val="bg1">
                  <a:lumMod val="95000"/>
                  <a:alpha val="50000"/>
                </a:schemeClr>
              </a:solidFill>
              <a:round/>
            </a:ln>
            <a:effectLst/>
          </c:spPr>
        </c:minorGridlines>
        <c:numFmt formatCode="General" sourceLinked="1"/>
        <c:majorTickMark val="out"/>
        <c:minorTickMark val="out"/>
        <c:tickLblPos val="nextTo"/>
        <c:spPr>
          <a:no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235677343"/>
        <c:crosses val="autoZero"/>
        <c:crossBetween val="between"/>
        <c:majorUnit val="2000"/>
        <c:minorUnit val="400"/>
      </c:valAx>
      <c:valAx>
        <c:axId val="1180805199"/>
        <c:scaling>
          <c:orientation val="minMax"/>
          <c:max val="34000"/>
          <c:min val="0"/>
        </c:scaling>
        <c:delete val="0"/>
        <c:axPos val="l"/>
        <c:minorGridlines>
          <c:spPr>
            <a:ln w="0" cap="flat" cmpd="sng" algn="ctr">
              <a:solidFill>
                <a:schemeClr val="tx1">
                  <a:lumMod val="5000"/>
                  <a:lumOff val="95000"/>
                  <a:alpha val="70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sz="1000"/>
                  <a:t>Overnight Construction Costs [2018 USD/kW]</a:t>
                </a:r>
              </a:p>
            </c:rich>
          </c:tx>
          <c:layout>
            <c:manualLayout>
              <c:xMode val="edge"/>
              <c:yMode val="edge"/>
              <c:x val="4.1585822626839545E-3"/>
              <c:y val="8.5836346437477437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180805679"/>
        <c:crosses val="autoZero"/>
        <c:crossBetween val="between"/>
        <c:majorUnit val="2000"/>
      </c:valAx>
      <c:catAx>
        <c:axId val="1180805679"/>
        <c:scaling>
          <c:orientation val="minMax"/>
        </c:scaling>
        <c:delete val="0"/>
        <c:axPos val="t"/>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180805199"/>
        <c:crosses val="max"/>
        <c:auto val="1"/>
        <c:lblAlgn val="ctr"/>
        <c:lblOffset val="100"/>
        <c:tickLblSkip val="1"/>
        <c:noMultiLvlLbl val="1"/>
      </c:catAx>
      <c:spPr>
        <a:noFill/>
        <a:ln>
          <a:noFill/>
        </a:ln>
        <a:effectLst/>
      </c:spPr>
    </c:plotArea>
    <c:legend>
      <c:legendPos val="b"/>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'OCC Chart_with_Contingency_tota'!$CK$1</c:f>
              <c:strCache>
                <c:ptCount val="1"/>
                <c:pt idx="0">
                  <c:v>Low Base</c:v>
                </c:pt>
              </c:strCache>
            </c:strRef>
          </c:tx>
          <c:spPr>
            <a:noFill/>
            <a:ln>
              <a:noFill/>
            </a:ln>
            <a:effectLst/>
          </c:spPr>
          <c:invertIfNegative val="0"/>
          <c:cat>
            <c:multiLvlStrRef>
              <c:f>'OCC Chart_with_Contingency_tota'!$BN$2:$BO$14</c:f>
              <c:multiLvlStrCache>
                <c:ptCount val="13"/>
                <c:lvl>
                  <c:pt idx="0">
                    <c:v>FOAK</c:v>
                  </c:pt>
                  <c:pt idx="1">
                    <c:v>NOAK</c:v>
                  </c:pt>
                  <c:pt idx="2">
                    <c:v>10th-OAK</c:v>
                  </c:pt>
                  <c:pt idx="3">
                    <c:v>Mature NOAK</c:v>
                  </c:pt>
                  <c:pt idx="4">
                    <c:v>FOAK</c:v>
                  </c:pt>
                  <c:pt idx="5">
                    <c:v>NOAK</c:v>
                  </c:pt>
                  <c:pt idx="6">
                    <c:v>10th-OAK</c:v>
                  </c:pt>
                  <c:pt idx="7">
                    <c:v>FOAK</c:v>
                  </c:pt>
                  <c:pt idx="8">
                    <c:v>NOAK</c:v>
                  </c:pt>
                  <c:pt idx="9">
                    <c:v>10th-OAK</c:v>
                  </c:pt>
                  <c:pt idx="10">
                    <c:v>FOAK</c:v>
                  </c:pt>
                  <c:pt idx="11">
                    <c:v>NOAK</c:v>
                  </c:pt>
                  <c:pt idx="12">
                    <c:v>10th-OAK</c:v>
                  </c:pt>
                </c:lvl>
                <c:lvl>
                  <c:pt idx="0">
                    <c:v>Tokamak</c:v>
                  </c:pt>
                  <c:pt idx="1">
                    <c:v>Tokamak</c:v>
                  </c:pt>
                  <c:pt idx="2">
                    <c:v>Tokamak</c:v>
                  </c:pt>
                  <c:pt idx="3">
                    <c:v>Tokamak</c:v>
                  </c:pt>
                  <c:pt idx="4">
                    <c:v>Helical</c:v>
                  </c:pt>
                  <c:pt idx="5">
                    <c:v>Helical</c:v>
                  </c:pt>
                  <c:pt idx="6">
                    <c:v>Helical</c:v>
                  </c:pt>
                  <c:pt idx="7">
                    <c:v>RFP</c:v>
                  </c:pt>
                  <c:pt idx="8">
                    <c:v>RFP</c:v>
                  </c:pt>
                  <c:pt idx="9">
                    <c:v>RFP</c:v>
                  </c:pt>
                  <c:pt idx="10">
                    <c:v>Mirror</c:v>
                  </c:pt>
                  <c:pt idx="11">
                    <c:v>Mirror</c:v>
                  </c:pt>
                  <c:pt idx="12">
                    <c:v>Mirror</c:v>
                  </c:pt>
                </c:lvl>
              </c:multiLvlStrCache>
            </c:multiLvlStrRef>
          </c:cat>
          <c:val>
            <c:numRef>
              <c:f>'OCC Chart_with_Contingency_tota'!$CK$2:$CK$14</c:f>
              <c:numCache>
                <c:formatCode>General</c:formatCode>
                <c:ptCount val="13"/>
                <c:pt idx="0">
                  <c:v>8472.4900087569913</c:v>
                </c:pt>
                <c:pt idx="1">
                  <c:v>3848.6442809044806</c:v>
                </c:pt>
                <c:pt idx="2">
                  <c:v>4945.3197023384146</c:v>
                </c:pt>
                <c:pt idx="3">
                  <c:v>4017.420354239257</c:v>
                </c:pt>
                <c:pt idx="4">
                  <c:v>0</c:v>
                </c:pt>
                <c:pt idx="5">
                  <c:v>5882.8595673719446</c:v>
                </c:pt>
                <c:pt idx="6">
                  <c:v>0</c:v>
                </c:pt>
                <c:pt idx="7">
                  <c:v>0</c:v>
                </c:pt>
                <c:pt idx="8">
                  <c:v>0</c:v>
                </c:pt>
                <c:pt idx="9">
                  <c:v>3438.9745164233582</c:v>
                </c:pt>
                <c:pt idx="10">
                  <c:v>0</c:v>
                </c:pt>
                <c:pt idx="11">
                  <c:v>0</c:v>
                </c:pt>
                <c:pt idx="12">
                  <c:v>9084.9681090884951</c:v>
                </c:pt>
              </c:numCache>
            </c:numRef>
          </c:val>
          <c:extLst>
            <c:ext xmlns:c16="http://schemas.microsoft.com/office/drawing/2014/chart" uri="{C3380CC4-5D6E-409C-BE32-E72D297353CC}">
              <c16:uniqueId val="{00000000-7D10-4D77-A3B4-DC1BB5EF5BAA}"/>
            </c:ext>
          </c:extLst>
        </c:ser>
        <c:ser>
          <c:idx val="1"/>
          <c:order val="1"/>
          <c:tx>
            <c:strRef>
              <c:f>'OCC Chart_with_Contingency_tota'!$CL$1</c:f>
              <c:strCache>
                <c:ptCount val="1"/>
                <c:pt idx="0">
                  <c:v>Lower box (Q1–Median, 25–50%)</c:v>
                </c:pt>
              </c:strCache>
            </c:strRef>
          </c:tx>
          <c:spPr>
            <a:solidFill>
              <a:schemeClr val="accent2"/>
            </a:solidFill>
            <a:ln>
              <a:noFill/>
            </a:ln>
            <a:effectLst/>
          </c:spPr>
          <c:invertIfNegative val="0"/>
          <c:errBars>
            <c:errBarType val="both"/>
            <c:errValType val="cust"/>
            <c:noEndCap val="0"/>
            <c:plus>
              <c:numLit>
                <c:formatCode>General</c:formatCode>
                <c:ptCount val="1"/>
                <c:pt idx="0">
                  <c:v>1</c:v>
                </c:pt>
              </c:numLit>
            </c:plus>
            <c:minus>
              <c:numLit>
                <c:formatCode>General</c:formatCode>
                <c:ptCount val="1"/>
                <c:pt idx="0">
                  <c:v>1</c:v>
                </c:pt>
              </c:numLit>
            </c:minus>
            <c:spPr>
              <a:noFill/>
              <a:ln w="9525" cap="flat" cmpd="sng" algn="ctr">
                <a:solidFill>
                  <a:schemeClr val="tx1">
                    <a:lumMod val="65000"/>
                    <a:lumOff val="35000"/>
                  </a:schemeClr>
                </a:solidFill>
                <a:round/>
              </a:ln>
              <a:effectLst/>
            </c:spPr>
          </c:errBars>
          <c:cat>
            <c:multiLvlStrRef>
              <c:f>'OCC Chart_with_Contingency_tota'!$BN$2:$BO$14</c:f>
              <c:multiLvlStrCache>
                <c:ptCount val="13"/>
                <c:lvl>
                  <c:pt idx="0">
                    <c:v>FOAK</c:v>
                  </c:pt>
                  <c:pt idx="1">
                    <c:v>NOAK</c:v>
                  </c:pt>
                  <c:pt idx="2">
                    <c:v>10th-OAK</c:v>
                  </c:pt>
                  <c:pt idx="3">
                    <c:v>Mature NOAK</c:v>
                  </c:pt>
                  <c:pt idx="4">
                    <c:v>FOAK</c:v>
                  </c:pt>
                  <c:pt idx="5">
                    <c:v>NOAK</c:v>
                  </c:pt>
                  <c:pt idx="6">
                    <c:v>10th-OAK</c:v>
                  </c:pt>
                  <c:pt idx="7">
                    <c:v>FOAK</c:v>
                  </c:pt>
                  <c:pt idx="8">
                    <c:v>NOAK</c:v>
                  </c:pt>
                  <c:pt idx="9">
                    <c:v>10th-OAK</c:v>
                  </c:pt>
                  <c:pt idx="10">
                    <c:v>FOAK</c:v>
                  </c:pt>
                  <c:pt idx="11">
                    <c:v>NOAK</c:v>
                  </c:pt>
                  <c:pt idx="12">
                    <c:v>10th-OAK</c:v>
                  </c:pt>
                </c:lvl>
                <c:lvl>
                  <c:pt idx="0">
                    <c:v>Tokamak</c:v>
                  </c:pt>
                  <c:pt idx="1">
                    <c:v>Tokamak</c:v>
                  </c:pt>
                  <c:pt idx="2">
                    <c:v>Tokamak</c:v>
                  </c:pt>
                  <c:pt idx="3">
                    <c:v>Tokamak</c:v>
                  </c:pt>
                  <c:pt idx="4">
                    <c:v>Helical</c:v>
                  </c:pt>
                  <c:pt idx="5">
                    <c:v>Helical</c:v>
                  </c:pt>
                  <c:pt idx="6">
                    <c:v>Helical</c:v>
                  </c:pt>
                  <c:pt idx="7">
                    <c:v>RFP</c:v>
                  </c:pt>
                  <c:pt idx="8">
                    <c:v>RFP</c:v>
                  </c:pt>
                  <c:pt idx="9">
                    <c:v>RFP</c:v>
                  </c:pt>
                  <c:pt idx="10">
                    <c:v>Mirror</c:v>
                  </c:pt>
                  <c:pt idx="11">
                    <c:v>Mirror</c:v>
                  </c:pt>
                  <c:pt idx="12">
                    <c:v>Mirror</c:v>
                  </c:pt>
                </c:lvl>
              </c:multiLvlStrCache>
            </c:multiLvlStrRef>
          </c:cat>
          <c:val>
            <c:numRef>
              <c:f>'OCC Chart_with_Contingency_tota'!$CL$2:$CL$14</c:f>
              <c:numCache>
                <c:formatCode>General</c:formatCode>
                <c:ptCount val="13"/>
                <c:pt idx="0">
                  <c:v>3134.2640407639665</c:v>
                </c:pt>
                <c:pt idx="1">
                  <c:v>3654.1683159325944</c:v>
                </c:pt>
                <c:pt idx="2">
                  <c:v>927.39943771633079</c:v>
                </c:pt>
                <c:pt idx="3">
                  <c:v>339.45421442360657</c:v>
                </c:pt>
                <c:pt idx="4">
                  <c:v>#N/A</c:v>
                </c:pt>
                <c:pt idx="5">
                  <c:v>443.55580747609383</c:v>
                </c:pt>
                <c:pt idx="6">
                  <c:v>#N/A</c:v>
                </c:pt>
                <c:pt idx="7">
                  <c:v>#N/A</c:v>
                </c:pt>
                <c:pt idx="8">
                  <c:v>#N/A</c:v>
                </c:pt>
                <c:pt idx="9">
                  <c:v>25.202344890511085</c:v>
                </c:pt>
                <c:pt idx="10">
                  <c:v>#N/A</c:v>
                </c:pt>
                <c:pt idx="11">
                  <c:v>#N/A</c:v>
                </c:pt>
                <c:pt idx="12">
                  <c:v>481.33024757177191</c:v>
                </c:pt>
              </c:numCache>
            </c:numRef>
          </c:val>
          <c:extLst>
            <c:ext xmlns:c16="http://schemas.microsoft.com/office/drawing/2014/chart" uri="{C3380CC4-5D6E-409C-BE32-E72D297353CC}">
              <c16:uniqueId val="{00000003-7D10-4D77-A3B4-DC1BB5EF5BAA}"/>
            </c:ext>
          </c:extLst>
        </c:ser>
        <c:ser>
          <c:idx val="2"/>
          <c:order val="2"/>
          <c:tx>
            <c:strRef>
              <c:f>'OCC Chart_with_Contingency_tota'!$CM$1</c:f>
              <c:strCache>
                <c:ptCount val="1"/>
                <c:pt idx="0">
                  <c:v>Upper box (Median–Q3, 50–75%)</c:v>
                </c:pt>
              </c:strCache>
            </c:strRef>
          </c:tx>
          <c:spPr>
            <a:solidFill>
              <a:schemeClr val="accent3"/>
            </a:solidFill>
            <a:ln>
              <a:noFill/>
            </a:ln>
            <a:effectLst/>
          </c:spPr>
          <c:invertIfNegative val="0"/>
          <c:cat>
            <c:multiLvlStrRef>
              <c:f>'OCC Chart_with_Contingency_tota'!$BN$2:$BO$14</c:f>
              <c:multiLvlStrCache>
                <c:ptCount val="13"/>
                <c:lvl>
                  <c:pt idx="0">
                    <c:v>FOAK</c:v>
                  </c:pt>
                  <c:pt idx="1">
                    <c:v>NOAK</c:v>
                  </c:pt>
                  <c:pt idx="2">
                    <c:v>10th-OAK</c:v>
                  </c:pt>
                  <c:pt idx="3">
                    <c:v>Mature NOAK</c:v>
                  </c:pt>
                  <c:pt idx="4">
                    <c:v>FOAK</c:v>
                  </c:pt>
                  <c:pt idx="5">
                    <c:v>NOAK</c:v>
                  </c:pt>
                  <c:pt idx="6">
                    <c:v>10th-OAK</c:v>
                  </c:pt>
                  <c:pt idx="7">
                    <c:v>FOAK</c:v>
                  </c:pt>
                  <c:pt idx="8">
                    <c:v>NOAK</c:v>
                  </c:pt>
                  <c:pt idx="9">
                    <c:v>10th-OAK</c:v>
                  </c:pt>
                  <c:pt idx="10">
                    <c:v>FOAK</c:v>
                  </c:pt>
                  <c:pt idx="11">
                    <c:v>NOAK</c:v>
                  </c:pt>
                  <c:pt idx="12">
                    <c:v>10th-OAK</c:v>
                  </c:pt>
                </c:lvl>
                <c:lvl>
                  <c:pt idx="0">
                    <c:v>Tokamak</c:v>
                  </c:pt>
                  <c:pt idx="1">
                    <c:v>Tokamak</c:v>
                  </c:pt>
                  <c:pt idx="2">
                    <c:v>Tokamak</c:v>
                  </c:pt>
                  <c:pt idx="3">
                    <c:v>Tokamak</c:v>
                  </c:pt>
                  <c:pt idx="4">
                    <c:v>Helical</c:v>
                  </c:pt>
                  <c:pt idx="5">
                    <c:v>Helical</c:v>
                  </c:pt>
                  <c:pt idx="6">
                    <c:v>Helical</c:v>
                  </c:pt>
                  <c:pt idx="7">
                    <c:v>RFP</c:v>
                  </c:pt>
                  <c:pt idx="8">
                    <c:v>RFP</c:v>
                  </c:pt>
                  <c:pt idx="9">
                    <c:v>RFP</c:v>
                  </c:pt>
                  <c:pt idx="10">
                    <c:v>Mirror</c:v>
                  </c:pt>
                  <c:pt idx="11">
                    <c:v>Mirror</c:v>
                  </c:pt>
                  <c:pt idx="12">
                    <c:v>Mirror</c:v>
                  </c:pt>
                </c:lvl>
              </c:multiLvlStrCache>
            </c:multiLvlStrRef>
          </c:cat>
          <c:val>
            <c:numRef>
              <c:f>'OCC Chart_with_Contingency_tota'!$CM$2:$CM$14</c:f>
              <c:numCache>
                <c:formatCode>General</c:formatCode>
                <c:ptCount val="13"/>
                <c:pt idx="0">
                  <c:v>1727.254353180806</c:v>
                </c:pt>
                <c:pt idx="1">
                  <c:v>2585.0438226666429</c:v>
                </c:pt>
                <c:pt idx="2">
                  <c:v>877.38487426220763</c:v>
                </c:pt>
                <c:pt idx="3">
                  <c:v>703.13425139379797</c:v>
                </c:pt>
                <c:pt idx="4">
                  <c:v>0</c:v>
                </c:pt>
                <c:pt idx="5">
                  <c:v>119.09082454999043</c:v>
                </c:pt>
                <c:pt idx="6">
                  <c:v>0</c:v>
                </c:pt>
                <c:pt idx="7">
                  <c:v>0</c:v>
                </c:pt>
                <c:pt idx="8">
                  <c:v>0</c:v>
                </c:pt>
                <c:pt idx="9">
                  <c:v>25.202344890510631</c:v>
                </c:pt>
                <c:pt idx="10">
                  <c:v>0</c:v>
                </c:pt>
                <c:pt idx="11">
                  <c:v>0</c:v>
                </c:pt>
                <c:pt idx="12">
                  <c:v>481.33024757177191</c:v>
                </c:pt>
              </c:numCache>
            </c:numRef>
          </c:val>
          <c:extLst>
            <c:ext xmlns:c16="http://schemas.microsoft.com/office/drawing/2014/chart" uri="{C3380CC4-5D6E-409C-BE32-E72D297353CC}">
              <c16:uniqueId val="{00000012-7D10-4D77-A3B4-DC1BB5EF5BAA}"/>
            </c:ext>
          </c:extLst>
        </c:ser>
        <c:ser>
          <c:idx val="3"/>
          <c:order val="3"/>
          <c:tx>
            <c:strRef>
              <c:f>'OCC Chart_with_Contingency_tota'!$CN$1</c:f>
              <c:strCache>
                <c:ptCount val="1"/>
                <c:pt idx="0">
                  <c:v>High Base</c:v>
                </c:pt>
              </c:strCache>
            </c:strRef>
          </c:tx>
          <c:spPr>
            <a:noFill/>
            <a:ln>
              <a:noFill/>
            </a:ln>
            <a:effectLst/>
          </c:spPr>
          <c:invertIfNegative val="0"/>
          <c:cat>
            <c:multiLvlStrRef>
              <c:f>'OCC Chart_with_Contingency_tota'!$BN$2:$BO$14</c:f>
              <c:multiLvlStrCache>
                <c:ptCount val="13"/>
                <c:lvl>
                  <c:pt idx="0">
                    <c:v>FOAK</c:v>
                  </c:pt>
                  <c:pt idx="1">
                    <c:v>NOAK</c:v>
                  </c:pt>
                  <c:pt idx="2">
                    <c:v>10th-OAK</c:v>
                  </c:pt>
                  <c:pt idx="3">
                    <c:v>Mature NOAK</c:v>
                  </c:pt>
                  <c:pt idx="4">
                    <c:v>FOAK</c:v>
                  </c:pt>
                  <c:pt idx="5">
                    <c:v>NOAK</c:v>
                  </c:pt>
                  <c:pt idx="6">
                    <c:v>10th-OAK</c:v>
                  </c:pt>
                  <c:pt idx="7">
                    <c:v>FOAK</c:v>
                  </c:pt>
                  <c:pt idx="8">
                    <c:v>NOAK</c:v>
                  </c:pt>
                  <c:pt idx="9">
                    <c:v>10th-OAK</c:v>
                  </c:pt>
                  <c:pt idx="10">
                    <c:v>FOAK</c:v>
                  </c:pt>
                  <c:pt idx="11">
                    <c:v>NOAK</c:v>
                  </c:pt>
                  <c:pt idx="12">
                    <c:v>10th-OAK</c:v>
                  </c:pt>
                </c:lvl>
                <c:lvl>
                  <c:pt idx="0">
                    <c:v>Tokamak</c:v>
                  </c:pt>
                  <c:pt idx="1">
                    <c:v>Tokamak</c:v>
                  </c:pt>
                  <c:pt idx="2">
                    <c:v>Tokamak</c:v>
                  </c:pt>
                  <c:pt idx="3">
                    <c:v>Tokamak</c:v>
                  </c:pt>
                  <c:pt idx="4">
                    <c:v>Helical</c:v>
                  </c:pt>
                  <c:pt idx="5">
                    <c:v>Helical</c:v>
                  </c:pt>
                  <c:pt idx="6">
                    <c:v>Helical</c:v>
                  </c:pt>
                  <c:pt idx="7">
                    <c:v>RFP</c:v>
                  </c:pt>
                  <c:pt idx="8">
                    <c:v>RFP</c:v>
                  </c:pt>
                  <c:pt idx="9">
                    <c:v>RFP</c:v>
                  </c:pt>
                  <c:pt idx="10">
                    <c:v>Mirror</c:v>
                  </c:pt>
                  <c:pt idx="11">
                    <c:v>Mirror</c:v>
                  </c:pt>
                  <c:pt idx="12">
                    <c:v>Mirror</c:v>
                  </c:pt>
                </c:lvl>
              </c:multiLvlStrCache>
            </c:multiLvlStrRef>
          </c:cat>
          <c:val>
            <c:numRef>
              <c:f>'OCC Chart_with_Contingency_tota'!$CN$2:$CN$14</c:f>
              <c:numCache>
                <c:formatCode>General</c:formatCode>
                <c:ptCount val="13"/>
                <c:pt idx="0">
                  <c:v>15797.013586090749</c:v>
                </c:pt>
                <c:pt idx="1">
                  <c:v>5768.6632067872833</c:v>
                </c:pt>
                <c:pt idx="2">
                  <c:v>6690.3854519908045</c:v>
                </c:pt>
                <c:pt idx="3">
                  <c:v>1944.1039610847902</c:v>
                </c:pt>
                <c:pt idx="4">
                  <c:v>0</c:v>
                </c:pt>
                <c:pt idx="5">
                  <c:v>284.62490180476743</c:v>
                </c:pt>
                <c:pt idx="6">
                  <c:v>0</c:v>
                </c:pt>
                <c:pt idx="7">
                  <c:v>0</c:v>
                </c:pt>
                <c:pt idx="8">
                  <c:v>0</c:v>
                </c:pt>
                <c:pt idx="9">
                  <c:v>0</c:v>
                </c:pt>
                <c:pt idx="10">
                  <c:v>0</c:v>
                </c:pt>
                <c:pt idx="11">
                  <c:v>0</c:v>
                </c:pt>
                <c:pt idx="12">
                  <c:v>481.33024757177373</c:v>
                </c:pt>
              </c:numCache>
            </c:numRef>
          </c:val>
          <c:extLst>
            <c:ext xmlns:c16="http://schemas.microsoft.com/office/drawing/2014/chart" uri="{C3380CC4-5D6E-409C-BE32-E72D297353CC}">
              <c16:uniqueId val="{00000013-7D10-4D77-A3B4-DC1BB5EF5BAA}"/>
            </c:ext>
          </c:extLst>
        </c:ser>
        <c:dLbls>
          <c:showLegendKey val="0"/>
          <c:showVal val="0"/>
          <c:showCatName val="0"/>
          <c:showSerName val="0"/>
          <c:showPercent val="0"/>
          <c:showBubbleSize val="0"/>
        </c:dLbls>
        <c:gapWidth val="40"/>
        <c:overlap val="100"/>
        <c:axId val="307037904"/>
        <c:axId val="307038384"/>
      </c:barChart>
      <c:lineChart>
        <c:grouping val="standard"/>
        <c:varyColors val="0"/>
        <c:ser>
          <c:idx val="4"/>
          <c:order val="4"/>
          <c:tx>
            <c:strRef>
              <c:f>'OCC Chart_with_Contingency_tota'!$CG$1</c:f>
              <c:strCache>
                <c:ptCount val="1"/>
                <c:pt idx="0">
                  <c:v>Q1</c:v>
                </c:pt>
              </c:strCache>
            </c:strRef>
          </c:tx>
          <c:spPr>
            <a:ln w="25400" cap="rnd">
              <a:noFill/>
              <a:round/>
            </a:ln>
            <a:effectLst/>
          </c:spPr>
          <c:marker>
            <c:symbol val="none"/>
          </c:marker>
          <c:errBars>
            <c:errDir val="y"/>
            <c:errBarType val="minus"/>
            <c:errValType val="cust"/>
            <c:noEndCap val="0"/>
            <c:plus>
              <c:numRef>
                <c:f>'OCC Chart_with_Contingency_tota'!$CY$2:$CY$14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plus>
            <c:minus>
              <c:numRef>
                <c:f>'OCC Chart_with_Contingency_tota'!$CV$2:$CV$14</c:f>
                <c:numCache>
                  <c:formatCode>General</c:formatCode>
                  <c:ptCount val="13"/>
                  <c:pt idx="0">
                    <c:v>2358.5804435396003</c:v>
                  </c:pt>
                  <c:pt idx="1">
                    <c:v>1329.2723196405982</c:v>
                  </c:pt>
                  <c:pt idx="2">
                    <c:v>1783.9528334211395</c:v>
                  </c:pt>
                  <c:pt idx="3">
                    <c:v>853.06385017421599</c:v>
                  </c:pt>
                  <c:pt idx="4">
                    <c:v>#N/A</c:v>
                  </c:pt>
                  <c:pt idx="5">
                    <c:v>0</c:v>
                  </c:pt>
                  <c:pt idx="6">
                    <c:v>#N/A</c:v>
                  </c:pt>
                  <c:pt idx="7">
                    <c:v>#N/A</c:v>
                  </c:pt>
                  <c:pt idx="8">
                    <c:v>#N/A</c:v>
                  </c:pt>
                  <c:pt idx="9">
                    <c:v>0</c:v>
                  </c:pt>
                  <c:pt idx="10">
                    <c:v>#N/A</c:v>
                  </c:pt>
                  <c:pt idx="11">
                    <c:v>#N/A</c:v>
                  </c:pt>
                  <c:pt idx="12">
                    <c:v>481.33024757177373</c:v>
                  </c:pt>
                </c:numCache>
              </c:numRef>
            </c:minus>
            <c:spPr>
              <a:noFill/>
              <a:ln w="9525" cap="flat" cmpd="sng" algn="ctr">
                <a:solidFill>
                  <a:schemeClr val="tx1">
                    <a:lumMod val="65000"/>
                    <a:lumOff val="35000"/>
                  </a:schemeClr>
                </a:solidFill>
                <a:round/>
              </a:ln>
              <a:effectLst/>
            </c:spPr>
          </c:errBars>
          <c:val>
            <c:numRef>
              <c:f>'OCC Chart_with_Contingency_tota'!$CG$2:$CG$14</c:f>
              <c:numCache>
                <c:formatCode>General</c:formatCode>
                <c:ptCount val="13"/>
                <c:pt idx="0">
                  <c:v>8472.4900087569913</c:v>
                </c:pt>
                <c:pt idx="1">
                  <c:v>3848.6442809044806</c:v>
                </c:pt>
                <c:pt idx="2">
                  <c:v>4945.3197023384146</c:v>
                </c:pt>
                <c:pt idx="3">
                  <c:v>4017.420354239257</c:v>
                </c:pt>
                <c:pt idx="4">
                  <c:v>#N/A</c:v>
                </c:pt>
                <c:pt idx="5">
                  <c:v>5882.8595673719446</c:v>
                </c:pt>
                <c:pt idx="6">
                  <c:v>#N/A</c:v>
                </c:pt>
                <c:pt idx="7">
                  <c:v>#N/A</c:v>
                </c:pt>
                <c:pt idx="8">
                  <c:v>#N/A</c:v>
                </c:pt>
                <c:pt idx="9">
                  <c:v>3438.9745164233582</c:v>
                </c:pt>
                <c:pt idx="10">
                  <c:v>#N/A</c:v>
                </c:pt>
                <c:pt idx="11">
                  <c:v>#N/A</c:v>
                </c:pt>
                <c:pt idx="12">
                  <c:v>9084.9681090884951</c:v>
                </c:pt>
              </c:numCache>
            </c:numRef>
          </c:val>
          <c:smooth val="0"/>
          <c:extLst>
            <c:ext xmlns:c16="http://schemas.microsoft.com/office/drawing/2014/chart" uri="{C3380CC4-5D6E-409C-BE32-E72D297353CC}">
              <c16:uniqueId val="{00000014-7D10-4D77-A3B4-DC1BB5EF5BAA}"/>
            </c:ext>
          </c:extLst>
        </c:ser>
        <c:ser>
          <c:idx val="5"/>
          <c:order val="5"/>
          <c:tx>
            <c:strRef>
              <c:f>'OCC Chart_with_Contingency_tota'!$CI$1</c:f>
              <c:strCache>
                <c:ptCount val="1"/>
                <c:pt idx="0">
                  <c:v>Q3</c:v>
                </c:pt>
              </c:strCache>
            </c:strRef>
          </c:tx>
          <c:spPr>
            <a:ln w="25400" cap="rnd">
              <a:noFill/>
              <a:round/>
            </a:ln>
            <a:effectLst/>
          </c:spPr>
          <c:marker>
            <c:symbol val="none"/>
          </c:marker>
          <c:errBars>
            <c:errDir val="y"/>
            <c:errBarType val="plus"/>
            <c:errValType val="cust"/>
            <c:noEndCap val="0"/>
            <c:plus>
              <c:numRef>
                <c:f>'OCC Chart_with_Contingency_tota'!$CW$2:$CW$14</c:f>
                <c:numCache>
                  <c:formatCode>General</c:formatCode>
                  <c:ptCount val="13"/>
                  <c:pt idx="0">
                    <c:v>2640.694033620819</c:v>
                  </c:pt>
                  <c:pt idx="1">
                    <c:v>5768.6632067872833</c:v>
                  </c:pt>
                  <c:pt idx="2">
                    <c:v>1981.9939258787899</c:v>
                  </c:pt>
                  <c:pt idx="3">
                    <c:v>-648.03465369493006</c:v>
                  </c:pt>
                  <c:pt idx="4">
                    <c:v>#N/A</c:v>
                  </c:pt>
                  <c:pt idx="5">
                    <c:v>284.62490180476743</c:v>
                  </c:pt>
                  <c:pt idx="6">
                    <c:v>#N/A</c:v>
                  </c:pt>
                  <c:pt idx="7">
                    <c:v>#N/A</c:v>
                  </c:pt>
                  <c:pt idx="8">
                    <c:v>#N/A</c:v>
                  </c:pt>
                  <c:pt idx="9">
                    <c:v>0</c:v>
                  </c:pt>
                  <c:pt idx="10">
                    <c:v>#N/A</c:v>
                  </c:pt>
                  <c:pt idx="11">
                    <c:v>#N/A</c:v>
                  </c:pt>
                  <c:pt idx="12">
                    <c:v>481.33024757177373</c:v>
                  </c:pt>
                </c:numCache>
              </c:numRef>
            </c:plus>
            <c:minus>
              <c:numRef>
                <c:f>'OCC Chart_with_Contingency_tota'!$CY$2:$CY$14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minus>
            <c:spPr>
              <a:noFill/>
              <a:ln w="9525" cap="flat" cmpd="sng" algn="ctr">
                <a:solidFill>
                  <a:schemeClr val="tx1">
                    <a:lumMod val="65000"/>
                    <a:lumOff val="35000"/>
                  </a:schemeClr>
                </a:solidFill>
                <a:round/>
              </a:ln>
              <a:effectLst/>
            </c:spPr>
          </c:errBars>
          <c:val>
            <c:numRef>
              <c:f>'OCC Chart_with_Contingency_tota'!$CI$2:$CI$14</c:f>
              <c:numCache>
                <c:formatCode>General</c:formatCode>
                <c:ptCount val="13"/>
                <c:pt idx="0">
                  <c:v>13334.008402701764</c:v>
                </c:pt>
                <c:pt idx="1">
                  <c:v>10087.856419503718</c:v>
                </c:pt>
                <c:pt idx="2">
                  <c:v>6750.104014316953</c:v>
                </c:pt>
                <c:pt idx="3">
                  <c:v>5060.0088200566615</c:v>
                </c:pt>
                <c:pt idx="4">
                  <c:v>#N/A</c:v>
                </c:pt>
                <c:pt idx="5">
                  <c:v>6445.5061993980289</c:v>
                </c:pt>
                <c:pt idx="6">
                  <c:v>#N/A</c:v>
                </c:pt>
                <c:pt idx="7">
                  <c:v>#N/A</c:v>
                </c:pt>
                <c:pt idx="8">
                  <c:v>#N/A</c:v>
                </c:pt>
                <c:pt idx="9">
                  <c:v>3489.3792062043799</c:v>
                </c:pt>
                <c:pt idx="10">
                  <c:v>#N/A</c:v>
                </c:pt>
                <c:pt idx="11">
                  <c:v>#N/A</c:v>
                </c:pt>
                <c:pt idx="12">
                  <c:v>10047.628604232039</c:v>
                </c:pt>
              </c:numCache>
            </c:numRef>
          </c:val>
          <c:smooth val="0"/>
          <c:extLst>
            <c:ext xmlns:c16="http://schemas.microsoft.com/office/drawing/2014/chart" uri="{C3380CC4-5D6E-409C-BE32-E72D297353CC}">
              <c16:uniqueId val="{00000015-7D10-4D77-A3B4-DC1BB5EF5BAA}"/>
            </c:ext>
          </c:extLst>
        </c:ser>
        <c:dLbls>
          <c:showLegendKey val="0"/>
          <c:showVal val="0"/>
          <c:showCatName val="0"/>
          <c:showSerName val="0"/>
          <c:showPercent val="0"/>
          <c:showBubbleSize val="0"/>
        </c:dLbls>
        <c:marker val="1"/>
        <c:smooth val="0"/>
        <c:axId val="307037904"/>
        <c:axId val="307038384"/>
      </c:lineChart>
      <c:scatterChart>
        <c:scatterStyle val="lineMarker"/>
        <c:varyColors val="0"/>
        <c:ser>
          <c:idx val="6"/>
          <c:order val="6"/>
          <c:tx>
            <c:strRef>
              <c:f>'OCC Chart_with_Contingency_tota'!$DA$1</c:f>
              <c:strCache>
                <c:ptCount val="1"/>
                <c:pt idx="0">
                  <c:v>Observations</c:v>
                </c:pt>
              </c:strCache>
            </c:strRef>
          </c:tx>
          <c:spPr>
            <a:ln w="25400" cap="rnd">
              <a:noFill/>
              <a:round/>
            </a:ln>
            <a:effectLst/>
          </c:spPr>
          <c:marker>
            <c:symbol val="circle"/>
            <c:size val="4"/>
            <c:spPr>
              <a:solidFill>
                <a:schemeClr val="tx1">
                  <a:lumMod val="85000"/>
                  <a:lumOff val="15000"/>
                  <a:alpha val="40000"/>
                </a:schemeClr>
              </a:solidFill>
              <a:ln w="9525">
                <a:noFill/>
              </a:ln>
              <a:effectLst/>
            </c:spPr>
          </c:marker>
          <c:xVal>
            <c:numRef>
              <c:f>'OCC Chart_with_Contingency_tota'!$DB$2:$DB$81</c:f>
              <c:numCache>
                <c:formatCode>General</c:formatCode>
                <c:ptCount val="8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2</c:v>
                </c:pt>
                <c:pt idx="19">
                  <c:v>2</c:v>
                </c:pt>
                <c:pt idx="20">
                  <c:v>2</c:v>
                </c:pt>
                <c:pt idx="21">
                  <c:v>2</c:v>
                </c:pt>
                <c:pt idx="22">
                  <c:v>2</c:v>
                </c:pt>
                <c:pt idx="23">
                  <c:v>2</c:v>
                </c:pt>
                <c:pt idx="24">
                  <c:v>2</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4</c:v>
                </c:pt>
                <c:pt idx="72">
                  <c:v>4</c:v>
                </c:pt>
                <c:pt idx="73">
                  <c:v>4</c:v>
                </c:pt>
                <c:pt idx="74">
                  <c:v>4</c:v>
                </c:pt>
                <c:pt idx="75">
                  <c:v>6</c:v>
                </c:pt>
                <c:pt idx="76">
                  <c:v>6</c:v>
                </c:pt>
                <c:pt idx="77">
                  <c:v>6</c:v>
                </c:pt>
                <c:pt idx="78">
                  <c:v>6</c:v>
                </c:pt>
                <c:pt idx="79">
                  <c:v>6</c:v>
                </c:pt>
              </c:numCache>
            </c:numRef>
          </c:xVal>
          <c:yVal>
            <c:numRef>
              <c:f>'OCC Chart_with_Contingency_tota'!$DA$2:$DA$81</c:f>
              <c:numCache>
                <c:formatCode>General</c:formatCode>
                <c:ptCount val="80"/>
                <c:pt idx="0">
                  <c:v>12441.316506252808</c:v>
                </c:pt>
                <c:pt idx="1">
                  <c:v>15974.702436322583</c:v>
                </c:pt>
                <c:pt idx="2">
                  <c:v>29131.021988792512</c:v>
                </c:pt>
                <c:pt idx="3">
                  <c:v>9477.2166713718052</c:v>
                </c:pt>
                <c:pt idx="4">
                  <c:v>7837.9776810335725</c:v>
                </c:pt>
                <c:pt idx="5">
                  <c:v>10125.764141478647</c:v>
                </c:pt>
                <c:pt idx="6">
                  <c:v>13453.438306200078</c:v>
                </c:pt>
                <c:pt idx="7">
                  <c:v>13540.787173624165</c:v>
                </c:pt>
                <c:pt idx="8">
                  <c:v>11570.710845447591</c:v>
                </c:pt>
                <c:pt idx="9">
                  <c:v>6267.9451091988731</c:v>
                </c:pt>
                <c:pt idx="10">
                  <c:v>6697.3395729776639</c:v>
                </c:pt>
                <c:pt idx="11">
                  <c:v>8197.5598455096588</c:v>
                </c:pt>
                <c:pt idx="12">
                  <c:v>9297.2804984989853</c:v>
                </c:pt>
                <c:pt idx="13">
                  <c:v>12812.364031523692</c:v>
                </c:pt>
                <c:pt idx="14">
                  <c:v>12975.718692206821</c:v>
                </c:pt>
                <c:pt idx="15">
                  <c:v>6113.909565217391</c:v>
                </c:pt>
                <c:pt idx="16">
                  <c:v>11642.797253594323</c:v>
                </c:pt>
                <c:pt idx="17">
                  <c:v>29106.993133985809</c:v>
                </c:pt>
                <c:pt idx="18">
                  <c:v>4421.9798661567875</c:v>
                </c:pt>
                <c:pt idx="19">
                  <c:v>8940.4134892889124</c:v>
                </c:pt>
                <c:pt idx="20">
                  <c:v>7502.812596837075</c:v>
                </c:pt>
                <c:pt idx="21">
                  <c:v>11235.299349718522</c:v>
                </c:pt>
                <c:pt idx="22">
                  <c:v>15856.519626291001</c:v>
                </c:pt>
                <c:pt idx="23">
                  <c:v>2519.3719612638824</c:v>
                </c:pt>
                <c:pt idx="24">
                  <c:v>3275.3086956521738</c:v>
                </c:pt>
                <c:pt idx="25">
                  <c:v>9993.2088245484265</c:v>
                </c:pt>
                <c:pt idx="26">
                  <c:v>5392.8326455299357</c:v>
                </c:pt>
                <c:pt idx="27">
                  <c:v>4828.7344554960473</c:v>
                </c:pt>
                <c:pt idx="28">
                  <c:v>5459.5439301198676</c:v>
                </c:pt>
                <c:pt idx="29">
                  <c:v>7569.7136954858461</c:v>
                </c:pt>
                <c:pt idx="30">
                  <c:v>3161.366868917275</c:v>
                </c:pt>
                <c:pt idx="31">
                  <c:v>4289.5536564781023</c:v>
                </c:pt>
                <c:pt idx="32">
                  <c:v>4991.0189225973236</c:v>
                </c:pt>
                <c:pt idx="33">
                  <c:v>5024.2401954075431</c:v>
                </c:pt>
                <c:pt idx="34">
                  <c:v>5873.2919206204388</c:v>
                </c:pt>
                <c:pt idx="35">
                  <c:v>6384.4031120742102</c:v>
                </c:pt>
                <c:pt idx="36">
                  <c:v>6368.8633163265304</c:v>
                </c:pt>
                <c:pt idx="37">
                  <c:v>7018.938040816327</c:v>
                </c:pt>
                <c:pt idx="38">
                  <c:v>4319.7384166072698</c:v>
                </c:pt>
                <c:pt idx="39">
                  <c:v>4112.2052264808362</c:v>
                </c:pt>
                <c:pt idx="40">
                  <c:v>4154.4938617886182</c:v>
                </c:pt>
                <c:pt idx="41">
                  <c:v>4182.2002090592341</c:v>
                </c:pt>
                <c:pt idx="42">
                  <c:v>5745.4214866434386</c:v>
                </c:pt>
                <c:pt idx="43">
                  <c:v>6058.9406794425095</c:v>
                </c:pt>
                <c:pt idx="44">
                  <c:v>7604.6632113821142</c:v>
                </c:pt>
                <c:pt idx="45">
                  <c:v>8202.5370209059238</c:v>
                </c:pt>
                <c:pt idx="46">
                  <c:v>6747.7326652507072</c:v>
                </c:pt>
                <c:pt idx="47">
                  <c:v>5635.4997213114757</c:v>
                </c:pt>
                <c:pt idx="48">
                  <c:v>6402.781053456878</c:v>
                </c:pt>
                <c:pt idx="49">
                  <c:v>6515.7165609408394</c:v>
                </c:pt>
                <c:pt idx="50">
                  <c:v>6750.8944640057016</c:v>
                </c:pt>
                <c:pt idx="51">
                  <c:v>5575.9296513672143</c:v>
                </c:pt>
                <c:pt idx="52">
                  <c:v>7924.8639972798692</c:v>
                </c:pt>
                <c:pt idx="53">
                  <c:v>11734.969398518611</c:v>
                </c:pt>
                <c:pt idx="54">
                  <c:v>3161.7487226277376</c:v>
                </c:pt>
                <c:pt idx="55">
                  <c:v>4291.2719981751834</c:v>
                </c:pt>
                <c:pt idx="56">
                  <c:v>4990.0642883211685</c:v>
                </c:pt>
                <c:pt idx="57">
                  <c:v>5024.4311222627739</c:v>
                </c:pt>
                <c:pt idx="58">
                  <c:v>5872.146359489052</c:v>
                </c:pt>
                <c:pt idx="59">
                  <c:v>6385.3577463503652</c:v>
                </c:pt>
                <c:pt idx="60">
                  <c:v>6269.6698036215257</c:v>
                </c:pt>
                <c:pt idx="61">
                  <c:v>6588.8523981403214</c:v>
                </c:pt>
                <c:pt idx="62">
                  <c:v>4368.5100898075552</c:v>
                </c:pt>
                <c:pt idx="63">
                  <c:v>4003.0410836087576</c:v>
                </c:pt>
                <c:pt idx="64">
                  <c:v>4930.4048403441639</c:v>
                </c:pt>
                <c:pt idx="65">
                  <c:v>6226.9853411269696</c:v>
                </c:pt>
                <c:pt idx="66">
                  <c:v>7781.5816956501385</c:v>
                </c:pt>
                <c:pt idx="67">
                  <c:v>7985.1155612479279</c:v>
                </c:pt>
                <c:pt idx="68">
                  <c:v>5422.5833919009383</c:v>
                </c:pt>
                <c:pt idx="69">
                  <c:v>13440.489466307758</c:v>
                </c:pt>
                <c:pt idx="70">
                  <c:v>8732.0979401957429</c:v>
                </c:pt>
                <c:pt idx="71">
                  <c:v>3164.356504065041</c:v>
                </c:pt>
                <c:pt idx="72">
                  <c:v>4301.7749709639957</c:v>
                </c:pt>
                <c:pt idx="73">
                  <c:v>4411.9741663617315</c:v>
                </c:pt>
                <c:pt idx="74">
                  <c:v>7004.1127811414517</c:v>
                </c:pt>
                <c:pt idx="75">
                  <c:v>4759.3274294038556</c:v>
                </c:pt>
                <c:pt idx="76">
                  <c:v>5882.8595673719446</c:v>
                </c:pt>
                <c:pt idx="77">
                  <c:v>6326.4153748480385</c:v>
                </c:pt>
                <c:pt idx="78">
                  <c:v>6445.5061993980289</c:v>
                </c:pt>
                <c:pt idx="79">
                  <c:v>6730.1311012027963</c:v>
                </c:pt>
              </c:numCache>
            </c:numRef>
          </c:yVal>
          <c:smooth val="0"/>
          <c:extLst>
            <c:ext xmlns:c16="http://schemas.microsoft.com/office/drawing/2014/chart" uri="{C3380CC4-5D6E-409C-BE32-E72D297353CC}">
              <c16:uniqueId val="{00000016-7D10-4D77-A3B4-DC1BB5EF5BAA}"/>
            </c:ext>
          </c:extLst>
        </c:ser>
        <c:ser>
          <c:idx val="7"/>
          <c:order val="7"/>
          <c:tx>
            <c:strRef>
              <c:f>'OCC Chart_with_Contingency_tota'!$CE$1</c:f>
              <c:strCache>
                <c:ptCount val="1"/>
                <c:pt idx="0">
                  <c:v>Mean</c:v>
                </c:pt>
              </c:strCache>
            </c:strRef>
          </c:tx>
          <c:spPr>
            <a:ln w="25400" cap="rnd">
              <a:noFill/>
              <a:round/>
            </a:ln>
            <a:effectLst/>
          </c:spPr>
          <c:marker>
            <c:symbol val="x"/>
            <c:size val="10"/>
            <c:spPr>
              <a:noFill/>
              <a:ln w="31750">
                <a:solidFill>
                  <a:srgbClr val="FF8C9E"/>
                </a:solidFill>
              </a:ln>
              <a:effectLst/>
            </c:spPr>
          </c:marker>
          <c:xVal>
            <c:numRef>
              <c:f>'OCC Chart_with_Contingency_tota'!$CC$2:$CC$14</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'OCC Chart_with_Contingency_tota'!$CE$2:$CE$14</c:f>
              <c:numCache>
                <c:formatCode>General</c:formatCode>
                <c:ptCount val="13"/>
                <c:pt idx="0">
                  <c:v>12592.491302957611</c:v>
                </c:pt>
                <c:pt idx="1">
                  <c:v>7678.8150836011937</c:v>
                </c:pt>
                <c:pt idx="2">
                  <c:v>6163.014109957332</c:v>
                </c:pt>
                <c:pt idx="3">
                  <c:v>4720.554605633055</c:v>
                </c:pt>
                <c:pt idx="4">
                  <c:v>#N/A</c:v>
                </c:pt>
                <c:pt idx="5">
                  <c:v>6028.8479344449324</c:v>
                </c:pt>
                <c:pt idx="6">
                  <c:v>#N/A</c:v>
                </c:pt>
                <c:pt idx="7">
                  <c:v>#N/A</c:v>
                </c:pt>
                <c:pt idx="8">
                  <c:v>#N/A</c:v>
                </c:pt>
                <c:pt idx="9">
                  <c:v>3464.1768613138693</c:v>
                </c:pt>
                <c:pt idx="10">
                  <c:v>#N/A</c:v>
                </c:pt>
                <c:pt idx="11">
                  <c:v>#N/A</c:v>
                </c:pt>
                <c:pt idx="12">
                  <c:v>9566.298356660267</c:v>
                </c:pt>
              </c:numCache>
            </c:numRef>
          </c:yVal>
          <c:smooth val="0"/>
          <c:extLst>
            <c:ext xmlns:c16="http://schemas.microsoft.com/office/drawing/2014/chart" uri="{C3380CC4-5D6E-409C-BE32-E72D297353CC}">
              <c16:uniqueId val="{00000020-7D10-4D77-A3B4-DC1BB5EF5BAA}"/>
            </c:ext>
          </c:extLst>
        </c:ser>
        <c:ser>
          <c:idx val="8"/>
          <c:order val="8"/>
          <c:tx>
            <c:strRef>
              <c:f>'OCC Chart_with_Contingency_tota'!$CD$1</c:f>
              <c:strCache>
                <c:ptCount val="1"/>
                <c:pt idx="0">
                  <c:v>97.5th percentile</c:v>
                </c:pt>
              </c:strCache>
            </c:strRef>
          </c:tx>
          <c:spPr>
            <a:ln w="25400" cap="rnd">
              <a:noFill/>
              <a:round/>
            </a:ln>
            <a:effectLst/>
          </c:spPr>
          <c:marker>
            <c:symbol val="triangle"/>
            <c:size val="12"/>
            <c:spPr>
              <a:solidFill>
                <a:srgbClr val="93B7BB">
                  <a:alpha val="50000"/>
                </a:srgbClr>
              </a:solidFill>
              <a:ln w="38100">
                <a:noFill/>
              </a:ln>
              <a:effectLst/>
            </c:spPr>
          </c:marker>
          <c:xVal>
            <c:numRef>
              <c:f>'OCC Chart_with_Contingency_tota'!$CC$2:$CC$14</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'OCC Chart_with_Contingency_tota'!$CD$2:$CD$14</c:f>
              <c:numCache>
                <c:formatCode>General</c:formatCode>
                <c:ptCount val="13"/>
                <c:pt idx="0">
                  <c:v>29120.809725499665</c:v>
                </c:pt>
                <c:pt idx="1">
                  <c:v>15163.336584805127</c:v>
                </c:pt>
                <c:pt idx="2">
                  <c:v>11517.249326772338</c:v>
                </c:pt>
                <c:pt idx="3">
                  <c:v>6809.7023850329724</c:v>
                </c:pt>
                <c:pt idx="4">
                  <c:v>#N/A</c:v>
                </c:pt>
                <c:pt idx="5">
                  <c:v>6701.66861102232</c:v>
                </c:pt>
                <c:pt idx="6">
                  <c:v>#N/A</c:v>
                </c:pt>
                <c:pt idx="7">
                  <c:v>#N/A</c:v>
                </c:pt>
                <c:pt idx="8">
                  <c:v>#N/A</c:v>
                </c:pt>
                <c:pt idx="9">
                  <c:v>3489.3792062043799</c:v>
                </c:pt>
                <c:pt idx="10">
                  <c:v>#N/A</c:v>
                </c:pt>
                <c:pt idx="11">
                  <c:v>#N/A</c:v>
                </c:pt>
                <c:pt idx="12">
                  <c:v>10480.825827046636</c:v>
                </c:pt>
              </c:numCache>
            </c:numRef>
          </c:yVal>
          <c:smooth val="0"/>
          <c:extLst>
            <c:ext xmlns:c16="http://schemas.microsoft.com/office/drawing/2014/chart" uri="{C3380CC4-5D6E-409C-BE32-E72D297353CC}">
              <c16:uniqueId val="{00000024-7D10-4D77-A3B4-DC1BB5EF5BAA}"/>
            </c:ext>
          </c:extLst>
        </c:ser>
        <c:ser>
          <c:idx val="9"/>
          <c:order val="9"/>
          <c:tx>
            <c:strRef>
              <c:f>'OCC Chart_with_Contingency_tota'!$CH$1</c:f>
              <c:strCache>
                <c:ptCount val="1"/>
                <c:pt idx="0">
                  <c:v>Median</c:v>
                </c:pt>
              </c:strCache>
            </c:strRef>
          </c:tx>
          <c:spPr>
            <a:ln w="25400" cap="rnd">
              <a:noFill/>
              <a:round/>
            </a:ln>
            <a:effectLst/>
          </c:spPr>
          <c:marker>
            <c:symbol val="diamond"/>
            <c:size val="12"/>
            <c:spPr>
              <a:solidFill>
                <a:srgbClr val="FFBE98"/>
              </a:solidFill>
              <a:ln w="9525">
                <a:noFill/>
              </a:ln>
              <a:effectLst/>
            </c:spPr>
          </c:marker>
          <c:errBars>
            <c:errDir val="y"/>
            <c:errBarType val="plus"/>
            <c:errValType val="cust"/>
            <c:noEndCap val="0"/>
            <c:plus>
              <c:numLit>
                <c:formatCode>General</c:formatCode>
                <c:ptCount val="1"/>
                <c:pt idx="0">
                  <c:v>1</c:v>
                </c:pt>
              </c:numLit>
            </c:plus>
            <c:minus>
              <c:numRef>
                <c:f>'OCC Chart_with_Contingency_tota'!$BA$2:$BA$11</c:f>
                <c:numCache>
                  <c:formatCode>General</c:formatCode>
                  <c:ptCount val="10"/>
                  <c:pt idx="0">
                    <c:v>#N/A</c:v>
                  </c:pt>
                  <c:pt idx="1">
                    <c:v>0</c:v>
                  </c:pt>
                  <c:pt idx="2">
                    <c:v>4055.2663606243432</c:v>
                  </c:pt>
                  <c:pt idx="3">
                    <c:v>4367.948386801625</c:v>
                  </c:pt>
                  <c:pt idx="4">
                    <c:v>4849.3385625954879</c:v>
                  </c:pt>
                  <c:pt idx="5">
                    <c:v>4184.4249014821817</c:v>
                  </c:pt>
                  <c:pt idx="6">
                    <c:v>55.09959769886791</c:v>
                  </c:pt>
                  <c:pt idx="7">
                    <c:v>#N/A</c:v>
                  </c:pt>
                  <c:pt idx="8">
                    <c:v>#N/A</c:v>
                  </c:pt>
                  <c:pt idx="9">
                    <c:v>3191.0583857970778</c:v>
                  </c:pt>
                </c:numCache>
              </c:numRef>
            </c:minus>
            <c:spPr>
              <a:noFill/>
              <a:ln w="9525" cap="flat" cmpd="sng" algn="ctr">
                <a:solidFill>
                  <a:schemeClr val="tx1">
                    <a:lumMod val="65000"/>
                    <a:lumOff val="35000"/>
                  </a:schemeClr>
                </a:solidFill>
                <a:round/>
              </a:ln>
              <a:effectLst/>
            </c:spPr>
          </c:errBars>
          <c:xVal>
            <c:numRef>
              <c:f>'OCC Chart_with_Contingency_tota'!$CC$2:$CC$14</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xVal>
          <c:yVal>
            <c:numRef>
              <c:f>'OCC Chart_with_Contingency_tota'!$CH$2:$CH$14</c:f>
              <c:numCache>
                <c:formatCode>General</c:formatCode>
                <c:ptCount val="13"/>
                <c:pt idx="0">
                  <c:v>11606.754049520958</c:v>
                </c:pt>
                <c:pt idx="1">
                  <c:v>7502.812596837075</c:v>
                </c:pt>
                <c:pt idx="2">
                  <c:v>5872.7191400547454</c:v>
                </c:pt>
                <c:pt idx="3">
                  <c:v>4356.8745686628636</c:v>
                </c:pt>
                <c:pt idx="4">
                  <c:v>#N/A</c:v>
                </c:pt>
                <c:pt idx="5">
                  <c:v>6326.4153748480385</c:v>
                </c:pt>
                <c:pt idx="6">
                  <c:v>#N/A</c:v>
                </c:pt>
                <c:pt idx="7">
                  <c:v>#N/A</c:v>
                </c:pt>
                <c:pt idx="8">
                  <c:v>#N/A</c:v>
                </c:pt>
                <c:pt idx="9">
                  <c:v>3464.1768613138693</c:v>
                </c:pt>
                <c:pt idx="10">
                  <c:v>#N/A</c:v>
                </c:pt>
                <c:pt idx="11">
                  <c:v>#N/A</c:v>
                </c:pt>
                <c:pt idx="12">
                  <c:v>9566.298356660267</c:v>
                </c:pt>
              </c:numCache>
            </c:numRef>
          </c:yVal>
          <c:smooth val="0"/>
          <c:extLst>
            <c:ext xmlns:c16="http://schemas.microsoft.com/office/drawing/2014/chart" uri="{C3380CC4-5D6E-409C-BE32-E72D297353CC}">
              <c16:uniqueId val="{00000027-7D10-4D77-A3B4-DC1BB5EF5BAA}"/>
            </c:ext>
          </c:extLst>
        </c:ser>
        <c:dLbls>
          <c:showLegendKey val="0"/>
          <c:showVal val="0"/>
          <c:showCatName val="0"/>
          <c:showSerName val="0"/>
          <c:showPercent val="0"/>
          <c:showBubbleSize val="0"/>
        </c:dLbls>
        <c:axId val="307037904"/>
        <c:axId val="307038384"/>
      </c:scatterChart>
      <c:catAx>
        <c:axId val="3070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307038384"/>
        <c:crosses val="autoZero"/>
        <c:auto val="1"/>
        <c:lblAlgn val="ctr"/>
        <c:lblOffset val="100"/>
        <c:tickMarkSkip val="1"/>
        <c:noMultiLvlLbl val="0"/>
      </c:catAx>
      <c:valAx>
        <c:axId val="307038384"/>
        <c:scaling>
          <c:orientation val="minMax"/>
          <c:max val="30000"/>
        </c:scaling>
        <c:delete val="0"/>
        <c:axPos val="l"/>
        <c:majorGridlines>
          <c:spPr>
            <a:ln w="12700" cap="flat" cmpd="sng" algn="ctr">
              <a:solidFill>
                <a:schemeClr val="bg2">
                  <a:lumMod val="90000"/>
                  <a:alpha val="50000"/>
                </a:schemeClr>
              </a:solidFill>
              <a:round/>
            </a:ln>
            <a:effectLst/>
          </c:spPr>
        </c:majorGridlines>
        <c:minorGridlines>
          <c:spPr>
            <a:ln w="12700" cap="flat" cmpd="sng" algn="ctr">
              <a:solidFill>
                <a:schemeClr val="bg1">
                  <a:lumMod val="95000"/>
                  <a:alpha val="50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a:t>Overnight Construction Costs [2018 USD/kW]</a:t>
                </a:r>
                <a:br>
                  <a:rPr lang="de-DE"/>
                </a:br>
                <a:r>
                  <a:rPr lang="de-DE"/>
                  <a:t>per Confinement Type</a:t>
                </a:r>
              </a:p>
            </c:rich>
          </c:tx>
          <c:layout>
            <c:manualLayout>
              <c:xMode val="edge"/>
              <c:yMode val="edge"/>
              <c:x val="1.1494252873563218E-3"/>
              <c:y val="0.303024545321482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numFmt formatCode="General" sourceLinked="1"/>
        <c:majorTickMark val="out"/>
        <c:minorTickMark val="out"/>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307037904"/>
        <c:crosses val="autoZero"/>
        <c:crossBetween val="between"/>
        <c:majorUnit val="1000"/>
      </c:valAx>
      <c:spPr>
        <a:noFill/>
        <a:ln>
          <a:noFill/>
        </a:ln>
        <a:effectLst/>
      </c:spPr>
    </c:plotArea>
    <c:legend>
      <c:legendPos val="b"/>
      <c:legendEntry>
        <c:idx val="0"/>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ChartData_old!$J$1</c:f>
              <c:strCache>
                <c:ptCount val="1"/>
                <c:pt idx="0">
                  <c:v>97.5 percentile for FOAK</c:v>
                </c:pt>
              </c:strCache>
            </c:strRef>
          </c:tx>
          <c:spPr>
            <a:solidFill>
              <a:srgbClr val="C1D3E5">
                <a:alpha val="74000"/>
              </a:srgbClr>
            </a:solidFill>
            <a:ln>
              <a:noFill/>
            </a:ln>
            <a:effectLst/>
          </c:spPr>
          <c:invertIfNegative val="0"/>
          <c:dPt>
            <c:idx val="0"/>
            <c:invertIfNegative val="0"/>
            <c:bubble3D val="0"/>
            <c:spPr>
              <a:solidFill>
                <a:srgbClr val="3B5969">
                  <a:alpha val="73333"/>
                </a:srgbClr>
              </a:solidFill>
              <a:ln>
                <a:noFill/>
              </a:ln>
              <a:effectLst/>
            </c:spPr>
            <c:extLst>
              <c:ext xmlns:c16="http://schemas.microsoft.com/office/drawing/2014/chart" uri="{C3380CC4-5D6E-409C-BE32-E72D297353CC}">
                <c16:uniqueId val="{00000016-B92F-4038-979D-ABDC3ABF097D}"/>
              </c:ext>
            </c:extLst>
          </c:dPt>
          <c:dPt>
            <c:idx val="3"/>
            <c:invertIfNegative val="0"/>
            <c:bubble3D val="0"/>
            <c:spPr>
              <a:solidFill>
                <a:srgbClr val="AC3D00">
                  <a:alpha val="73725"/>
                </a:srgbClr>
              </a:solidFill>
              <a:ln>
                <a:noFill/>
              </a:ln>
              <a:effectLst/>
            </c:spPr>
            <c:extLst>
              <c:ext xmlns:c16="http://schemas.microsoft.com/office/drawing/2014/chart" uri="{C3380CC4-5D6E-409C-BE32-E72D297353CC}">
                <c16:uniqueId val="{00000019-B92F-4038-979D-ABDC3ABF097D}"/>
              </c:ext>
            </c:extLst>
          </c:dPt>
          <c:dPt>
            <c:idx val="7"/>
            <c:invertIfNegative val="0"/>
            <c:bubble3D val="0"/>
            <c:spPr>
              <a:solidFill>
                <a:srgbClr val="4F758B">
                  <a:alpha val="74000"/>
                </a:srgbClr>
              </a:solidFill>
              <a:ln>
                <a:noFill/>
              </a:ln>
              <a:effectLst/>
            </c:spPr>
            <c:extLst>
              <c:ext xmlns:c16="http://schemas.microsoft.com/office/drawing/2014/chart" uri="{C3380CC4-5D6E-409C-BE32-E72D297353CC}">
                <c16:uniqueId val="{0000001D-B92F-4038-979D-ABDC3ABF097D}"/>
              </c:ext>
            </c:extLst>
          </c:dPt>
          <c:dLbls>
            <c:dLbl>
              <c:idx val="0"/>
              <c:layout>
                <c:manualLayout>
                  <c:x val="0"/>
                  <c:y val="3.6365866386939019E-2"/>
                </c:manualLayout>
              </c:layout>
              <c:tx>
                <c:rich>
                  <a:bodyPr/>
                  <a:lstStyle/>
                  <a:p>
                    <a:fld id="{7BBB3303-5FE8-461F-8902-B6C905D689F4}" type="CELLRANGE">
                      <a:rPr lang="en-US" sz="800" b="1">
                        <a:latin typeface="Arial" panose="020B0604020202020204" pitchFamily="34" charset="0"/>
                        <a:cs typeface="Arial" panose="020B0604020202020204" pitchFamily="34" charset="0"/>
                      </a:rPr>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B92F-4038-979D-ABDC3ABF097D}"/>
                </c:ext>
              </c:extLst>
            </c:dLbl>
            <c:dLbl>
              <c:idx val="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7-B92F-4038-979D-ABDC3ABF097D}"/>
                </c:ext>
              </c:extLst>
            </c:dLbl>
            <c:dLbl>
              <c:idx val="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B92F-4038-979D-ABDC3ABF097D}"/>
                </c:ext>
              </c:extLst>
            </c:dLbl>
            <c:dLbl>
              <c:idx val="3"/>
              <c:layout>
                <c:manualLayout>
                  <c:x val="9.4824409087135124E-4"/>
                  <c:y val="-6.538976418494491E-2"/>
                </c:manualLayout>
              </c:layout>
              <c:tx>
                <c:rich>
                  <a:bodyPr/>
                  <a:lstStyle/>
                  <a:p>
                    <a:fld id="{ECB305C8-1682-4A9D-9A51-AD114AB9D6E0}" type="CELLRANGE">
                      <a:rPr lang="en-US"/>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B92F-4038-979D-ABDC3ABF097D}"/>
                </c:ext>
              </c:extLst>
            </c:dLbl>
            <c:dLbl>
              <c:idx val="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B92F-4038-979D-ABDC3ABF097D}"/>
                </c:ext>
              </c:extLst>
            </c:dLbl>
            <c:dLbl>
              <c:idx val="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B92F-4038-979D-ABDC3ABF097D}"/>
                </c:ext>
              </c:extLst>
            </c:dLbl>
            <c:dLbl>
              <c:idx val="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B92F-4038-979D-ABDC3ABF097D}"/>
                </c:ext>
              </c:extLst>
            </c:dLbl>
            <c:dLbl>
              <c:idx val="7"/>
              <c:tx>
                <c:rich>
                  <a:bodyPr/>
                  <a:lstStyle/>
                  <a:p>
                    <a:fld id="{90FF64CA-F502-4BA4-9EC0-FB4E4785F0FC}" type="CELLRANGE">
                      <a:rPr lang="en-US" sz="700" b="1">
                        <a:latin typeface="Arial" panose="020B0604020202020204" pitchFamily="34" charset="0"/>
                        <a:cs typeface="Arial" panose="020B0604020202020204" pitchFamily="34" charset="0"/>
                      </a:rPr>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B92F-4038-979D-ABDC3ABF097D}"/>
                </c:ext>
              </c:extLst>
            </c:dLbl>
            <c:dLbl>
              <c:idx val="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B92F-4038-979D-ABDC3ABF097D}"/>
                </c:ext>
              </c:extLst>
            </c:dLbl>
            <c:dLbl>
              <c:idx val="9"/>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B92F-4038-979D-ABDC3ABF097D}"/>
                </c:ext>
              </c:extLst>
            </c:dLbl>
            <c:dLbl>
              <c:idx val="10"/>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B92F-4038-979D-ABDC3ABF097D}"/>
                </c:ext>
              </c:extLst>
            </c:dLbl>
            <c:dLbl>
              <c:idx val="1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B92F-4038-979D-ABDC3ABF097D}"/>
                </c:ext>
              </c:extLst>
            </c:dLbl>
            <c:dLbl>
              <c:idx val="1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B92F-4038-979D-ABDC3ABF097D}"/>
                </c:ext>
              </c:extLst>
            </c:dLbl>
            <c:dLbl>
              <c:idx val="1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B92F-4038-979D-ABDC3ABF097D}"/>
                </c:ext>
              </c:extLst>
            </c:dLbl>
            <c:dLbl>
              <c:idx val="1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B92F-4038-979D-ABDC3ABF097D}"/>
                </c:ext>
              </c:extLst>
            </c:dLbl>
            <c:dLbl>
              <c:idx val="1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B92F-4038-979D-ABDC3ABF097D}"/>
                </c:ext>
              </c:extLst>
            </c:dLbl>
            <c:dLbl>
              <c:idx val="1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B92F-4038-979D-ABDC3ABF097D}"/>
                </c:ext>
              </c:extLst>
            </c:dLbl>
            <c:dLbl>
              <c:idx val="1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B92F-4038-979D-ABDC3ABF097D}"/>
                </c:ext>
              </c:extLst>
            </c:dLbl>
            <c:dLbl>
              <c:idx val="1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B92F-4038-979D-ABDC3ABF097D}"/>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ChartData_old!$A$2:$C$20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ChartData_old!$J$2:$J$20</c:f>
              <c:numCache>
                <c:formatCode>General</c:formatCode>
                <c:ptCount val="19"/>
                <c:pt idx="0">
                  <c:v>#N/A</c:v>
                </c:pt>
                <c:pt idx="1">
                  <c:v>#N/A</c:v>
                </c:pt>
                <c:pt idx="2">
                  <c:v>#N/A</c:v>
                </c:pt>
                <c:pt idx="3">
                  <c:v>27331.987939932962</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extLst>
            <c:ext xmlns:c15="http://schemas.microsoft.com/office/drawing/2012/chart" uri="{02D57815-91ED-43cb-92C2-25804820EDAC}">
              <c15:datalabelsRange>
                <c15:f>ChartData_old!$P$2:$P$20</c15:f>
                <c15:dlblRangeCache>
                  <c:ptCount val="19"/>
                  <c:pt idx="1">
                    <c:v>n=1</c:v>
                  </c:pt>
                  <c:pt idx="2">
                    <c:v>n=7</c:v>
                  </c:pt>
                  <c:pt idx="3">
                    <c:v>n=18</c:v>
                  </c:pt>
                  <c:pt idx="4">
                    <c:v>n=7</c:v>
                  </c:pt>
                  <c:pt idx="5">
                    <c:v>n=46</c:v>
                  </c:pt>
                  <c:pt idx="6">
                    <c:v>n=2</c:v>
                  </c:pt>
                  <c:pt idx="8">
                    <c:v>n=5</c:v>
                  </c:pt>
                  <c:pt idx="12">
                    <c:v>n=4</c:v>
                  </c:pt>
                  <c:pt idx="15">
                    <c:v>n=2</c:v>
                  </c:pt>
                  <c:pt idx="18">
                    <c:v>n=3</c:v>
                  </c:pt>
                </c15:dlblRangeCache>
              </c15:datalabelsRange>
            </c:ext>
            <c:ext xmlns:c16="http://schemas.microsoft.com/office/drawing/2014/chart" uri="{C3380CC4-5D6E-409C-BE32-E72D297353CC}">
              <c16:uniqueId val="{00000000-C0D2-4846-9862-DE12878BDD90}"/>
            </c:ext>
          </c:extLst>
        </c:ser>
        <c:ser>
          <c:idx val="1"/>
          <c:order val="1"/>
          <c:tx>
            <c:strRef>
              <c:f>ChartData_old!$K$1</c:f>
              <c:strCache>
                <c:ptCount val="1"/>
                <c:pt idx="0">
                  <c:v>97.5 percentile for NOAK</c:v>
                </c:pt>
              </c:strCache>
            </c:strRef>
          </c:tx>
          <c:spPr>
            <a:solidFill>
              <a:srgbClr val="57839B">
                <a:alpha val="69804"/>
              </a:srgbClr>
            </a:solidFill>
            <a:ln>
              <a:noFill/>
            </a:ln>
            <a:effectLst/>
          </c:spPr>
          <c:invertIfNegative val="0"/>
          <c:dPt>
            <c:idx val="1"/>
            <c:invertIfNegative val="0"/>
            <c:bubble3D val="0"/>
            <c:spPr>
              <a:solidFill>
                <a:srgbClr val="57839B">
                  <a:alpha val="69804"/>
                </a:srgbClr>
              </a:solidFill>
              <a:ln>
                <a:noFill/>
              </a:ln>
              <a:effectLst/>
            </c:spPr>
            <c:extLst>
              <c:ext xmlns:c16="http://schemas.microsoft.com/office/drawing/2014/chart" uri="{C3380CC4-5D6E-409C-BE32-E72D297353CC}">
                <c16:uniqueId val="{0000003D-B92F-4038-979D-ABDC3ABF097D}"/>
              </c:ext>
            </c:extLst>
          </c:dPt>
          <c:dPt>
            <c:idx val="4"/>
            <c:invertIfNegative val="0"/>
            <c:bubble3D val="0"/>
            <c:spPr>
              <a:solidFill>
                <a:srgbClr val="FF5E05">
                  <a:alpha val="69804"/>
                </a:srgbClr>
              </a:solidFill>
              <a:ln>
                <a:noFill/>
              </a:ln>
              <a:effectLst/>
            </c:spPr>
            <c:extLst>
              <c:ext xmlns:c16="http://schemas.microsoft.com/office/drawing/2014/chart" uri="{C3380CC4-5D6E-409C-BE32-E72D297353CC}">
                <c16:uniqueId val="{00000040-B92F-4038-979D-ABDC3ABF097D}"/>
              </c:ext>
            </c:extLst>
          </c:dPt>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3C-B92F-4038-979D-ABDC3ABF097D}"/>
                </c:ext>
              </c:extLst>
            </c:dLbl>
            <c:dLbl>
              <c:idx val="1"/>
              <c:layout>
                <c:manualLayout>
                  <c:x val="0"/>
                  <c:y val="2.7274399790204268E-2"/>
                </c:manualLayout>
              </c:layout>
              <c:tx>
                <c:rich>
                  <a:bodyPr/>
                  <a:lstStyle/>
                  <a:p>
                    <a:fld id="{2339B5CA-188F-444B-9D1E-7305048C25D1}" type="CELLRANGE">
                      <a:rPr lang="en-US" sz="800" b="1">
                        <a:latin typeface="Arial" panose="020B0604020202020204" pitchFamily="34" charset="0"/>
                        <a:cs typeface="Arial" panose="020B0604020202020204" pitchFamily="34" charset="0"/>
                      </a:rPr>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B92F-4038-979D-ABDC3ABF097D}"/>
                </c:ext>
              </c:extLst>
            </c:dLbl>
            <c:dLbl>
              <c:idx val="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B92F-4038-979D-ABDC3ABF097D}"/>
                </c:ext>
              </c:extLst>
            </c:dLbl>
            <c:dLbl>
              <c:idx val="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B92F-4038-979D-ABDC3ABF097D}"/>
                </c:ext>
              </c:extLst>
            </c:dLbl>
            <c:dLbl>
              <c:idx val="4"/>
              <c:layout>
                <c:manualLayout>
                  <c:x val="-3.2017329388881537E-17"/>
                  <c:y val="-1.4793785119222873E-2"/>
                </c:manualLayout>
              </c:layout>
              <c:tx>
                <c:rich>
                  <a:bodyPr/>
                  <a:lstStyle/>
                  <a:p>
                    <a:fld id="{57425025-5BAB-4BAF-92A3-6F0F3EAE665C}" type="CELLRANGE">
                      <a:rPr lang="en-US"/>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B92F-4038-979D-ABDC3ABF097D}"/>
                </c:ext>
              </c:extLst>
            </c:dLbl>
            <c:dLbl>
              <c:idx val="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B92F-4038-979D-ABDC3ABF097D}"/>
                </c:ext>
              </c:extLst>
            </c:dLbl>
            <c:dLbl>
              <c:idx val="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B92F-4038-979D-ABDC3ABF097D}"/>
                </c:ext>
              </c:extLst>
            </c:dLbl>
            <c:dLbl>
              <c:idx val="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B92F-4038-979D-ABDC3ABF097D}"/>
                </c:ext>
              </c:extLst>
            </c:dLbl>
            <c:dLbl>
              <c:idx val="8"/>
              <c:tx>
                <c:rich>
                  <a:bodyPr/>
                  <a:lstStyle/>
                  <a:p>
                    <a:fld id="{5F781FD9-BE81-437A-B2F6-70C08219F59E}" type="CELLRANGE">
                      <a:rPr lang="de-DE"/>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B92F-4038-979D-ABDC3ABF097D}"/>
                </c:ext>
              </c:extLst>
            </c:dLbl>
            <c:dLbl>
              <c:idx val="9"/>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B92F-4038-979D-ABDC3ABF097D}"/>
                </c:ext>
              </c:extLst>
            </c:dLbl>
            <c:dLbl>
              <c:idx val="10"/>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B92F-4038-979D-ABDC3ABF097D}"/>
                </c:ext>
              </c:extLst>
            </c:dLbl>
            <c:dLbl>
              <c:idx val="1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B92F-4038-979D-ABDC3ABF097D}"/>
                </c:ext>
              </c:extLst>
            </c:dLbl>
            <c:dLbl>
              <c:idx val="1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B92F-4038-979D-ABDC3ABF097D}"/>
                </c:ext>
              </c:extLst>
            </c:dLbl>
            <c:dLbl>
              <c:idx val="1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B92F-4038-979D-ABDC3ABF097D}"/>
                </c:ext>
              </c:extLst>
            </c:dLbl>
            <c:dLbl>
              <c:idx val="1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B92F-4038-979D-ABDC3ABF097D}"/>
                </c:ext>
              </c:extLst>
            </c:dLbl>
            <c:dLbl>
              <c:idx val="1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B92F-4038-979D-ABDC3ABF097D}"/>
                </c:ext>
              </c:extLst>
            </c:dLbl>
            <c:dLbl>
              <c:idx val="1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B92F-4038-979D-ABDC3ABF097D}"/>
                </c:ext>
              </c:extLst>
            </c:dLbl>
            <c:dLbl>
              <c:idx val="1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B92F-4038-979D-ABDC3ABF097D}"/>
                </c:ext>
              </c:extLst>
            </c:dLbl>
            <c:dLbl>
              <c:idx val="1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B92F-4038-979D-ABDC3ABF097D}"/>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ChartData_old!$A$2:$C$20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ChartData_old!$K$2:$K$20</c:f>
              <c:numCache>
                <c:formatCode>General</c:formatCode>
                <c:ptCount val="19"/>
                <c:pt idx="0">
                  <c:v>#N/A</c:v>
                </c:pt>
                <c:pt idx="1">
                  <c:v>2100.3070606742936</c:v>
                </c:pt>
                <c:pt idx="2">
                  <c:v>#N/A</c:v>
                </c:pt>
                <c:pt idx="3">
                  <c:v>#N/A</c:v>
                </c:pt>
                <c:pt idx="4">
                  <c:v>15163.336584805127</c:v>
                </c:pt>
                <c:pt idx="5">
                  <c:v>#N/A</c:v>
                </c:pt>
                <c:pt idx="6">
                  <c:v>#N/A</c:v>
                </c:pt>
                <c:pt idx="7">
                  <c:v>#N/A</c:v>
                </c:pt>
                <c:pt idx="8">
                  <c:v>6701.66861102232</c:v>
                </c:pt>
                <c:pt idx="9">
                  <c:v>#N/A</c:v>
                </c:pt>
                <c:pt idx="10">
                  <c:v>#N/A</c:v>
                </c:pt>
                <c:pt idx="11">
                  <c:v>#N/A</c:v>
                </c:pt>
                <c:pt idx="12">
                  <c:v>#N/A</c:v>
                </c:pt>
                <c:pt idx="13">
                  <c:v>#N/A</c:v>
                </c:pt>
                <c:pt idx="14">
                  <c:v>#N/A</c:v>
                </c:pt>
                <c:pt idx="15">
                  <c:v>#N/A</c:v>
                </c:pt>
                <c:pt idx="16">
                  <c:v>#N/A</c:v>
                </c:pt>
                <c:pt idx="17">
                  <c:v>#N/A</c:v>
                </c:pt>
                <c:pt idx="18">
                  <c:v>#N/A</c:v>
                </c:pt>
              </c:numCache>
            </c:numRef>
          </c:val>
          <c:extLst>
            <c:ext xmlns:c15="http://schemas.microsoft.com/office/drawing/2012/chart" uri="{02D57815-91ED-43cb-92C2-25804820EDAC}">
              <c15:datalabelsRange>
                <c15:f>ChartData_old!$P$2:$P$20</c15:f>
                <c15:dlblRangeCache>
                  <c:ptCount val="19"/>
                  <c:pt idx="1">
                    <c:v>n=1</c:v>
                  </c:pt>
                  <c:pt idx="2">
                    <c:v>n=7</c:v>
                  </c:pt>
                  <c:pt idx="3">
                    <c:v>n=18</c:v>
                  </c:pt>
                  <c:pt idx="4">
                    <c:v>n=7</c:v>
                  </c:pt>
                  <c:pt idx="5">
                    <c:v>n=46</c:v>
                  </c:pt>
                  <c:pt idx="6">
                    <c:v>n=2</c:v>
                  </c:pt>
                  <c:pt idx="8">
                    <c:v>n=5</c:v>
                  </c:pt>
                  <c:pt idx="12">
                    <c:v>n=4</c:v>
                  </c:pt>
                  <c:pt idx="15">
                    <c:v>n=2</c:v>
                  </c:pt>
                  <c:pt idx="18">
                    <c:v>n=3</c:v>
                  </c:pt>
                </c15:dlblRangeCache>
              </c15:datalabelsRange>
            </c:ext>
            <c:ext xmlns:c16="http://schemas.microsoft.com/office/drawing/2014/chart" uri="{C3380CC4-5D6E-409C-BE32-E72D297353CC}">
              <c16:uniqueId val="{00000001-C0D2-4846-9862-DE12878BDD90}"/>
            </c:ext>
          </c:extLst>
        </c:ser>
        <c:ser>
          <c:idx val="2"/>
          <c:order val="2"/>
          <c:tx>
            <c:strRef>
              <c:f>ChartData_old!$L$1</c:f>
              <c:strCache>
                <c:ptCount val="1"/>
                <c:pt idx="0">
                  <c:v>97.5 percentile for 1Oth-OAK</c:v>
                </c:pt>
              </c:strCache>
            </c:strRef>
          </c:tx>
          <c:spPr>
            <a:solidFill>
              <a:srgbClr val="A7BFCD">
                <a:alpha val="69804"/>
              </a:srgbClr>
            </a:solidFill>
            <a:ln>
              <a:noFill/>
            </a:ln>
            <a:effectLst/>
          </c:spPr>
          <c:invertIfNegative val="0"/>
          <c:dPt>
            <c:idx val="2"/>
            <c:invertIfNegative val="0"/>
            <c:bubble3D val="0"/>
            <c:spPr>
              <a:solidFill>
                <a:srgbClr val="A7BFCD">
                  <a:alpha val="69804"/>
                </a:srgbClr>
              </a:solidFill>
              <a:ln>
                <a:noFill/>
              </a:ln>
              <a:effectLst/>
            </c:spPr>
            <c:extLst>
              <c:ext xmlns:c16="http://schemas.microsoft.com/office/drawing/2014/chart" uri="{C3380CC4-5D6E-409C-BE32-E72D297353CC}">
                <c16:uniqueId val="{0000002B-B92F-4038-979D-ABDC3ABF097D}"/>
              </c:ext>
            </c:extLst>
          </c:dPt>
          <c:dPt>
            <c:idx val="5"/>
            <c:invertIfNegative val="0"/>
            <c:bubble3D val="0"/>
            <c:spPr>
              <a:solidFill>
                <a:srgbClr val="AC3D00">
                  <a:alpha val="69804"/>
                </a:srgbClr>
              </a:solidFill>
              <a:ln>
                <a:noFill/>
              </a:ln>
              <a:effectLst/>
            </c:spPr>
            <c:extLst>
              <c:ext xmlns:c16="http://schemas.microsoft.com/office/drawing/2014/chart" uri="{C3380CC4-5D6E-409C-BE32-E72D297353CC}">
                <c16:uniqueId val="{0000002E-B92F-4038-979D-ABDC3ABF097D}"/>
              </c:ext>
            </c:extLst>
          </c:dPt>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29-B92F-4038-979D-ABDC3ABF097D}"/>
                </c:ext>
              </c:extLst>
            </c:dLbl>
            <c:dLbl>
              <c:idx val="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B92F-4038-979D-ABDC3ABF097D}"/>
                </c:ext>
              </c:extLst>
            </c:dLbl>
            <c:dLbl>
              <c:idx val="2"/>
              <c:layout>
                <c:manualLayout>
                  <c:x val="0"/>
                  <c:y val="3.0196379333482026E-2"/>
                </c:manualLayout>
              </c:layout>
              <c:tx>
                <c:rich>
                  <a:bodyPr/>
                  <a:lstStyle/>
                  <a:p>
                    <a:fld id="{83FFB45C-F4B0-42BC-BDF7-9C39CE750961}" type="CELLRANGE">
                      <a:rPr lang="en-US" sz="800" b="1">
                        <a:latin typeface="Arial" panose="020B0604020202020204" pitchFamily="34" charset="0"/>
                        <a:cs typeface="Arial" panose="020B0604020202020204" pitchFamily="34" charset="0"/>
                      </a:rPr>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B92F-4038-979D-ABDC3ABF097D}"/>
                </c:ext>
              </c:extLst>
            </c:dLbl>
            <c:dLbl>
              <c:idx val="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B92F-4038-979D-ABDC3ABF097D}"/>
                </c:ext>
              </c:extLst>
            </c:dLbl>
            <c:dLbl>
              <c:idx val="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B92F-4038-979D-ABDC3ABF097D}"/>
                </c:ext>
              </c:extLst>
            </c:dLbl>
            <c:dLbl>
              <c:idx val="5"/>
              <c:layout>
                <c:manualLayout>
                  <c:x val="0"/>
                  <c:y val="4.4381355357668295E-2"/>
                </c:manualLayout>
              </c:layout>
              <c:tx>
                <c:rich>
                  <a:bodyPr/>
                  <a:lstStyle/>
                  <a:p>
                    <a:fld id="{A082D79E-9153-4A4F-9354-1837FDEF108E}" type="CELLRANGE">
                      <a:rPr lang="en-US"/>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B92F-4038-979D-ABDC3ABF097D}"/>
                </c:ext>
              </c:extLst>
            </c:dLbl>
            <c:dLbl>
              <c:idx val="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B92F-4038-979D-ABDC3ABF097D}"/>
                </c:ext>
              </c:extLst>
            </c:dLbl>
            <c:dLbl>
              <c:idx val="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B92F-4038-979D-ABDC3ABF097D}"/>
                </c:ext>
              </c:extLst>
            </c:dLbl>
            <c:dLbl>
              <c:idx val="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B92F-4038-979D-ABDC3ABF097D}"/>
                </c:ext>
              </c:extLst>
            </c:dLbl>
            <c:dLbl>
              <c:idx val="9"/>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B92F-4038-979D-ABDC3ABF097D}"/>
                </c:ext>
              </c:extLst>
            </c:dLbl>
            <c:dLbl>
              <c:idx val="10"/>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B92F-4038-979D-ABDC3ABF097D}"/>
                </c:ext>
              </c:extLst>
            </c:dLbl>
            <c:dLbl>
              <c:idx val="1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B92F-4038-979D-ABDC3ABF097D}"/>
                </c:ext>
              </c:extLst>
            </c:dLbl>
            <c:dLbl>
              <c:idx val="12"/>
              <c:tx>
                <c:rich>
                  <a:bodyPr/>
                  <a:lstStyle/>
                  <a:p>
                    <a:fld id="{9EFA2538-DCC8-4A6E-8DDF-E13D22DE8C27}" type="CELLRANGE">
                      <a:rPr lang="de-DE"/>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B92F-4038-979D-ABDC3ABF097D}"/>
                </c:ext>
              </c:extLst>
            </c:dLbl>
            <c:dLbl>
              <c:idx val="1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B92F-4038-979D-ABDC3ABF097D}"/>
                </c:ext>
              </c:extLst>
            </c:dLbl>
            <c:dLbl>
              <c:idx val="1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B92F-4038-979D-ABDC3ABF097D}"/>
                </c:ext>
              </c:extLst>
            </c:dLbl>
            <c:dLbl>
              <c:idx val="15"/>
              <c:tx>
                <c:rich>
                  <a:bodyPr/>
                  <a:lstStyle/>
                  <a:p>
                    <a:fld id="{FCE8C804-D7AD-4C49-9D3D-816E18DFC2F5}" type="CELLRANGE">
                      <a:rPr lang="de-DE"/>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B92F-4038-979D-ABDC3ABF097D}"/>
                </c:ext>
              </c:extLst>
            </c:dLbl>
            <c:dLbl>
              <c:idx val="1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B92F-4038-979D-ABDC3ABF097D}"/>
                </c:ext>
              </c:extLst>
            </c:dLbl>
            <c:dLbl>
              <c:idx val="1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B92F-4038-979D-ABDC3ABF097D}"/>
                </c:ext>
              </c:extLst>
            </c:dLbl>
            <c:dLbl>
              <c:idx val="18"/>
              <c:tx>
                <c:rich>
                  <a:bodyPr/>
                  <a:lstStyle/>
                  <a:p>
                    <a:fld id="{9C1DDB35-B7D7-4044-85FA-333FF2843265}" type="CELLRANGE">
                      <a:rPr lang="de-DE"/>
                      <a:pPr/>
                      <a:t>[ZELLBEREICH]</a:t>
                    </a:fld>
                    <a:endParaRPr lang="de-D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B92F-4038-979D-ABDC3ABF097D}"/>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ChartData_old!$A$2:$C$20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ChartData_old!$L$2:$L$20</c:f>
              <c:numCache>
                <c:formatCode>General</c:formatCode>
                <c:ptCount val="19"/>
                <c:pt idx="0">
                  <c:v>#N/A</c:v>
                </c:pt>
                <c:pt idx="1">
                  <c:v>#N/A</c:v>
                </c:pt>
                <c:pt idx="2">
                  <c:v>8167.628781002586</c:v>
                </c:pt>
                <c:pt idx="3">
                  <c:v>#N/A</c:v>
                </c:pt>
                <c:pt idx="4">
                  <c:v>#N/A</c:v>
                </c:pt>
                <c:pt idx="5">
                  <c:v>11359.610466228252</c:v>
                </c:pt>
                <c:pt idx="6">
                  <c:v>#N/A</c:v>
                </c:pt>
                <c:pt idx="7">
                  <c:v>#N/A</c:v>
                </c:pt>
                <c:pt idx="8">
                  <c:v>#N/A</c:v>
                </c:pt>
                <c:pt idx="9">
                  <c:v>#N/A</c:v>
                </c:pt>
                <c:pt idx="10">
                  <c:v>#N/A</c:v>
                </c:pt>
                <c:pt idx="11">
                  <c:v>#N/A</c:v>
                </c:pt>
                <c:pt idx="12">
                  <c:v>3485.5988544708034</c:v>
                </c:pt>
                <c:pt idx="13">
                  <c:v>#N/A</c:v>
                </c:pt>
                <c:pt idx="14">
                  <c:v>#N/A</c:v>
                </c:pt>
                <c:pt idx="15">
                  <c:v>9652.7295443636012</c:v>
                </c:pt>
                <c:pt idx="16">
                  <c:v>#N/A</c:v>
                </c:pt>
                <c:pt idx="17">
                  <c:v>#N/A</c:v>
                </c:pt>
                <c:pt idx="18">
                  <c:v>11815.286016657847</c:v>
                </c:pt>
              </c:numCache>
            </c:numRef>
          </c:val>
          <c:extLst>
            <c:ext xmlns:c15="http://schemas.microsoft.com/office/drawing/2012/chart" uri="{02D57815-91ED-43cb-92C2-25804820EDAC}">
              <c15:datalabelsRange>
                <c15:f>ChartData_old!$P$2:$P$20</c15:f>
                <c15:dlblRangeCache>
                  <c:ptCount val="19"/>
                  <c:pt idx="1">
                    <c:v>n=1</c:v>
                  </c:pt>
                  <c:pt idx="2">
                    <c:v>n=7</c:v>
                  </c:pt>
                  <c:pt idx="3">
                    <c:v>n=18</c:v>
                  </c:pt>
                  <c:pt idx="4">
                    <c:v>n=7</c:v>
                  </c:pt>
                  <c:pt idx="5">
                    <c:v>n=46</c:v>
                  </c:pt>
                  <c:pt idx="6">
                    <c:v>n=2</c:v>
                  </c:pt>
                  <c:pt idx="8">
                    <c:v>n=5</c:v>
                  </c:pt>
                  <c:pt idx="12">
                    <c:v>n=4</c:v>
                  </c:pt>
                  <c:pt idx="15">
                    <c:v>n=2</c:v>
                  </c:pt>
                  <c:pt idx="18">
                    <c:v>n=3</c:v>
                  </c:pt>
                </c15:dlblRangeCache>
              </c15:datalabelsRange>
            </c:ext>
            <c:ext xmlns:c16="http://schemas.microsoft.com/office/drawing/2014/chart" uri="{C3380CC4-5D6E-409C-BE32-E72D297353CC}">
              <c16:uniqueId val="{00000002-C0D2-4846-9862-DE12878BDD90}"/>
            </c:ext>
          </c:extLst>
        </c:ser>
        <c:ser>
          <c:idx val="3"/>
          <c:order val="3"/>
          <c:tx>
            <c:strRef>
              <c:f>ChartData_old!$M$1</c:f>
              <c:strCache>
                <c:ptCount val="1"/>
                <c:pt idx="0">
                  <c:v>97.5 percentile for 75th-OAK</c:v>
                </c:pt>
              </c:strCache>
            </c:strRef>
          </c:tx>
          <c:spPr>
            <a:solidFill>
              <a:schemeClr val="accent4"/>
            </a:solidFill>
            <a:ln>
              <a:noFill/>
            </a:ln>
            <a:effectLst/>
          </c:spPr>
          <c:invertIfNegative val="0"/>
          <c:dPt>
            <c:idx val="6"/>
            <c:invertIfNegative val="0"/>
            <c:bubble3D val="0"/>
            <c:spPr>
              <a:solidFill>
                <a:srgbClr val="AC3D00">
                  <a:alpha val="69804"/>
                </a:srgbClr>
              </a:solidFill>
              <a:ln>
                <a:noFill/>
              </a:ln>
              <a:effectLst/>
            </c:spPr>
            <c:extLst>
              <c:ext xmlns:c16="http://schemas.microsoft.com/office/drawing/2014/chart" uri="{C3380CC4-5D6E-409C-BE32-E72D297353CC}">
                <c16:uniqueId val="{00000005-C0D2-4846-9862-DE12878BDD90}"/>
              </c:ext>
            </c:extLst>
          </c:dPt>
          <c:dLbls>
            <c:dLbl>
              <c:idx val="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4F-B92F-4038-979D-ABDC3ABF097D}"/>
                </c:ext>
              </c:extLst>
            </c:dLbl>
            <c:dLbl>
              <c:idx val="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B92F-4038-979D-ABDC3ABF097D}"/>
                </c:ext>
              </c:extLst>
            </c:dLbl>
            <c:dLbl>
              <c:idx val="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B92F-4038-979D-ABDC3ABF097D}"/>
                </c:ext>
              </c:extLst>
            </c:dLbl>
            <c:dLbl>
              <c:idx val="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B92F-4038-979D-ABDC3ABF097D}"/>
                </c:ext>
              </c:extLst>
            </c:dLbl>
            <c:dLbl>
              <c:idx val="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B92F-4038-979D-ABDC3ABF097D}"/>
                </c:ext>
              </c:extLst>
            </c:dLbl>
            <c:dLbl>
              <c:idx val="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B92F-4038-979D-ABDC3ABF097D}"/>
                </c:ext>
              </c:extLst>
            </c:dLbl>
            <c:dLbl>
              <c:idx val="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C0D2-4846-9862-DE12878BDD90}"/>
                </c:ext>
              </c:extLst>
            </c:dLbl>
            <c:dLbl>
              <c:idx val="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B92F-4038-979D-ABDC3ABF097D}"/>
                </c:ext>
              </c:extLst>
            </c:dLbl>
            <c:dLbl>
              <c:idx val="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B92F-4038-979D-ABDC3ABF097D}"/>
                </c:ext>
              </c:extLst>
            </c:dLbl>
            <c:dLbl>
              <c:idx val="9"/>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B92F-4038-979D-ABDC3ABF097D}"/>
                </c:ext>
              </c:extLst>
            </c:dLbl>
            <c:dLbl>
              <c:idx val="10"/>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B92F-4038-979D-ABDC3ABF097D}"/>
                </c:ext>
              </c:extLst>
            </c:dLbl>
            <c:dLbl>
              <c:idx val="11"/>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B92F-4038-979D-ABDC3ABF097D}"/>
                </c:ext>
              </c:extLst>
            </c:dLbl>
            <c:dLbl>
              <c:idx val="12"/>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B92F-4038-979D-ABDC3ABF097D}"/>
                </c:ext>
              </c:extLst>
            </c:dLbl>
            <c:dLbl>
              <c:idx val="13"/>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B92F-4038-979D-ABDC3ABF097D}"/>
                </c:ext>
              </c:extLst>
            </c:dLbl>
            <c:dLbl>
              <c:idx val="14"/>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B92F-4038-979D-ABDC3ABF097D}"/>
                </c:ext>
              </c:extLst>
            </c:dLbl>
            <c:dLbl>
              <c:idx val="15"/>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B92F-4038-979D-ABDC3ABF097D}"/>
                </c:ext>
              </c:extLst>
            </c:dLbl>
            <c:dLbl>
              <c:idx val="16"/>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B92F-4038-979D-ABDC3ABF097D}"/>
                </c:ext>
              </c:extLst>
            </c:dLbl>
            <c:dLbl>
              <c:idx val="17"/>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B92F-4038-979D-ABDC3ABF097D}"/>
                </c:ext>
              </c:extLst>
            </c:dLbl>
            <c:dLbl>
              <c:idx val="18"/>
              <c:tx>
                <c:rich>
                  <a:bodyPr/>
                  <a:lstStyle/>
                  <a:p>
                    <a:endParaRPr lang="de-D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B92F-4038-979D-ABDC3ABF097D}"/>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ChartData_old!$A$2:$C$20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ChartData_old!$M$2:$M$20</c:f>
              <c:numCache>
                <c:formatCode>General</c:formatCode>
                <c:ptCount val="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extLst>
            <c:ext xmlns:c15="http://schemas.microsoft.com/office/drawing/2012/chart" uri="{02D57815-91ED-43cb-92C2-25804820EDAC}">
              <c15:datalabelsRange>
                <c15:f>ChartData_old!$P$2:$P$20</c15:f>
                <c15:dlblRangeCache>
                  <c:ptCount val="19"/>
                  <c:pt idx="1">
                    <c:v>n=1</c:v>
                  </c:pt>
                  <c:pt idx="2">
                    <c:v>n=7</c:v>
                  </c:pt>
                  <c:pt idx="3">
                    <c:v>n=18</c:v>
                  </c:pt>
                  <c:pt idx="4">
                    <c:v>n=7</c:v>
                  </c:pt>
                  <c:pt idx="5">
                    <c:v>n=46</c:v>
                  </c:pt>
                  <c:pt idx="6">
                    <c:v>n=2</c:v>
                  </c:pt>
                  <c:pt idx="8">
                    <c:v>n=5</c:v>
                  </c:pt>
                  <c:pt idx="12">
                    <c:v>n=4</c:v>
                  </c:pt>
                  <c:pt idx="15">
                    <c:v>n=2</c:v>
                  </c:pt>
                  <c:pt idx="18">
                    <c:v>n=3</c:v>
                  </c:pt>
                </c15:dlblRangeCache>
              </c15:datalabelsRange>
            </c:ext>
            <c:ext xmlns:c16="http://schemas.microsoft.com/office/drawing/2014/chart" uri="{C3380CC4-5D6E-409C-BE32-E72D297353CC}">
              <c16:uniqueId val="{00000003-C0D2-4846-9862-DE12878BDD90}"/>
            </c:ext>
          </c:extLst>
        </c:ser>
        <c:dLbls>
          <c:showLegendKey val="0"/>
          <c:showVal val="0"/>
          <c:showCatName val="0"/>
          <c:showSerName val="0"/>
          <c:showPercent val="0"/>
          <c:showBubbleSize val="0"/>
        </c:dLbls>
        <c:gapWidth val="60"/>
        <c:overlap val="100"/>
        <c:axId val="1235677343"/>
        <c:axId val="1235683583"/>
      </c:barChart>
      <c:barChart>
        <c:barDir val="col"/>
        <c:grouping val="stacked"/>
        <c:varyColors val="0"/>
        <c:ser>
          <c:idx val="7"/>
          <c:order val="7"/>
          <c:tx>
            <c:strRef>
              <c:f>ChartData_old!$N$1</c:f>
              <c:strCache>
                <c:ptCount val="1"/>
                <c:pt idx="0">
                  <c:v>97.5 percentile for 100th-OAK</c:v>
                </c:pt>
              </c:strCache>
            </c:strRef>
          </c:tx>
          <c:spPr>
            <a:solidFill>
              <a:schemeClr val="accent2">
                <a:lumMod val="60000"/>
              </a:schemeClr>
            </a:solidFill>
            <a:ln w="25400">
              <a:noFill/>
            </a:ln>
            <a:effectLst/>
          </c:spPr>
          <c:invertIfNegative val="0"/>
          <c:cat>
            <c:numRef>
              <c:f>ChartData_old!$I$2:$I$20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ChartData_old!$N$2:$N$20</c:f>
              <c:numCache>
                <c:formatCode>General</c:formatCode>
                <c:ptCount val="1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numCache>
            </c:numRef>
          </c:val>
          <c:extLst>
            <c:ext xmlns:c16="http://schemas.microsoft.com/office/drawing/2014/chart" uri="{C3380CC4-5D6E-409C-BE32-E72D297353CC}">
              <c16:uniqueId val="{00000015-2496-4AFC-AC45-E542C61AE0F6}"/>
            </c:ext>
          </c:extLst>
        </c:ser>
        <c:dLbls>
          <c:showLegendKey val="0"/>
          <c:showVal val="0"/>
          <c:showCatName val="0"/>
          <c:showSerName val="0"/>
          <c:showPercent val="0"/>
          <c:showBubbleSize val="0"/>
        </c:dLbls>
        <c:gapWidth val="150"/>
        <c:overlap val="100"/>
        <c:axId val="1180805679"/>
        <c:axId val="1180805199"/>
      </c:barChart>
      <c:scatterChart>
        <c:scatterStyle val="lineMarker"/>
        <c:varyColors val="0"/>
        <c:ser>
          <c:idx val="4"/>
          <c:order val="4"/>
          <c:tx>
            <c:strRef>
              <c:f>ChartData_old!$E$1</c:f>
              <c:strCache>
                <c:ptCount val="1"/>
                <c:pt idx="0">
                  <c:v>Mean</c:v>
                </c:pt>
              </c:strCache>
            </c:strRef>
          </c:tx>
          <c:spPr>
            <a:ln w="25400" cap="rnd">
              <a:noFill/>
              <a:round/>
            </a:ln>
            <a:effectLst/>
          </c:spPr>
          <c:marker>
            <c:symbol val="circle"/>
            <c:size val="7"/>
            <c:spPr>
              <a:solidFill>
                <a:srgbClr val="FA7268"/>
              </a:solidFill>
              <a:ln w="9525">
                <a:noFill/>
              </a:ln>
              <a:effectLst/>
            </c:spPr>
          </c:marker>
          <c:xVal>
            <c:numRef>
              <c:f>ChartData_old!$I$2:$I$20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ChartData_old!$E$2:$E$20</c:f>
              <c:numCache>
                <c:formatCode>General</c:formatCode>
                <c:ptCount val="19"/>
                <c:pt idx="0">
                  <c:v>#N/A</c:v>
                </c:pt>
                <c:pt idx="1">
                  <c:v>2100.3070606742936</c:v>
                </c:pt>
                <c:pt idx="2">
                  <c:v>4458.9761418676444</c:v>
                </c:pt>
                <c:pt idx="3">
                  <c:v>11915.65033208227</c:v>
                </c:pt>
                <c:pt idx="4">
                  <c:v>7678.8150836011937</c:v>
                </c:pt>
                <c:pt idx="5">
                  <c:v>5715.4644368060463</c:v>
                </c:pt>
                <c:pt idx="6">
                  <c:v>5708.0434737515916</c:v>
                </c:pt>
                <c:pt idx="7">
                  <c:v>#N/A</c:v>
                </c:pt>
                <c:pt idx="8">
                  <c:v>5888.4655024637586</c:v>
                </c:pt>
                <c:pt idx="9">
                  <c:v>#N/A</c:v>
                </c:pt>
                <c:pt idx="10">
                  <c:v>#N/A</c:v>
                </c:pt>
                <c:pt idx="11">
                  <c:v>#N/A</c:v>
                </c:pt>
                <c:pt idx="12">
                  <c:v>3238.262659861618</c:v>
                </c:pt>
                <c:pt idx="13">
                  <c:v>#N/A</c:v>
                </c:pt>
                <c:pt idx="14">
                  <c:v>#N/A</c:v>
                </c:pt>
                <c:pt idx="15">
                  <c:v>9141.6335963099918</c:v>
                </c:pt>
                <c:pt idx="16">
                  <c:v>#N/A</c:v>
                </c:pt>
                <c:pt idx="17">
                  <c:v>#N/A</c:v>
                </c:pt>
                <c:pt idx="18">
                  <c:v>8439.7391187201483</c:v>
                </c:pt>
              </c:numCache>
            </c:numRef>
          </c:yVal>
          <c:smooth val="0"/>
          <c:extLst>
            <c:ext xmlns:c16="http://schemas.microsoft.com/office/drawing/2014/chart" uri="{C3380CC4-5D6E-409C-BE32-E72D297353CC}">
              <c16:uniqueId val="{00000009-C0D2-4846-9862-DE12878BDD90}"/>
            </c:ext>
          </c:extLst>
        </c:ser>
        <c:ser>
          <c:idx val="5"/>
          <c:order val="5"/>
          <c:tx>
            <c:strRef>
              <c:f>ChartData_old!$F$1</c:f>
              <c:strCache>
                <c:ptCount val="1"/>
                <c:pt idx="0">
                  <c:v>Median</c:v>
                </c:pt>
              </c:strCache>
            </c:strRef>
          </c:tx>
          <c:spPr>
            <a:ln w="25400" cap="rnd">
              <a:noFill/>
              <a:round/>
            </a:ln>
            <a:effectLst/>
          </c:spPr>
          <c:marker>
            <c:symbol val="diamond"/>
            <c:size val="6"/>
            <c:spPr>
              <a:solidFill>
                <a:srgbClr val="6B5876"/>
              </a:solidFill>
              <a:ln w="9525">
                <a:noFill/>
              </a:ln>
              <a:effectLst/>
            </c:spPr>
          </c:marker>
          <c:xVal>
            <c:numRef>
              <c:f>ChartData_old!$I$2:$I$20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ChartData_old!$F$2:$F$20</c:f>
              <c:numCache>
                <c:formatCode>General</c:formatCode>
                <c:ptCount val="19"/>
                <c:pt idx="0">
                  <c:v>#N/A</c:v>
                </c:pt>
                <c:pt idx="1">
                  <c:v>2100.3070606742936</c:v>
                </c:pt>
                <c:pt idx="2">
                  <c:v>4466.4024745136494</c:v>
                </c:pt>
                <c:pt idx="3">
                  <c:v>11606.754049520958</c:v>
                </c:pt>
                <c:pt idx="4">
                  <c:v>7502.812596837075</c:v>
                </c:pt>
                <c:pt idx="5">
                  <c:v>5514.9683324615162</c:v>
                </c:pt>
                <c:pt idx="6">
                  <c:v>5708.0434737515916</c:v>
                </c:pt>
                <c:pt idx="7">
                  <c:v>#N/A</c:v>
                </c:pt>
                <c:pt idx="8">
                  <c:v>6326.4153748480385</c:v>
                </c:pt>
                <c:pt idx="9">
                  <c:v>#N/A</c:v>
                </c:pt>
                <c:pt idx="10">
                  <c:v>#N/A</c:v>
                </c:pt>
                <c:pt idx="11">
                  <c:v>#N/A</c:v>
                </c:pt>
                <c:pt idx="12">
                  <c:v>3236.5920498783457</c:v>
                </c:pt>
                <c:pt idx="13">
                  <c:v>#N/A</c:v>
                </c:pt>
                <c:pt idx="14">
                  <c:v>#N/A</c:v>
                </c:pt>
                <c:pt idx="15">
                  <c:v>9141.6335963099918</c:v>
                </c:pt>
                <c:pt idx="16">
                  <c:v>#N/A</c:v>
                </c:pt>
                <c:pt idx="17">
                  <c:v>#N/A</c:v>
                </c:pt>
                <c:pt idx="18">
                  <c:v>9158.1631924624417</c:v>
                </c:pt>
              </c:numCache>
            </c:numRef>
          </c:yVal>
          <c:smooth val="0"/>
          <c:extLst>
            <c:ext xmlns:c16="http://schemas.microsoft.com/office/drawing/2014/chart" uri="{C3380CC4-5D6E-409C-BE32-E72D297353CC}">
              <c16:uniqueId val="{0000000C-C0D2-4846-9862-DE12878BDD90}"/>
            </c:ext>
          </c:extLst>
        </c:ser>
        <c:ser>
          <c:idx val="6"/>
          <c:order val="6"/>
          <c:tx>
            <c:strRef>
              <c:f>ChartData_old!$H$1</c:f>
              <c:strCache>
                <c:ptCount val="1"/>
                <c:pt idx="0">
                  <c:v>MaxΔ</c:v>
                </c:pt>
              </c:strCache>
            </c:strRef>
          </c:tx>
          <c:spPr>
            <a:ln w="25400" cap="rnd">
              <a:noFill/>
              <a:round/>
            </a:ln>
            <a:effectLst/>
          </c:spPr>
          <c:marker>
            <c:symbol val="none"/>
          </c:marker>
          <c:errBars>
            <c:errDir val="y"/>
            <c:errBarType val="plus"/>
            <c:errValType val="cust"/>
            <c:noEndCap val="0"/>
            <c:plus>
              <c:numRef>
                <c:f>ChartData_old!$H$2:$H$20</c:f>
                <c:numCache>
                  <c:formatCode>General</c:formatCode>
                  <c:ptCount val="19"/>
                  <c:pt idx="0">
                    <c:v>#N/A</c:v>
                  </c:pt>
                  <c:pt idx="1">
                    <c:v>0</c:v>
                  </c:pt>
                  <c:pt idx="2">
                    <c:v>125.91159828571472</c:v>
                  </c:pt>
                  <c:pt idx="3">
                    <c:v>1775.0051940528465</c:v>
                  </c:pt>
                  <c:pt idx="4">
                    <c:v>693.18304148587413</c:v>
                  </c:pt>
                  <c:pt idx="5">
                    <c:v>2080.8790000795052</c:v>
                  </c:pt>
                  <c:pt idx="6">
                    <c:v>64.803465369492187</c:v>
                  </c:pt>
                  <c:pt idx="7">
                    <c:v>#N/A</c:v>
                  </c:pt>
                  <c:pt idx="8">
                    <c:v>28.462490180476379</c:v>
                  </c:pt>
                  <c:pt idx="9">
                    <c:v>#N/A</c:v>
                  </c:pt>
                  <c:pt idx="10">
                    <c:v>#N/A</c:v>
                  </c:pt>
                  <c:pt idx="11">
                    <c:v>#N/A</c:v>
                  </c:pt>
                  <c:pt idx="12">
                    <c:v>3.7803517335764809</c:v>
                  </c:pt>
                  <c:pt idx="13">
                    <c:v>#N/A</c:v>
                  </c:pt>
                  <c:pt idx="14">
                    <c:v>#N/A</c:v>
                  </c:pt>
                  <c:pt idx="15">
                    <c:v>26.899786739662886</c:v>
                  </c:pt>
                  <c:pt idx="16">
                    <c:v>#N/A</c:v>
                  </c:pt>
                  <c:pt idx="17">
                    <c:v>#N/A</c:v>
                  </c:pt>
                  <c:pt idx="18">
                    <c:v>139.84856969449356</c:v>
                  </c:pt>
                </c:numCache>
              </c:numRef>
            </c:plus>
            <c:minus>
              <c:numLit>
                <c:formatCode>General</c:formatCode>
                <c:ptCount val="1"/>
                <c:pt idx="0">
                  <c:v>0</c:v>
                </c:pt>
              </c:numLit>
            </c:minus>
            <c:spPr>
              <a:noFill/>
              <a:ln w="9525" cap="flat" cmpd="sng" algn="ctr">
                <a:solidFill>
                  <a:schemeClr val="tx1">
                    <a:lumMod val="65000"/>
                    <a:lumOff val="35000"/>
                  </a:schemeClr>
                </a:solidFill>
                <a:round/>
              </a:ln>
              <a:effectLst/>
            </c:spPr>
          </c:errBars>
          <c:errBars>
            <c:errDir val="x"/>
            <c:errBarType val="plus"/>
            <c:errValType val="cust"/>
            <c:noEndCap val="0"/>
            <c:plus>
              <c:numLit>
                <c:formatCode>General</c:formatCode>
                <c:ptCount val="1"/>
                <c:pt idx="0">
                  <c:v>0</c:v>
                </c:pt>
              </c:numLit>
            </c:plus>
            <c:minus>
              <c:numLit>
                <c:formatCode>General</c:formatCode>
                <c:ptCount val="1"/>
                <c:pt idx="0">
                  <c:v>0</c:v>
                </c:pt>
              </c:numLit>
            </c:minus>
            <c:spPr>
              <a:noFill/>
              <a:ln w="9525" cap="flat" cmpd="sng" algn="ctr">
                <a:noFill/>
                <a:round/>
              </a:ln>
              <a:effectLst/>
            </c:spPr>
          </c:errBars>
          <c:xVal>
            <c:numRef>
              <c:f>ChartData_old!$I$2:$I$20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ChartData_old!$G$2:$G$20</c:f>
              <c:numCache>
                <c:formatCode>General</c:formatCode>
                <c:ptCount val="19"/>
                <c:pt idx="0">
                  <c:v>#N/A</c:v>
                </c:pt>
                <c:pt idx="1">
                  <c:v>2100.3070606742936</c:v>
                </c:pt>
                <c:pt idx="2">
                  <c:v>8167.628781002586</c:v>
                </c:pt>
                <c:pt idx="3">
                  <c:v>27331.987939932962</c:v>
                </c:pt>
                <c:pt idx="4">
                  <c:v>15163.336584805127</c:v>
                </c:pt>
                <c:pt idx="5">
                  <c:v>11359.610466228252</c:v>
                </c:pt>
                <c:pt idx="6">
                  <c:v>6939.3093157719595</c:v>
                </c:pt>
                <c:pt idx="7">
                  <c:v>#N/A</c:v>
                </c:pt>
                <c:pt idx="8">
                  <c:v>6701.66861102232</c:v>
                </c:pt>
                <c:pt idx="9">
                  <c:v>#N/A</c:v>
                </c:pt>
                <c:pt idx="10">
                  <c:v>#N/A</c:v>
                </c:pt>
                <c:pt idx="11">
                  <c:v>#N/A</c:v>
                </c:pt>
                <c:pt idx="12">
                  <c:v>3485.5988544708034</c:v>
                </c:pt>
                <c:pt idx="13">
                  <c:v>#N/A</c:v>
                </c:pt>
                <c:pt idx="14">
                  <c:v>#N/A</c:v>
                </c:pt>
                <c:pt idx="15">
                  <c:v>9652.7295443636012</c:v>
                </c:pt>
                <c:pt idx="16">
                  <c:v>#N/A</c:v>
                </c:pt>
                <c:pt idx="17">
                  <c:v>#N/A</c:v>
                </c:pt>
                <c:pt idx="18">
                  <c:v>11815.286016657847</c:v>
                </c:pt>
              </c:numCache>
            </c:numRef>
          </c:yVal>
          <c:smooth val="0"/>
          <c:extLst>
            <c:ext xmlns:c16="http://schemas.microsoft.com/office/drawing/2014/chart" uri="{C3380CC4-5D6E-409C-BE32-E72D297353CC}">
              <c16:uniqueId val="{0000000D-C0D2-4846-9862-DE12878BDD90}"/>
            </c:ext>
          </c:extLst>
        </c:ser>
        <c:dLbls>
          <c:showLegendKey val="0"/>
          <c:showVal val="0"/>
          <c:showCatName val="0"/>
          <c:showSerName val="0"/>
          <c:showPercent val="0"/>
          <c:showBubbleSize val="0"/>
        </c:dLbls>
        <c:axId val="1180805679"/>
        <c:axId val="1180805199"/>
      </c:scatterChart>
      <c:catAx>
        <c:axId val="1235677343"/>
        <c:scaling>
          <c:orientation val="minMax"/>
        </c:scaling>
        <c:delete val="0"/>
        <c:axPos val="b"/>
        <c:minorGridlines>
          <c:spPr>
            <a:ln w="9525" cap="flat" cmpd="sng" algn="ctr">
              <a:no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235683583"/>
        <c:crosses val="autoZero"/>
        <c:auto val="1"/>
        <c:lblAlgn val="ctr"/>
        <c:lblOffset val="100"/>
        <c:noMultiLvlLbl val="0"/>
      </c:catAx>
      <c:valAx>
        <c:axId val="1235683583"/>
        <c:scaling>
          <c:orientation val="minMax"/>
          <c:max val="34000"/>
          <c:min val="0"/>
        </c:scaling>
        <c:delete val="0"/>
        <c:axPos val="l"/>
        <c:majorGridlines>
          <c:spPr>
            <a:ln w="9525" cap="flat" cmpd="sng" algn="ctr">
              <a:solidFill>
                <a:schemeClr val="bg2">
                  <a:lumMod val="90000"/>
                  <a:alpha val="50000"/>
                </a:schemeClr>
              </a:solidFill>
              <a:round/>
            </a:ln>
            <a:effectLst/>
          </c:spPr>
        </c:majorGridlines>
        <c:minorGridlines>
          <c:spPr>
            <a:ln w="9525" cap="flat" cmpd="sng" algn="ctr">
              <a:solidFill>
                <a:schemeClr val="bg1">
                  <a:lumMod val="95000"/>
                  <a:alpha val="50000"/>
                </a:schemeClr>
              </a:solidFill>
              <a:round/>
            </a:ln>
            <a:effectLst/>
          </c:spPr>
        </c:minorGridlines>
        <c:numFmt formatCode="General" sourceLinked="1"/>
        <c:majorTickMark val="out"/>
        <c:minorTickMark val="out"/>
        <c:tickLblPos val="nextTo"/>
        <c:spPr>
          <a:no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235677343"/>
        <c:crosses val="autoZero"/>
        <c:crossBetween val="between"/>
        <c:majorUnit val="2000"/>
        <c:minorUnit val="400"/>
      </c:valAx>
      <c:valAx>
        <c:axId val="1180805199"/>
        <c:scaling>
          <c:orientation val="minMax"/>
          <c:max val="34000"/>
          <c:min val="0"/>
        </c:scaling>
        <c:delete val="0"/>
        <c:axPos val="l"/>
        <c:minorGridlines>
          <c:spPr>
            <a:ln w="0" cap="flat" cmpd="sng" algn="ctr">
              <a:solidFill>
                <a:schemeClr val="tx1">
                  <a:lumMod val="5000"/>
                  <a:lumOff val="95000"/>
                  <a:alpha val="70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sz="1000"/>
                  <a:t>Overnight Construction Costs [2018 USD/kW]</a:t>
                </a:r>
              </a:p>
            </c:rich>
          </c:tx>
          <c:layout>
            <c:manualLayout>
              <c:xMode val="edge"/>
              <c:yMode val="edge"/>
              <c:x val="4.1585822626839545E-3"/>
              <c:y val="8.5836346437477437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180805679"/>
        <c:crosses val="autoZero"/>
        <c:crossBetween val="between"/>
        <c:majorUnit val="2000"/>
      </c:valAx>
      <c:catAx>
        <c:axId val="1180805679"/>
        <c:scaling>
          <c:orientation val="minMax"/>
        </c:scaling>
        <c:delete val="0"/>
        <c:axPos val="t"/>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180805199"/>
        <c:crosses val="max"/>
        <c:auto val="1"/>
        <c:lblAlgn val="ctr"/>
        <c:lblOffset val="100"/>
        <c:tickLblSkip val="1"/>
        <c:noMultiLvlLbl val="1"/>
      </c:catAx>
      <c:spPr>
        <a:noFill/>
        <a:ln>
          <a:noFill/>
        </a:ln>
        <a:effectLst/>
      </c:spPr>
    </c:plotArea>
    <c:legend>
      <c:legendPos val="b"/>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ChartData_old!$AQ$1</c:f>
              <c:strCache>
                <c:ptCount val="1"/>
                <c:pt idx="0">
                  <c:v>Low Base</c:v>
                </c:pt>
              </c:strCache>
            </c:strRef>
          </c:tx>
          <c:spPr>
            <a:noFill/>
            <a:ln>
              <a:noFill/>
            </a:ln>
            <a:effectLst/>
          </c:spPr>
          <c:invertIfNegative val="0"/>
          <c:cat>
            <c:multiLvlStrRef>
              <c:f>ChartData_old!$W$2:$X$11</c:f>
              <c:multiLvlStrCache>
                <c:ptCount val="10"/>
                <c:lvl>
                  <c:pt idx="0">
                    <c:v>FOAK</c:v>
                  </c:pt>
                  <c:pt idx="1">
                    <c:v>NOAK</c:v>
                  </c:pt>
                  <c:pt idx="2">
                    <c:v>10th-OAK</c:v>
                  </c:pt>
                  <c:pt idx="3">
                    <c:v>FOAK</c:v>
                  </c:pt>
                  <c:pt idx="4">
                    <c:v>NOAK</c:v>
                  </c:pt>
                  <c:pt idx="5">
                    <c:v>10th-OAK</c:v>
                  </c:pt>
                  <c:pt idx="6">
                    <c:v>Advanced NOAK</c:v>
                  </c:pt>
                  <c:pt idx="7">
                    <c:v>FOAK</c:v>
                  </c:pt>
                  <c:pt idx="8">
                    <c:v>NOAK</c:v>
                  </c:pt>
                  <c:pt idx="9">
                    <c:v>10th-OAK</c:v>
                  </c:pt>
                </c:lvl>
                <c:lvl>
                  <c:pt idx="0">
                    <c:v>ICF</c:v>
                  </c:pt>
                  <c:pt idx="1">
                    <c:v>ICF</c:v>
                  </c:pt>
                  <c:pt idx="2">
                    <c:v>ICF</c:v>
                  </c:pt>
                  <c:pt idx="3">
                    <c:v>MCF</c:v>
                  </c:pt>
                  <c:pt idx="4">
                    <c:v>MCF</c:v>
                  </c:pt>
                  <c:pt idx="5">
                    <c:v>MCF</c:v>
                  </c:pt>
                  <c:pt idx="6">
                    <c:v>MCF</c:v>
                  </c:pt>
                  <c:pt idx="7">
                    <c:v>MIF</c:v>
                  </c:pt>
                  <c:pt idx="8">
                    <c:v>MIF</c:v>
                  </c:pt>
                  <c:pt idx="9">
                    <c:v>MIF</c:v>
                  </c:pt>
                </c:lvl>
              </c:multiLvlStrCache>
            </c:multiLvlStrRef>
          </c:cat>
          <c:val>
            <c:numRef>
              <c:f>ChartData_old!$AQ$2:$AQ$11</c:f>
              <c:numCache>
                <c:formatCode>General</c:formatCode>
                <c:ptCount val="10"/>
                <c:pt idx="0">
                  <c:v>0</c:v>
                </c:pt>
                <c:pt idx="1">
                  <c:v>2100.3070606742936</c:v>
                </c:pt>
                <c:pt idx="2">
                  <c:v>2454.2634061921008</c:v>
                </c:pt>
                <c:pt idx="3">
                  <c:v>8237.0484912299125</c:v>
                </c:pt>
                <c:pt idx="4">
                  <c:v>4330.8387169920861</c:v>
                </c:pt>
                <c:pt idx="5">
                  <c:v>4175.2736222415806</c:v>
                </c:pt>
                <c:pt idx="6">
                  <c:v>4240.6850455974927</c:v>
                </c:pt>
                <c:pt idx="7">
                  <c:v>0</c:v>
                </c:pt>
                <c:pt idx="8">
                  <c:v>0</c:v>
                </c:pt>
                <c:pt idx="9">
                  <c:v>6682.0413849040506</c:v>
                </c:pt>
              </c:numCache>
            </c:numRef>
          </c:val>
          <c:extLst>
            <c:ext xmlns:c16="http://schemas.microsoft.com/office/drawing/2014/chart" uri="{C3380CC4-5D6E-409C-BE32-E72D297353CC}">
              <c16:uniqueId val="{00000000-963A-4C65-999F-1E94184AE1A2}"/>
            </c:ext>
          </c:extLst>
        </c:ser>
        <c:ser>
          <c:idx val="1"/>
          <c:order val="1"/>
          <c:tx>
            <c:strRef>
              <c:f>ChartData_old!$AR$1</c:f>
              <c:strCache>
                <c:ptCount val="1"/>
                <c:pt idx="0">
                  <c:v>25th percentile</c:v>
                </c:pt>
              </c:strCache>
            </c:strRef>
          </c:tx>
          <c:spPr>
            <a:solidFill>
              <a:srgbClr val="9590B2">
                <a:alpha val="84706"/>
              </a:srgbClr>
            </a:solidFill>
            <a:ln>
              <a:noFill/>
            </a:ln>
            <a:effectLst/>
          </c:spPr>
          <c:invertIfNegative val="0"/>
          <c:dPt>
            <c:idx val="3"/>
            <c:invertIfNegative val="0"/>
            <c:bubble3D val="0"/>
            <c:spPr>
              <a:solidFill>
                <a:srgbClr val="9590B2">
                  <a:alpha val="84706"/>
                </a:srgbClr>
              </a:solidFill>
              <a:ln>
                <a:noFill/>
              </a:ln>
              <a:effectLst/>
            </c:spPr>
            <c:extLst>
              <c:ext xmlns:c16="http://schemas.microsoft.com/office/drawing/2014/chart" uri="{C3380CC4-5D6E-409C-BE32-E72D297353CC}">
                <c16:uniqueId val="{00000008-963A-4C65-999F-1E94184AE1A2}"/>
              </c:ext>
            </c:extLst>
          </c:dPt>
          <c:cat>
            <c:multiLvlStrRef>
              <c:f>ChartData_old!$W$2:$X$11</c:f>
              <c:multiLvlStrCache>
                <c:ptCount val="10"/>
                <c:lvl>
                  <c:pt idx="0">
                    <c:v>FOAK</c:v>
                  </c:pt>
                  <c:pt idx="1">
                    <c:v>NOAK</c:v>
                  </c:pt>
                  <c:pt idx="2">
                    <c:v>10th-OAK</c:v>
                  </c:pt>
                  <c:pt idx="3">
                    <c:v>FOAK</c:v>
                  </c:pt>
                  <c:pt idx="4">
                    <c:v>NOAK</c:v>
                  </c:pt>
                  <c:pt idx="5">
                    <c:v>10th-OAK</c:v>
                  </c:pt>
                  <c:pt idx="6">
                    <c:v>Advanced NOAK</c:v>
                  </c:pt>
                  <c:pt idx="7">
                    <c:v>FOAK</c:v>
                  </c:pt>
                  <c:pt idx="8">
                    <c:v>NOAK</c:v>
                  </c:pt>
                  <c:pt idx="9">
                    <c:v>10th-OAK</c:v>
                  </c:pt>
                </c:lvl>
                <c:lvl>
                  <c:pt idx="0">
                    <c:v>ICF</c:v>
                  </c:pt>
                  <c:pt idx="1">
                    <c:v>ICF</c:v>
                  </c:pt>
                  <c:pt idx="2">
                    <c:v>ICF</c:v>
                  </c:pt>
                  <c:pt idx="3">
                    <c:v>MCF</c:v>
                  </c:pt>
                  <c:pt idx="4">
                    <c:v>MCF</c:v>
                  </c:pt>
                  <c:pt idx="5">
                    <c:v>MCF</c:v>
                  </c:pt>
                  <c:pt idx="6">
                    <c:v>MCF</c:v>
                  </c:pt>
                  <c:pt idx="7">
                    <c:v>MIF</c:v>
                  </c:pt>
                  <c:pt idx="8">
                    <c:v>MIF</c:v>
                  </c:pt>
                  <c:pt idx="9">
                    <c:v>MIF</c:v>
                  </c:pt>
                </c:lvl>
              </c:multiLvlStrCache>
            </c:multiLvlStrRef>
          </c:cat>
          <c:val>
            <c:numRef>
              <c:f>ChartData_old!$AR$2:$AR$11</c:f>
              <c:numCache>
                <c:formatCode>General</c:formatCode>
                <c:ptCount val="10"/>
                <c:pt idx="0">
                  <c:v>#N/A</c:v>
                </c:pt>
                <c:pt idx="1">
                  <c:v>0</c:v>
                </c:pt>
                <c:pt idx="2">
                  <c:v>2012.1390683215486</c:v>
                </c:pt>
                <c:pt idx="3">
                  <c:v>3369.7055582910452</c:v>
                </c:pt>
                <c:pt idx="4">
                  <c:v>2055.1220701309476</c:v>
                </c:pt>
                <c:pt idx="5">
                  <c:v>1217.7860795235874</c:v>
                </c:pt>
                <c:pt idx="6">
                  <c:v>1863.9524255124988</c:v>
                </c:pt>
                <c:pt idx="7">
                  <c:v>#N/A</c:v>
                </c:pt>
                <c:pt idx="8">
                  <c:v>#N/A</c:v>
                </c:pt>
                <c:pt idx="9">
                  <c:v>2476.1218075583911</c:v>
                </c:pt>
              </c:numCache>
            </c:numRef>
          </c:val>
          <c:extLst>
            <c:ext xmlns:c16="http://schemas.microsoft.com/office/drawing/2014/chart" uri="{C3380CC4-5D6E-409C-BE32-E72D297353CC}">
              <c16:uniqueId val="{00000001-963A-4C65-999F-1E94184AE1A2}"/>
            </c:ext>
          </c:extLst>
        </c:ser>
        <c:ser>
          <c:idx val="2"/>
          <c:order val="2"/>
          <c:tx>
            <c:strRef>
              <c:f>ChartData_old!$AS$1</c:f>
              <c:strCache>
                <c:ptCount val="1"/>
                <c:pt idx="0">
                  <c:v>75th percentile</c:v>
                </c:pt>
              </c:strCache>
            </c:strRef>
          </c:tx>
          <c:spPr>
            <a:solidFill>
              <a:srgbClr val="C2BFD3"/>
            </a:solidFill>
            <a:ln>
              <a:noFill/>
            </a:ln>
            <a:effectLst/>
          </c:spPr>
          <c:invertIfNegative val="0"/>
          <c:dPt>
            <c:idx val="0"/>
            <c:invertIfNegative val="0"/>
            <c:bubble3D val="0"/>
            <c:spPr>
              <a:solidFill>
                <a:srgbClr val="C2BFD3">
                  <a:alpha val="80000"/>
                </a:srgbClr>
              </a:solidFill>
              <a:ln>
                <a:noFill/>
              </a:ln>
              <a:effectLst/>
            </c:spPr>
            <c:extLst>
              <c:ext xmlns:c16="http://schemas.microsoft.com/office/drawing/2014/chart" uri="{C3380CC4-5D6E-409C-BE32-E72D297353CC}">
                <c16:uniqueId val="{00000005-D117-4994-88F1-19E2688DBDE6}"/>
              </c:ext>
            </c:extLst>
          </c:dPt>
          <c:dPt>
            <c:idx val="1"/>
            <c:invertIfNegative val="0"/>
            <c:bubble3D val="0"/>
            <c:spPr>
              <a:solidFill>
                <a:srgbClr val="C2BFD3">
                  <a:alpha val="80000"/>
                </a:srgbClr>
              </a:solidFill>
              <a:ln>
                <a:noFill/>
              </a:ln>
              <a:effectLst/>
            </c:spPr>
            <c:extLst>
              <c:ext xmlns:c16="http://schemas.microsoft.com/office/drawing/2014/chart" uri="{C3380CC4-5D6E-409C-BE32-E72D297353CC}">
                <c16:uniqueId val="{00000006-D117-4994-88F1-19E2688DBDE6}"/>
              </c:ext>
            </c:extLst>
          </c:dPt>
          <c:dPt>
            <c:idx val="2"/>
            <c:invertIfNegative val="0"/>
            <c:bubble3D val="0"/>
            <c:spPr>
              <a:solidFill>
                <a:srgbClr val="C2BFD3">
                  <a:alpha val="80000"/>
                </a:srgbClr>
              </a:solidFill>
              <a:ln>
                <a:noFill/>
              </a:ln>
              <a:effectLst/>
            </c:spPr>
            <c:extLst>
              <c:ext xmlns:c16="http://schemas.microsoft.com/office/drawing/2014/chart" uri="{C3380CC4-5D6E-409C-BE32-E72D297353CC}">
                <c16:uniqueId val="{00000007-D117-4994-88F1-19E2688DBDE6}"/>
              </c:ext>
            </c:extLst>
          </c:dPt>
          <c:dPt>
            <c:idx val="3"/>
            <c:invertIfNegative val="0"/>
            <c:bubble3D val="0"/>
            <c:spPr>
              <a:solidFill>
                <a:srgbClr val="C2BFD3">
                  <a:alpha val="80000"/>
                </a:srgbClr>
              </a:solidFill>
              <a:ln>
                <a:noFill/>
              </a:ln>
              <a:effectLst/>
            </c:spPr>
            <c:extLst>
              <c:ext xmlns:c16="http://schemas.microsoft.com/office/drawing/2014/chart" uri="{C3380CC4-5D6E-409C-BE32-E72D297353CC}">
                <c16:uniqueId val="{00000007-963A-4C65-999F-1E94184AE1A2}"/>
              </c:ext>
            </c:extLst>
          </c:dPt>
          <c:dPt>
            <c:idx val="4"/>
            <c:invertIfNegative val="0"/>
            <c:bubble3D val="0"/>
            <c:spPr>
              <a:solidFill>
                <a:srgbClr val="C2BFD3">
                  <a:alpha val="80000"/>
                </a:srgbClr>
              </a:solidFill>
              <a:ln>
                <a:noFill/>
              </a:ln>
              <a:effectLst/>
            </c:spPr>
            <c:extLst>
              <c:ext xmlns:c16="http://schemas.microsoft.com/office/drawing/2014/chart" uri="{C3380CC4-5D6E-409C-BE32-E72D297353CC}">
                <c16:uniqueId val="{00000008-D117-4994-88F1-19E2688DBDE6}"/>
              </c:ext>
            </c:extLst>
          </c:dPt>
          <c:dPt>
            <c:idx val="5"/>
            <c:invertIfNegative val="0"/>
            <c:bubble3D val="0"/>
            <c:spPr>
              <a:solidFill>
                <a:srgbClr val="C2BFD3">
                  <a:alpha val="80000"/>
                </a:srgbClr>
              </a:solidFill>
              <a:ln>
                <a:noFill/>
              </a:ln>
              <a:effectLst/>
            </c:spPr>
            <c:extLst>
              <c:ext xmlns:c16="http://schemas.microsoft.com/office/drawing/2014/chart" uri="{C3380CC4-5D6E-409C-BE32-E72D297353CC}">
                <c16:uniqueId val="{00000009-D117-4994-88F1-19E2688DBDE6}"/>
              </c:ext>
            </c:extLst>
          </c:dPt>
          <c:dPt>
            <c:idx val="9"/>
            <c:invertIfNegative val="0"/>
            <c:bubble3D val="0"/>
            <c:spPr>
              <a:solidFill>
                <a:srgbClr val="C2BFD3">
                  <a:alpha val="80000"/>
                </a:srgbClr>
              </a:solidFill>
              <a:ln>
                <a:noFill/>
              </a:ln>
              <a:effectLst/>
            </c:spPr>
            <c:extLst>
              <c:ext xmlns:c16="http://schemas.microsoft.com/office/drawing/2014/chart" uri="{C3380CC4-5D6E-409C-BE32-E72D297353CC}">
                <c16:uniqueId val="{0000000F-6CA3-4719-93F3-BE10DA475443}"/>
              </c:ext>
            </c:extLst>
          </c:dPt>
          <c:errBars>
            <c:errBarType val="plus"/>
            <c:errValType val="cust"/>
            <c:noEndCap val="0"/>
            <c:plus>
              <c:numRef>
                <c:f>ChartData_old!$AV$2:$AV$11</c:f>
                <c:numCache>
                  <c:formatCode>General</c:formatCode>
                  <c:ptCount val="10"/>
                  <c:pt idx="0">
                    <c:v>0</c:v>
                  </c:pt>
                  <c:pt idx="1">
                    <c:v>0</c:v>
                  </c:pt>
                  <c:pt idx="2">
                    <c:v>2060.2555155434165</c:v>
                  </c:pt>
                  <c:pt idx="3">
                    <c:v>15906.585277772549</c:v>
                  </c:pt>
                  <c:pt idx="4">
                    <c:v>7994.3068063409664</c:v>
                  </c:pt>
                  <c:pt idx="5">
                    <c:v>7013.6079775090229</c:v>
                  </c:pt>
                  <c:pt idx="6">
                    <c:v>8727.7318912256433</c:v>
                  </c:pt>
                  <c:pt idx="7">
                    <c:v>0</c:v>
                  </c:pt>
                  <c:pt idx="8">
                    <c:v>0</c:v>
                  </c:pt>
                  <c:pt idx="9">
                    <c:v>1398.4856969449484</c:v>
                  </c:pt>
                </c:numCache>
              </c:numRef>
            </c:plus>
            <c:minus>
              <c:numRef>
                <c:f>ChartData_old!$AX$1:$AX$11</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minus>
            <c:spPr>
              <a:noFill/>
              <a:ln w="9525" cap="flat" cmpd="sng" algn="ctr">
                <a:solidFill>
                  <a:schemeClr val="tx1">
                    <a:lumMod val="65000"/>
                    <a:lumOff val="35000"/>
                  </a:schemeClr>
                </a:solidFill>
                <a:round/>
              </a:ln>
              <a:effectLst/>
            </c:spPr>
          </c:errBars>
          <c:cat>
            <c:multiLvlStrRef>
              <c:f>ChartData_old!$W$2:$X$11</c:f>
              <c:multiLvlStrCache>
                <c:ptCount val="10"/>
                <c:lvl>
                  <c:pt idx="0">
                    <c:v>FOAK</c:v>
                  </c:pt>
                  <c:pt idx="1">
                    <c:v>NOAK</c:v>
                  </c:pt>
                  <c:pt idx="2">
                    <c:v>10th-OAK</c:v>
                  </c:pt>
                  <c:pt idx="3">
                    <c:v>FOAK</c:v>
                  </c:pt>
                  <c:pt idx="4">
                    <c:v>NOAK</c:v>
                  </c:pt>
                  <c:pt idx="5">
                    <c:v>10th-OAK</c:v>
                  </c:pt>
                  <c:pt idx="6">
                    <c:v>Advanced NOAK</c:v>
                  </c:pt>
                  <c:pt idx="7">
                    <c:v>FOAK</c:v>
                  </c:pt>
                  <c:pt idx="8">
                    <c:v>NOAK</c:v>
                  </c:pt>
                  <c:pt idx="9">
                    <c:v>10th-OAK</c:v>
                  </c:pt>
                </c:lvl>
                <c:lvl>
                  <c:pt idx="0">
                    <c:v>ICF</c:v>
                  </c:pt>
                  <c:pt idx="1">
                    <c:v>ICF</c:v>
                  </c:pt>
                  <c:pt idx="2">
                    <c:v>ICF</c:v>
                  </c:pt>
                  <c:pt idx="3">
                    <c:v>MCF</c:v>
                  </c:pt>
                  <c:pt idx="4">
                    <c:v>MCF</c:v>
                  </c:pt>
                  <c:pt idx="5">
                    <c:v>MCF</c:v>
                  </c:pt>
                  <c:pt idx="6">
                    <c:v>MCF</c:v>
                  </c:pt>
                  <c:pt idx="7">
                    <c:v>MIF</c:v>
                  </c:pt>
                  <c:pt idx="8">
                    <c:v>MIF</c:v>
                  </c:pt>
                  <c:pt idx="9">
                    <c:v>MIF</c:v>
                  </c:pt>
                </c:lvl>
              </c:multiLvlStrCache>
            </c:multiLvlStrRef>
          </c:cat>
          <c:val>
            <c:numRef>
              <c:f>ChartData_old!$AS$2:$AS$11</c:f>
              <c:numCache>
                <c:formatCode>General</c:formatCode>
                <c:ptCount val="10"/>
                <c:pt idx="0">
                  <c:v>0</c:v>
                </c:pt>
                <c:pt idx="1">
                  <c:v>0</c:v>
                </c:pt>
                <c:pt idx="2">
                  <c:v>1766.8823892312348</c:v>
                </c:pt>
                <c:pt idx="3">
                  <c:v>1593.6538066923022</c:v>
                </c:pt>
                <c:pt idx="4">
                  <c:v>1476.2520328270011</c:v>
                </c:pt>
                <c:pt idx="5">
                  <c:v>1033.8217870335666</c:v>
                </c:pt>
                <c:pt idx="6">
                  <c:v>1024.1502639553664</c:v>
                </c:pt>
                <c:pt idx="7">
                  <c:v>0</c:v>
                </c:pt>
                <c:pt idx="8">
                  <c:v>0</c:v>
                </c:pt>
                <c:pt idx="9">
                  <c:v>1398.4856969449502</c:v>
                </c:pt>
              </c:numCache>
            </c:numRef>
          </c:val>
          <c:extLst>
            <c:ext xmlns:c16="http://schemas.microsoft.com/office/drawing/2014/chart" uri="{C3380CC4-5D6E-409C-BE32-E72D297353CC}">
              <c16:uniqueId val="{00000002-963A-4C65-999F-1E94184AE1A2}"/>
            </c:ext>
          </c:extLst>
        </c:ser>
        <c:ser>
          <c:idx val="3"/>
          <c:order val="3"/>
          <c:tx>
            <c:strRef>
              <c:f>ChartData_old!$AT$1</c:f>
              <c:strCache>
                <c:ptCount val="1"/>
                <c:pt idx="0">
                  <c:v>High Base</c:v>
                </c:pt>
              </c:strCache>
            </c:strRef>
          </c:tx>
          <c:spPr>
            <a:noFill/>
            <a:ln>
              <a:noFill/>
            </a:ln>
            <a:effectLst/>
          </c:spPr>
          <c:invertIfNegative val="0"/>
          <c:cat>
            <c:multiLvlStrRef>
              <c:f>ChartData_old!$W$2:$X$11</c:f>
              <c:multiLvlStrCache>
                <c:ptCount val="10"/>
                <c:lvl>
                  <c:pt idx="0">
                    <c:v>FOAK</c:v>
                  </c:pt>
                  <c:pt idx="1">
                    <c:v>NOAK</c:v>
                  </c:pt>
                  <c:pt idx="2">
                    <c:v>10th-OAK</c:v>
                  </c:pt>
                  <c:pt idx="3">
                    <c:v>FOAK</c:v>
                  </c:pt>
                  <c:pt idx="4">
                    <c:v>NOAK</c:v>
                  </c:pt>
                  <c:pt idx="5">
                    <c:v>10th-OAK</c:v>
                  </c:pt>
                  <c:pt idx="6">
                    <c:v>Advanced NOAK</c:v>
                  </c:pt>
                  <c:pt idx="7">
                    <c:v>FOAK</c:v>
                  </c:pt>
                  <c:pt idx="8">
                    <c:v>NOAK</c:v>
                  </c:pt>
                  <c:pt idx="9">
                    <c:v>10th-OAK</c:v>
                  </c:pt>
                </c:lvl>
                <c:lvl>
                  <c:pt idx="0">
                    <c:v>ICF</c:v>
                  </c:pt>
                  <c:pt idx="1">
                    <c:v>ICF</c:v>
                  </c:pt>
                  <c:pt idx="2">
                    <c:v>ICF</c:v>
                  </c:pt>
                  <c:pt idx="3">
                    <c:v>MCF</c:v>
                  </c:pt>
                  <c:pt idx="4">
                    <c:v>MCF</c:v>
                  </c:pt>
                  <c:pt idx="5">
                    <c:v>MCF</c:v>
                  </c:pt>
                  <c:pt idx="6">
                    <c:v>MCF</c:v>
                  </c:pt>
                  <c:pt idx="7">
                    <c:v>MIF</c:v>
                  </c:pt>
                  <c:pt idx="8">
                    <c:v>MIF</c:v>
                  </c:pt>
                  <c:pt idx="9">
                    <c:v>MIF</c:v>
                  </c:pt>
                </c:lvl>
              </c:multiLvlStrCache>
            </c:multiLvlStrRef>
          </c:cat>
          <c:val>
            <c:numRef>
              <c:f>ChartData_old!$AT$2:$AT$11</c:f>
              <c:numCache>
                <c:formatCode>General</c:formatCode>
                <c:ptCount val="10"/>
                <c:pt idx="0">
                  <c:v>0</c:v>
                </c:pt>
                <c:pt idx="1">
                  <c:v>0</c:v>
                </c:pt>
                <c:pt idx="2">
                  <c:v>2060.2555155434165</c:v>
                </c:pt>
                <c:pt idx="3">
                  <c:v>15906.585277772549</c:v>
                </c:pt>
                <c:pt idx="4">
                  <c:v>7994.3068063409664</c:v>
                </c:pt>
                <c:pt idx="5">
                  <c:v>7013.6079775090229</c:v>
                </c:pt>
                <c:pt idx="6">
                  <c:v>8727.7318912256433</c:v>
                </c:pt>
                <c:pt idx="7">
                  <c:v>0</c:v>
                </c:pt>
                <c:pt idx="8">
                  <c:v>0</c:v>
                </c:pt>
                <c:pt idx="9">
                  <c:v>1398.4856969449484</c:v>
                </c:pt>
              </c:numCache>
            </c:numRef>
          </c:val>
          <c:extLst>
            <c:ext xmlns:c16="http://schemas.microsoft.com/office/drawing/2014/chart" uri="{C3380CC4-5D6E-409C-BE32-E72D297353CC}">
              <c16:uniqueId val="{00000003-963A-4C65-999F-1E94184AE1A2}"/>
            </c:ext>
          </c:extLst>
        </c:ser>
        <c:dLbls>
          <c:showLegendKey val="0"/>
          <c:showVal val="0"/>
          <c:showCatName val="0"/>
          <c:showSerName val="0"/>
          <c:showPercent val="0"/>
          <c:showBubbleSize val="0"/>
        </c:dLbls>
        <c:gapWidth val="40"/>
        <c:overlap val="100"/>
        <c:axId val="307037904"/>
        <c:axId val="307038384"/>
      </c:barChart>
      <c:lineChart>
        <c:grouping val="standard"/>
        <c:varyColors val="0"/>
        <c:ser>
          <c:idx val="4"/>
          <c:order val="4"/>
          <c:tx>
            <c:strRef>
              <c:f>ChartData_old!$AM$1</c:f>
              <c:strCache>
                <c:ptCount val="1"/>
                <c:pt idx="0">
                  <c:v>Q1</c:v>
                </c:pt>
              </c:strCache>
            </c:strRef>
          </c:tx>
          <c:spPr>
            <a:ln w="28575" cap="rnd">
              <a:noFill/>
              <a:round/>
            </a:ln>
            <a:effectLst/>
          </c:spPr>
          <c:marker>
            <c:symbol val="none"/>
          </c:marker>
          <c:errBars>
            <c:errDir val="y"/>
            <c:errBarType val="minus"/>
            <c:errValType val="cust"/>
            <c:noEndCap val="0"/>
            <c:plus>
              <c:numRef>
                <c:f>ChartData_old!$AX$2:$AX$11</c:f>
                <c:numCache>
                  <c:formatCode>General</c:formatCode>
                  <c:ptCount val="10"/>
                  <c:pt idx="0">
                    <c:v>0</c:v>
                  </c:pt>
                  <c:pt idx="1">
                    <c:v>0</c:v>
                  </c:pt>
                  <c:pt idx="2">
                    <c:v>0</c:v>
                  </c:pt>
                  <c:pt idx="3">
                    <c:v>0</c:v>
                  </c:pt>
                  <c:pt idx="4">
                    <c:v>0</c:v>
                  </c:pt>
                  <c:pt idx="5">
                    <c:v>0</c:v>
                  </c:pt>
                  <c:pt idx="6">
                    <c:v>0</c:v>
                  </c:pt>
                  <c:pt idx="7">
                    <c:v>0</c:v>
                  </c:pt>
                  <c:pt idx="8">
                    <c:v>0</c:v>
                  </c:pt>
                  <c:pt idx="9">
                    <c:v>0</c:v>
                  </c:pt>
                </c:numCache>
              </c:numRef>
            </c:plus>
            <c:minus>
              <c:numRef>
                <c:f>ChartData_old!$AW$2:$AW$11</c:f>
                <c:numCache>
                  <c:formatCode>General</c:formatCode>
                  <c:ptCount val="10"/>
                  <c:pt idx="0">
                    <c:v>#N/A</c:v>
                  </c:pt>
                  <c:pt idx="1">
                    <c:v>0</c:v>
                  </c:pt>
                  <c:pt idx="2">
                    <c:v>1376.4698067945103</c:v>
                  </c:pt>
                  <c:pt idx="3">
                    <c:v>2893.5693703563211</c:v>
                  </c:pt>
                  <c:pt idx="4">
                    <c:v>1811.4667557282037</c:v>
                  </c:pt>
                  <c:pt idx="5">
                    <c:v>1426.3087606235754</c:v>
                  </c:pt>
                  <c:pt idx="6">
                    <c:v>1721.3130843336103</c:v>
                  </c:pt>
                  <c:pt idx="7">
                    <c:v>#N/A</c:v>
                  </c:pt>
                  <c:pt idx="8">
                    <c:v>#N/A</c:v>
                  </c:pt>
                  <c:pt idx="9">
                    <c:v>2476.1218075583902</c:v>
                  </c:pt>
                </c:numCache>
              </c:numRef>
            </c:minus>
            <c:spPr>
              <a:noFill/>
              <a:ln w="12700" cap="flat" cmpd="sng" algn="ctr">
                <a:solidFill>
                  <a:schemeClr val="bg2">
                    <a:lumMod val="90000"/>
                    <a:alpha val="80000"/>
                  </a:schemeClr>
                </a:solidFill>
                <a:round/>
              </a:ln>
              <a:effectLst/>
            </c:spPr>
          </c:errBars>
          <c:val>
            <c:numRef>
              <c:f>ChartData_old!$AM$2:$AM$11</c:f>
              <c:numCache>
                <c:formatCode>General</c:formatCode>
                <c:ptCount val="10"/>
                <c:pt idx="0">
                  <c:v>#N/A</c:v>
                </c:pt>
                <c:pt idx="1">
                  <c:v>2100.3070606742936</c:v>
                </c:pt>
                <c:pt idx="2">
                  <c:v>2454.2634061921008</c:v>
                </c:pt>
                <c:pt idx="3">
                  <c:v>8237.0484912299125</c:v>
                </c:pt>
                <c:pt idx="4">
                  <c:v>4330.8387169920861</c:v>
                </c:pt>
                <c:pt idx="5">
                  <c:v>4175.2736222415806</c:v>
                </c:pt>
                <c:pt idx="6">
                  <c:v>4240.6850455974927</c:v>
                </c:pt>
                <c:pt idx="7">
                  <c:v>#N/A</c:v>
                </c:pt>
                <c:pt idx="8">
                  <c:v>#N/A</c:v>
                </c:pt>
                <c:pt idx="9">
                  <c:v>6682.0413849040506</c:v>
                </c:pt>
              </c:numCache>
            </c:numRef>
          </c:val>
          <c:smooth val="0"/>
          <c:extLst>
            <c:ext xmlns:c16="http://schemas.microsoft.com/office/drawing/2014/chart" uri="{C3380CC4-5D6E-409C-BE32-E72D297353CC}">
              <c16:uniqueId val="{00000004-963A-4C65-999F-1E94184AE1A2}"/>
            </c:ext>
          </c:extLst>
        </c:ser>
        <c:ser>
          <c:idx val="5"/>
          <c:order val="5"/>
          <c:tx>
            <c:strRef>
              <c:f>ChartData_old!$AO$1</c:f>
              <c:strCache>
                <c:ptCount val="1"/>
                <c:pt idx="0">
                  <c:v>Q3</c:v>
                </c:pt>
              </c:strCache>
            </c:strRef>
          </c:tx>
          <c:spPr>
            <a:ln w="28575" cap="rnd">
              <a:noFill/>
              <a:round/>
            </a:ln>
            <a:effectLst/>
          </c:spPr>
          <c:marker>
            <c:symbol val="none"/>
          </c:marker>
          <c:errBars>
            <c:errDir val="y"/>
            <c:errBarType val="plus"/>
            <c:errValType val="cust"/>
            <c:noEndCap val="0"/>
            <c:plus>
              <c:numRef>
                <c:f>ChartData_old!$AY$2:$AY$11</c:f>
                <c:numCache>
                  <c:formatCode>General</c:formatCode>
                  <c:ptCount val="10"/>
                  <c:pt idx="0">
                    <c:v>#N/A</c:v>
                  </c:pt>
                  <c:pt idx="1">
                    <c:v>0</c:v>
                  </c:pt>
                  <c:pt idx="2">
                    <c:v>2060.2555155434165</c:v>
                  </c:pt>
                  <c:pt idx="3">
                    <c:v>15906.585277772549</c:v>
                  </c:pt>
                  <c:pt idx="4">
                    <c:v>7994.3068063409664</c:v>
                  </c:pt>
                  <c:pt idx="5">
                    <c:v>7013.6079775090229</c:v>
                  </c:pt>
                  <c:pt idx="6">
                    <c:v>8727.7318912256433</c:v>
                  </c:pt>
                  <c:pt idx="7">
                    <c:v>#N/A</c:v>
                  </c:pt>
                  <c:pt idx="8">
                    <c:v>#N/A</c:v>
                  </c:pt>
                  <c:pt idx="9">
                    <c:v>1398.4856969449484</c:v>
                  </c:pt>
                </c:numCache>
              </c:numRef>
            </c:plus>
            <c:minus>
              <c:numRef>
                <c:f>ChartData_old!$AX$2:$AX$11</c:f>
                <c:numCache>
                  <c:formatCode>General</c:formatCode>
                  <c:ptCount val="10"/>
                  <c:pt idx="0">
                    <c:v>0</c:v>
                  </c:pt>
                  <c:pt idx="1">
                    <c:v>0</c:v>
                  </c:pt>
                  <c:pt idx="2">
                    <c:v>0</c:v>
                  </c:pt>
                  <c:pt idx="3">
                    <c:v>0</c:v>
                  </c:pt>
                  <c:pt idx="4">
                    <c:v>0</c:v>
                  </c:pt>
                  <c:pt idx="5">
                    <c:v>0</c:v>
                  </c:pt>
                  <c:pt idx="6">
                    <c:v>0</c:v>
                  </c:pt>
                  <c:pt idx="7">
                    <c:v>0</c:v>
                  </c:pt>
                  <c:pt idx="8">
                    <c:v>0</c:v>
                  </c:pt>
                  <c:pt idx="9">
                    <c:v>0</c:v>
                  </c:pt>
                </c:numCache>
              </c:numRef>
            </c:minus>
            <c:spPr>
              <a:noFill/>
              <a:ln w="12700" cap="flat" cmpd="sng" algn="ctr">
                <a:solidFill>
                  <a:schemeClr val="bg2">
                    <a:lumMod val="90000"/>
                    <a:alpha val="80000"/>
                  </a:schemeClr>
                </a:solidFill>
                <a:round/>
              </a:ln>
              <a:effectLst/>
            </c:spPr>
          </c:errBars>
          <c:val>
            <c:numRef>
              <c:f>ChartData_old!$AO$2:$AO$11</c:f>
              <c:numCache>
                <c:formatCode>General</c:formatCode>
                <c:ptCount val="10"/>
                <c:pt idx="0">
                  <c:v>#N/A</c:v>
                </c:pt>
                <c:pt idx="1">
                  <c:v>2100.3070606742936</c:v>
                </c:pt>
                <c:pt idx="2">
                  <c:v>6233.2848637448842</c:v>
                </c:pt>
                <c:pt idx="3">
                  <c:v>13200.40785621326</c:v>
                </c:pt>
                <c:pt idx="4">
                  <c:v>7862.2128199500348</c:v>
                </c:pt>
                <c:pt idx="5">
                  <c:v>6426.8814887987346</c:v>
                </c:pt>
                <c:pt idx="6">
                  <c:v>7128.787735065358</c:v>
                </c:pt>
                <c:pt idx="7">
                  <c:v>#N/A</c:v>
                </c:pt>
                <c:pt idx="8">
                  <c:v>#N/A</c:v>
                </c:pt>
                <c:pt idx="9">
                  <c:v>10556.648889407392</c:v>
                </c:pt>
              </c:numCache>
            </c:numRef>
          </c:val>
          <c:smooth val="0"/>
          <c:extLst>
            <c:ext xmlns:c16="http://schemas.microsoft.com/office/drawing/2014/chart" uri="{C3380CC4-5D6E-409C-BE32-E72D297353CC}">
              <c16:uniqueId val="{00000005-963A-4C65-999F-1E94184AE1A2}"/>
            </c:ext>
          </c:extLst>
        </c:ser>
        <c:dLbls>
          <c:showLegendKey val="0"/>
          <c:showVal val="0"/>
          <c:showCatName val="0"/>
          <c:showSerName val="0"/>
          <c:showPercent val="0"/>
          <c:showBubbleSize val="0"/>
        </c:dLbls>
        <c:marker val="1"/>
        <c:smooth val="0"/>
        <c:axId val="307037904"/>
        <c:axId val="307038384"/>
      </c:lineChart>
      <c:scatterChart>
        <c:scatterStyle val="lineMarker"/>
        <c:varyColors val="0"/>
        <c:ser>
          <c:idx val="6"/>
          <c:order val="6"/>
          <c:tx>
            <c:strRef>
              <c:f>ChartData_old!$AZ$1</c:f>
              <c:strCache>
                <c:ptCount val="1"/>
                <c:pt idx="0">
                  <c:v>Observations</c:v>
                </c:pt>
              </c:strCache>
            </c:strRef>
          </c:tx>
          <c:spPr>
            <a:ln w="25400" cap="rnd">
              <a:noFill/>
              <a:round/>
            </a:ln>
            <a:effectLst/>
          </c:spPr>
          <c:marker>
            <c:symbol val="circle"/>
            <c:size val="4"/>
            <c:spPr>
              <a:solidFill>
                <a:schemeClr val="tx1">
                  <a:lumMod val="85000"/>
                  <a:lumOff val="15000"/>
                  <a:alpha val="40000"/>
                </a:schemeClr>
              </a:solidFill>
              <a:ln w="9525">
                <a:noFill/>
              </a:ln>
              <a:effectLst/>
            </c:spPr>
          </c:marker>
          <c:xVal>
            <c:numRef>
              <c:f>ChartData_old!$BA$2:$BA$135</c:f>
              <c:numCache>
                <c:formatCode>General</c:formatCode>
                <c:ptCount val="134"/>
                <c:pt idx="0">
                  <c:v>2</c:v>
                </c:pt>
                <c:pt idx="1">
                  <c:v>3</c:v>
                </c:pt>
                <c:pt idx="2">
                  <c:v>3</c:v>
                </c:pt>
                <c:pt idx="3">
                  <c:v>3</c:v>
                </c:pt>
                <c:pt idx="4">
                  <c:v>3</c:v>
                </c:pt>
                <c:pt idx="5">
                  <c:v>3</c:v>
                </c:pt>
                <c:pt idx="6">
                  <c:v>3</c:v>
                </c:pt>
                <c:pt idx="7">
                  <c:v>3</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5</c:v>
                </c:pt>
                <c:pt idx="27">
                  <c:v>5</c:v>
                </c:pt>
                <c:pt idx="28">
                  <c:v>5</c:v>
                </c:pt>
                <c:pt idx="29">
                  <c:v>5</c:v>
                </c:pt>
                <c:pt idx="30">
                  <c:v>5</c:v>
                </c:pt>
                <c:pt idx="31">
                  <c:v>5</c:v>
                </c:pt>
                <c:pt idx="32">
                  <c:v>5</c:v>
                </c:pt>
                <c:pt idx="33">
                  <c:v>5</c:v>
                </c:pt>
                <c:pt idx="34">
                  <c:v>5</c:v>
                </c:pt>
                <c:pt idx="35">
                  <c:v>5</c:v>
                </c:pt>
                <c:pt idx="36">
                  <c:v>5</c:v>
                </c:pt>
                <c:pt idx="37">
                  <c:v>5</c:v>
                </c:pt>
                <c:pt idx="38">
                  <c:v>6</c:v>
                </c:pt>
                <c:pt idx="39">
                  <c:v>6</c:v>
                </c:pt>
                <c:pt idx="40">
                  <c:v>6</c:v>
                </c:pt>
                <c:pt idx="41">
                  <c:v>6</c:v>
                </c:pt>
                <c:pt idx="42">
                  <c:v>6</c:v>
                </c:pt>
                <c:pt idx="43">
                  <c:v>6</c:v>
                </c:pt>
                <c:pt idx="44">
                  <c:v>6</c:v>
                </c:pt>
                <c:pt idx="45">
                  <c:v>6</c:v>
                </c:pt>
                <c:pt idx="46">
                  <c:v>6</c:v>
                </c:pt>
                <c:pt idx="47">
                  <c:v>6</c:v>
                </c:pt>
                <c:pt idx="48">
                  <c:v>6</c:v>
                </c:pt>
                <c:pt idx="49">
                  <c:v>6</c:v>
                </c:pt>
                <c:pt idx="50">
                  <c:v>6</c:v>
                </c:pt>
                <c:pt idx="51">
                  <c:v>6</c:v>
                </c:pt>
                <c:pt idx="52">
                  <c:v>6</c:v>
                </c:pt>
                <c:pt idx="53">
                  <c:v>6</c:v>
                </c:pt>
                <c:pt idx="54">
                  <c:v>6</c:v>
                </c:pt>
                <c:pt idx="55">
                  <c:v>6</c:v>
                </c:pt>
                <c:pt idx="56">
                  <c:v>6</c:v>
                </c:pt>
                <c:pt idx="57">
                  <c:v>6</c:v>
                </c:pt>
                <c:pt idx="58">
                  <c:v>6</c:v>
                </c:pt>
                <c:pt idx="59">
                  <c:v>6</c:v>
                </c:pt>
                <c:pt idx="60">
                  <c:v>6</c:v>
                </c:pt>
                <c:pt idx="61">
                  <c:v>6</c:v>
                </c:pt>
                <c:pt idx="62">
                  <c:v>6</c:v>
                </c:pt>
                <c:pt idx="63">
                  <c:v>6</c:v>
                </c:pt>
                <c:pt idx="64">
                  <c:v>6</c:v>
                </c:pt>
                <c:pt idx="65">
                  <c:v>6</c:v>
                </c:pt>
                <c:pt idx="66">
                  <c:v>6</c:v>
                </c:pt>
                <c:pt idx="67">
                  <c:v>6</c:v>
                </c:pt>
                <c:pt idx="68">
                  <c:v>6</c:v>
                </c:pt>
                <c:pt idx="69">
                  <c:v>6</c:v>
                </c:pt>
                <c:pt idx="70">
                  <c:v>6</c:v>
                </c:pt>
                <c:pt idx="71">
                  <c:v>6</c:v>
                </c:pt>
                <c:pt idx="72">
                  <c:v>6</c:v>
                </c:pt>
                <c:pt idx="73">
                  <c:v>6</c:v>
                </c:pt>
                <c:pt idx="74">
                  <c:v>6</c:v>
                </c:pt>
                <c:pt idx="75">
                  <c:v>6</c:v>
                </c:pt>
                <c:pt idx="76">
                  <c:v>6</c:v>
                </c:pt>
                <c:pt idx="77">
                  <c:v>6</c:v>
                </c:pt>
                <c:pt idx="78">
                  <c:v>6</c:v>
                </c:pt>
                <c:pt idx="79">
                  <c:v>6</c:v>
                </c:pt>
                <c:pt idx="80">
                  <c:v>6</c:v>
                </c:pt>
                <c:pt idx="81">
                  <c:v>6</c:v>
                </c:pt>
                <c:pt idx="82">
                  <c:v>6</c:v>
                </c:pt>
                <c:pt idx="83">
                  <c:v>6</c:v>
                </c:pt>
                <c:pt idx="84">
                  <c:v>6</c:v>
                </c:pt>
                <c:pt idx="85">
                  <c:v>6</c:v>
                </c:pt>
                <c:pt idx="86">
                  <c:v>6</c:v>
                </c:pt>
                <c:pt idx="87">
                  <c:v>6</c:v>
                </c:pt>
                <c:pt idx="88">
                  <c:v>6</c:v>
                </c:pt>
                <c:pt idx="89">
                  <c:v>6</c:v>
                </c:pt>
                <c:pt idx="90">
                  <c:v>7</c:v>
                </c:pt>
                <c:pt idx="91">
                  <c:v>7</c:v>
                </c:pt>
                <c:pt idx="92">
                  <c:v>7</c:v>
                </c:pt>
                <c:pt idx="93">
                  <c:v>7</c:v>
                </c:pt>
                <c:pt idx="94">
                  <c:v>7</c:v>
                </c:pt>
                <c:pt idx="95">
                  <c:v>7</c:v>
                </c:pt>
                <c:pt idx="96">
                  <c:v>7</c:v>
                </c:pt>
                <c:pt idx="97">
                  <c:v>7</c:v>
                </c:pt>
                <c:pt idx="98">
                  <c:v>7</c:v>
                </c:pt>
                <c:pt idx="99">
                  <c:v>7</c:v>
                </c:pt>
                <c:pt idx="100">
                  <c:v>7</c:v>
                </c:pt>
                <c:pt idx="101">
                  <c:v>7</c:v>
                </c:pt>
                <c:pt idx="102">
                  <c:v>7</c:v>
                </c:pt>
                <c:pt idx="103">
                  <c:v>7</c:v>
                </c:pt>
                <c:pt idx="104">
                  <c:v>7</c:v>
                </c:pt>
                <c:pt idx="105">
                  <c:v>7</c:v>
                </c:pt>
                <c:pt idx="106">
                  <c:v>10</c:v>
                </c:pt>
                <c:pt idx="107">
                  <c:v>10</c:v>
                </c:pt>
                <c:pt idx="108">
                  <c:v>10</c:v>
                </c:pt>
              </c:numCache>
            </c:numRef>
          </c:xVal>
          <c:yVal>
            <c:numRef>
              <c:f>ChartData_old!$AZ$2:$AZ$135</c:f>
              <c:numCache>
                <c:formatCode>General</c:formatCode>
                <c:ptCount val="134"/>
                <c:pt idx="0">
                  <c:v>2100.3070606742936</c:v>
                </c:pt>
                <c:pt idx="1">
                  <c:v>1077.7935993975905</c:v>
                </c:pt>
                <c:pt idx="2">
                  <c:v>1377.8983657401886</c:v>
                </c:pt>
                <c:pt idx="3">
                  <c:v>3530.6284466440125</c:v>
                </c:pt>
                <c:pt idx="4">
                  <c:v>4466.4024745136494</c:v>
                </c:pt>
                <c:pt idx="5">
                  <c:v>8293.5403792883008</c:v>
                </c:pt>
                <c:pt idx="6">
                  <c:v>5012.440003439563</c:v>
                </c:pt>
                <c:pt idx="7">
                  <c:v>7454.1297240502054</c:v>
                </c:pt>
                <c:pt idx="8">
                  <c:v>12441.316506252808</c:v>
                </c:pt>
                <c:pt idx="9">
                  <c:v>13671.476643379896</c:v>
                </c:pt>
                <c:pt idx="10">
                  <c:v>24930.510324449704</c:v>
                </c:pt>
                <c:pt idx="11">
                  <c:v>8355.514428390672</c:v>
                </c:pt>
                <c:pt idx="12">
                  <c:v>7837.9776810335725</c:v>
                </c:pt>
                <c:pt idx="13">
                  <c:v>10125.764141478647</c:v>
                </c:pt>
                <c:pt idx="14">
                  <c:v>13453.438306200078</c:v>
                </c:pt>
                <c:pt idx="15">
                  <c:v>13540.787173624165</c:v>
                </c:pt>
                <c:pt idx="16">
                  <c:v>11570.710845447591</c:v>
                </c:pt>
                <c:pt idx="17">
                  <c:v>5343.4791208735915</c:v>
                </c:pt>
                <c:pt idx="18">
                  <c:v>6131.3653812104103</c:v>
                </c:pt>
                <c:pt idx="19">
                  <c:v>8197.5598455096588</c:v>
                </c:pt>
                <c:pt idx="20">
                  <c:v>8499.6718272484759</c:v>
                </c:pt>
                <c:pt idx="21">
                  <c:v>11655.186138911624</c:v>
                </c:pt>
                <c:pt idx="22">
                  <c:v>11863.247660672429</c:v>
                </c:pt>
                <c:pt idx="23">
                  <c:v>6113.909565217391</c:v>
                </c:pt>
                <c:pt idx="24">
                  <c:v>11642.797253594323</c:v>
                </c:pt>
                <c:pt idx="25">
                  <c:v>29106.993133985809</c:v>
                </c:pt>
                <c:pt idx="26">
                  <c:v>4057.4152694979834</c:v>
                </c:pt>
                <c:pt idx="27">
                  <c:v>4421.9798661567875</c:v>
                </c:pt>
                <c:pt idx="28">
                  <c:v>5882.8595673719446</c:v>
                </c:pt>
                <c:pt idx="29">
                  <c:v>6326.4153748480385</c:v>
                </c:pt>
                <c:pt idx="30">
                  <c:v>6445.5061993980289</c:v>
                </c:pt>
                <c:pt idx="31">
                  <c:v>6730.1311012027963</c:v>
                </c:pt>
                <c:pt idx="32">
                  <c:v>8940.4134892889124</c:v>
                </c:pt>
                <c:pt idx="33">
                  <c:v>7502.812596837075</c:v>
                </c:pt>
                <c:pt idx="34">
                  <c:v>11235.299349718522</c:v>
                </c:pt>
                <c:pt idx="35">
                  <c:v>15856.519626291001</c:v>
                </c:pt>
                <c:pt idx="36">
                  <c:v>2519.3719612638824</c:v>
                </c:pt>
                <c:pt idx="37">
                  <c:v>3275.3086956521738</c:v>
                </c:pt>
                <c:pt idx="38">
                  <c:v>7688.8924367702002</c:v>
                </c:pt>
                <c:pt idx="39">
                  <c:v>9679.6293311032641</c:v>
                </c:pt>
                <c:pt idx="40">
                  <c:v>4915.3027074231395</c:v>
                </c:pt>
                <c:pt idx="41">
                  <c:v>4077.8470351951037</c:v>
                </c:pt>
                <c:pt idx="42">
                  <c:v>4567.7650535577668</c:v>
                </c:pt>
                <c:pt idx="43">
                  <c:v>6551.4527161438418</c:v>
                </c:pt>
                <c:pt idx="44">
                  <c:v>2748.9648616180052</c:v>
                </c:pt>
                <c:pt idx="45">
                  <c:v>2990.4873334854019</c:v>
                </c:pt>
                <c:pt idx="46">
                  <c:v>3034.2095833333333</c:v>
                </c:pt>
                <c:pt idx="47">
                  <c:v>3730.1379706508519</c:v>
                </c:pt>
                <c:pt idx="48">
                  <c:v>4339.9583462591245</c:v>
                </c:pt>
                <c:pt idx="49">
                  <c:v>4369.3610819647201</c:v>
                </c:pt>
                <c:pt idx="50">
                  <c:v>5107.2933774330904</c:v>
                </c:pt>
                <c:pt idx="51">
                  <c:v>5551.5801695559621</c:v>
                </c:pt>
                <c:pt idx="52">
                  <c:v>5307.7629081632658</c:v>
                </c:pt>
                <c:pt idx="53">
                  <c:v>5849.3160000000007</c:v>
                </c:pt>
                <c:pt idx="54">
                  <c:v>3767.7683610121167</c:v>
                </c:pt>
                <c:pt idx="55">
                  <c:v>4112.2052264808362</c:v>
                </c:pt>
                <c:pt idx="56">
                  <c:v>4154.4938617886182</c:v>
                </c:pt>
                <c:pt idx="57">
                  <c:v>4182.2002090592341</c:v>
                </c:pt>
                <c:pt idx="58">
                  <c:v>5745.4214866434386</c:v>
                </c:pt>
                <c:pt idx="59">
                  <c:v>6058.9406794425095</c:v>
                </c:pt>
                <c:pt idx="60">
                  <c:v>7604.6632113821142</c:v>
                </c:pt>
                <c:pt idx="61">
                  <c:v>8202.5370209059238</c:v>
                </c:pt>
                <c:pt idx="62">
                  <c:v>6747.7326652507072</c:v>
                </c:pt>
                <c:pt idx="63">
                  <c:v>4915.2897655024944</c:v>
                </c:pt>
                <c:pt idx="64">
                  <c:v>5478.3564953670702</c:v>
                </c:pt>
                <c:pt idx="65">
                  <c:v>5575.0049486813959</c:v>
                </c:pt>
                <c:pt idx="66">
                  <c:v>5888.0385502494655</c:v>
                </c:pt>
                <c:pt idx="67">
                  <c:v>8603.6378615167214</c:v>
                </c:pt>
                <c:pt idx="68">
                  <c:v>5575.9296513672143</c:v>
                </c:pt>
                <c:pt idx="69">
                  <c:v>7924.8639972798692</c:v>
                </c:pt>
                <c:pt idx="70">
                  <c:v>11734.969398518611</c:v>
                </c:pt>
                <c:pt idx="71">
                  <c:v>3438.9745164233582</c:v>
                </c:pt>
                <c:pt idx="72">
                  <c:v>3489.3792062043799</c:v>
                </c:pt>
                <c:pt idx="73">
                  <c:v>3161.7487226277376</c:v>
                </c:pt>
                <c:pt idx="74">
                  <c:v>4291.2719981751834</c:v>
                </c:pt>
                <c:pt idx="75">
                  <c:v>4990.0642883211685</c:v>
                </c:pt>
                <c:pt idx="76">
                  <c:v>5024.4311222627739</c:v>
                </c:pt>
                <c:pt idx="77">
                  <c:v>5872.146359489052</c:v>
                </c:pt>
                <c:pt idx="78">
                  <c:v>6385.3577463503652</c:v>
                </c:pt>
                <c:pt idx="79">
                  <c:v>5837.3891991838827</c:v>
                </c:pt>
                <c:pt idx="80">
                  <c:v>6134.3975486052414</c:v>
                </c:pt>
                <c:pt idx="81">
                  <c:v>3810.4547612259439</c:v>
                </c:pt>
                <c:pt idx="82">
                  <c:v>3506.9096824549256</c:v>
                </c:pt>
                <c:pt idx="83">
                  <c:v>4547.829870886776</c:v>
                </c:pt>
                <c:pt idx="84">
                  <c:v>5639.5343472996956</c:v>
                </c:pt>
                <c:pt idx="85">
                  <c:v>7016.5731220221051</c:v>
                </c:pt>
                <c:pt idx="86">
                  <c:v>7199.697969986968</c:v>
                </c:pt>
                <c:pt idx="87">
                  <c:v>4846.9197540160649</c:v>
                </c:pt>
                <c:pt idx="88">
                  <c:v>13440.489466307758</c:v>
                </c:pt>
                <c:pt idx="89">
                  <c:v>8732.0979401957429</c:v>
                </c:pt>
                <c:pt idx="90">
                  <c:v>4057.4152694979834</c:v>
                </c:pt>
                <c:pt idx="91">
                  <c:v>3164.356504065041</c:v>
                </c:pt>
                <c:pt idx="92">
                  <c:v>4301.7749709639957</c:v>
                </c:pt>
                <c:pt idx="93">
                  <c:v>4421.9798661567875</c:v>
                </c:pt>
                <c:pt idx="94">
                  <c:v>5882.8595673719446</c:v>
                </c:pt>
                <c:pt idx="95">
                  <c:v>6326.4153748480385</c:v>
                </c:pt>
                <c:pt idx="96">
                  <c:v>6445.5061993980289</c:v>
                </c:pt>
                <c:pt idx="97">
                  <c:v>6730.1311012027963</c:v>
                </c:pt>
                <c:pt idx="98">
                  <c:v>4411.9741663617315</c:v>
                </c:pt>
                <c:pt idx="99">
                  <c:v>8940.4134892889124</c:v>
                </c:pt>
                <c:pt idx="100">
                  <c:v>7004.1127811414517</c:v>
                </c:pt>
                <c:pt idx="101">
                  <c:v>7502.812596837075</c:v>
                </c:pt>
                <c:pt idx="102">
                  <c:v>11235.299349718522</c:v>
                </c:pt>
                <c:pt idx="103">
                  <c:v>15856.519626291001</c:v>
                </c:pt>
                <c:pt idx="104">
                  <c:v>2519.3719612638824</c:v>
                </c:pt>
                <c:pt idx="105">
                  <c:v>3275.3086956521738</c:v>
                </c:pt>
                <c:pt idx="106">
                  <c:v>4205.9195773456604</c:v>
                </c:pt>
                <c:pt idx="107">
                  <c:v>9158.1631924624417</c:v>
                </c:pt>
                <c:pt idx="108">
                  <c:v>11955.13458635234</c:v>
                </c:pt>
              </c:numCache>
            </c:numRef>
          </c:yVal>
          <c:smooth val="0"/>
          <c:extLst>
            <c:ext xmlns:c16="http://schemas.microsoft.com/office/drawing/2014/chart" uri="{C3380CC4-5D6E-409C-BE32-E72D297353CC}">
              <c16:uniqueId val="{00000006-963A-4C65-999F-1E94184AE1A2}"/>
            </c:ext>
          </c:extLst>
        </c:ser>
        <c:ser>
          <c:idx val="7"/>
          <c:order val="7"/>
          <c:tx>
            <c:strRef>
              <c:f>ChartData_old!$AK$1</c:f>
              <c:strCache>
                <c:ptCount val="1"/>
                <c:pt idx="0">
                  <c:v>Mean</c:v>
                </c:pt>
              </c:strCache>
            </c:strRef>
          </c:tx>
          <c:spPr>
            <a:ln w="25400" cap="rnd">
              <a:noFill/>
              <a:round/>
            </a:ln>
            <a:effectLst/>
          </c:spPr>
          <c:marker>
            <c:symbol val="x"/>
            <c:size val="10"/>
            <c:spPr>
              <a:noFill/>
              <a:ln w="31750">
                <a:solidFill>
                  <a:srgbClr val="FF8C9E"/>
                </a:solidFill>
              </a:ln>
              <a:effectLst/>
            </c:spPr>
          </c:marker>
          <c:dPt>
            <c:idx val="0"/>
            <c:marker>
              <c:symbol val="x"/>
              <c:size val="9"/>
              <c:spPr>
                <a:noFill/>
                <a:ln w="31750">
                  <a:solidFill>
                    <a:srgbClr val="FF8C9E"/>
                  </a:solidFill>
                </a:ln>
                <a:effectLst/>
              </c:spPr>
            </c:marker>
            <c:bubble3D val="0"/>
            <c:extLst>
              <c:ext xmlns:c16="http://schemas.microsoft.com/office/drawing/2014/chart" uri="{C3380CC4-5D6E-409C-BE32-E72D297353CC}">
                <c16:uniqueId val="{0000001B-352C-4FA5-814C-1792C6974B42}"/>
              </c:ext>
            </c:extLst>
          </c:dPt>
          <c:dPt>
            <c:idx val="1"/>
            <c:marker>
              <c:symbol val="x"/>
              <c:size val="9"/>
              <c:spPr>
                <a:noFill/>
                <a:ln w="31750">
                  <a:solidFill>
                    <a:srgbClr val="FF8C9E"/>
                  </a:solidFill>
                </a:ln>
                <a:effectLst/>
              </c:spPr>
            </c:marker>
            <c:bubble3D val="0"/>
            <c:extLst>
              <c:ext xmlns:c16="http://schemas.microsoft.com/office/drawing/2014/chart" uri="{C3380CC4-5D6E-409C-BE32-E72D297353CC}">
                <c16:uniqueId val="{0000001A-352C-4FA5-814C-1792C6974B42}"/>
              </c:ext>
            </c:extLst>
          </c:dPt>
          <c:dPt>
            <c:idx val="2"/>
            <c:marker>
              <c:symbol val="x"/>
              <c:size val="9"/>
              <c:spPr>
                <a:noFill/>
                <a:ln w="31750">
                  <a:solidFill>
                    <a:srgbClr val="FF8C9E"/>
                  </a:solidFill>
                </a:ln>
                <a:effectLst/>
              </c:spPr>
            </c:marker>
            <c:bubble3D val="0"/>
            <c:extLst>
              <c:ext xmlns:c16="http://schemas.microsoft.com/office/drawing/2014/chart" uri="{C3380CC4-5D6E-409C-BE32-E72D297353CC}">
                <c16:uniqueId val="{00000019-352C-4FA5-814C-1792C6974B42}"/>
              </c:ext>
            </c:extLst>
          </c:dPt>
          <c:dPt>
            <c:idx val="3"/>
            <c:marker>
              <c:symbol val="x"/>
              <c:size val="9"/>
              <c:spPr>
                <a:noFill/>
                <a:ln w="31750">
                  <a:solidFill>
                    <a:srgbClr val="FF8C9E"/>
                  </a:solidFill>
                </a:ln>
                <a:effectLst/>
              </c:spPr>
            </c:marker>
            <c:bubble3D val="0"/>
            <c:extLst>
              <c:ext xmlns:c16="http://schemas.microsoft.com/office/drawing/2014/chart" uri="{C3380CC4-5D6E-409C-BE32-E72D297353CC}">
                <c16:uniqueId val="{00000018-352C-4FA5-814C-1792C6974B42}"/>
              </c:ext>
            </c:extLst>
          </c:dPt>
          <c:dPt>
            <c:idx val="4"/>
            <c:marker>
              <c:symbol val="x"/>
              <c:size val="9"/>
              <c:spPr>
                <a:noFill/>
                <a:ln w="31750">
                  <a:solidFill>
                    <a:srgbClr val="FF8C9E"/>
                  </a:solidFill>
                </a:ln>
                <a:effectLst/>
              </c:spPr>
            </c:marker>
            <c:bubble3D val="0"/>
            <c:extLst>
              <c:ext xmlns:c16="http://schemas.microsoft.com/office/drawing/2014/chart" uri="{C3380CC4-5D6E-409C-BE32-E72D297353CC}">
                <c16:uniqueId val="{00000017-352C-4FA5-814C-1792C6974B42}"/>
              </c:ext>
            </c:extLst>
          </c:dPt>
          <c:dPt>
            <c:idx val="5"/>
            <c:marker>
              <c:symbol val="x"/>
              <c:size val="9"/>
              <c:spPr>
                <a:noFill/>
                <a:ln w="31750">
                  <a:solidFill>
                    <a:srgbClr val="FF8C9E"/>
                  </a:solidFill>
                </a:ln>
                <a:effectLst/>
              </c:spPr>
            </c:marker>
            <c:bubble3D val="0"/>
            <c:extLst>
              <c:ext xmlns:c16="http://schemas.microsoft.com/office/drawing/2014/chart" uri="{C3380CC4-5D6E-409C-BE32-E72D297353CC}">
                <c16:uniqueId val="{00000016-352C-4FA5-814C-1792C6974B42}"/>
              </c:ext>
            </c:extLst>
          </c:dPt>
          <c:dPt>
            <c:idx val="6"/>
            <c:marker>
              <c:symbol val="x"/>
              <c:size val="9"/>
              <c:spPr>
                <a:noFill/>
                <a:ln w="31750">
                  <a:solidFill>
                    <a:srgbClr val="FF8C9E"/>
                  </a:solidFill>
                </a:ln>
                <a:effectLst/>
              </c:spPr>
            </c:marker>
            <c:bubble3D val="0"/>
            <c:extLst>
              <c:ext xmlns:c16="http://schemas.microsoft.com/office/drawing/2014/chart" uri="{C3380CC4-5D6E-409C-BE32-E72D297353CC}">
                <c16:uniqueId val="{00000015-352C-4FA5-814C-1792C6974B42}"/>
              </c:ext>
            </c:extLst>
          </c:dPt>
          <c:dPt>
            <c:idx val="8"/>
            <c:marker>
              <c:symbol val="x"/>
              <c:size val="9"/>
              <c:spPr>
                <a:noFill/>
                <a:ln w="31750">
                  <a:solidFill>
                    <a:srgbClr val="FF8C9E"/>
                  </a:solidFill>
                </a:ln>
                <a:effectLst/>
              </c:spPr>
            </c:marker>
            <c:bubble3D val="0"/>
            <c:extLst>
              <c:ext xmlns:c16="http://schemas.microsoft.com/office/drawing/2014/chart" uri="{C3380CC4-5D6E-409C-BE32-E72D297353CC}">
                <c16:uniqueId val="{00000017-6CA3-4719-93F3-BE10DA475443}"/>
              </c:ext>
            </c:extLst>
          </c:dPt>
          <c:dPt>
            <c:idx val="9"/>
            <c:marker>
              <c:symbol val="x"/>
              <c:size val="9"/>
              <c:spPr>
                <a:noFill/>
                <a:ln w="31750">
                  <a:solidFill>
                    <a:srgbClr val="FF8C9E"/>
                  </a:solidFill>
                </a:ln>
                <a:effectLst/>
              </c:spPr>
            </c:marker>
            <c:bubble3D val="0"/>
            <c:extLst>
              <c:ext xmlns:c16="http://schemas.microsoft.com/office/drawing/2014/chart" uri="{C3380CC4-5D6E-409C-BE32-E72D297353CC}">
                <c16:uniqueId val="{00000013-352C-4FA5-814C-1792C6974B42}"/>
              </c:ext>
            </c:extLst>
          </c:dPt>
          <c:xVal>
            <c:numRef>
              <c:f>ChartData_old!$AI$2:$AI$11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ChartData_old!$AK$2:$AK$11</c:f>
              <c:numCache>
                <c:formatCode>General</c:formatCode>
                <c:ptCount val="10"/>
                <c:pt idx="0">
                  <c:v>#N/A</c:v>
                </c:pt>
                <c:pt idx="1">
                  <c:v>2100.3070606742936</c:v>
                </c:pt>
                <c:pt idx="2">
                  <c:v>4458.9761418676444</c:v>
                </c:pt>
                <c:pt idx="3">
                  <c:v>11915.65033208227</c:v>
                </c:pt>
                <c:pt idx="4">
                  <c:v>6932.8360914605946</c:v>
                </c:pt>
                <c:pt idx="5">
                  <c:v>5656.686190868164</c:v>
                </c:pt>
                <c:pt idx="6">
                  <c:v>6379.7657200037102</c:v>
                </c:pt>
                <c:pt idx="7">
                  <c:v>#N/A</c:v>
                </c:pt>
                <c:pt idx="8">
                  <c:v>#N/A</c:v>
                </c:pt>
                <c:pt idx="9">
                  <c:v>8439.7391187201483</c:v>
                </c:pt>
              </c:numCache>
            </c:numRef>
          </c:yVal>
          <c:smooth val="0"/>
          <c:extLst>
            <c:ext xmlns:c16="http://schemas.microsoft.com/office/drawing/2014/chart" uri="{C3380CC4-5D6E-409C-BE32-E72D297353CC}">
              <c16:uniqueId val="{00000010-D117-4994-88F1-19E2688DBDE6}"/>
            </c:ext>
          </c:extLst>
        </c:ser>
        <c:ser>
          <c:idx val="8"/>
          <c:order val="8"/>
          <c:tx>
            <c:strRef>
              <c:f>ChartData_old!$AJ$1</c:f>
              <c:strCache>
                <c:ptCount val="1"/>
                <c:pt idx="0">
                  <c:v>97.5th percentile</c:v>
                </c:pt>
              </c:strCache>
            </c:strRef>
          </c:tx>
          <c:spPr>
            <a:ln w="25400" cap="rnd">
              <a:noFill/>
              <a:round/>
            </a:ln>
            <a:effectLst/>
          </c:spPr>
          <c:marker>
            <c:symbol val="triangle"/>
            <c:size val="12"/>
            <c:spPr>
              <a:solidFill>
                <a:srgbClr val="93B7BB"/>
              </a:solidFill>
              <a:ln w="38100">
                <a:noFill/>
              </a:ln>
              <a:effectLst/>
            </c:spPr>
          </c:marker>
          <c:dPt>
            <c:idx val="0"/>
            <c:marker>
              <c:symbol val="triangle"/>
              <c:size val="12"/>
              <c:spPr>
                <a:solidFill>
                  <a:srgbClr val="93B7BB"/>
                </a:solidFill>
                <a:ln w="38100">
                  <a:noFill/>
                </a:ln>
                <a:effectLst/>
              </c:spPr>
            </c:marker>
            <c:bubble3D val="0"/>
            <c:spPr>
              <a:ln w="25400" cap="rnd">
                <a:solidFill>
                  <a:srgbClr val="00B050"/>
                </a:solidFill>
                <a:round/>
              </a:ln>
              <a:effectLst/>
            </c:spPr>
            <c:extLst>
              <c:ext xmlns:c16="http://schemas.microsoft.com/office/drawing/2014/chart" uri="{C3380CC4-5D6E-409C-BE32-E72D297353CC}">
                <c16:uniqueId val="{00000015-D117-4994-88F1-19E2688DBDE6}"/>
              </c:ext>
            </c:extLst>
          </c:dPt>
          <c:dPt>
            <c:idx val="3"/>
            <c:marker>
              <c:symbol val="triangle"/>
              <c:size val="12"/>
              <c:spPr>
                <a:solidFill>
                  <a:srgbClr val="93B7BB"/>
                </a:solidFill>
                <a:ln w="38100">
                  <a:noFill/>
                </a:ln>
                <a:effectLst/>
              </c:spPr>
            </c:marker>
            <c:bubble3D val="0"/>
            <c:extLst>
              <c:ext xmlns:c16="http://schemas.microsoft.com/office/drawing/2014/chart" uri="{C3380CC4-5D6E-409C-BE32-E72D297353CC}">
                <c16:uniqueId val="{00000013-D117-4994-88F1-19E2688DBDE6}"/>
              </c:ext>
            </c:extLst>
          </c:dPt>
          <c:xVal>
            <c:numRef>
              <c:f>ChartData_old!$AI$2:$AI$11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ChartData_old!$AJ$2:$AJ$11</c:f>
              <c:numCache>
                <c:formatCode>General</c:formatCode>
                <c:ptCount val="10"/>
                <c:pt idx="0">
                  <c:v>#N/A</c:v>
                </c:pt>
                <c:pt idx="1">
                  <c:v>2100.3070606742936</c:v>
                </c:pt>
                <c:pt idx="2">
                  <c:v>8167.628781002586</c:v>
                </c:pt>
                <c:pt idx="3">
                  <c:v>27331.987939932962</c:v>
                </c:pt>
                <c:pt idx="4">
                  <c:v>14585.684050233567</c:v>
                </c:pt>
                <c:pt idx="5">
                  <c:v>11169.750879979394</c:v>
                </c:pt>
                <c:pt idx="6">
                  <c:v>14123.562022576321</c:v>
                </c:pt>
                <c:pt idx="7">
                  <c:v>#N/A</c:v>
                </c:pt>
                <c:pt idx="8">
                  <c:v>#N/A</c:v>
                </c:pt>
                <c:pt idx="9">
                  <c:v>11815.286016657847</c:v>
                </c:pt>
              </c:numCache>
            </c:numRef>
          </c:yVal>
          <c:smooth val="0"/>
          <c:extLst>
            <c:ext xmlns:c16="http://schemas.microsoft.com/office/drawing/2014/chart" uri="{C3380CC4-5D6E-409C-BE32-E72D297353CC}">
              <c16:uniqueId val="{00000012-D117-4994-88F1-19E2688DBDE6}"/>
            </c:ext>
          </c:extLst>
        </c:ser>
        <c:ser>
          <c:idx val="9"/>
          <c:order val="9"/>
          <c:tx>
            <c:strRef>
              <c:f>ChartData_old!$AN$1</c:f>
              <c:strCache>
                <c:ptCount val="1"/>
                <c:pt idx="0">
                  <c:v>Median</c:v>
                </c:pt>
              </c:strCache>
            </c:strRef>
          </c:tx>
          <c:spPr>
            <a:ln w="25400" cap="rnd">
              <a:noFill/>
              <a:round/>
            </a:ln>
            <a:effectLst/>
          </c:spPr>
          <c:marker>
            <c:symbol val="diamond"/>
            <c:size val="12"/>
            <c:spPr>
              <a:solidFill>
                <a:srgbClr val="FFBE98"/>
              </a:solidFill>
              <a:ln w="9525">
                <a:noFill/>
              </a:ln>
              <a:effectLst/>
            </c:spPr>
          </c:marker>
          <c:dPt>
            <c:idx val="9"/>
            <c:marker>
              <c:symbol val="diamond"/>
              <c:size val="12"/>
              <c:spPr>
                <a:solidFill>
                  <a:srgbClr val="FFBE98"/>
                </a:solidFill>
                <a:ln w="9525">
                  <a:noFill/>
                </a:ln>
                <a:effectLst/>
              </c:spPr>
            </c:marker>
            <c:bubble3D val="0"/>
            <c:spPr>
              <a:ln w="25400" cap="rnd">
                <a:noFill/>
                <a:round/>
              </a:ln>
              <a:effectLst/>
            </c:spPr>
            <c:extLst>
              <c:ext xmlns:c16="http://schemas.microsoft.com/office/drawing/2014/chart" uri="{C3380CC4-5D6E-409C-BE32-E72D297353CC}">
                <c16:uniqueId val="{0000001D-6CA3-4719-93F3-BE10DA475443}"/>
              </c:ext>
            </c:extLst>
          </c:dPt>
          <c:xVal>
            <c:numRef>
              <c:f>ChartData_old!$AI$2:$AI$11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ChartData_old!$AN$2:$AN$11</c:f>
              <c:numCache>
                <c:formatCode>General</c:formatCode>
                <c:ptCount val="10"/>
                <c:pt idx="0">
                  <c:v>#N/A</c:v>
                </c:pt>
                <c:pt idx="1">
                  <c:v>2100.3070606742936</c:v>
                </c:pt>
                <c:pt idx="2">
                  <c:v>4466.4024745136494</c:v>
                </c:pt>
                <c:pt idx="3">
                  <c:v>11606.754049520958</c:v>
                </c:pt>
                <c:pt idx="4">
                  <c:v>6385.9607871230337</c:v>
                </c:pt>
                <c:pt idx="5">
                  <c:v>5393.059701765168</c:v>
                </c:pt>
                <c:pt idx="6">
                  <c:v>6104.6374711099916</c:v>
                </c:pt>
                <c:pt idx="7">
                  <c:v>#N/A</c:v>
                </c:pt>
                <c:pt idx="8">
                  <c:v>#N/A</c:v>
                </c:pt>
                <c:pt idx="9">
                  <c:v>9158.1631924624417</c:v>
                </c:pt>
              </c:numCache>
            </c:numRef>
          </c:yVal>
          <c:smooth val="0"/>
          <c:extLst>
            <c:ext xmlns:c16="http://schemas.microsoft.com/office/drawing/2014/chart" uri="{C3380CC4-5D6E-409C-BE32-E72D297353CC}">
              <c16:uniqueId val="{0000002E-352C-4FA5-814C-1792C6974B42}"/>
            </c:ext>
          </c:extLst>
        </c:ser>
        <c:dLbls>
          <c:showLegendKey val="0"/>
          <c:showVal val="0"/>
          <c:showCatName val="0"/>
          <c:showSerName val="0"/>
          <c:showPercent val="0"/>
          <c:showBubbleSize val="0"/>
        </c:dLbls>
        <c:axId val="307037904"/>
        <c:axId val="307038384"/>
      </c:scatterChart>
      <c:catAx>
        <c:axId val="3070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307038384"/>
        <c:crosses val="autoZero"/>
        <c:auto val="1"/>
        <c:lblAlgn val="ctr"/>
        <c:lblOffset val="100"/>
        <c:tickMarkSkip val="1"/>
        <c:noMultiLvlLbl val="0"/>
      </c:catAx>
      <c:valAx>
        <c:axId val="307038384"/>
        <c:scaling>
          <c:orientation val="minMax"/>
        </c:scaling>
        <c:delete val="0"/>
        <c:axPos val="l"/>
        <c:majorGridlines>
          <c:spPr>
            <a:ln w="12700" cap="flat" cmpd="sng" algn="ctr">
              <a:solidFill>
                <a:schemeClr val="bg2">
                  <a:lumMod val="90000"/>
                  <a:alpha val="50000"/>
                </a:schemeClr>
              </a:solidFill>
              <a:round/>
            </a:ln>
            <a:effectLst/>
          </c:spPr>
        </c:majorGridlines>
        <c:minorGridlines>
          <c:spPr>
            <a:ln w="12700" cap="flat" cmpd="sng" algn="ctr">
              <a:solidFill>
                <a:schemeClr val="bg1">
                  <a:lumMod val="95000"/>
                  <a:alpha val="50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a:t>Overnight Construction Costs [2018 USD/kW]</a:t>
                </a:r>
                <a:br>
                  <a:rPr lang="de-DE"/>
                </a:br>
                <a:r>
                  <a:rPr lang="de-DE"/>
                  <a:t>per Confinement Type</a:t>
                </a:r>
              </a:p>
            </c:rich>
          </c:tx>
          <c:layout>
            <c:manualLayout>
              <c:xMode val="edge"/>
              <c:yMode val="edge"/>
              <c:x val="1.1494252873563218E-3"/>
              <c:y val="0.303024545321482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numFmt formatCode="General" sourceLinked="1"/>
        <c:majorTickMark val="out"/>
        <c:minorTickMark val="out"/>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307037904"/>
        <c:crosses val="autoZero"/>
        <c:crossBetween val="between"/>
        <c:majorUnit val="2000"/>
      </c:valAx>
      <c:spPr>
        <a:noFill/>
        <a:ln>
          <a:noFill/>
        </a:ln>
        <a:effectLst/>
      </c:spPr>
    </c:plotArea>
    <c:legend>
      <c:legendPos val="b"/>
      <c:legendEntry>
        <c:idx val="0"/>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ChartData_old!$CL$1</c:f>
              <c:strCache>
                <c:ptCount val="1"/>
                <c:pt idx="0">
                  <c:v>Low Base</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28-28ED-401A-9BFD-F50C06CD8962}"/>
              </c:ext>
            </c:extLst>
          </c:dPt>
          <c:dPt>
            <c:idx val="1"/>
            <c:invertIfNegative val="0"/>
            <c:bubble3D val="0"/>
            <c:spPr>
              <a:noFill/>
              <a:ln>
                <a:noFill/>
              </a:ln>
              <a:effectLst/>
            </c:spPr>
            <c:extLst>
              <c:ext xmlns:c16="http://schemas.microsoft.com/office/drawing/2014/chart" uri="{C3380CC4-5D6E-409C-BE32-E72D297353CC}">
                <c16:uniqueId val="{0000002F-28ED-401A-9BFD-F50C06CD8962}"/>
              </c:ext>
            </c:extLst>
          </c:dPt>
          <c:dPt>
            <c:idx val="2"/>
            <c:invertIfNegative val="0"/>
            <c:bubble3D val="0"/>
            <c:spPr>
              <a:noFill/>
              <a:ln>
                <a:noFill/>
              </a:ln>
              <a:effectLst/>
            </c:spPr>
            <c:extLst>
              <c:ext xmlns:c16="http://schemas.microsoft.com/office/drawing/2014/chart" uri="{C3380CC4-5D6E-409C-BE32-E72D297353CC}">
                <c16:uniqueId val="{0000002E-28ED-401A-9BFD-F50C06CD8962}"/>
              </c:ext>
            </c:extLst>
          </c:dPt>
          <c:dPt>
            <c:idx val="3"/>
            <c:invertIfNegative val="0"/>
            <c:bubble3D val="0"/>
            <c:spPr>
              <a:noFill/>
              <a:ln>
                <a:noFill/>
              </a:ln>
              <a:effectLst/>
            </c:spPr>
            <c:extLst>
              <c:ext xmlns:c16="http://schemas.microsoft.com/office/drawing/2014/chart" uri="{C3380CC4-5D6E-409C-BE32-E72D297353CC}">
                <c16:uniqueId val="{0000002D-28ED-401A-9BFD-F50C06CD8962}"/>
              </c:ext>
            </c:extLst>
          </c:dPt>
          <c:dPt>
            <c:idx val="4"/>
            <c:invertIfNegative val="0"/>
            <c:bubble3D val="0"/>
            <c:spPr>
              <a:noFill/>
              <a:ln>
                <a:noFill/>
              </a:ln>
              <a:effectLst/>
            </c:spPr>
            <c:extLst>
              <c:ext xmlns:c16="http://schemas.microsoft.com/office/drawing/2014/chart" uri="{C3380CC4-5D6E-409C-BE32-E72D297353CC}">
                <c16:uniqueId val="{0000002C-28ED-401A-9BFD-F50C06CD8962}"/>
              </c:ext>
            </c:extLst>
          </c:dPt>
          <c:dPt>
            <c:idx val="5"/>
            <c:invertIfNegative val="0"/>
            <c:bubble3D val="0"/>
            <c:spPr>
              <a:noFill/>
              <a:ln>
                <a:noFill/>
              </a:ln>
              <a:effectLst/>
            </c:spPr>
            <c:extLst>
              <c:ext xmlns:c16="http://schemas.microsoft.com/office/drawing/2014/chart" uri="{C3380CC4-5D6E-409C-BE32-E72D297353CC}">
                <c16:uniqueId val="{0000002B-28ED-401A-9BFD-F50C06CD8962}"/>
              </c:ext>
            </c:extLst>
          </c:dPt>
          <c:dPt>
            <c:idx val="6"/>
            <c:invertIfNegative val="0"/>
            <c:bubble3D val="0"/>
            <c:spPr>
              <a:noFill/>
              <a:ln>
                <a:noFill/>
              </a:ln>
              <a:effectLst/>
            </c:spPr>
            <c:extLst>
              <c:ext xmlns:c16="http://schemas.microsoft.com/office/drawing/2014/chart" uri="{C3380CC4-5D6E-409C-BE32-E72D297353CC}">
                <c16:uniqueId val="{0000002A-28ED-401A-9BFD-F50C06CD8962}"/>
              </c:ext>
            </c:extLst>
          </c:dPt>
          <c:dPt>
            <c:idx val="9"/>
            <c:invertIfNegative val="0"/>
            <c:bubble3D val="0"/>
            <c:spPr>
              <a:noFill/>
              <a:ln>
                <a:noFill/>
              </a:ln>
              <a:effectLst/>
            </c:spPr>
            <c:extLst>
              <c:ext xmlns:c16="http://schemas.microsoft.com/office/drawing/2014/chart" uri="{C3380CC4-5D6E-409C-BE32-E72D297353CC}">
                <c16:uniqueId val="{0000000F-1BF6-4A0D-ACF5-C97251CEB079}"/>
              </c:ext>
            </c:extLst>
          </c:dPt>
          <c:dPt>
            <c:idx val="11"/>
            <c:invertIfNegative val="0"/>
            <c:bubble3D val="0"/>
            <c:spPr>
              <a:noFill/>
              <a:ln>
                <a:noFill/>
              </a:ln>
              <a:effectLst/>
            </c:spPr>
            <c:extLst>
              <c:ext xmlns:c16="http://schemas.microsoft.com/office/drawing/2014/chart" uri="{C3380CC4-5D6E-409C-BE32-E72D297353CC}">
                <c16:uniqueId val="{00000011-1BF6-4A0D-ACF5-C97251CEB079}"/>
              </c:ext>
            </c:extLst>
          </c:dPt>
          <c:dPt>
            <c:idx val="12"/>
            <c:invertIfNegative val="0"/>
            <c:bubble3D val="0"/>
            <c:spPr>
              <a:noFill/>
              <a:ln>
                <a:noFill/>
              </a:ln>
              <a:effectLst/>
            </c:spPr>
            <c:extLst>
              <c:ext xmlns:c16="http://schemas.microsoft.com/office/drawing/2014/chart" uri="{C3380CC4-5D6E-409C-BE32-E72D297353CC}">
                <c16:uniqueId val="{00000031-28ED-401A-9BFD-F50C06CD8962}"/>
              </c:ext>
            </c:extLst>
          </c:dPt>
          <c:dPt>
            <c:idx val="13"/>
            <c:invertIfNegative val="0"/>
            <c:bubble3D val="0"/>
            <c:spPr>
              <a:noFill/>
              <a:ln>
                <a:noFill/>
              </a:ln>
              <a:effectLst/>
            </c:spPr>
            <c:extLst>
              <c:ext xmlns:c16="http://schemas.microsoft.com/office/drawing/2014/chart" uri="{C3380CC4-5D6E-409C-BE32-E72D297353CC}">
                <c16:uniqueId val="{00000032-28ED-401A-9BFD-F50C06CD8962}"/>
              </c:ext>
            </c:extLst>
          </c:dPt>
          <c:dPt>
            <c:idx val="15"/>
            <c:invertIfNegative val="0"/>
            <c:bubble3D val="0"/>
            <c:spPr>
              <a:noFill/>
              <a:ln>
                <a:noFill/>
              </a:ln>
              <a:effectLst/>
            </c:spPr>
            <c:extLst>
              <c:ext xmlns:c16="http://schemas.microsoft.com/office/drawing/2014/chart" uri="{C3380CC4-5D6E-409C-BE32-E72D297353CC}">
                <c16:uniqueId val="{00000017-1BF6-4A0D-ACF5-C97251CEB079}"/>
              </c:ext>
            </c:extLst>
          </c:dPt>
          <c:dPt>
            <c:idx val="17"/>
            <c:invertIfNegative val="0"/>
            <c:bubble3D val="0"/>
            <c:spPr>
              <a:noFill/>
              <a:ln>
                <a:noFill/>
              </a:ln>
              <a:effectLst/>
            </c:spPr>
            <c:extLst>
              <c:ext xmlns:c16="http://schemas.microsoft.com/office/drawing/2014/chart" uri="{C3380CC4-5D6E-409C-BE32-E72D297353CC}">
                <c16:uniqueId val="{00000019-1BF6-4A0D-ACF5-C97251CEB079}"/>
              </c:ext>
            </c:extLst>
          </c:dPt>
          <c:dPt>
            <c:idx val="18"/>
            <c:invertIfNegative val="0"/>
            <c:bubble3D val="0"/>
            <c:spPr>
              <a:noFill/>
              <a:ln>
                <a:noFill/>
              </a:ln>
              <a:effectLst/>
            </c:spPr>
            <c:extLst>
              <c:ext xmlns:c16="http://schemas.microsoft.com/office/drawing/2014/chart" uri="{C3380CC4-5D6E-409C-BE32-E72D297353CC}">
                <c16:uniqueId val="{00000035-28ED-401A-9BFD-F50C06CD8962}"/>
              </c:ext>
            </c:extLst>
          </c:dPt>
          <c:cat>
            <c:multiLvlStrRef>
              <c:f>ChartData_old!$BH$2:$BJ$20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ChartData_old!$CL$2:$CL$20</c:f>
              <c:numCache>
                <c:formatCode>General</c:formatCode>
                <c:ptCount val="19"/>
                <c:pt idx="0">
                  <c:v>0</c:v>
                </c:pt>
                <c:pt idx="1">
                  <c:v>2100.3070606742936</c:v>
                </c:pt>
                <c:pt idx="2">
                  <c:v>2454.2634061921008</c:v>
                </c:pt>
                <c:pt idx="3">
                  <c:v>8237.0484912299125</c:v>
                </c:pt>
                <c:pt idx="4">
                  <c:v>3848.6442809044806</c:v>
                </c:pt>
                <c:pt idx="5">
                  <c:v>4347.3090301855236</c:v>
                </c:pt>
                <c:pt idx="6">
                  <c:v>3788.5418333080847</c:v>
                </c:pt>
                <c:pt idx="7">
                  <c:v>0</c:v>
                </c:pt>
                <c:pt idx="8">
                  <c:v>5882.8595673719446</c:v>
                </c:pt>
                <c:pt idx="9">
                  <c:v>0</c:v>
                </c:pt>
                <c:pt idx="10">
                  <c:v>0</c:v>
                </c:pt>
                <c:pt idx="11">
                  <c:v>0</c:v>
                </c:pt>
                <c:pt idx="12">
                  <c:v>3023.2790208713504</c:v>
                </c:pt>
                <c:pt idx="13">
                  <c:v>0</c:v>
                </c:pt>
                <c:pt idx="14">
                  <c:v>0</c:v>
                </c:pt>
                <c:pt idx="15">
                  <c:v>8872.6357289133575</c:v>
                </c:pt>
                <c:pt idx="16">
                  <c:v>0</c:v>
                </c:pt>
                <c:pt idx="17">
                  <c:v>0</c:v>
                </c:pt>
                <c:pt idx="18">
                  <c:v>6682.0413849040506</c:v>
                </c:pt>
              </c:numCache>
            </c:numRef>
          </c:val>
          <c:extLst>
            <c:ext xmlns:c16="http://schemas.microsoft.com/office/drawing/2014/chart" uri="{C3380CC4-5D6E-409C-BE32-E72D297353CC}">
              <c16:uniqueId val="{00000000-28ED-401A-9BFD-F50C06CD8962}"/>
            </c:ext>
          </c:extLst>
        </c:ser>
        <c:ser>
          <c:idx val="1"/>
          <c:order val="1"/>
          <c:tx>
            <c:strRef>
              <c:f>ChartData_old!$CM$1</c:f>
              <c:strCache>
                <c:ptCount val="1"/>
                <c:pt idx="0">
                  <c:v>25th percentile</c:v>
                </c:pt>
              </c:strCache>
            </c:strRef>
          </c:tx>
          <c:spPr>
            <a:solidFill>
              <a:schemeClr val="accent2"/>
            </a:solidFill>
            <a:ln>
              <a:noFill/>
            </a:ln>
            <a:effectLst/>
          </c:spPr>
          <c:invertIfNegative val="0"/>
          <c:cat>
            <c:multiLvlStrRef>
              <c:f>ChartData_old!$BH$2:$BJ$20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ChartData_old!$CM$2:$CM$20</c:f>
              <c:numCache>
                <c:formatCode>General</c:formatCode>
                <c:ptCount val="19"/>
                <c:pt idx="0">
                  <c:v>0</c:v>
                </c:pt>
                <c:pt idx="1">
                  <c:v>0</c:v>
                </c:pt>
                <c:pt idx="2">
                  <c:v>2012.1390683215486</c:v>
                </c:pt>
                <c:pt idx="3">
                  <c:v>3369.7055582910452</c:v>
                </c:pt>
                <c:pt idx="4">
                  <c:v>3654.1683159325944</c:v>
                </c:pt>
                <c:pt idx="5">
                  <c:v>1167.6593022759926</c:v>
                </c:pt>
                <c:pt idx="6">
                  <c:v>633.43803284870273</c:v>
                </c:pt>
                <c:pt idx="7">
                  <c:v>0</c:v>
                </c:pt>
                <c:pt idx="8">
                  <c:v>443.55580747609383</c:v>
                </c:pt>
                <c:pt idx="9">
                  <c:v>0</c:v>
                </c:pt>
                <c:pt idx="10">
                  <c:v>0</c:v>
                </c:pt>
                <c:pt idx="11">
                  <c:v>0</c:v>
                </c:pt>
                <c:pt idx="12">
                  <c:v>213.31302900699529</c:v>
                </c:pt>
                <c:pt idx="13">
                  <c:v>0</c:v>
                </c:pt>
                <c:pt idx="14">
                  <c:v>0</c:v>
                </c:pt>
                <c:pt idx="15">
                  <c:v>268.99786739663432</c:v>
                </c:pt>
                <c:pt idx="16">
                  <c:v>0</c:v>
                </c:pt>
                <c:pt idx="17">
                  <c:v>0</c:v>
                </c:pt>
                <c:pt idx="18">
                  <c:v>2476.1218075583911</c:v>
                </c:pt>
              </c:numCache>
            </c:numRef>
          </c:val>
          <c:extLst>
            <c:ext xmlns:c16="http://schemas.microsoft.com/office/drawing/2014/chart" uri="{C3380CC4-5D6E-409C-BE32-E72D297353CC}">
              <c16:uniqueId val="{00000003-28ED-401A-9BFD-F50C06CD8962}"/>
            </c:ext>
          </c:extLst>
        </c:ser>
        <c:ser>
          <c:idx val="2"/>
          <c:order val="2"/>
          <c:tx>
            <c:strRef>
              <c:f>ChartData_old!$CN$1</c:f>
              <c:strCache>
                <c:ptCount val="1"/>
                <c:pt idx="0">
                  <c:v>75th percentile</c:v>
                </c:pt>
              </c:strCache>
            </c:strRef>
          </c:tx>
          <c:spPr>
            <a:solidFill>
              <a:schemeClr val="accent3"/>
            </a:solidFill>
            <a:ln>
              <a:noFill/>
            </a:ln>
            <a:effectLst/>
          </c:spPr>
          <c:invertIfNegative val="0"/>
          <c:cat>
            <c:multiLvlStrRef>
              <c:f>ChartData_old!$BH$2:$BJ$20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ChartData_old!$CN$2:$CN$20</c:f>
              <c:numCache>
                <c:formatCode>General</c:formatCode>
                <c:ptCount val="19"/>
                <c:pt idx="0">
                  <c:v>0</c:v>
                </c:pt>
                <c:pt idx="1">
                  <c:v>0</c:v>
                </c:pt>
                <c:pt idx="2">
                  <c:v>1766.8823892312348</c:v>
                </c:pt>
                <c:pt idx="3">
                  <c:v>1593.6538066923022</c:v>
                </c:pt>
                <c:pt idx="4">
                  <c:v>2585.0438226666429</c:v>
                </c:pt>
                <c:pt idx="5">
                  <c:v>807.64936445256808</c:v>
                </c:pt>
                <c:pt idx="6">
                  <c:v>3799.6331769062053</c:v>
                </c:pt>
                <c:pt idx="7">
                  <c:v>0</c:v>
                </c:pt>
                <c:pt idx="8">
                  <c:v>119.09082454999043</c:v>
                </c:pt>
                <c:pt idx="9">
                  <c:v>0</c:v>
                </c:pt>
                <c:pt idx="10">
                  <c:v>0</c:v>
                </c:pt>
                <c:pt idx="11">
                  <c:v>0</c:v>
                </c:pt>
                <c:pt idx="12">
                  <c:v>214.98363899026799</c:v>
                </c:pt>
                <c:pt idx="13">
                  <c:v>0</c:v>
                </c:pt>
                <c:pt idx="14">
                  <c:v>0</c:v>
                </c:pt>
                <c:pt idx="15">
                  <c:v>268.99786739663614</c:v>
                </c:pt>
                <c:pt idx="16">
                  <c:v>0</c:v>
                </c:pt>
                <c:pt idx="17">
                  <c:v>0</c:v>
                </c:pt>
                <c:pt idx="18">
                  <c:v>1398.4856969449502</c:v>
                </c:pt>
              </c:numCache>
            </c:numRef>
          </c:val>
          <c:extLst>
            <c:ext xmlns:c16="http://schemas.microsoft.com/office/drawing/2014/chart" uri="{C3380CC4-5D6E-409C-BE32-E72D297353CC}">
              <c16:uniqueId val="{00000012-28ED-401A-9BFD-F50C06CD8962}"/>
            </c:ext>
          </c:extLst>
        </c:ser>
        <c:ser>
          <c:idx val="3"/>
          <c:order val="3"/>
          <c:tx>
            <c:strRef>
              <c:f>ChartData_old!$CO$1</c:f>
              <c:strCache>
                <c:ptCount val="1"/>
                <c:pt idx="0">
                  <c:v>High Base</c:v>
                </c:pt>
              </c:strCache>
            </c:strRef>
          </c:tx>
          <c:spPr>
            <a:noFill/>
            <a:ln>
              <a:noFill/>
            </a:ln>
            <a:effectLst/>
          </c:spPr>
          <c:invertIfNegative val="0"/>
          <c:cat>
            <c:multiLvlStrRef>
              <c:f>ChartData_old!$BH$2:$BJ$20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ChartData_old!$CO$2:$CO$20</c:f>
              <c:numCache>
                <c:formatCode>General</c:formatCode>
                <c:ptCount val="19"/>
                <c:pt idx="0">
                  <c:v>0</c:v>
                </c:pt>
                <c:pt idx="1">
                  <c:v>0</c:v>
                </c:pt>
                <c:pt idx="2">
                  <c:v>2060.2555155434165</c:v>
                </c:pt>
                <c:pt idx="3">
                  <c:v>15906.585277772549</c:v>
                </c:pt>
                <c:pt idx="4">
                  <c:v>5768.6632067872833</c:v>
                </c:pt>
                <c:pt idx="5">
                  <c:v>7117.8717693936733</c:v>
                </c:pt>
                <c:pt idx="6">
                  <c:v>7634.9065832280085</c:v>
                </c:pt>
                <c:pt idx="7">
                  <c:v>0</c:v>
                </c:pt>
                <c:pt idx="8">
                  <c:v>284.62490180476743</c:v>
                </c:pt>
                <c:pt idx="9">
                  <c:v>0</c:v>
                </c:pt>
                <c:pt idx="10">
                  <c:v>0</c:v>
                </c:pt>
                <c:pt idx="11">
                  <c:v>0</c:v>
                </c:pt>
                <c:pt idx="12">
                  <c:v>37.803517335766173</c:v>
                </c:pt>
                <c:pt idx="13">
                  <c:v>0</c:v>
                </c:pt>
                <c:pt idx="14">
                  <c:v>0</c:v>
                </c:pt>
                <c:pt idx="15">
                  <c:v>268.99786739663614</c:v>
                </c:pt>
                <c:pt idx="16">
                  <c:v>0</c:v>
                </c:pt>
                <c:pt idx="17">
                  <c:v>0</c:v>
                </c:pt>
                <c:pt idx="18">
                  <c:v>1398.4856969449484</c:v>
                </c:pt>
              </c:numCache>
            </c:numRef>
          </c:val>
          <c:extLst>
            <c:ext xmlns:c16="http://schemas.microsoft.com/office/drawing/2014/chart" uri="{C3380CC4-5D6E-409C-BE32-E72D297353CC}">
              <c16:uniqueId val="{00000013-28ED-401A-9BFD-F50C06CD8962}"/>
            </c:ext>
          </c:extLst>
        </c:ser>
        <c:dLbls>
          <c:showLegendKey val="0"/>
          <c:showVal val="0"/>
          <c:showCatName val="0"/>
          <c:showSerName val="0"/>
          <c:showPercent val="0"/>
          <c:showBubbleSize val="0"/>
        </c:dLbls>
        <c:gapWidth val="40"/>
        <c:overlap val="100"/>
        <c:axId val="307037904"/>
        <c:axId val="307038384"/>
      </c:barChart>
      <c:lineChart>
        <c:grouping val="standard"/>
        <c:varyColors val="0"/>
        <c:ser>
          <c:idx val="4"/>
          <c:order val="4"/>
          <c:tx>
            <c:strRef>
              <c:f>ChartData_old!$CH$1</c:f>
              <c:strCache>
                <c:ptCount val="1"/>
                <c:pt idx="0">
                  <c:v>Q1</c:v>
                </c:pt>
              </c:strCache>
            </c:strRef>
          </c:tx>
          <c:spPr>
            <a:ln w="25400" cap="rnd">
              <a:noFill/>
              <a:round/>
            </a:ln>
            <a:effectLst/>
          </c:spPr>
          <c:marker>
            <c:symbol val="none"/>
          </c:marker>
          <c:errBars>
            <c:errDir val="y"/>
            <c:errBarType val="minus"/>
            <c:errValType val="cust"/>
            <c:noEndCap val="0"/>
            <c:plus>
              <c:numRef>
                <c:f>ChartData_old!$CS$2:$CS$20</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plus>
            <c:minus>
              <c:numRef>
                <c:f>ChartData_old!$CR$2:$CR$20</c:f>
                <c:numCache>
                  <c:formatCode>General</c:formatCode>
                  <c:ptCount val="19"/>
                  <c:pt idx="0">
                    <c:v>#N/A</c:v>
                  </c:pt>
                  <c:pt idx="1">
                    <c:v>0</c:v>
                  </c:pt>
                  <c:pt idx="2">
                    <c:v>1376.4698067945103</c:v>
                  </c:pt>
                  <c:pt idx="3">
                    <c:v>2893.5693703563211</c:v>
                  </c:pt>
                  <c:pt idx="4">
                    <c:v>1329.2723196405982</c:v>
                  </c:pt>
                  <c:pt idx="5">
                    <c:v>1598.3441685675184</c:v>
                  </c:pt>
                  <c:pt idx="6">
                    <c:v>1269.1698720442023</c:v>
                  </c:pt>
                  <c:pt idx="7">
                    <c:v>#N/A</c:v>
                  </c:pt>
                  <c:pt idx="8">
                    <c:v>1825.4442978739612</c:v>
                  </c:pt>
                  <c:pt idx="9">
                    <c:v>#N/A</c:v>
                  </c:pt>
                  <c:pt idx="10">
                    <c:v>#N/A</c:v>
                  </c:pt>
                  <c:pt idx="11">
                    <c:v>#N/A</c:v>
                  </c:pt>
                  <c:pt idx="12">
                    <c:v>32.791687385948535</c:v>
                  </c:pt>
                  <c:pt idx="13">
                    <c:v>#N/A</c:v>
                  </c:pt>
                  <c:pt idx="14">
                    <c:v>#N/A</c:v>
                  </c:pt>
                  <c:pt idx="15">
                    <c:v>268.99786739663614</c:v>
                  </c:pt>
                  <c:pt idx="16">
                    <c:v>#N/A</c:v>
                  </c:pt>
                  <c:pt idx="17">
                    <c:v>#N/A</c:v>
                  </c:pt>
                  <c:pt idx="18">
                    <c:v>2476.1218075583902</c:v>
                  </c:pt>
                </c:numCache>
              </c:numRef>
            </c:minus>
            <c:spPr>
              <a:noFill/>
              <a:ln w="12700" cap="flat" cmpd="sng" algn="ctr">
                <a:solidFill>
                  <a:schemeClr val="bg2">
                    <a:lumMod val="90000"/>
                    <a:alpha val="80000"/>
                  </a:schemeClr>
                </a:solidFill>
                <a:round/>
              </a:ln>
              <a:effectLst/>
            </c:spPr>
          </c:errBars>
          <c:val>
            <c:numRef>
              <c:f>ChartData_old!$CH$2:$CH$20</c:f>
              <c:numCache>
                <c:formatCode>General</c:formatCode>
                <c:ptCount val="19"/>
                <c:pt idx="0">
                  <c:v>#N/A</c:v>
                </c:pt>
                <c:pt idx="1">
                  <c:v>2100.3070606742936</c:v>
                </c:pt>
                <c:pt idx="2">
                  <c:v>2454.2634061921008</c:v>
                </c:pt>
                <c:pt idx="3">
                  <c:v>8237.0484912299125</c:v>
                </c:pt>
                <c:pt idx="4">
                  <c:v>3848.6442809044806</c:v>
                </c:pt>
                <c:pt idx="5">
                  <c:v>4347.3090301855236</c:v>
                </c:pt>
                <c:pt idx="6">
                  <c:v>3788.5418333080847</c:v>
                </c:pt>
                <c:pt idx="7">
                  <c:v>#N/A</c:v>
                </c:pt>
                <c:pt idx="8">
                  <c:v>5882.8595673719446</c:v>
                </c:pt>
                <c:pt idx="9">
                  <c:v>#N/A</c:v>
                </c:pt>
                <c:pt idx="10">
                  <c:v>#N/A</c:v>
                </c:pt>
                <c:pt idx="11">
                  <c:v>#N/A</c:v>
                </c:pt>
                <c:pt idx="12">
                  <c:v>3023.2790208713504</c:v>
                </c:pt>
                <c:pt idx="13">
                  <c:v>#N/A</c:v>
                </c:pt>
                <c:pt idx="14">
                  <c:v>#N/A</c:v>
                </c:pt>
                <c:pt idx="15">
                  <c:v>8872.6357289133575</c:v>
                </c:pt>
                <c:pt idx="16">
                  <c:v>#N/A</c:v>
                </c:pt>
                <c:pt idx="17">
                  <c:v>#N/A</c:v>
                </c:pt>
                <c:pt idx="18">
                  <c:v>6682.0413849040506</c:v>
                </c:pt>
              </c:numCache>
            </c:numRef>
          </c:val>
          <c:smooth val="0"/>
          <c:extLst>
            <c:ext xmlns:c16="http://schemas.microsoft.com/office/drawing/2014/chart" uri="{C3380CC4-5D6E-409C-BE32-E72D297353CC}">
              <c16:uniqueId val="{00000014-28ED-401A-9BFD-F50C06CD8962}"/>
            </c:ext>
          </c:extLst>
        </c:ser>
        <c:ser>
          <c:idx val="5"/>
          <c:order val="5"/>
          <c:tx>
            <c:strRef>
              <c:f>ChartData_old!$CJ$1</c:f>
              <c:strCache>
                <c:ptCount val="1"/>
                <c:pt idx="0">
                  <c:v>Q3</c:v>
                </c:pt>
              </c:strCache>
            </c:strRef>
          </c:tx>
          <c:spPr>
            <a:ln w="25400" cap="rnd">
              <a:noFill/>
              <a:round/>
            </a:ln>
            <a:effectLst/>
          </c:spPr>
          <c:marker>
            <c:symbol val="none"/>
          </c:marker>
          <c:errBars>
            <c:errDir val="y"/>
            <c:errBarType val="plus"/>
            <c:errValType val="cust"/>
            <c:noEndCap val="0"/>
            <c:plus>
              <c:numRef>
                <c:f>ChartData_old!$CT$2:$CT$20</c:f>
                <c:numCache>
                  <c:formatCode>General</c:formatCode>
                  <c:ptCount val="19"/>
                  <c:pt idx="0">
                    <c:v>#N/A</c:v>
                  </c:pt>
                  <c:pt idx="1">
                    <c:v>0</c:v>
                  </c:pt>
                  <c:pt idx="2">
                    <c:v>2060.2555155434165</c:v>
                  </c:pt>
                  <c:pt idx="3">
                    <c:v>15906.585277772549</c:v>
                  </c:pt>
                  <c:pt idx="4">
                    <c:v>5768.6632067872833</c:v>
                  </c:pt>
                  <c:pt idx="5">
                    <c:v>7117.8717693936733</c:v>
                  </c:pt>
                  <c:pt idx="6">
                    <c:v>7634.9065832280085</c:v>
                  </c:pt>
                  <c:pt idx="7">
                    <c:v>#N/A</c:v>
                  </c:pt>
                  <c:pt idx="8">
                    <c:v>284.62490180476743</c:v>
                  </c:pt>
                  <c:pt idx="9">
                    <c:v>#N/A</c:v>
                  </c:pt>
                  <c:pt idx="10">
                    <c:v>#N/A</c:v>
                  </c:pt>
                  <c:pt idx="11">
                    <c:v>#N/A</c:v>
                  </c:pt>
                  <c:pt idx="12">
                    <c:v>37.803517335766173</c:v>
                  </c:pt>
                  <c:pt idx="13">
                    <c:v>#N/A</c:v>
                  </c:pt>
                  <c:pt idx="14">
                    <c:v>#N/A</c:v>
                  </c:pt>
                  <c:pt idx="15">
                    <c:v>268.99786739663614</c:v>
                  </c:pt>
                  <c:pt idx="16">
                    <c:v>#N/A</c:v>
                  </c:pt>
                  <c:pt idx="17">
                    <c:v>#N/A</c:v>
                  </c:pt>
                  <c:pt idx="18">
                    <c:v>1398.4856969449484</c:v>
                  </c:pt>
                </c:numCache>
              </c:numRef>
            </c:plus>
            <c:minus>
              <c:numRef>
                <c:f>ChartData_old!$CS$2:$CS$20</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minus>
            <c:spPr>
              <a:noFill/>
              <a:ln w="12700" cap="flat" cmpd="sng" algn="ctr">
                <a:solidFill>
                  <a:schemeClr val="bg2">
                    <a:lumMod val="90000"/>
                    <a:alpha val="80000"/>
                  </a:schemeClr>
                </a:solidFill>
                <a:round/>
              </a:ln>
              <a:effectLst/>
            </c:spPr>
          </c:errBars>
          <c:val>
            <c:numRef>
              <c:f>ChartData_old!$CJ$2:$CJ$20</c:f>
              <c:numCache>
                <c:formatCode>General</c:formatCode>
                <c:ptCount val="19"/>
                <c:pt idx="0">
                  <c:v>#N/A</c:v>
                </c:pt>
                <c:pt idx="1">
                  <c:v>2100.3070606742936</c:v>
                </c:pt>
                <c:pt idx="2">
                  <c:v>6233.2848637448842</c:v>
                </c:pt>
                <c:pt idx="3">
                  <c:v>13200.40785621326</c:v>
                </c:pt>
                <c:pt idx="4">
                  <c:v>10087.856419503718</c:v>
                </c:pt>
                <c:pt idx="5">
                  <c:v>6322.6176969140843</c:v>
                </c:pt>
                <c:pt idx="6">
                  <c:v>8221.6130430629928</c:v>
                </c:pt>
                <c:pt idx="7">
                  <c:v>#N/A</c:v>
                </c:pt>
                <c:pt idx="8">
                  <c:v>6445.5061993980289</c:v>
                </c:pt>
                <c:pt idx="9">
                  <c:v>#N/A</c:v>
                </c:pt>
                <c:pt idx="10">
                  <c:v>#N/A</c:v>
                </c:pt>
                <c:pt idx="11">
                  <c:v>#N/A</c:v>
                </c:pt>
                <c:pt idx="12">
                  <c:v>3451.5756888686137</c:v>
                </c:pt>
                <c:pt idx="13">
                  <c:v>#N/A</c:v>
                </c:pt>
                <c:pt idx="14">
                  <c:v>#N/A</c:v>
                </c:pt>
                <c:pt idx="15">
                  <c:v>9410.631463706628</c:v>
                </c:pt>
                <c:pt idx="16">
                  <c:v>#N/A</c:v>
                </c:pt>
                <c:pt idx="17">
                  <c:v>#N/A</c:v>
                </c:pt>
                <c:pt idx="18">
                  <c:v>10556.648889407392</c:v>
                </c:pt>
              </c:numCache>
            </c:numRef>
          </c:val>
          <c:smooth val="0"/>
          <c:extLst>
            <c:ext xmlns:c16="http://schemas.microsoft.com/office/drawing/2014/chart" uri="{C3380CC4-5D6E-409C-BE32-E72D297353CC}">
              <c16:uniqueId val="{00000015-28ED-401A-9BFD-F50C06CD8962}"/>
            </c:ext>
          </c:extLst>
        </c:ser>
        <c:dLbls>
          <c:showLegendKey val="0"/>
          <c:showVal val="0"/>
          <c:showCatName val="0"/>
          <c:showSerName val="0"/>
          <c:showPercent val="0"/>
          <c:showBubbleSize val="0"/>
        </c:dLbls>
        <c:marker val="1"/>
        <c:smooth val="0"/>
        <c:axId val="307037904"/>
        <c:axId val="307038384"/>
      </c:lineChart>
      <c:scatterChart>
        <c:scatterStyle val="lineMarker"/>
        <c:varyColors val="0"/>
        <c:ser>
          <c:idx val="7"/>
          <c:order val="6"/>
          <c:tx>
            <c:strRef>
              <c:f>ChartData_old!$CF$1</c:f>
              <c:strCache>
                <c:ptCount val="1"/>
                <c:pt idx="0">
                  <c:v>Mean</c:v>
                </c:pt>
              </c:strCache>
            </c:strRef>
          </c:tx>
          <c:spPr>
            <a:ln w="25400" cap="rnd">
              <a:noFill/>
              <a:round/>
            </a:ln>
            <a:effectLst/>
          </c:spPr>
          <c:marker>
            <c:symbol val="x"/>
            <c:size val="10"/>
            <c:spPr>
              <a:noFill/>
              <a:ln w="31750">
                <a:solidFill>
                  <a:srgbClr val="FF8C9E"/>
                </a:solidFill>
              </a:ln>
              <a:effectLst/>
            </c:spPr>
          </c:marker>
          <c:xVal>
            <c:numRef>
              <c:f>ChartData_old!$CD$2:$CD$20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ChartData_old!$CF$2:$CF$20</c:f>
              <c:numCache>
                <c:formatCode>General</c:formatCode>
                <c:ptCount val="19"/>
                <c:pt idx="0">
                  <c:v>#N/A</c:v>
                </c:pt>
                <c:pt idx="1">
                  <c:v>2100.3070606742936</c:v>
                </c:pt>
                <c:pt idx="2">
                  <c:v>4458.9761418676444</c:v>
                </c:pt>
                <c:pt idx="3">
                  <c:v>11915.65033208227</c:v>
                </c:pt>
                <c:pt idx="4">
                  <c:v>7678.8150836011937</c:v>
                </c:pt>
                <c:pt idx="5">
                  <c:v>5715.4644368060463</c:v>
                </c:pt>
                <c:pt idx="6">
                  <c:v>6603.0840007036886</c:v>
                </c:pt>
                <c:pt idx="7">
                  <c:v>#N/A</c:v>
                </c:pt>
                <c:pt idx="8">
                  <c:v>5888.4655024637586</c:v>
                </c:pt>
                <c:pt idx="9">
                  <c:v>#N/A</c:v>
                </c:pt>
                <c:pt idx="10">
                  <c:v>#N/A</c:v>
                </c:pt>
                <c:pt idx="11">
                  <c:v>#N/A</c:v>
                </c:pt>
                <c:pt idx="12">
                  <c:v>3238.262659861618</c:v>
                </c:pt>
                <c:pt idx="13">
                  <c:v>#N/A</c:v>
                </c:pt>
                <c:pt idx="14">
                  <c:v>#N/A</c:v>
                </c:pt>
                <c:pt idx="15">
                  <c:v>9141.6335963099918</c:v>
                </c:pt>
                <c:pt idx="16">
                  <c:v>#N/A</c:v>
                </c:pt>
                <c:pt idx="17">
                  <c:v>#N/A</c:v>
                </c:pt>
                <c:pt idx="18">
                  <c:v>8439.7391187201483</c:v>
                </c:pt>
              </c:numCache>
            </c:numRef>
          </c:yVal>
          <c:smooth val="0"/>
          <c:extLst>
            <c:ext xmlns:c16="http://schemas.microsoft.com/office/drawing/2014/chart" uri="{C3380CC4-5D6E-409C-BE32-E72D297353CC}">
              <c16:uniqueId val="{00000020-28ED-401A-9BFD-F50C06CD8962}"/>
            </c:ext>
          </c:extLst>
        </c:ser>
        <c:ser>
          <c:idx val="8"/>
          <c:order val="7"/>
          <c:tx>
            <c:strRef>
              <c:f>ChartData_old!$CE$1</c:f>
              <c:strCache>
                <c:ptCount val="1"/>
                <c:pt idx="0">
                  <c:v>97.5th percentil</c:v>
                </c:pt>
              </c:strCache>
            </c:strRef>
          </c:tx>
          <c:spPr>
            <a:ln w="25400" cap="rnd">
              <a:noFill/>
              <a:round/>
            </a:ln>
            <a:effectLst/>
          </c:spPr>
          <c:marker>
            <c:symbol val="triangle"/>
            <c:size val="12"/>
            <c:spPr>
              <a:solidFill>
                <a:srgbClr val="93B7BB"/>
              </a:solidFill>
              <a:ln w="38100">
                <a:noFill/>
              </a:ln>
              <a:effectLst/>
            </c:spPr>
          </c:marker>
          <c:xVal>
            <c:numRef>
              <c:f>ChartData_old!$CD$2:$CD$20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ChartData_old!$CE$2:$CE$20</c:f>
              <c:numCache>
                <c:formatCode>General</c:formatCode>
                <c:ptCount val="19"/>
                <c:pt idx="0">
                  <c:v>#N/A</c:v>
                </c:pt>
                <c:pt idx="1">
                  <c:v>2100.3070606742936</c:v>
                </c:pt>
                <c:pt idx="2">
                  <c:v>8167.628781002586</c:v>
                </c:pt>
                <c:pt idx="3">
                  <c:v>27331.987939932962</c:v>
                </c:pt>
                <c:pt idx="4">
                  <c:v>15163.336584805127</c:v>
                </c:pt>
                <c:pt idx="5">
                  <c:v>11359.610466228252</c:v>
                </c:pt>
                <c:pt idx="6">
                  <c:v>14701.214557147881</c:v>
                </c:pt>
                <c:pt idx="7">
                  <c:v>#N/A</c:v>
                </c:pt>
                <c:pt idx="8">
                  <c:v>6701.66861102232</c:v>
                </c:pt>
                <c:pt idx="9">
                  <c:v>#N/A</c:v>
                </c:pt>
                <c:pt idx="10">
                  <c:v>#N/A</c:v>
                </c:pt>
                <c:pt idx="11">
                  <c:v>#N/A</c:v>
                </c:pt>
                <c:pt idx="12">
                  <c:v>3485.5988544708034</c:v>
                </c:pt>
                <c:pt idx="13">
                  <c:v>#N/A</c:v>
                </c:pt>
                <c:pt idx="14">
                  <c:v>#N/A</c:v>
                </c:pt>
                <c:pt idx="15">
                  <c:v>9652.7295443636012</c:v>
                </c:pt>
                <c:pt idx="16">
                  <c:v>#N/A</c:v>
                </c:pt>
                <c:pt idx="17">
                  <c:v>#N/A</c:v>
                </c:pt>
                <c:pt idx="18">
                  <c:v>11815.286016657847</c:v>
                </c:pt>
              </c:numCache>
            </c:numRef>
          </c:yVal>
          <c:smooth val="0"/>
          <c:extLst>
            <c:ext xmlns:c16="http://schemas.microsoft.com/office/drawing/2014/chart" uri="{C3380CC4-5D6E-409C-BE32-E72D297353CC}">
              <c16:uniqueId val="{00000024-28ED-401A-9BFD-F50C06CD8962}"/>
            </c:ext>
          </c:extLst>
        </c:ser>
        <c:ser>
          <c:idx val="9"/>
          <c:order val="8"/>
          <c:tx>
            <c:strRef>
              <c:f>ChartData_old!$CI$1</c:f>
              <c:strCache>
                <c:ptCount val="1"/>
                <c:pt idx="0">
                  <c:v>Median</c:v>
                </c:pt>
              </c:strCache>
            </c:strRef>
          </c:tx>
          <c:spPr>
            <a:ln w="25400" cap="rnd">
              <a:noFill/>
              <a:round/>
            </a:ln>
            <a:effectLst/>
          </c:spPr>
          <c:marker>
            <c:symbol val="diamond"/>
            <c:size val="12"/>
            <c:spPr>
              <a:solidFill>
                <a:srgbClr val="FFBE98"/>
              </a:solidFill>
              <a:ln w="9525">
                <a:noFill/>
              </a:ln>
              <a:effectLst/>
            </c:spPr>
          </c:marker>
          <c:xVal>
            <c:numRef>
              <c:f>ChartData_old!$CD$2:$CD$20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xVal>
          <c:yVal>
            <c:numRef>
              <c:f>ChartData_old!$CI$2:$CI$20</c:f>
              <c:numCache>
                <c:formatCode>General</c:formatCode>
                <c:ptCount val="19"/>
                <c:pt idx="0">
                  <c:v>#N/A</c:v>
                </c:pt>
                <c:pt idx="1">
                  <c:v>2100.3070606742936</c:v>
                </c:pt>
                <c:pt idx="2">
                  <c:v>4466.4024745136494</c:v>
                </c:pt>
                <c:pt idx="3">
                  <c:v>11606.754049520958</c:v>
                </c:pt>
                <c:pt idx="4">
                  <c:v>7502.812596837075</c:v>
                </c:pt>
                <c:pt idx="5">
                  <c:v>5514.9683324615162</c:v>
                </c:pt>
                <c:pt idx="6">
                  <c:v>4421.9798661567875</c:v>
                </c:pt>
                <c:pt idx="7">
                  <c:v>#N/A</c:v>
                </c:pt>
                <c:pt idx="8">
                  <c:v>6326.4153748480385</c:v>
                </c:pt>
                <c:pt idx="9">
                  <c:v>#N/A</c:v>
                </c:pt>
                <c:pt idx="10">
                  <c:v>#N/A</c:v>
                </c:pt>
                <c:pt idx="11">
                  <c:v>#N/A</c:v>
                </c:pt>
                <c:pt idx="12">
                  <c:v>3236.5920498783457</c:v>
                </c:pt>
                <c:pt idx="13">
                  <c:v>#N/A</c:v>
                </c:pt>
                <c:pt idx="14">
                  <c:v>#N/A</c:v>
                </c:pt>
                <c:pt idx="15">
                  <c:v>9141.6335963099918</c:v>
                </c:pt>
                <c:pt idx="16">
                  <c:v>#N/A</c:v>
                </c:pt>
                <c:pt idx="17">
                  <c:v>#N/A</c:v>
                </c:pt>
                <c:pt idx="18">
                  <c:v>9158.1631924624417</c:v>
                </c:pt>
              </c:numCache>
            </c:numRef>
          </c:yVal>
          <c:smooth val="0"/>
          <c:extLst>
            <c:ext xmlns:c16="http://schemas.microsoft.com/office/drawing/2014/chart" uri="{C3380CC4-5D6E-409C-BE32-E72D297353CC}">
              <c16:uniqueId val="{00000027-28ED-401A-9BFD-F50C06CD8962}"/>
            </c:ext>
          </c:extLst>
        </c:ser>
        <c:ser>
          <c:idx val="6"/>
          <c:order val="9"/>
          <c:tx>
            <c:strRef>
              <c:f>ChartData_old!$CU$1</c:f>
              <c:strCache>
                <c:ptCount val="1"/>
                <c:pt idx="0">
                  <c:v>Observations</c:v>
                </c:pt>
              </c:strCache>
            </c:strRef>
          </c:tx>
          <c:spPr>
            <a:ln w="25400" cap="rnd">
              <a:noFill/>
              <a:round/>
            </a:ln>
            <a:effectLst/>
          </c:spPr>
          <c:marker>
            <c:symbol val="circle"/>
            <c:size val="4"/>
            <c:spPr>
              <a:solidFill>
                <a:schemeClr val="accent1">
                  <a:lumMod val="60000"/>
                </a:schemeClr>
              </a:solidFill>
              <a:ln w="9525">
                <a:solidFill>
                  <a:schemeClr val="accent1">
                    <a:lumMod val="60000"/>
                  </a:schemeClr>
                </a:solidFill>
              </a:ln>
              <a:effectLst/>
            </c:spPr>
          </c:marker>
          <c:xVal>
            <c:numRef>
              <c:f>ChartData_old!$CV$2:$CV$120</c:f>
              <c:numCache>
                <c:formatCode>General</c:formatCode>
                <c:ptCount val="119"/>
                <c:pt idx="0">
                  <c:v>2</c:v>
                </c:pt>
                <c:pt idx="1">
                  <c:v>3</c:v>
                </c:pt>
                <c:pt idx="2">
                  <c:v>4</c:v>
                </c:pt>
                <c:pt idx="3">
                  <c:v>5</c:v>
                </c:pt>
                <c:pt idx="4">
                  <c:v>6</c:v>
                </c:pt>
                <c:pt idx="5">
                  <c:v>7</c:v>
                </c:pt>
                <c:pt idx="6">
                  <c:v>9</c:v>
                </c:pt>
                <c:pt idx="7">
                  <c:v>13</c:v>
                </c:pt>
                <c:pt idx="8">
                  <c:v>16</c:v>
                </c:pt>
                <c:pt idx="9">
                  <c:v>19</c:v>
                </c:pt>
                <c:pt idx="10">
                  <c:v>3</c:v>
                </c:pt>
                <c:pt idx="11">
                  <c:v>4</c:v>
                </c:pt>
                <c:pt idx="12">
                  <c:v>5</c:v>
                </c:pt>
                <c:pt idx="13">
                  <c:v>6</c:v>
                </c:pt>
                <c:pt idx="14">
                  <c:v>7</c:v>
                </c:pt>
                <c:pt idx="15">
                  <c:v>9</c:v>
                </c:pt>
                <c:pt idx="16">
                  <c:v>13</c:v>
                </c:pt>
                <c:pt idx="17">
                  <c:v>16</c:v>
                </c:pt>
                <c:pt idx="18">
                  <c:v>19</c:v>
                </c:pt>
                <c:pt idx="19">
                  <c:v>3</c:v>
                </c:pt>
                <c:pt idx="20">
                  <c:v>4</c:v>
                </c:pt>
                <c:pt idx="21">
                  <c:v>5</c:v>
                </c:pt>
                <c:pt idx="22">
                  <c:v>6</c:v>
                </c:pt>
                <c:pt idx="23">
                  <c:v>7</c:v>
                </c:pt>
                <c:pt idx="24">
                  <c:v>9</c:v>
                </c:pt>
                <c:pt idx="25">
                  <c:v>13</c:v>
                </c:pt>
                <c:pt idx="26">
                  <c:v>19</c:v>
                </c:pt>
                <c:pt idx="27">
                  <c:v>3</c:v>
                </c:pt>
                <c:pt idx="28">
                  <c:v>4</c:v>
                </c:pt>
                <c:pt idx="29">
                  <c:v>5</c:v>
                </c:pt>
                <c:pt idx="30">
                  <c:v>6</c:v>
                </c:pt>
                <c:pt idx="31">
                  <c:v>7</c:v>
                </c:pt>
                <c:pt idx="32">
                  <c:v>9</c:v>
                </c:pt>
                <c:pt idx="33">
                  <c:v>13</c:v>
                </c:pt>
                <c:pt idx="34">
                  <c:v>3</c:v>
                </c:pt>
                <c:pt idx="35">
                  <c:v>4</c:v>
                </c:pt>
                <c:pt idx="36">
                  <c:v>5</c:v>
                </c:pt>
                <c:pt idx="37">
                  <c:v>6</c:v>
                </c:pt>
                <c:pt idx="38">
                  <c:v>7</c:v>
                </c:pt>
                <c:pt idx="39">
                  <c:v>9</c:v>
                </c:pt>
                <c:pt idx="40">
                  <c:v>3</c:v>
                </c:pt>
                <c:pt idx="41">
                  <c:v>4</c:v>
                </c:pt>
                <c:pt idx="42">
                  <c:v>5</c:v>
                </c:pt>
                <c:pt idx="43">
                  <c:v>6</c:v>
                </c:pt>
                <c:pt idx="44">
                  <c:v>7</c:v>
                </c:pt>
                <c:pt idx="45">
                  <c:v>3</c:v>
                </c:pt>
                <c:pt idx="46">
                  <c:v>4</c:v>
                </c:pt>
                <c:pt idx="47">
                  <c:v>5</c:v>
                </c:pt>
                <c:pt idx="48">
                  <c:v>6</c:v>
                </c:pt>
                <c:pt idx="49">
                  <c:v>7</c:v>
                </c:pt>
                <c:pt idx="50">
                  <c:v>4</c:v>
                </c:pt>
                <c:pt idx="51">
                  <c:v>6</c:v>
                </c:pt>
                <c:pt idx="52">
                  <c:v>7</c:v>
                </c:pt>
                <c:pt idx="53">
                  <c:v>4</c:v>
                </c:pt>
                <c:pt idx="54">
                  <c:v>6</c:v>
                </c:pt>
                <c:pt idx="55">
                  <c:v>7</c:v>
                </c:pt>
                <c:pt idx="56">
                  <c:v>4</c:v>
                </c:pt>
                <c:pt idx="57">
                  <c:v>6</c:v>
                </c:pt>
                <c:pt idx="58">
                  <c:v>7</c:v>
                </c:pt>
                <c:pt idx="59">
                  <c:v>4</c:v>
                </c:pt>
                <c:pt idx="60">
                  <c:v>6</c:v>
                </c:pt>
                <c:pt idx="61">
                  <c:v>7</c:v>
                </c:pt>
                <c:pt idx="62">
                  <c:v>4</c:v>
                </c:pt>
                <c:pt idx="63">
                  <c:v>6</c:v>
                </c:pt>
                <c:pt idx="64">
                  <c:v>4</c:v>
                </c:pt>
                <c:pt idx="65">
                  <c:v>6</c:v>
                </c:pt>
                <c:pt idx="66">
                  <c:v>4</c:v>
                </c:pt>
                <c:pt idx="67">
                  <c:v>6</c:v>
                </c:pt>
                <c:pt idx="68">
                  <c:v>4</c:v>
                </c:pt>
                <c:pt idx="69">
                  <c:v>6</c:v>
                </c:pt>
                <c:pt idx="70">
                  <c:v>4</c:v>
                </c:pt>
                <c:pt idx="71">
                  <c:v>6</c:v>
                </c:pt>
                <c:pt idx="72">
                  <c:v>4</c:v>
                </c:pt>
                <c:pt idx="73">
                  <c:v>6</c:v>
                </c:pt>
                <c:pt idx="74">
                  <c:v>4</c:v>
                </c:pt>
                <c:pt idx="75">
                  <c:v>6</c:v>
                </c:pt>
                <c:pt idx="76">
                  <c:v>6</c:v>
                </c:pt>
                <c:pt idx="77">
                  <c:v>6</c:v>
                </c:pt>
                <c:pt idx="78">
                  <c:v>6</c:v>
                </c:pt>
                <c:pt idx="79">
                  <c:v>6</c:v>
                </c:pt>
                <c:pt idx="80">
                  <c:v>6</c:v>
                </c:pt>
                <c:pt idx="81">
                  <c:v>6</c:v>
                </c:pt>
                <c:pt idx="82">
                  <c:v>6</c:v>
                </c:pt>
                <c:pt idx="83">
                  <c:v>6</c:v>
                </c:pt>
                <c:pt idx="84">
                  <c:v>6</c:v>
                </c:pt>
                <c:pt idx="85">
                  <c:v>6</c:v>
                </c:pt>
                <c:pt idx="86">
                  <c:v>6</c:v>
                </c:pt>
                <c:pt idx="87">
                  <c:v>6</c:v>
                </c:pt>
                <c:pt idx="88">
                  <c:v>6</c:v>
                </c:pt>
                <c:pt idx="89">
                  <c:v>6</c:v>
                </c:pt>
                <c:pt idx="90">
                  <c:v>6</c:v>
                </c:pt>
                <c:pt idx="91">
                  <c:v>6</c:v>
                </c:pt>
                <c:pt idx="92">
                  <c:v>6</c:v>
                </c:pt>
                <c:pt idx="93">
                  <c:v>6</c:v>
                </c:pt>
                <c:pt idx="94">
                  <c:v>6</c:v>
                </c:pt>
                <c:pt idx="95">
                  <c:v>6</c:v>
                </c:pt>
                <c:pt idx="96">
                  <c:v>6</c:v>
                </c:pt>
                <c:pt idx="97">
                  <c:v>6</c:v>
                </c:pt>
                <c:pt idx="98">
                  <c:v>6</c:v>
                </c:pt>
                <c:pt idx="99">
                  <c:v>6</c:v>
                </c:pt>
                <c:pt idx="100">
                  <c:v>6</c:v>
                </c:pt>
                <c:pt idx="101">
                  <c:v>6</c:v>
                </c:pt>
                <c:pt idx="102">
                  <c:v>6</c:v>
                </c:pt>
                <c:pt idx="103">
                  <c:v>6</c:v>
                </c:pt>
              </c:numCache>
            </c:numRef>
          </c:xVal>
          <c:yVal>
            <c:numRef>
              <c:f>ChartData_old!$CU$2:$CU$120</c:f>
              <c:numCache>
                <c:formatCode>General</c:formatCode>
                <c:ptCount val="119"/>
                <c:pt idx="0">
                  <c:v>2100.3070606742936</c:v>
                </c:pt>
                <c:pt idx="1">
                  <c:v>1077.7935993975905</c:v>
                </c:pt>
                <c:pt idx="2">
                  <c:v>12441.316506252808</c:v>
                </c:pt>
                <c:pt idx="3">
                  <c:v>4421.9798661567875</c:v>
                </c:pt>
                <c:pt idx="4">
                  <c:v>7688.8924367702002</c:v>
                </c:pt>
                <c:pt idx="5">
                  <c:v>3164.356504065041</c:v>
                </c:pt>
                <c:pt idx="6">
                  <c:v>4057.4152694979834</c:v>
                </c:pt>
                <c:pt idx="7">
                  <c:v>2990.4873334854019</c:v>
                </c:pt>
                <c:pt idx="8">
                  <c:v>9679.6293311032641</c:v>
                </c:pt>
                <c:pt idx="9">
                  <c:v>4205.9195773456604</c:v>
                </c:pt>
                <c:pt idx="10">
                  <c:v>1377.8983657401886</c:v>
                </c:pt>
                <c:pt idx="11">
                  <c:v>13671.476643379896</c:v>
                </c:pt>
                <c:pt idx="12">
                  <c:v>8940.4134892889124</c:v>
                </c:pt>
                <c:pt idx="13">
                  <c:v>4915.3027074231395</c:v>
                </c:pt>
                <c:pt idx="14">
                  <c:v>4301.7749709639957</c:v>
                </c:pt>
                <c:pt idx="15">
                  <c:v>5882.8595673719446</c:v>
                </c:pt>
                <c:pt idx="16">
                  <c:v>3034.2095833333333</c:v>
                </c:pt>
                <c:pt idx="17">
                  <c:v>8603.6378615167214</c:v>
                </c:pt>
                <c:pt idx="18">
                  <c:v>9158.1631924624417</c:v>
                </c:pt>
                <c:pt idx="19">
                  <c:v>3530.6284466440125</c:v>
                </c:pt>
                <c:pt idx="20">
                  <c:v>24930.510324449704</c:v>
                </c:pt>
                <c:pt idx="21">
                  <c:v>7502.812596837075</c:v>
                </c:pt>
                <c:pt idx="22">
                  <c:v>4077.8470351951037</c:v>
                </c:pt>
                <c:pt idx="23">
                  <c:v>4421.9798661567875</c:v>
                </c:pt>
                <c:pt idx="24">
                  <c:v>6326.4153748480385</c:v>
                </c:pt>
                <c:pt idx="25">
                  <c:v>3438.9745164233582</c:v>
                </c:pt>
                <c:pt idx="26">
                  <c:v>11955.13458635234</c:v>
                </c:pt>
                <c:pt idx="27">
                  <c:v>4466.4024745136494</c:v>
                </c:pt>
                <c:pt idx="28">
                  <c:v>8355.514428390672</c:v>
                </c:pt>
                <c:pt idx="29">
                  <c:v>11235.299349718522</c:v>
                </c:pt>
                <c:pt idx="30">
                  <c:v>4567.7650535577668</c:v>
                </c:pt>
                <c:pt idx="31">
                  <c:v>4411.9741663617315</c:v>
                </c:pt>
                <c:pt idx="32">
                  <c:v>6445.5061993980289</c:v>
                </c:pt>
                <c:pt idx="33">
                  <c:v>3489.3792062043799</c:v>
                </c:pt>
                <c:pt idx="34">
                  <c:v>8293.5403792883008</c:v>
                </c:pt>
                <c:pt idx="35">
                  <c:v>7837.9776810335725</c:v>
                </c:pt>
                <c:pt idx="36">
                  <c:v>15856.519626291001</c:v>
                </c:pt>
                <c:pt idx="37">
                  <c:v>6551.4527161438418</c:v>
                </c:pt>
                <c:pt idx="38">
                  <c:v>8940.4134892889124</c:v>
                </c:pt>
                <c:pt idx="39">
                  <c:v>6730.1311012027963</c:v>
                </c:pt>
                <c:pt idx="40">
                  <c:v>5012.440003439563</c:v>
                </c:pt>
                <c:pt idx="41">
                  <c:v>10125.764141478647</c:v>
                </c:pt>
                <c:pt idx="42">
                  <c:v>2519.3719612638824</c:v>
                </c:pt>
                <c:pt idx="43">
                  <c:v>2748.9648616180052</c:v>
                </c:pt>
                <c:pt idx="44">
                  <c:v>7004.1127811414517</c:v>
                </c:pt>
                <c:pt idx="45">
                  <c:v>7454.1297240502054</c:v>
                </c:pt>
                <c:pt idx="46">
                  <c:v>13453.438306200078</c:v>
                </c:pt>
                <c:pt idx="47">
                  <c:v>3275.3086956521738</c:v>
                </c:pt>
                <c:pt idx="48">
                  <c:v>3730.1379706508519</c:v>
                </c:pt>
                <c:pt idx="49">
                  <c:v>7502.812596837075</c:v>
                </c:pt>
                <c:pt idx="50">
                  <c:v>13540.787173624165</c:v>
                </c:pt>
                <c:pt idx="51">
                  <c:v>4339.9583462591245</c:v>
                </c:pt>
                <c:pt idx="52">
                  <c:v>11235.299349718522</c:v>
                </c:pt>
                <c:pt idx="53">
                  <c:v>11570.710845447591</c:v>
                </c:pt>
                <c:pt idx="54">
                  <c:v>4369.3610819647201</c:v>
                </c:pt>
                <c:pt idx="55">
                  <c:v>15856.519626291001</c:v>
                </c:pt>
                <c:pt idx="56">
                  <c:v>5343.4791208735915</c:v>
                </c:pt>
                <c:pt idx="57">
                  <c:v>5107.2933774330904</c:v>
                </c:pt>
                <c:pt idx="58">
                  <c:v>2519.3719612638824</c:v>
                </c:pt>
                <c:pt idx="59">
                  <c:v>6131.3653812104103</c:v>
                </c:pt>
                <c:pt idx="60">
                  <c:v>5551.5801695559621</c:v>
                </c:pt>
                <c:pt idx="61">
                  <c:v>3275.3086956521738</c:v>
                </c:pt>
                <c:pt idx="62">
                  <c:v>8197.5598455096588</c:v>
                </c:pt>
                <c:pt idx="63">
                  <c:v>5307.7629081632658</c:v>
                </c:pt>
                <c:pt idx="64">
                  <c:v>8499.6718272484759</c:v>
                </c:pt>
                <c:pt idx="65">
                  <c:v>5849.3160000000007</c:v>
                </c:pt>
                <c:pt idx="66">
                  <c:v>11655.186138911624</c:v>
                </c:pt>
                <c:pt idx="67">
                  <c:v>3767.7683610121167</c:v>
                </c:pt>
                <c:pt idx="68">
                  <c:v>11863.247660672429</c:v>
                </c:pt>
                <c:pt idx="69">
                  <c:v>4112.2052264808362</c:v>
                </c:pt>
                <c:pt idx="70">
                  <c:v>6113.909565217391</c:v>
                </c:pt>
                <c:pt idx="71">
                  <c:v>4154.4938617886182</c:v>
                </c:pt>
                <c:pt idx="72">
                  <c:v>11642.797253594323</c:v>
                </c:pt>
                <c:pt idx="73">
                  <c:v>4182.2002090592341</c:v>
                </c:pt>
                <c:pt idx="74">
                  <c:v>29106.993133985809</c:v>
                </c:pt>
                <c:pt idx="75">
                  <c:v>5745.4214866434386</c:v>
                </c:pt>
                <c:pt idx="76">
                  <c:v>6058.9406794425095</c:v>
                </c:pt>
                <c:pt idx="77">
                  <c:v>7604.6632113821142</c:v>
                </c:pt>
                <c:pt idx="78">
                  <c:v>8202.5370209059238</c:v>
                </c:pt>
                <c:pt idx="79">
                  <c:v>6747.7326652507072</c:v>
                </c:pt>
                <c:pt idx="80">
                  <c:v>4915.2897655024944</c:v>
                </c:pt>
                <c:pt idx="81">
                  <c:v>5478.3564953670702</c:v>
                </c:pt>
                <c:pt idx="82">
                  <c:v>5575.0049486813959</c:v>
                </c:pt>
                <c:pt idx="83">
                  <c:v>5888.0385502494655</c:v>
                </c:pt>
                <c:pt idx="84">
                  <c:v>5575.9296513672143</c:v>
                </c:pt>
                <c:pt idx="85">
                  <c:v>7924.8639972798692</c:v>
                </c:pt>
                <c:pt idx="86">
                  <c:v>11734.969398518611</c:v>
                </c:pt>
                <c:pt idx="87">
                  <c:v>3161.7487226277376</c:v>
                </c:pt>
                <c:pt idx="88">
                  <c:v>4291.2719981751834</c:v>
                </c:pt>
                <c:pt idx="89">
                  <c:v>4990.0642883211685</c:v>
                </c:pt>
                <c:pt idx="90">
                  <c:v>5024.4311222627739</c:v>
                </c:pt>
                <c:pt idx="91">
                  <c:v>5872.146359489052</c:v>
                </c:pt>
                <c:pt idx="92">
                  <c:v>6385.3577463503652</c:v>
                </c:pt>
                <c:pt idx="93">
                  <c:v>5837.3891991838827</c:v>
                </c:pt>
                <c:pt idx="94">
                  <c:v>6134.3975486052414</c:v>
                </c:pt>
                <c:pt idx="95">
                  <c:v>3810.4547612259439</c:v>
                </c:pt>
                <c:pt idx="96">
                  <c:v>3506.9096824549256</c:v>
                </c:pt>
                <c:pt idx="97">
                  <c:v>4547.829870886776</c:v>
                </c:pt>
                <c:pt idx="98">
                  <c:v>5639.5343472996956</c:v>
                </c:pt>
                <c:pt idx="99">
                  <c:v>7016.5731220221051</c:v>
                </c:pt>
                <c:pt idx="100">
                  <c:v>7199.697969986968</c:v>
                </c:pt>
                <c:pt idx="101">
                  <c:v>4846.9197540160649</c:v>
                </c:pt>
                <c:pt idx="102">
                  <c:v>13440.489466307758</c:v>
                </c:pt>
                <c:pt idx="103">
                  <c:v>8732.0979401957429</c:v>
                </c:pt>
              </c:numCache>
            </c:numRef>
          </c:yVal>
          <c:smooth val="0"/>
          <c:extLst>
            <c:ext xmlns:c16="http://schemas.microsoft.com/office/drawing/2014/chart" uri="{C3380CC4-5D6E-409C-BE32-E72D297353CC}">
              <c16:uniqueId val="{00000036-28ED-401A-9BFD-F50C06CD8962}"/>
            </c:ext>
          </c:extLst>
        </c:ser>
        <c:dLbls>
          <c:showLegendKey val="0"/>
          <c:showVal val="0"/>
          <c:showCatName val="0"/>
          <c:showSerName val="0"/>
          <c:showPercent val="0"/>
          <c:showBubbleSize val="0"/>
        </c:dLbls>
        <c:axId val="307037904"/>
        <c:axId val="307038384"/>
      </c:scatterChart>
      <c:catAx>
        <c:axId val="30703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307038384"/>
        <c:crosses val="autoZero"/>
        <c:auto val="1"/>
        <c:lblAlgn val="ctr"/>
        <c:lblOffset val="100"/>
        <c:tickMarkSkip val="1"/>
        <c:noMultiLvlLbl val="0"/>
      </c:catAx>
      <c:valAx>
        <c:axId val="307038384"/>
        <c:scaling>
          <c:orientation val="minMax"/>
          <c:min val="0"/>
        </c:scaling>
        <c:delete val="0"/>
        <c:axPos val="l"/>
        <c:majorGridlines>
          <c:spPr>
            <a:ln w="12700" cap="flat" cmpd="sng" algn="ctr">
              <a:solidFill>
                <a:schemeClr val="bg2">
                  <a:lumMod val="90000"/>
                  <a:alpha val="50000"/>
                </a:schemeClr>
              </a:solidFill>
              <a:round/>
            </a:ln>
            <a:effectLst/>
          </c:spPr>
        </c:majorGridlines>
        <c:minorGridlines>
          <c:spPr>
            <a:ln w="12700" cap="flat" cmpd="sng" algn="ctr">
              <a:solidFill>
                <a:schemeClr val="bg1">
                  <a:lumMod val="95000"/>
                  <a:alpha val="50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a:t>Overnight Construction Costs [2018 USD/kW]</a:t>
                </a:r>
                <a:br>
                  <a:rPr lang="de-DE"/>
                </a:br>
                <a:r>
                  <a:rPr lang="de-DE"/>
                  <a:t>per Reactor Type</a:t>
                </a:r>
              </a:p>
            </c:rich>
          </c:tx>
          <c:layout>
            <c:manualLayout>
              <c:xMode val="edge"/>
              <c:yMode val="edge"/>
              <c:x val="1.1494252873563218E-3"/>
              <c:y val="0.303024545321482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numFmt formatCode="General" sourceLinked="1"/>
        <c:majorTickMark val="out"/>
        <c:minorTickMark val="out"/>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307037904"/>
        <c:crosses val="autoZero"/>
        <c:crossBetween val="between"/>
        <c:majorUnit val="2000"/>
      </c:valAx>
      <c:spPr>
        <a:noFill/>
        <a:ln>
          <a:noFill/>
        </a:ln>
        <a:effectLst/>
      </c:spPr>
    </c:plotArea>
    <c:legend>
      <c:legendPos val="b"/>
      <c:legendEntry>
        <c:idx val="0"/>
        <c:delete val="1"/>
      </c:legendEntry>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ChartData_old!$J$121</c:f>
              <c:strCache>
                <c:ptCount val="1"/>
                <c:pt idx="0">
                  <c:v>97.5 percentile for FOAK</c:v>
                </c:pt>
              </c:strCache>
            </c:strRef>
          </c:tx>
          <c:spPr>
            <a:solidFill>
              <a:schemeClr val="accent1"/>
            </a:solidFill>
            <a:ln>
              <a:noFill/>
            </a:ln>
            <a:effectLst/>
          </c:spPr>
          <c:invertIfNegative val="0"/>
          <c:cat>
            <c:multiLvlStrRef>
              <c:f>ChartData_old!$A$2:$C$20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ChartData_old!$J$122:$J$141</c:f>
              <c:numCache>
                <c:formatCode>General</c:formatCode>
                <c:ptCount val="20"/>
                <c:pt idx="0">
                  <c:v>#N/A</c:v>
                </c:pt>
                <c:pt idx="1">
                  <c:v>#N/A</c:v>
                </c:pt>
                <c:pt idx="2">
                  <c:v>#N/A</c:v>
                </c:pt>
                <c:pt idx="3">
                  <c:v>27331.987939932962</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17-35F9-4A0C-8716-3374C65C0C2F}"/>
            </c:ext>
          </c:extLst>
        </c:ser>
        <c:ser>
          <c:idx val="1"/>
          <c:order val="1"/>
          <c:tx>
            <c:strRef>
              <c:f>ChartData_old!$K$121</c:f>
              <c:strCache>
                <c:ptCount val="1"/>
                <c:pt idx="0">
                  <c:v>97.5 percentile for NOAK</c:v>
                </c:pt>
              </c:strCache>
            </c:strRef>
          </c:tx>
          <c:spPr>
            <a:solidFill>
              <a:schemeClr val="accent2"/>
            </a:solidFill>
            <a:ln>
              <a:noFill/>
            </a:ln>
            <a:effectLst/>
          </c:spPr>
          <c:invertIfNegative val="0"/>
          <c:cat>
            <c:multiLvlStrRef>
              <c:f>ChartData_old!$A$2:$C$20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ChartData_old!$K$122:$K$141</c:f>
              <c:numCache>
                <c:formatCode>General</c:formatCode>
                <c:ptCount val="20"/>
                <c:pt idx="0">
                  <c:v>#N/A</c:v>
                </c:pt>
                <c:pt idx="1">
                  <c:v>2100.3070606742936</c:v>
                </c:pt>
                <c:pt idx="2">
                  <c:v>#N/A</c:v>
                </c:pt>
                <c:pt idx="3">
                  <c:v>#N/A</c:v>
                </c:pt>
                <c:pt idx="4">
                  <c:v>15163.336584805127</c:v>
                </c:pt>
                <c:pt idx="5">
                  <c:v>#N/A</c:v>
                </c:pt>
                <c:pt idx="6">
                  <c:v>#N/A</c:v>
                </c:pt>
                <c:pt idx="7">
                  <c:v>#N/A</c:v>
                </c:pt>
                <c:pt idx="8">
                  <c:v>#N/A</c:v>
                </c:pt>
                <c:pt idx="9">
                  <c:v>6701.66861102232</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2E-35F9-4A0C-8716-3374C65C0C2F}"/>
            </c:ext>
          </c:extLst>
        </c:ser>
        <c:ser>
          <c:idx val="2"/>
          <c:order val="2"/>
          <c:tx>
            <c:strRef>
              <c:f>ChartData_old!$L$121</c:f>
              <c:strCache>
                <c:ptCount val="1"/>
                <c:pt idx="0">
                  <c:v>97.5 percentile for 1Oth-OAK</c:v>
                </c:pt>
              </c:strCache>
            </c:strRef>
          </c:tx>
          <c:spPr>
            <a:solidFill>
              <a:schemeClr val="accent3"/>
            </a:solidFill>
            <a:ln>
              <a:noFill/>
            </a:ln>
            <a:effectLst/>
          </c:spPr>
          <c:invertIfNegative val="0"/>
          <c:cat>
            <c:multiLvlStrRef>
              <c:f>ChartData_old!$A$2:$C$20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ChartData_old!$L$122:$L$141</c:f>
              <c:numCache>
                <c:formatCode>General</c:formatCode>
                <c:ptCount val="20"/>
                <c:pt idx="0">
                  <c:v>#N/A</c:v>
                </c:pt>
                <c:pt idx="1">
                  <c:v>#N/A</c:v>
                </c:pt>
                <c:pt idx="2">
                  <c:v>8167.628781002586</c:v>
                </c:pt>
                <c:pt idx="3">
                  <c:v>#N/A</c:v>
                </c:pt>
                <c:pt idx="4">
                  <c:v>#N/A</c:v>
                </c:pt>
                <c:pt idx="5">
                  <c:v>11359.610466228252</c:v>
                </c:pt>
                <c:pt idx="6">
                  <c:v>#N/A</c:v>
                </c:pt>
                <c:pt idx="7">
                  <c:v>#N/A</c:v>
                </c:pt>
                <c:pt idx="8">
                  <c:v>#N/A</c:v>
                </c:pt>
                <c:pt idx="9">
                  <c:v>#N/A</c:v>
                </c:pt>
                <c:pt idx="10">
                  <c:v>#N/A</c:v>
                </c:pt>
                <c:pt idx="11">
                  <c:v>#N/A</c:v>
                </c:pt>
                <c:pt idx="12">
                  <c:v>#N/A</c:v>
                </c:pt>
                <c:pt idx="13">
                  <c:v>3485.5988544708034</c:v>
                </c:pt>
                <c:pt idx="14">
                  <c:v>#N/A</c:v>
                </c:pt>
                <c:pt idx="15">
                  <c:v>#N/A</c:v>
                </c:pt>
                <c:pt idx="16">
                  <c:v>9652.7295443636012</c:v>
                </c:pt>
                <c:pt idx="17">
                  <c:v>#N/A</c:v>
                </c:pt>
                <c:pt idx="18">
                  <c:v>#N/A</c:v>
                </c:pt>
                <c:pt idx="19">
                  <c:v>11815.286016657847</c:v>
                </c:pt>
              </c:numCache>
            </c:numRef>
          </c:val>
          <c:extLst>
            <c:ext xmlns:c16="http://schemas.microsoft.com/office/drawing/2014/chart" uri="{C3380CC4-5D6E-409C-BE32-E72D297353CC}">
              <c16:uniqueId val="{00000045-35F9-4A0C-8716-3374C65C0C2F}"/>
            </c:ext>
          </c:extLst>
        </c:ser>
        <c:ser>
          <c:idx val="3"/>
          <c:order val="3"/>
          <c:tx>
            <c:strRef>
              <c:f>ChartData_old!$M$121</c:f>
              <c:strCache>
                <c:ptCount val="1"/>
                <c:pt idx="0">
                  <c:v>97.5 percentile for 75th-OAK</c:v>
                </c:pt>
              </c:strCache>
            </c:strRef>
          </c:tx>
          <c:spPr>
            <a:solidFill>
              <a:schemeClr val="accent4"/>
            </a:solidFill>
            <a:ln>
              <a:noFill/>
            </a:ln>
            <a:effectLst/>
          </c:spPr>
          <c:invertIfNegative val="0"/>
          <c:cat>
            <c:multiLvlStrRef>
              <c:f>ChartData_old!$A$2:$C$20</c:f>
              <c:multiLvlStrCache>
                <c:ptCount val="19"/>
                <c:lvl>
                  <c:pt idx="0">
                    <c:v>FOAK</c:v>
                  </c:pt>
                  <c:pt idx="1">
                    <c:v>NOAK</c:v>
                  </c:pt>
                  <c:pt idx="2">
                    <c:v>10th-OAK</c:v>
                  </c:pt>
                  <c:pt idx="3">
                    <c:v>FOAK</c:v>
                  </c:pt>
                  <c:pt idx="4">
                    <c:v>NOAK</c:v>
                  </c:pt>
                  <c:pt idx="5">
                    <c:v>10th-OAK</c:v>
                  </c:pt>
                  <c:pt idx="6">
                    <c:v>Advanced NOAK</c:v>
                  </c:pt>
                  <c:pt idx="7">
                    <c:v>FOAK</c:v>
                  </c:pt>
                  <c:pt idx="8">
                    <c:v>NOAK</c:v>
                  </c:pt>
                  <c:pt idx="9">
                    <c:v>10th-OAK</c:v>
                  </c:pt>
                  <c:pt idx="10">
                    <c:v>FOAK</c:v>
                  </c:pt>
                  <c:pt idx="11">
                    <c:v>NOAK</c:v>
                  </c:pt>
                  <c:pt idx="12">
                    <c:v>10th-OAK</c:v>
                  </c:pt>
                  <c:pt idx="13">
                    <c:v>FOAK</c:v>
                  </c:pt>
                  <c:pt idx="14">
                    <c:v>NOAK</c:v>
                  </c:pt>
                  <c:pt idx="15">
                    <c:v>10th-OAK</c:v>
                  </c:pt>
                  <c:pt idx="16">
                    <c:v>FOAK</c:v>
                  </c:pt>
                  <c:pt idx="17">
                    <c:v>NOAK</c:v>
                  </c:pt>
                  <c:pt idx="18">
                    <c:v>10th-OAK</c:v>
                  </c:pt>
                </c:lvl>
                <c:lvl>
                  <c:pt idx="0">
                    <c:v>Inertial</c:v>
                  </c:pt>
                  <c:pt idx="1">
                    <c:v>Inertial</c:v>
                  </c:pt>
                  <c:pt idx="2">
                    <c:v>Inertial</c:v>
                  </c:pt>
                  <c:pt idx="3">
                    <c:v>Tokamak</c:v>
                  </c:pt>
                  <c:pt idx="4">
                    <c:v>Tokamak</c:v>
                  </c:pt>
                  <c:pt idx="5">
                    <c:v>Tokamak</c:v>
                  </c:pt>
                  <c:pt idx="6">
                    <c:v>Tokamak</c:v>
                  </c:pt>
                  <c:pt idx="7">
                    <c:v>Helical</c:v>
                  </c:pt>
                  <c:pt idx="8">
                    <c:v>Helical</c:v>
                  </c:pt>
                  <c:pt idx="9">
                    <c:v>Helical</c:v>
                  </c:pt>
                  <c:pt idx="10">
                    <c:v>RFP</c:v>
                  </c:pt>
                  <c:pt idx="11">
                    <c:v>RFP</c:v>
                  </c:pt>
                  <c:pt idx="12">
                    <c:v>RFP</c:v>
                  </c:pt>
                  <c:pt idx="13">
                    <c:v>Mirror</c:v>
                  </c:pt>
                  <c:pt idx="14">
                    <c:v>Mirror</c:v>
                  </c:pt>
                  <c:pt idx="15">
                    <c:v>Mirror</c:v>
                  </c:pt>
                  <c:pt idx="16">
                    <c:v>Magneto-Inertial</c:v>
                  </c:pt>
                  <c:pt idx="17">
                    <c:v>Magneto-Inertial</c:v>
                  </c:pt>
                  <c:pt idx="18">
                    <c:v>Magneto-Inertial</c:v>
                  </c:pt>
                </c:lvl>
                <c:lvl>
                  <c:pt idx="0">
                    <c:v>ICF</c:v>
                  </c:pt>
                  <c:pt idx="1">
                    <c:v>ICF</c:v>
                  </c:pt>
                  <c:pt idx="2">
                    <c:v>ICF</c:v>
                  </c:pt>
                  <c:pt idx="3">
                    <c:v>MCF</c:v>
                  </c:pt>
                  <c:pt idx="4">
                    <c:v>MCF</c:v>
                  </c:pt>
                  <c:pt idx="5">
                    <c:v>MCF</c:v>
                  </c:pt>
                  <c:pt idx="6">
                    <c:v>MCF</c:v>
                  </c:pt>
                  <c:pt idx="7">
                    <c:v>MCF</c:v>
                  </c:pt>
                  <c:pt idx="8">
                    <c:v>MCF</c:v>
                  </c:pt>
                  <c:pt idx="9">
                    <c:v>MCF</c:v>
                  </c:pt>
                  <c:pt idx="10">
                    <c:v>MCF</c:v>
                  </c:pt>
                  <c:pt idx="11">
                    <c:v>MCF</c:v>
                  </c:pt>
                  <c:pt idx="12">
                    <c:v>MCF</c:v>
                  </c:pt>
                  <c:pt idx="13">
                    <c:v>MCF</c:v>
                  </c:pt>
                  <c:pt idx="14">
                    <c:v>MCF</c:v>
                  </c:pt>
                  <c:pt idx="15">
                    <c:v>MCF</c:v>
                  </c:pt>
                  <c:pt idx="16">
                    <c:v>MIF</c:v>
                  </c:pt>
                  <c:pt idx="17">
                    <c:v>MIF</c:v>
                  </c:pt>
                  <c:pt idx="18">
                    <c:v>MIF</c:v>
                  </c:pt>
                </c:lvl>
              </c:multiLvlStrCache>
            </c:multiLvlStrRef>
          </c:cat>
          <c:val>
            <c:numRef>
              <c:f>ChartData_old!$M$122:$M$141</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5B-35F9-4A0C-8716-3374C65C0C2F}"/>
            </c:ext>
          </c:extLst>
        </c:ser>
        <c:dLbls>
          <c:showLegendKey val="0"/>
          <c:showVal val="0"/>
          <c:showCatName val="0"/>
          <c:showSerName val="0"/>
          <c:showPercent val="0"/>
          <c:showBubbleSize val="0"/>
        </c:dLbls>
        <c:gapWidth val="60"/>
        <c:overlap val="100"/>
        <c:axId val="1235677343"/>
        <c:axId val="1235683583"/>
      </c:barChart>
      <c:barChart>
        <c:barDir val="col"/>
        <c:grouping val="stacked"/>
        <c:varyColors val="0"/>
        <c:ser>
          <c:idx val="7"/>
          <c:order val="7"/>
          <c:tx>
            <c:strRef>
              <c:f>ChartData_old!$N$121</c:f>
              <c:strCache>
                <c:ptCount val="1"/>
                <c:pt idx="0">
                  <c:v>97.5 percentile for 100th-OAK</c:v>
                </c:pt>
              </c:strCache>
            </c:strRef>
          </c:tx>
          <c:spPr>
            <a:solidFill>
              <a:schemeClr val="accent2">
                <a:lumMod val="60000"/>
              </a:schemeClr>
            </a:solidFill>
            <a:ln>
              <a:noFill/>
            </a:ln>
            <a:effectLst/>
          </c:spPr>
          <c:invertIfNegative val="0"/>
          <c:cat>
            <c:numRef>
              <c:f>ChartData_old!$I$2:$I$20</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ChartData_old!$N$122:$N$141</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5C-35F9-4A0C-8716-3374C65C0C2F}"/>
            </c:ext>
          </c:extLst>
        </c:ser>
        <c:dLbls>
          <c:showLegendKey val="0"/>
          <c:showVal val="0"/>
          <c:showCatName val="0"/>
          <c:showSerName val="0"/>
          <c:showPercent val="0"/>
          <c:showBubbleSize val="0"/>
        </c:dLbls>
        <c:gapWidth val="150"/>
        <c:overlap val="100"/>
        <c:axId val="1180805679"/>
        <c:axId val="1180805199"/>
      </c:barChart>
      <c:scatterChart>
        <c:scatterStyle val="lineMarker"/>
        <c:varyColors val="0"/>
        <c:ser>
          <c:idx val="4"/>
          <c:order val="4"/>
          <c:tx>
            <c:strRef>
              <c:f>ChartData_old!$E$121</c:f>
              <c:strCache>
                <c:ptCount val="1"/>
                <c:pt idx="0">
                  <c:v>Mean</c:v>
                </c:pt>
              </c:strCache>
            </c:strRef>
          </c:tx>
          <c:spPr>
            <a:ln w="25400" cap="rnd">
              <a:noFill/>
              <a:round/>
            </a:ln>
            <a:effectLst/>
          </c:spPr>
          <c:marker>
            <c:symbol val="circle"/>
            <c:size val="7"/>
            <c:spPr>
              <a:solidFill>
                <a:srgbClr val="FA7268"/>
              </a:solidFill>
              <a:ln w="9525">
                <a:noFill/>
              </a:ln>
              <a:effectLst/>
            </c:spPr>
          </c:marker>
          <c:xVal>
            <c:numRef>
              <c:f>ChartData_old!$I$122:$I$141</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ChartData_old!$E$122:$E$141</c:f>
              <c:numCache>
                <c:formatCode>General</c:formatCode>
                <c:ptCount val="20"/>
                <c:pt idx="0">
                  <c:v>#N/A</c:v>
                </c:pt>
                <c:pt idx="1">
                  <c:v>2100.3070606742936</c:v>
                </c:pt>
                <c:pt idx="2">
                  <c:v>4458.9761418676444</c:v>
                </c:pt>
                <c:pt idx="3">
                  <c:v>11915.65033208227</c:v>
                </c:pt>
                <c:pt idx="4">
                  <c:v>7678.8150836011937</c:v>
                </c:pt>
                <c:pt idx="5">
                  <c:v>5715.4644368060463</c:v>
                </c:pt>
                <c:pt idx="6">
                  <c:v>#N/A</c:v>
                </c:pt>
                <c:pt idx="7">
                  <c:v>#N/A</c:v>
                </c:pt>
                <c:pt idx="8">
                  <c:v>#N/A</c:v>
                </c:pt>
                <c:pt idx="9">
                  <c:v>5888.4655024637586</c:v>
                </c:pt>
                <c:pt idx="10">
                  <c:v>#N/A</c:v>
                </c:pt>
                <c:pt idx="11">
                  <c:v>#N/A</c:v>
                </c:pt>
                <c:pt idx="12">
                  <c:v>#N/A</c:v>
                </c:pt>
                <c:pt idx="13">
                  <c:v>3238.262659861618</c:v>
                </c:pt>
                <c:pt idx="14">
                  <c:v>#N/A</c:v>
                </c:pt>
                <c:pt idx="15">
                  <c:v>#N/A</c:v>
                </c:pt>
                <c:pt idx="16">
                  <c:v>9141.6335963099918</c:v>
                </c:pt>
                <c:pt idx="17">
                  <c:v>#N/A</c:v>
                </c:pt>
                <c:pt idx="18">
                  <c:v>#N/A</c:v>
                </c:pt>
                <c:pt idx="19">
                  <c:v>8439.7391187201483</c:v>
                </c:pt>
              </c:numCache>
            </c:numRef>
          </c:yVal>
          <c:smooth val="0"/>
          <c:extLst>
            <c:ext xmlns:c16="http://schemas.microsoft.com/office/drawing/2014/chart" uri="{C3380CC4-5D6E-409C-BE32-E72D297353CC}">
              <c16:uniqueId val="{0000005D-35F9-4A0C-8716-3374C65C0C2F}"/>
            </c:ext>
          </c:extLst>
        </c:ser>
        <c:ser>
          <c:idx val="5"/>
          <c:order val="5"/>
          <c:tx>
            <c:strRef>
              <c:f>ChartData_old!$F$121</c:f>
              <c:strCache>
                <c:ptCount val="1"/>
                <c:pt idx="0">
                  <c:v>Median</c:v>
                </c:pt>
              </c:strCache>
            </c:strRef>
          </c:tx>
          <c:spPr>
            <a:ln w="25400" cap="rnd">
              <a:noFill/>
              <a:round/>
            </a:ln>
            <a:effectLst/>
          </c:spPr>
          <c:marker>
            <c:symbol val="diamond"/>
            <c:size val="6"/>
            <c:spPr>
              <a:solidFill>
                <a:srgbClr val="6B5876"/>
              </a:solidFill>
              <a:ln w="9525">
                <a:noFill/>
              </a:ln>
              <a:effectLst/>
            </c:spPr>
          </c:marker>
          <c:xVal>
            <c:numRef>
              <c:f>ChartData_old!$I$122:$I$141</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ChartData_old!$F$122:$F$141</c:f>
              <c:numCache>
                <c:formatCode>General</c:formatCode>
                <c:ptCount val="20"/>
                <c:pt idx="0">
                  <c:v>#N/A</c:v>
                </c:pt>
                <c:pt idx="1">
                  <c:v>2100.3070606742936</c:v>
                </c:pt>
                <c:pt idx="2">
                  <c:v>4466.4024745136494</c:v>
                </c:pt>
                <c:pt idx="3">
                  <c:v>11606.754049520958</c:v>
                </c:pt>
                <c:pt idx="4">
                  <c:v>7502.812596837075</c:v>
                </c:pt>
                <c:pt idx="5">
                  <c:v>5514.9683324615162</c:v>
                </c:pt>
                <c:pt idx="6">
                  <c:v>#N/A</c:v>
                </c:pt>
                <c:pt idx="7">
                  <c:v>#N/A</c:v>
                </c:pt>
                <c:pt idx="8">
                  <c:v>#N/A</c:v>
                </c:pt>
                <c:pt idx="9">
                  <c:v>6326.4153748480385</c:v>
                </c:pt>
                <c:pt idx="10">
                  <c:v>#N/A</c:v>
                </c:pt>
                <c:pt idx="11">
                  <c:v>#N/A</c:v>
                </c:pt>
                <c:pt idx="12">
                  <c:v>#N/A</c:v>
                </c:pt>
                <c:pt idx="13">
                  <c:v>3236.5920498783457</c:v>
                </c:pt>
                <c:pt idx="14">
                  <c:v>#N/A</c:v>
                </c:pt>
                <c:pt idx="15">
                  <c:v>#N/A</c:v>
                </c:pt>
                <c:pt idx="16">
                  <c:v>9141.6335963099918</c:v>
                </c:pt>
                <c:pt idx="17">
                  <c:v>#N/A</c:v>
                </c:pt>
                <c:pt idx="18">
                  <c:v>#N/A</c:v>
                </c:pt>
                <c:pt idx="19">
                  <c:v>9158.1631924624417</c:v>
                </c:pt>
              </c:numCache>
            </c:numRef>
          </c:yVal>
          <c:smooth val="0"/>
          <c:extLst>
            <c:ext xmlns:c16="http://schemas.microsoft.com/office/drawing/2014/chart" uri="{C3380CC4-5D6E-409C-BE32-E72D297353CC}">
              <c16:uniqueId val="{0000005E-35F9-4A0C-8716-3374C65C0C2F}"/>
            </c:ext>
          </c:extLst>
        </c:ser>
        <c:ser>
          <c:idx val="6"/>
          <c:order val="6"/>
          <c:tx>
            <c:strRef>
              <c:f>ChartData_old!$H$121</c:f>
              <c:strCache>
                <c:ptCount val="1"/>
                <c:pt idx="0">
                  <c:v>MaxΔ</c:v>
                </c:pt>
              </c:strCache>
            </c:strRef>
          </c:tx>
          <c:spPr>
            <a:ln w="25400" cap="rnd">
              <a:noFill/>
              <a:round/>
            </a:ln>
            <a:effectLst/>
          </c:spPr>
          <c:marker>
            <c:symbol val="none"/>
          </c:marker>
          <c:errBars>
            <c:errDir val="y"/>
            <c:errBarType val="plus"/>
            <c:errValType val="cust"/>
            <c:noEndCap val="0"/>
            <c:plus>
              <c:numRef>
                <c:f>ChartData_old!$H$2:$H$20</c:f>
                <c:numCache>
                  <c:formatCode>General</c:formatCode>
                  <c:ptCount val="19"/>
                  <c:pt idx="0">
                    <c:v>#N/A</c:v>
                  </c:pt>
                  <c:pt idx="1">
                    <c:v>0</c:v>
                  </c:pt>
                  <c:pt idx="2">
                    <c:v>125.91159828571472</c:v>
                  </c:pt>
                  <c:pt idx="3">
                    <c:v>1775.0051940528465</c:v>
                  </c:pt>
                  <c:pt idx="4">
                    <c:v>693.18304148587413</c:v>
                  </c:pt>
                  <c:pt idx="5">
                    <c:v>2080.8790000795052</c:v>
                  </c:pt>
                  <c:pt idx="6">
                    <c:v>64.803465369492187</c:v>
                  </c:pt>
                  <c:pt idx="7">
                    <c:v>#N/A</c:v>
                  </c:pt>
                  <c:pt idx="8">
                    <c:v>28.462490180476379</c:v>
                  </c:pt>
                  <c:pt idx="9">
                    <c:v>#N/A</c:v>
                  </c:pt>
                  <c:pt idx="10">
                    <c:v>#N/A</c:v>
                  </c:pt>
                  <c:pt idx="11">
                    <c:v>#N/A</c:v>
                  </c:pt>
                  <c:pt idx="12">
                    <c:v>3.7803517335764809</c:v>
                  </c:pt>
                  <c:pt idx="13">
                    <c:v>#N/A</c:v>
                  </c:pt>
                  <c:pt idx="14">
                    <c:v>#N/A</c:v>
                  </c:pt>
                  <c:pt idx="15">
                    <c:v>26.899786739662886</c:v>
                  </c:pt>
                  <c:pt idx="16">
                    <c:v>#N/A</c:v>
                  </c:pt>
                  <c:pt idx="17">
                    <c:v>#N/A</c:v>
                  </c:pt>
                  <c:pt idx="18">
                    <c:v>139.84856969449356</c:v>
                  </c:pt>
                </c:numCache>
              </c:numRef>
            </c:plus>
            <c:minus>
              <c:numLit>
                <c:formatCode>General</c:formatCode>
                <c:ptCount val="1"/>
                <c:pt idx="0">
                  <c:v>0</c:v>
                </c:pt>
              </c:numLit>
            </c:minus>
            <c:spPr>
              <a:noFill/>
              <a:ln w="9525" cap="flat" cmpd="sng" algn="ctr">
                <a:solidFill>
                  <a:schemeClr val="tx1">
                    <a:lumMod val="65000"/>
                    <a:lumOff val="35000"/>
                  </a:schemeClr>
                </a:solidFill>
                <a:round/>
              </a:ln>
              <a:effectLst/>
            </c:spPr>
          </c:errBars>
          <c:errBars>
            <c:errDir val="x"/>
            <c:errBarType val="plus"/>
            <c:errValType val="cust"/>
            <c:noEndCap val="0"/>
            <c:plus>
              <c:numLit>
                <c:formatCode>General</c:formatCode>
                <c:ptCount val="1"/>
                <c:pt idx="0">
                  <c:v>0</c:v>
                </c:pt>
              </c:numLit>
            </c:plus>
            <c:minus>
              <c:numLit>
                <c:formatCode>General</c:formatCode>
                <c:ptCount val="1"/>
                <c:pt idx="0">
                  <c:v>0</c:v>
                </c:pt>
              </c:numLit>
            </c:minus>
            <c:spPr>
              <a:noFill/>
              <a:ln w="9525" cap="flat" cmpd="sng" algn="ctr">
                <a:noFill/>
                <a:round/>
              </a:ln>
              <a:effectLst/>
            </c:spPr>
          </c:errBars>
          <c:xVal>
            <c:numRef>
              <c:f>ChartData_old!$I$122:$I$141</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ChartData_old!$G$122:$G$141</c:f>
              <c:numCache>
                <c:formatCode>General</c:formatCode>
                <c:ptCount val="20"/>
                <c:pt idx="0">
                  <c:v>#N/A</c:v>
                </c:pt>
                <c:pt idx="1">
                  <c:v>2100.3070606742936</c:v>
                </c:pt>
                <c:pt idx="2">
                  <c:v>8167.628781002586</c:v>
                </c:pt>
                <c:pt idx="3">
                  <c:v>27331.987939932962</c:v>
                </c:pt>
                <c:pt idx="4">
                  <c:v>15163.336584805127</c:v>
                </c:pt>
                <c:pt idx="5">
                  <c:v>11359.610466228252</c:v>
                </c:pt>
                <c:pt idx="6">
                  <c:v>#N/A</c:v>
                </c:pt>
                <c:pt idx="7">
                  <c:v>#N/A</c:v>
                </c:pt>
                <c:pt idx="8">
                  <c:v>#N/A</c:v>
                </c:pt>
                <c:pt idx="9">
                  <c:v>6701.66861102232</c:v>
                </c:pt>
                <c:pt idx="10">
                  <c:v>#N/A</c:v>
                </c:pt>
                <c:pt idx="11">
                  <c:v>#N/A</c:v>
                </c:pt>
                <c:pt idx="12">
                  <c:v>#N/A</c:v>
                </c:pt>
                <c:pt idx="13">
                  <c:v>3485.5988544708034</c:v>
                </c:pt>
                <c:pt idx="14">
                  <c:v>#N/A</c:v>
                </c:pt>
                <c:pt idx="15">
                  <c:v>#N/A</c:v>
                </c:pt>
                <c:pt idx="16">
                  <c:v>9652.7295443636012</c:v>
                </c:pt>
                <c:pt idx="17">
                  <c:v>#N/A</c:v>
                </c:pt>
                <c:pt idx="18">
                  <c:v>#N/A</c:v>
                </c:pt>
                <c:pt idx="19">
                  <c:v>11815.286016657847</c:v>
                </c:pt>
              </c:numCache>
            </c:numRef>
          </c:yVal>
          <c:smooth val="0"/>
          <c:extLst>
            <c:ext xmlns:c16="http://schemas.microsoft.com/office/drawing/2014/chart" uri="{C3380CC4-5D6E-409C-BE32-E72D297353CC}">
              <c16:uniqueId val="{0000005F-35F9-4A0C-8716-3374C65C0C2F}"/>
            </c:ext>
          </c:extLst>
        </c:ser>
        <c:dLbls>
          <c:showLegendKey val="0"/>
          <c:showVal val="0"/>
          <c:showCatName val="0"/>
          <c:showSerName val="0"/>
          <c:showPercent val="0"/>
          <c:showBubbleSize val="0"/>
        </c:dLbls>
        <c:axId val="1180805679"/>
        <c:axId val="1180805199"/>
      </c:scatterChart>
      <c:catAx>
        <c:axId val="1235677343"/>
        <c:scaling>
          <c:orientation val="minMax"/>
        </c:scaling>
        <c:delete val="0"/>
        <c:axPos val="b"/>
        <c:minorGridlines>
          <c:spPr>
            <a:ln w="9525" cap="flat" cmpd="sng" algn="ctr">
              <a:no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235683583"/>
        <c:crosses val="autoZero"/>
        <c:auto val="1"/>
        <c:lblAlgn val="ctr"/>
        <c:lblOffset val="100"/>
        <c:noMultiLvlLbl val="0"/>
      </c:catAx>
      <c:valAx>
        <c:axId val="1235683583"/>
        <c:scaling>
          <c:orientation val="minMax"/>
          <c:max val="34000"/>
          <c:min val="0"/>
        </c:scaling>
        <c:delete val="0"/>
        <c:axPos val="l"/>
        <c:majorGridlines>
          <c:spPr>
            <a:ln w="9525" cap="flat" cmpd="sng" algn="ctr">
              <a:solidFill>
                <a:schemeClr val="bg2">
                  <a:lumMod val="90000"/>
                  <a:alpha val="50000"/>
                </a:schemeClr>
              </a:solidFill>
              <a:round/>
            </a:ln>
            <a:effectLst/>
          </c:spPr>
        </c:majorGridlines>
        <c:minorGridlines>
          <c:spPr>
            <a:ln w="9525" cap="flat" cmpd="sng" algn="ctr">
              <a:solidFill>
                <a:schemeClr val="bg1">
                  <a:lumMod val="95000"/>
                  <a:alpha val="50000"/>
                </a:schemeClr>
              </a:solidFill>
              <a:round/>
            </a:ln>
            <a:effectLst/>
          </c:spPr>
        </c:minorGridlines>
        <c:numFmt formatCode="General" sourceLinked="1"/>
        <c:majorTickMark val="out"/>
        <c:minorTickMark val="out"/>
        <c:tickLblPos val="nextTo"/>
        <c:spPr>
          <a:noFill/>
          <a:ln>
            <a:solidFill>
              <a:schemeClr val="bg2">
                <a:lumMod val="9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235677343"/>
        <c:crosses val="autoZero"/>
        <c:crossBetween val="between"/>
        <c:majorUnit val="2000"/>
        <c:minorUnit val="400"/>
      </c:valAx>
      <c:valAx>
        <c:axId val="1180805199"/>
        <c:scaling>
          <c:orientation val="minMax"/>
          <c:max val="34000"/>
          <c:min val="0"/>
        </c:scaling>
        <c:delete val="0"/>
        <c:axPos val="l"/>
        <c:minorGridlines>
          <c:spPr>
            <a:ln w="0" cap="flat" cmpd="sng" algn="ctr">
              <a:solidFill>
                <a:schemeClr val="tx1">
                  <a:lumMod val="5000"/>
                  <a:lumOff val="95000"/>
                  <a:alpha val="70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sz="1000"/>
                  <a:t>Overnight Construction Costs [2018 USD/kW]</a:t>
                </a:r>
              </a:p>
            </c:rich>
          </c:tx>
          <c:layout>
            <c:manualLayout>
              <c:xMode val="edge"/>
              <c:yMode val="edge"/>
              <c:x val="4.1585822626839545E-3"/>
              <c:y val="8.5836346437477437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180805679"/>
        <c:crosses val="autoZero"/>
        <c:crossBetween val="between"/>
        <c:majorUnit val="2000"/>
      </c:valAx>
      <c:catAx>
        <c:axId val="1180805679"/>
        <c:scaling>
          <c:orientation val="minMax"/>
        </c:scaling>
        <c:delete val="0"/>
        <c:axPos val="t"/>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crossAx val="1180805199"/>
        <c:crosses val="max"/>
        <c:auto val="1"/>
        <c:lblAlgn val="ctr"/>
        <c:lblOffset val="100"/>
        <c:tickLblSkip val="1"/>
        <c:noMultiLvlLbl val="1"/>
      </c:catAx>
      <c:spPr>
        <a:noFill/>
        <a:ln>
          <a:noFill/>
        </a:ln>
        <a:effectLst/>
      </c:spPr>
    </c:plotArea>
    <c:legend>
      <c:legendPos val="b"/>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31</xdr:col>
      <xdr:colOff>420051</xdr:colOff>
      <xdr:row>12</xdr:row>
      <xdr:rowOff>158750</xdr:rowOff>
    </xdr:from>
    <xdr:to>
      <xdr:col>52</xdr:col>
      <xdr:colOff>447675</xdr:colOff>
      <xdr:row>68</xdr:row>
      <xdr:rowOff>112712</xdr:rowOff>
    </xdr:to>
    <xdr:graphicFrame macro="">
      <xdr:nvGraphicFramePr>
        <xdr:cNvPr id="3" name="Diagramm 1">
          <a:extLst>
            <a:ext uri="{FF2B5EF4-FFF2-40B4-BE49-F238E27FC236}">
              <a16:creationId xmlns:a16="http://schemas.microsoft.com/office/drawing/2014/main" id="{8F671246-5D30-4ADA-96CC-4873291F9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44</xdr:col>
      <xdr:colOff>685800</xdr:colOff>
      <xdr:row>46</xdr:row>
      <xdr:rowOff>76200</xdr:rowOff>
    </xdr:from>
    <xdr:to>
      <xdr:col>70</xdr:col>
      <xdr:colOff>50642</xdr:colOff>
      <xdr:row>104</xdr:row>
      <xdr:rowOff>151764</xdr:rowOff>
    </xdr:to>
    <xdr:graphicFrame macro="">
      <xdr:nvGraphicFramePr>
        <xdr:cNvPr id="11" name="Diagramm 1">
          <a:extLst>
            <a:ext uri="{FF2B5EF4-FFF2-40B4-BE49-F238E27FC236}">
              <a16:creationId xmlns:a16="http://schemas.microsoft.com/office/drawing/2014/main" id="{714B076C-AF1B-4E60-AC6C-8F5603C56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52</xdr:col>
      <xdr:colOff>0</xdr:colOff>
      <xdr:row>31</xdr:row>
      <xdr:rowOff>0</xdr:rowOff>
    </xdr:from>
    <xdr:to>
      <xdr:col>76</xdr:col>
      <xdr:colOff>180182</xdr:colOff>
      <xdr:row>92</xdr:row>
      <xdr:rowOff>142239</xdr:rowOff>
    </xdr:to>
    <xdr:graphicFrame macro="">
      <xdr:nvGraphicFramePr>
        <xdr:cNvPr id="3" name="Diagramm 1">
          <a:extLst>
            <a:ext uri="{FF2B5EF4-FFF2-40B4-BE49-F238E27FC236}">
              <a16:creationId xmlns:a16="http://schemas.microsoft.com/office/drawing/2014/main" id="{6DDB60F6-9F00-4401-BAC9-6215C4E68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306494</xdr:colOff>
      <xdr:row>25</xdr:row>
      <xdr:rowOff>257</xdr:rowOff>
    </xdr:from>
    <xdr:to>
      <xdr:col>17</xdr:col>
      <xdr:colOff>0</xdr:colOff>
      <xdr:row>51</xdr:row>
      <xdr:rowOff>0</xdr:rowOff>
    </xdr:to>
    <xdr:graphicFrame macro="">
      <xdr:nvGraphicFramePr>
        <xdr:cNvPr id="2" name="Diagramm 1">
          <a:extLst>
            <a:ext uri="{FF2B5EF4-FFF2-40B4-BE49-F238E27FC236}">
              <a16:creationId xmlns:a16="http://schemas.microsoft.com/office/drawing/2014/main" id="{4A6A9BFF-C30E-4538-BE28-51B3D7616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401001</xdr:colOff>
      <xdr:row>13</xdr:row>
      <xdr:rowOff>0</xdr:rowOff>
    </xdr:from>
    <xdr:to>
      <xdr:col>55</xdr:col>
      <xdr:colOff>428625</xdr:colOff>
      <xdr:row>68</xdr:row>
      <xdr:rowOff>119062</xdr:rowOff>
    </xdr:to>
    <xdr:graphicFrame macro="">
      <xdr:nvGraphicFramePr>
        <xdr:cNvPr id="3" name="Diagramm 2">
          <a:extLst>
            <a:ext uri="{FF2B5EF4-FFF2-40B4-BE49-F238E27FC236}">
              <a16:creationId xmlns:a16="http://schemas.microsoft.com/office/drawing/2014/main" id="{1B99BC95-A2FC-4842-B053-67571FEE1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367393</xdr:colOff>
      <xdr:row>143</xdr:row>
      <xdr:rowOff>95251</xdr:rowOff>
    </xdr:from>
    <xdr:to>
      <xdr:col>17</xdr:col>
      <xdr:colOff>62804</xdr:colOff>
      <xdr:row>169</xdr:row>
      <xdr:rowOff>93089</xdr:rowOff>
    </xdr:to>
    <xdr:graphicFrame macro="">
      <xdr:nvGraphicFramePr>
        <xdr:cNvPr id="5" name="Diagramm 4">
          <a:extLst>
            <a:ext uri="{FF2B5EF4-FFF2-40B4-BE49-F238E27FC236}">
              <a16:creationId xmlns:a16="http://schemas.microsoft.com/office/drawing/2014/main" id="{5ACE17DC-7997-4044-8E4C-AE90326C1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71</xdr:col>
      <xdr:colOff>409575</xdr:colOff>
      <xdr:row>31</xdr:row>
      <xdr:rowOff>46355</xdr:rowOff>
    </xdr:from>
    <xdr:to>
      <xdr:col>96</xdr:col>
      <xdr:colOff>101600</xdr:colOff>
      <xdr:row>71</xdr:row>
      <xdr:rowOff>46355</xdr:rowOff>
    </xdr:to>
    <xdr:graphicFrame macro="">
      <xdr:nvGraphicFramePr>
        <xdr:cNvPr id="6" name="Diagramm 5">
          <a:extLst>
            <a:ext uri="{FF2B5EF4-FFF2-40B4-BE49-F238E27FC236}">
              <a16:creationId xmlns:a16="http://schemas.microsoft.com/office/drawing/2014/main" id="{3E56B75D-2312-4632-8C0F-DBF1C3C62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306494</xdr:colOff>
      <xdr:row>25</xdr:row>
      <xdr:rowOff>257</xdr:rowOff>
    </xdr:from>
    <xdr:to>
      <xdr:col>17</xdr:col>
      <xdr:colOff>0</xdr:colOff>
      <xdr:row>51</xdr:row>
      <xdr:rowOff>0</xdr:rowOff>
    </xdr:to>
    <xdr:graphicFrame macro="">
      <xdr:nvGraphicFramePr>
        <xdr:cNvPr id="7" name="Diagramm 6">
          <a:extLst>
            <a:ext uri="{FF2B5EF4-FFF2-40B4-BE49-F238E27FC236}">
              <a16:creationId xmlns:a16="http://schemas.microsoft.com/office/drawing/2014/main" id="{0C55F94A-BA4F-17A7-3C11-C27C1A3D2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742316</xdr:colOff>
      <xdr:row>13</xdr:row>
      <xdr:rowOff>1</xdr:rowOff>
    </xdr:from>
    <xdr:to>
      <xdr:col>48</xdr:col>
      <xdr:colOff>15876</xdr:colOff>
      <xdr:row>53</xdr:row>
      <xdr:rowOff>1</xdr:rowOff>
    </xdr:to>
    <xdr:graphicFrame macro="">
      <xdr:nvGraphicFramePr>
        <xdr:cNvPr id="6" name="Diagramm 5">
          <a:extLst>
            <a:ext uri="{FF2B5EF4-FFF2-40B4-BE49-F238E27FC236}">
              <a16:creationId xmlns:a16="http://schemas.microsoft.com/office/drawing/2014/main" id="{2B6DBA1B-46EE-48DC-97E4-47603EB2F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68</xdr:col>
      <xdr:colOff>327660</xdr:colOff>
      <xdr:row>31</xdr:row>
      <xdr:rowOff>19050</xdr:rowOff>
    </xdr:from>
    <xdr:to>
      <xdr:col>93</xdr:col>
      <xdr:colOff>381000</xdr:colOff>
      <xdr:row>88</xdr:row>
      <xdr:rowOff>91440</xdr:rowOff>
    </xdr:to>
    <xdr:graphicFrame macro="">
      <xdr:nvGraphicFramePr>
        <xdr:cNvPr id="5" name="Diagramm 4">
          <a:extLst>
            <a:ext uri="{FF2B5EF4-FFF2-40B4-BE49-F238E27FC236}">
              <a16:creationId xmlns:a16="http://schemas.microsoft.com/office/drawing/2014/main" id="{DA5E44D0-E86F-471B-BF60-6B4E4F9A1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367393</xdr:colOff>
      <xdr:row>143</xdr:row>
      <xdr:rowOff>95251</xdr:rowOff>
    </xdr:from>
    <xdr:to>
      <xdr:col>17</xdr:col>
      <xdr:colOff>62804</xdr:colOff>
      <xdr:row>169</xdr:row>
      <xdr:rowOff>93089</xdr:rowOff>
    </xdr:to>
    <xdr:graphicFrame macro="">
      <xdr:nvGraphicFramePr>
        <xdr:cNvPr id="2" name="Diagramm 1">
          <a:extLst>
            <a:ext uri="{FF2B5EF4-FFF2-40B4-BE49-F238E27FC236}">
              <a16:creationId xmlns:a16="http://schemas.microsoft.com/office/drawing/2014/main" id="{DB7C1093-7C26-4EC8-8DC0-6DA48DF1F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raphes/11WNSR/110404ReactorsNew_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hared/Previously%20Relocated%20Items%201/Moi/Projets/WNISR/WNISR2021-JH/Reactors/WNISR2022/202201ReactorsWNISR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ojets/WNISR/WNISR2016/Reacteurs/Reactors2016/Reacteurs/20160508Redim.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ojets/WNISR/WNISR2015/Reacteurs/20150710Reacteu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o_reacteur"/>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CTORSWNISR2019"/>
      <sheetName val="DATA_CancSusp"/>
      <sheetName val="DATAReactors_Years"/>
      <sheetName val="DATAReactors_Years2021"/>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CTORS.XLS"/>
    </sheetNames>
    <sheetDataSet>
      <sheetData sheetId="0"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B9BC6303-AF04-42EE-BCE7-7266C6E03E82}" autoFormatId="16" applyNumberFormats="0" applyBorderFormats="0" applyFontFormats="0" applyPatternFormats="0" applyAlignmentFormats="0" applyWidthHeightFormats="0">
  <queryTableRefresh nextId="37" unboundColumnsRight="2">
    <queryTableFields count="18">
      <queryTableField id="1" name="No." tableColumnId="1"/>
      <queryTableField id="2" name="Reactor" tableColumnId="2"/>
      <queryTableField id="4" name="Confinement Type" tableColumnId="4"/>
      <queryTableField id="3" name="Reactor Type" tableColumnId="3"/>
      <queryTableField id="5" name="Capacity [MW]" tableColumnId="5"/>
      <queryTableField id="6" name="Cost Type" tableColumnId="6"/>
      <queryTableField id="7" name="Readiness" tableColumnId="7"/>
      <queryTableField id="8" name="Relative/Absolute" tableColumnId="8"/>
      <queryTableField id="9" name="Value" tableColumnId="9"/>
      <queryTableField id="10" name="Unit" tableColumnId="10"/>
      <queryTableField id="11" name="Year" tableColumnId="11"/>
      <queryTableField id="12" name="Reference" tableColumnId="12"/>
      <queryTableField id="31" name="Comment" tableColumnId="15"/>
      <queryTableField id="32" name="Availability/Capacity Factor/Plasma Duration" tableColumnId="16"/>
      <queryTableField id="33" name="Operation" tableColumnId="18"/>
      <queryTableField id="30" name="Contingency" tableColumnId="14"/>
      <queryTableField id="29" dataBound="0" tableColumnId="13"/>
      <queryTableField id="17" dataBound="0" tableColumnId="17"/>
    </queryTableFields>
    <queryTableDeletedFields count="1">
      <deletedField name="Contingency (same currency like other costs)"/>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8" xr16:uid="{49D1EE81-F604-4EA3-9D80-2B2E7B48E2F9}" autoFormatId="16" applyNumberFormats="0" applyBorderFormats="0" applyFontFormats="0" applyPatternFormats="0" applyAlignmentFormats="0" applyWidthHeightFormats="0">
  <queryTableRefresh nextId="24" unboundColumnsRight="3">
    <queryTableFields count="18">
      <queryTableField id="1" name="No." tableColumnId="1"/>
      <queryTableField id="2" name="Reactor" tableColumnId="2"/>
      <queryTableField id="3" name="Confinement Type" tableColumnId="3"/>
      <queryTableField id="4" name="Reactor Type" tableColumnId="4"/>
      <queryTableField id="5" name="Capacity [MW]" tableColumnId="5"/>
      <queryTableField id="6" name="Cost Type" tableColumnId="6"/>
      <queryTableField id="7" name="Readiness" tableColumnId="7"/>
      <queryTableField id="8" name="Relative/Absolute" tableColumnId="8"/>
      <queryTableField id="9" name="Value" tableColumnId="9"/>
      <queryTableField id="10" name="Unit" tableColumnId="10"/>
      <queryTableField id="11" name="Year" tableColumnId="11"/>
      <queryTableField id="12" name="Reference" tableColumnId="12"/>
      <queryTableField id="20" name="Study Type" tableColumnId="14"/>
      <queryTableField id="21" name="Source Type" tableColumnId="15"/>
      <queryTableField id="18" name="Comment" tableColumnId="18"/>
      <queryTableField id="17" dataBound="0" tableColumnId="17"/>
      <queryTableField id="19" dataBound="0" tableColumnId="13"/>
      <queryTableField id="16" dataBound="0" tableColumnId="16"/>
    </queryTableFields>
    <queryTableDeletedFields count="1">
      <deletedField name="Comment"/>
    </queryTableDeleted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BA07-F0F5-42DC-9CE5-F25AEFA74D33}" name="tab_fusion_cost_total2" displayName="tab_fusion_cost_total2" ref="A3:T708" totalsRowShown="0" dataDxfId="77">
  <autoFilter ref="A3:T708" xr:uid="{00000000-000C-0000-FFFF-FFFF02000000}">
    <filterColumn colId="5">
      <filters>
        <filter val="Capital Cost"/>
        <filter val="COE"/>
        <filter val="Direct Capital Cost"/>
        <filter val="Direct Cost"/>
        <filter val="Fuel Cost"/>
        <filter val="Investment Cost"/>
        <filter val="LCOE"/>
        <filter val="O&amp;M Cost"/>
        <filter val="O&amp;M Fixed"/>
        <filter val="O&amp;M Variable"/>
        <filter val="OCC"/>
        <filter val="TCC"/>
      </filters>
    </filterColumn>
    <filterColumn colId="11">
      <filters blank="1">
        <filter val="Anklam et al. (2011)"/>
        <filter val="Badger et al. (1975)"/>
        <filter val="Bednyagin &amp; Gnansounou (2011)"/>
        <filter val="Berwald et al. (1987)"/>
        <filter val="Blink et al. (1985)"/>
        <filter val="C.C. Baker et al. (1980)"/>
        <filter val="Chen et al. (2015)"/>
        <filter val="Chuyanov et al. (2017)"/>
        <filter val="Conn et al. (1990)"/>
        <filter val="Delene (1991)"/>
        <filter val="Delene et al. (1988)"/>
        <filter val="Delene et al. (1988) as cited by Woodruff et al. (2017)"/>
        <filter val="Delene et al. (2001)"/>
        <filter val="Dolan et al. (2005)"/>
        <filter val="Dragojlovic et al. (2010)"/>
        <filter val="Entler et al. (2018)"/>
        <filter val="Famà et al. (2023)"/>
        <filter val="Gi et al. (2020)"/>
        <filter val="Han and Ward (2009)"/>
        <filter val="Helsley and Burke (2014)"/>
        <filter val="Hender et al. (1996)"/>
        <filter val="Hiwatari and Goto (2019)"/>
        <filter val="Hsu et al. (2020)"/>
        <filter val="IAEA (2001)"/>
        <filter val="Jo et al. (2021)"/>
        <filter val="Kessel et al. (2015)"/>
        <filter val="Kikuchi et al. (1996)"/>
        <filter val="Kozaki et al. (2009)"/>
        <filter val="Krakowski (1995)"/>
        <filter val="Lako &amp; Seebregts (1998)"/>
        <filter val="Lee (1987)"/>
        <filter val="Lerede et al. (2023)"/>
        <filter val="Lindley et al. (2023)"/>
        <filter val="Logan et al. in Safety, Environmental Impact, and Economic Prospects of Nuclear Fusion (1990)"/>
        <filter val="Maisonnier et al. (2007)"/>
        <filter val="Maya et al. (1985)"/>
        <filter val="Miller et al. (1991)"/>
        <filter val="Moir (1986) as cited by Woodruff et al. (2017)"/>
        <filter val="Moir (1992)"/>
        <filter val="Najmabadi et al. (1991)"/>
        <filter val="Najmabadi et al. (2006)"/>
        <filter val="Najmabadi et al. (2008)"/>
        <filter val="Oishi et al. (2012)"/>
        <filter val="Sheffield and Milora (2016)"/>
        <filter val="Sheffield et al. (1986)"/>
        <filter val="Spears in Safety, Environmental Impact, and Economic Prospects of Nuclear Fusion (1990)"/>
        <filter val="Takeda et al. (2020)"/>
        <filter val="Tokimatsu et al. (2002)"/>
        <filter val="Tokimatsu et al. (2003)"/>
        <filter val="Tsoulfanidis (1981)"/>
        <filter val="Vaillancourt et al. (2008)"/>
        <filter val="Van den Berg (2016) as cited by Lindley et al (2023) and Roulstone (2021)"/>
        <filter val="Van den Berg (2016) as cited by Roulstone (2021)"/>
        <filter val="Waganer et al. (1992)"/>
        <filter val="Ward / in Maisonnier et al. (2005)"/>
        <filter val="Ward et al. (2005)"/>
        <filter val="Woodruff et al. (2017)"/>
        <filter val="Yamazaki and Dolan (2006)"/>
        <filter val="Yamazaki et al. (2009)"/>
        <filter val="Yamazaki et al. (2011)"/>
      </filters>
    </filterColumn>
  </autoFilter>
  <sortState xmlns:xlrd2="http://schemas.microsoft.com/office/spreadsheetml/2017/richdata2" ref="A4:T697">
    <sortCondition ref="F3:F708"/>
  </sortState>
  <tableColumns count="20">
    <tableColumn id="13" xr3:uid="{4AA561A1-869B-4561-8183-06CD997B6715}" name="No." dataDxfId="76"/>
    <tableColumn id="1" xr3:uid="{20AFBE41-1667-47A9-8E38-DF4CEA9D39C7}" name="Reactor" dataDxfId="75"/>
    <tableColumn id="3" xr3:uid="{A96D474C-320B-4C9C-B474-D864FCB73BDE}" name="Confinement Type" dataDxfId="74"/>
    <tableColumn id="18" xr3:uid="{3F610212-C9A1-46D2-82C9-0CC7D0114DA2}" name="Reactor Type" dataDxfId="73"/>
    <tableColumn id="4" xr3:uid="{B6336225-4992-4516-8D5B-FEC0DB3F8319}" name="Capacity [MW]" dataDxfId="72"/>
    <tableColumn id="5" xr3:uid="{004EB5C8-030C-46F4-9116-F1EE6ADF554C}" name="Cost Type" dataDxfId="71"/>
    <tableColumn id="6" xr3:uid="{591B2594-9064-41C1-866E-8D07F72477C9}" name="Readiness" dataDxfId="70"/>
    <tableColumn id="7" xr3:uid="{CC9652A7-9F9A-431E-97AF-2522F2E72F2E}" name="Relative/Absolute" dataDxfId="69"/>
    <tableColumn id="8" xr3:uid="{579A5E12-5A0A-4155-B470-273D903E34AD}" name="Value" dataDxfId="68"/>
    <tableColumn id="9" xr3:uid="{5FC351E1-9C89-461D-A790-12190A5B29FB}" name="Unit" dataDxfId="67"/>
    <tableColumn id="10" xr3:uid="{EFEB516B-789D-400B-8E0F-41F4C781D31F}" name="Year" dataDxfId="66"/>
    <tableColumn id="11" xr3:uid="{A47E36B1-E805-4B1A-B7F9-B4D5C9828F18}" name="Reference" dataDxfId="65"/>
    <tableColumn id="2" xr3:uid="{12BF2B52-8327-4420-8AE5-F8DA821487B3}" name="Study Type" dataDxfId="64"/>
    <tableColumn id="14" xr3:uid="{39838CFA-9BBC-4E6A-BF69-48F27A171ADC}" name="Source Type" dataDxfId="63"/>
    <tableColumn id="12" xr3:uid="{D1875394-F418-4F12-B083-4CF1F710573A}" name="Comment" dataDxfId="62"/>
    <tableColumn id="16" xr3:uid="{6DD5FAF2-60BE-4D8C-A05C-021D4D1F8206}" name="Availability/Capacity Factor/Plasma Duration" dataDxfId="61"/>
    <tableColumn id="15" xr3:uid="{FE1BB05B-1EF9-4BAE-902F-18AF59412E50}" name="Operational Mode" dataDxfId="60"/>
    <tableColumn id="20" xr3:uid="{19CFA2DA-5E8D-4DA8-950D-4ADF519E4930}" name="Initial Tritium" dataDxfId="59"/>
    <tableColumn id="19" xr3:uid="{96C8965D-6A28-4802-A0B6-DF54F9D8A48F}" name="Contingency" dataDxfId="58"/>
    <tableColumn id="24" xr3:uid="{1E49198E-E688-4EA7-A38D-F9E6EB9DC2A9}" name="Decomissioning Costs/year" dataDxfId="5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_fusion_cost_total" displayName="tab_fusion_cost_total" ref="A3:R708" totalsRowShown="0" headerRowDxfId="1" dataDxfId="0">
  <autoFilter ref="A3:R708" xr:uid="{00000000-000C-0000-FFFF-FFFF02000000}"/>
  <tableColumns count="18">
    <tableColumn id="13" xr3:uid="{00000000-0010-0000-0200-00000D000000}" name="No." dataDxfId="19"/>
    <tableColumn id="1" xr3:uid="{00000000-0010-0000-0200-000001000000}" name="Reactor" dataDxfId="18"/>
    <tableColumn id="3" xr3:uid="{00000000-0010-0000-0200-000003000000}" name="Confinement Type" dataDxfId="17"/>
    <tableColumn id="18" xr3:uid="{EC6D09B4-5B37-4045-90B0-301D10E6C3F3}" name="Reactor Type" dataDxfId="16"/>
    <tableColumn id="4" xr3:uid="{00000000-0010-0000-0200-000004000000}" name="Capacity [MW]" dataDxfId="15"/>
    <tableColumn id="5" xr3:uid="{00000000-0010-0000-0200-000005000000}" name="Cost Type" dataDxfId="14"/>
    <tableColumn id="6" xr3:uid="{00000000-0010-0000-0200-000006000000}" name="Readiness" dataDxfId="13"/>
    <tableColumn id="7" xr3:uid="{00000000-0010-0000-0200-000007000000}" name="Relative/Absolute" dataDxfId="12"/>
    <tableColumn id="8" xr3:uid="{00000000-0010-0000-0200-000008000000}" name="Value" dataDxfId="11"/>
    <tableColumn id="9" xr3:uid="{00000000-0010-0000-0200-000009000000}" name="Unit" dataDxfId="10"/>
    <tableColumn id="10" xr3:uid="{00000000-0010-0000-0200-00000A000000}" name="Year" dataDxfId="9"/>
    <tableColumn id="11" xr3:uid="{00000000-0010-0000-0200-00000B000000}" name="Reference" dataDxfId="8"/>
    <tableColumn id="12" xr3:uid="{00000000-0010-0000-0200-00000C000000}" name="Comment" dataDxfId="7"/>
    <tableColumn id="16" xr3:uid="{4BA813C5-1376-4D52-A169-D762936D5289}" name="Availability/Capacity Factor/Plasma Duration" dataDxfId="6"/>
    <tableColumn id="15" xr3:uid="{94C57A58-9A80-4C4C-8559-C482056B09E2}" name="Operation" dataDxfId="5"/>
    <tableColumn id="20" xr3:uid="{6DF7AD2F-1E85-4E14-BFE8-6F0D52454E9B}" name="Initial Tritium" dataDxfId="4"/>
    <tableColumn id="19" xr3:uid="{BC7559EF-6C34-4F66-8E66-C07A2915F09B}" name="Contingency" dataDxfId="3"/>
    <tableColumn id="24" xr3:uid="{55BF2E4E-3B7B-4890-90AE-02E71900FCB3}" name="Decomissioning Costs/year"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F76CB0-D18F-4186-B133-DEBD99E35875}" name="Fusion" displayName="Fusion" ref="A1:R706" tableType="queryTable" totalsRowShown="0">
  <autoFilter ref="A1:R706" xr:uid="{A2F76CB0-D18F-4186-B133-DEBD99E35875}">
    <filterColumn colId="4">
      <filters>
        <filter val="1000"/>
        <filter val="1010"/>
        <filter val="1080"/>
        <filter val="1083"/>
        <filter val="1100"/>
        <filter val="1160"/>
        <filter val="1164"/>
        <filter val="1185"/>
        <filter val="1198"/>
        <filter val="1200"/>
        <filter val="1203"/>
        <filter val="1209"/>
        <filter val="121.1"/>
        <filter val="1247"/>
        <filter val="1450"/>
        <filter val="150"/>
        <filter val="1500"/>
        <filter val="1598"/>
        <filter val="1601"/>
        <filter val="1604"/>
        <filter val="1700"/>
        <filter val="1940"/>
        <filter val="1985"/>
        <filter val="200"/>
        <filter val="2000"/>
        <filter val="38000"/>
        <filter val="383.1"/>
        <filter val="500"/>
        <filter val="814.4"/>
        <filter val="815"/>
        <filter val="953"/>
        <filter val="970"/>
        <filter val="972"/>
        <filter val="999"/>
      </filters>
    </filterColumn>
    <filterColumn colId="5">
      <filters>
        <filter val="OCC"/>
      </filters>
    </filterColumn>
  </autoFilter>
  <sortState xmlns:xlrd2="http://schemas.microsoft.com/office/spreadsheetml/2017/richdata2" ref="A496:R693">
    <sortCondition ref="L1:L706"/>
  </sortState>
  <tableColumns count="18">
    <tableColumn id="1" xr3:uid="{71DF9A59-07D3-49D5-B1A7-884816FECC95}" uniqueName="1" name="No." queryTableFieldId="1"/>
    <tableColumn id="2" xr3:uid="{EF1F43B7-1643-43F1-8D99-0409D4BB7009}" uniqueName="2" name="Reactor" queryTableFieldId="2" dataDxfId="56"/>
    <tableColumn id="4" xr3:uid="{1FA3D0B1-7DDF-4B55-AF9F-24E79A3D0309}" uniqueName="4" name="Confinement Type" queryTableFieldId="4" dataDxfId="55"/>
    <tableColumn id="3" xr3:uid="{47AFFECC-6F77-4DAD-BD62-4FF9DAC0E26C}" uniqueName="3" name="Reactor Type" queryTableFieldId="3" dataDxfId="54"/>
    <tableColumn id="5" xr3:uid="{51BE4936-89F5-44D4-82F1-000549407E28}" uniqueName="5" name="Capacity [MW]" queryTableFieldId="5"/>
    <tableColumn id="6" xr3:uid="{8313546E-8BED-46BA-9ADA-C9C1A1BB0B22}" uniqueName="6" name="Cost Type" queryTableFieldId="6" dataDxfId="53"/>
    <tableColumn id="7" xr3:uid="{E262287D-DE88-4EFC-B71B-5213D34E3E68}" uniqueName="7" name="Readiness" queryTableFieldId="7" dataDxfId="52"/>
    <tableColumn id="8" xr3:uid="{F79F4808-8701-402B-8961-E6308EA22F4A}" uniqueName="8" name="Relative/Absolute" queryTableFieldId="8" dataDxfId="51"/>
    <tableColumn id="9" xr3:uid="{831AAACE-447C-46EF-A57D-850BDDC2CBFC}" uniqueName="9" name="Value" queryTableFieldId="9"/>
    <tableColumn id="10" xr3:uid="{0876AF46-42F7-4044-B894-FF0427441A88}" uniqueName="10" name="Unit" queryTableFieldId="10" dataDxfId="50"/>
    <tableColumn id="11" xr3:uid="{E6C708FE-D0BB-47BB-8B38-45AFF53448A7}" uniqueName="11" name="Year" queryTableFieldId="11"/>
    <tableColumn id="12" xr3:uid="{2DA54DE9-9480-4F6D-8A26-1416F3D56D86}" uniqueName="12" name="Reference" queryTableFieldId="12" dataDxfId="49"/>
    <tableColumn id="15" xr3:uid="{E2FB9631-36D9-4AAB-A699-6AD496762E6D}" uniqueName="15" name="Comment" queryTableFieldId="31" dataDxfId="48"/>
    <tableColumn id="16" xr3:uid="{7AA89602-BDB4-422C-8391-3F9D9472A62B}" uniqueName="16" name="Availability/Capacity Factor/Plasma Duration" queryTableFieldId="32"/>
    <tableColumn id="18" xr3:uid="{E371EBAB-7562-4460-986D-DBDE1E6739AA}" uniqueName="18" name="Operation" queryTableFieldId="33" dataDxfId="47"/>
    <tableColumn id="14" xr3:uid="{74669B3F-3D79-4E78-A710-012E11FB8816}" uniqueName="14" name="Contingency" queryTableFieldId="30"/>
    <tableColumn id="13" xr3:uid="{06B9BEF4-E0DC-44E2-8625-45AC276E843E}" uniqueName="13" name="Specific OCC Cost [USD/kW, 2018]" queryTableFieldId="29">
      <calculatedColumnFormula>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calculatedColumnFormula>
    </tableColumn>
    <tableColumn id="17" xr3:uid="{4115D54F-3B31-427B-AF8D-7349B6D6BF83}" uniqueName="17" name="Specific OCC Cost [USD/kW, 2018] with Contingency" queryTableFieldId="17" dataDxfId="46">
      <calculatedColumnFormula>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DB869EE-086E-4C8C-B510-5428517F73D1}" name="OtherCosts" displayName="OtherCosts" ref="A1:R706" tableType="queryTable" totalsRowShown="0">
  <autoFilter ref="A1:R706" xr:uid="{2DB869EE-086E-4C8C-B510-5428517F73D1}">
    <filterColumn colId="5">
      <filters>
        <filter val="O&amp;M Cost"/>
        <filter val="O&amp;M Fixed"/>
        <filter val="O&amp;M Variable"/>
      </filters>
    </filterColumn>
  </autoFilter>
  <sortState xmlns:xlrd2="http://schemas.microsoft.com/office/spreadsheetml/2017/richdata2" ref="A3:R702">
    <sortCondition ref="Q1:Q706"/>
  </sortState>
  <tableColumns count="18">
    <tableColumn id="1" xr3:uid="{7B3658B3-4512-4EF5-ACC4-803986ECAA69}" uniqueName="1" name="No." queryTableFieldId="1"/>
    <tableColumn id="2" xr3:uid="{1B8A8ED6-F568-4D06-97E2-B62A1955A583}" uniqueName="2" name="Reactor" queryTableFieldId="2" dataDxfId="45"/>
    <tableColumn id="3" xr3:uid="{BF3E83CB-629A-4208-971B-E8BC2DEAD9F5}" uniqueName="3" name="Confinement Type" queryTableFieldId="3" dataDxfId="44"/>
    <tableColumn id="4" xr3:uid="{06EE47E9-D787-4449-8F05-3D775AE92742}" uniqueName="4" name="Reactor Type" queryTableFieldId="4" dataDxfId="43"/>
    <tableColumn id="5" xr3:uid="{6664A317-B042-4F3C-A5ED-307AA9003574}" uniqueName="5" name="Capacity [MW]" queryTableFieldId="5"/>
    <tableColumn id="6" xr3:uid="{54B8AB08-662F-4D0C-BD6B-A57CA37A6DF4}" uniqueName="6" name="Cost Type" queryTableFieldId="6" dataDxfId="42"/>
    <tableColumn id="7" xr3:uid="{D22F95EF-9060-499D-A554-2172DA07A841}" uniqueName="7" name="Readiness" queryTableFieldId="7" dataDxfId="41"/>
    <tableColumn id="8" xr3:uid="{0F269BC2-D292-45C5-9F8C-48FDA54F5B79}" uniqueName="8" name="Relative/Absolute" queryTableFieldId="8" dataDxfId="40"/>
    <tableColumn id="9" xr3:uid="{4246B07D-F871-438D-99C7-82244BF4492F}" uniqueName="9" name="Value" queryTableFieldId="9"/>
    <tableColumn id="10" xr3:uid="{419F285A-728F-447E-A8F9-EFA48957F13B}" uniqueName="10" name="Unit" queryTableFieldId="10" dataDxfId="39"/>
    <tableColumn id="11" xr3:uid="{154CB9BF-C0B6-40B3-817F-41395C93CE4E}" uniqueName="11" name="Year" queryTableFieldId="11"/>
    <tableColumn id="12" xr3:uid="{EC6710F1-AB85-4047-80D0-0EFEA80A956E}" uniqueName="12" name="Reference" queryTableFieldId="12" dataDxfId="38"/>
    <tableColumn id="14" xr3:uid="{80E9153B-6792-4B57-A3D7-B067618C1079}" uniqueName="14" name="Study Type" queryTableFieldId="20"/>
    <tableColumn id="15" xr3:uid="{C3E57F95-E0D4-4392-A191-B93EBC5D4E70}" uniqueName="15" name="Source Type" queryTableFieldId="21"/>
    <tableColumn id="18" xr3:uid="{0BA39E0B-27F7-4FD3-B44C-A9E9CB6B5B4B}" uniqueName="18" name="Comment" queryTableFieldId="18" dataDxfId="37"/>
    <tableColumn id="17" xr3:uid="{20877391-BA5C-420E-9036-5FDFADD313C6}" uniqueName="17" name="Comment2" queryTableFieldId="17" dataDxfId="36"/>
    <tableColumn id="13" xr3:uid="{BCF1BD07-468F-4F80-BB0B-9266C90CC5B9}" uniqueName="13" name="Cost [USD/MWh, 2018]" queryTableFieldId="19" dataDxfId="35">
      <calculatedColumnFormula>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calculatedColumnFormula>
    </tableColumn>
    <tableColumn id="16" xr3:uid="{CD4C5DD6-A720-4A3D-9EA0-5C18C8FFED0A}" uniqueName="16" name="Cost [USD/kW, 2018]" queryTableFieldId="16" dataDxfId="34">
      <calculatedColumnFormula>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6BDB6F7-2B24-465C-8DFB-678CABF663FA}" name="Map_Conf" displayName="Map_Conf" ref="A1:B4" totalsRowShown="0">
  <autoFilter ref="A1:B4" xr:uid="{36BDB6F7-2B24-465C-8DFB-678CABF663FA}"/>
  <tableColumns count="2">
    <tableColumn id="1" xr3:uid="{D5FC96E3-D96F-4C45-BFB0-9ECB85200E61}" name="From"/>
    <tableColumn id="2" xr3:uid="{C842D946-6D18-4EFF-BD24-50F8C4C63A8D}" name="T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79F3DE8-6572-4B7E-9412-E8F37AD4F948}" name="Map_Reactor" displayName="Map_Reactor" ref="D1:E16" totalsRowShown="0">
  <autoFilter ref="D1:E16" xr:uid="{779F3DE8-6572-4B7E-9412-E8F37AD4F948}"/>
  <sortState xmlns:xlrd2="http://schemas.microsoft.com/office/spreadsheetml/2017/richdata2" ref="D2:E16">
    <sortCondition ref="D1:D16"/>
  </sortState>
  <tableColumns count="2">
    <tableColumn id="1" xr3:uid="{AC80BC07-6320-42FC-A3F2-C563DF78C4A5}" name="From"/>
    <tableColumn id="2" xr3:uid="{520F1DC1-FE00-4E7B-A143-370C78689206}" name="To"/>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E5AC6B3-1A1D-4E43-B987-56A706481579}" name="Tabelle11" displayName="Tabelle11" ref="A2:C68" totalsRowShown="0" headerRowDxfId="33">
  <autoFilter ref="A2:C68" xr:uid="{DE5AC6B3-1A1D-4E43-B987-56A706481579}"/>
  <sortState xmlns:xlrd2="http://schemas.microsoft.com/office/spreadsheetml/2017/richdata2" ref="A3:C68">
    <sortCondition sortBy="cellColor" ref="A2:A68" dxfId="32"/>
  </sortState>
  <tableColumns count="3">
    <tableColumn id="1" xr3:uid="{D295BC5C-07DA-41F5-B824-2CB65C213323}" name="Ref" dataDxfId="31"/>
    <tableColumn id="2" xr3:uid="{24791C55-E3F9-4874-8ADB-E6D4AA0C1FA8}" name="Link" dataDxfId="30"/>
    <tableColumn id="3" xr3:uid="{482141E5-BDD6-48CB-AA7E-C1E6DB2A86C6}" name="Publication Year" dataDxfId="2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FF65682-3ADE-4FF6-97A4-0FAF8631440C}" name="Tabelle1517" displayName="Tabelle1517" ref="A1:G61" totalsRowShown="0" headerRowDxfId="28" dataDxfId="27">
  <autoFilter ref="A1:G61" xr:uid="{5FF65682-3ADE-4FF6-97A4-0FAF8631440C}"/>
  <tableColumns count="7">
    <tableColumn id="1" xr3:uid="{1D86D465-B629-44A0-B76C-60BE08FABE22}" name="Year" dataDxfId="26" dataCellStyle="Standard 7"/>
    <tableColumn id="2" xr3:uid="{C3B0B6B9-51B4-4641-9333-4AAA34550FD0}" name="US_CPI" dataDxfId="25" dataCellStyle="Standard 7"/>
    <tableColumn id="3" xr3:uid="{7D43127C-DA7C-435E-8D1C-0E16C4657561}" name="USD_per_EUR" dataDxfId="24" dataCellStyle="Standard 8"/>
    <tableColumn id="4" xr3:uid="{A9484982-EF57-4CA2-8E37-4D79487EAEF5}" name="DEM_per_USD" dataDxfId="23" dataCellStyle="Standard 8"/>
    <tableColumn id="6" xr3:uid="{B0224AFE-E511-479B-A3D9-2E21FD3C30AD}" name="USD_per_EUR_full" dataDxfId="22" dataCellStyle="Standard 8">
      <calculatedColumnFormula>IFERROR(IF($A2&lt;1999,(1/VALUE($D2))*1.95583,$C2),"")</calculatedColumnFormula>
    </tableColumn>
    <tableColumn id="7" xr3:uid="{7F99B5DF-B921-48A8-A1C1-04590C0D4B44}" name="USD_to_2018_Factor" dataDxfId="21">
      <calculatedColumnFormula xml:space="preserve"> _xlfn.XLOOKUP(2018,$A:$A,$B:$B) / $B2</calculatedColumnFormula>
    </tableColumn>
    <tableColumn id="5" xr3:uid="{4AD1AD92-8F47-42DC-A2F0-84DF1E8DE5B8}" name="EUR_to_USD_2018_factor" dataDxfId="20">
      <calculatedColumnFormula xml:space="preserve"> $E2 * $F2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3" Type="http://schemas.openxmlformats.org/officeDocument/2006/relationships/hyperlink" Target="http://dx.doi.org/10.1088/0029-5515/51/10/103004" TargetMode="External"/><Relationship Id="rId18" Type="http://schemas.openxmlformats.org/officeDocument/2006/relationships/hyperlink" Target="https://www.tandfonline.com/doi/full/10.13182/FST95-A30370" TargetMode="External"/><Relationship Id="rId26" Type="http://schemas.openxmlformats.org/officeDocument/2006/relationships/hyperlink" Target="https://linkinghub.elsevier.com/retrieve/pii/S0920379610000414" TargetMode="External"/><Relationship Id="rId39" Type="http://schemas.openxmlformats.org/officeDocument/2006/relationships/hyperlink" Target="https://www.jspf.or.jp/PFR/PDF/pfr2012_07-2405115.pdf" TargetMode="External"/><Relationship Id="rId21" Type="http://schemas.openxmlformats.org/officeDocument/2006/relationships/hyperlink" Target="https://doi.org/10.13182/FST81-A19927" TargetMode="External"/><Relationship Id="rId34" Type="http://schemas.openxmlformats.org/officeDocument/2006/relationships/hyperlink" Target="http://dx.doi.org/10.1088/0029-5515/47/11/014" TargetMode="External"/><Relationship Id="rId42" Type="http://schemas.openxmlformats.org/officeDocument/2006/relationships/hyperlink" Target="https://doi.org/10.13182/FST96-A11963184" TargetMode="External"/><Relationship Id="rId47" Type="http://schemas.openxmlformats.org/officeDocument/2006/relationships/hyperlink" Target="https://doi.org/10.2172/10172807" TargetMode="External"/><Relationship Id="rId50" Type="http://schemas.openxmlformats.org/officeDocument/2006/relationships/hyperlink" Target="https://link.springer.com/content/pdf/10.1007/978-1-4613-0619-1.pdf" TargetMode="External"/><Relationship Id="rId55" Type="http://schemas.openxmlformats.org/officeDocument/2006/relationships/hyperlink" Target="https://aries.pppl.gov/LIB/REPORT/OTHER/PROMETHEUS/appc.pdf" TargetMode="External"/><Relationship Id="rId7" Type="http://schemas.openxmlformats.org/officeDocument/2006/relationships/hyperlink" Target="https://linkinghub.elsevier.com/retrieve/pii/S0360544218305395" TargetMode="External"/><Relationship Id="rId2" Type="http://schemas.openxmlformats.org/officeDocument/2006/relationships/hyperlink" Target="https://doi.org/10.1016/j.fusengdes.2017.07.017" TargetMode="External"/><Relationship Id="rId16" Type="http://schemas.openxmlformats.org/officeDocument/2006/relationships/hyperlink" Target="https://www.researchgate.net/publication/238109136_An_Assessment_of_the_Economics_of_Future_Electric_Power_Generation_Options_and_the_Implications_for_Fusion_-_Revision_1" TargetMode="External"/><Relationship Id="rId29" Type="http://schemas.openxmlformats.org/officeDocument/2006/relationships/hyperlink" Target="https://doi.org/10.13182/FST96-A11963181" TargetMode="External"/><Relationship Id="rId11" Type="http://schemas.openxmlformats.org/officeDocument/2006/relationships/hyperlink" Target="https://doi.org/10.1016/j.fusengdes.2019.03.150" TargetMode="External"/><Relationship Id="rId24" Type="http://schemas.openxmlformats.org/officeDocument/2006/relationships/hyperlink" Target="https://doi.org/10.13182/FST91-A29444" TargetMode="External"/><Relationship Id="rId32" Type="http://schemas.openxmlformats.org/officeDocument/2006/relationships/hyperlink" Target="https://www.osti.gov/servlets/purl/1178069" TargetMode="External"/><Relationship Id="rId37" Type="http://schemas.openxmlformats.org/officeDocument/2006/relationships/hyperlink" Target="https://www.researchgate.net/publication/4141582_Decommissioning_of_the_Tokamak_Fusion_Test_Reactor" TargetMode="External"/><Relationship Id="rId40" Type="http://schemas.openxmlformats.org/officeDocument/2006/relationships/hyperlink" Target="https://iopscience.iop.org/article/10.1088/0029-5515/42/11/301/pdf" TargetMode="External"/><Relationship Id="rId45" Type="http://schemas.openxmlformats.org/officeDocument/2006/relationships/hyperlink" Target="https://www.osti.gov/servlets/purl/6086979" TargetMode="External"/><Relationship Id="rId53" Type="http://schemas.openxmlformats.org/officeDocument/2006/relationships/hyperlink" Target="https://link.springer.com/content/pdf/10.1007/978-1-4613-0619-1.pdf" TargetMode="External"/><Relationship Id="rId58" Type="http://schemas.openxmlformats.org/officeDocument/2006/relationships/hyperlink" Target="https://iopscience.iop.org/article/10.1088/0029-5515/30/9/015/pdf" TargetMode="External"/><Relationship Id="rId5" Type="http://schemas.openxmlformats.org/officeDocument/2006/relationships/hyperlink" Target="https://doi.org/10.1063/PT.3.5287" TargetMode="External"/><Relationship Id="rId19" Type="http://schemas.openxmlformats.org/officeDocument/2006/relationships/hyperlink" Target="https://cds.cern.ch/record/1054761/files/p467.pdf" TargetMode="External"/><Relationship Id="rId4" Type="http://schemas.openxmlformats.org/officeDocument/2006/relationships/hyperlink" Target="https://www.frontiersin.org/articles/10.3389/fenrg.2023.1157394/full" TargetMode="External"/><Relationship Id="rId9" Type="http://schemas.openxmlformats.org/officeDocument/2006/relationships/hyperlink" Target="https://doi.org/10.1016/j.fusengdes.2005.11.003" TargetMode="External"/><Relationship Id="rId14" Type="http://schemas.openxmlformats.org/officeDocument/2006/relationships/hyperlink" Target="https://www.tandfonline.com/doi/full/10.13182/FST91-A29443" TargetMode="External"/><Relationship Id="rId22" Type="http://schemas.openxmlformats.org/officeDocument/2006/relationships/hyperlink" Target="https://doi.org/10.13182/FST10-329" TargetMode="External"/><Relationship Id="rId27" Type="http://schemas.openxmlformats.org/officeDocument/2006/relationships/hyperlink" Target="https://doi.org/10.1016/j.esr.2019.100432" TargetMode="External"/><Relationship Id="rId30" Type="http://schemas.openxmlformats.org/officeDocument/2006/relationships/hyperlink" Target="https://www-pub.iaea.org/MTCD/Publications/PDF/ITER-EDA-DS-22.pdf" TargetMode="External"/><Relationship Id="rId35" Type="http://schemas.openxmlformats.org/officeDocument/2006/relationships/hyperlink" Target="https://doi.org/10.1007/BF01051015" TargetMode="External"/><Relationship Id="rId43" Type="http://schemas.openxmlformats.org/officeDocument/2006/relationships/hyperlink" Target="http://link.springer.com/10.1007/s10894-020-00230-z" TargetMode="External"/><Relationship Id="rId48" Type="http://schemas.openxmlformats.org/officeDocument/2006/relationships/hyperlink" Target="https://qedfusion.org/LIT/HYLIFE-1.pdf" TargetMode="External"/><Relationship Id="rId56" Type="http://schemas.openxmlformats.org/officeDocument/2006/relationships/hyperlink" Target="https://www.researchgate.net/profile/Charles-Boley/publication/388962587_Baker_et_al_STARFIRE_Commercial_Tokamak_Fusion_Power_Plant_Study_Vol_1_ANL_FPP-80-1_1980/links/67ae99128311ce680c61d208/Baker-et-al-STARFIRE-Commercial-Tokamak-Fusion-Power-Plant-Study-Vol-1-ANL-FPP-80-1-1980.pdf" TargetMode="External"/><Relationship Id="rId8" Type="http://schemas.openxmlformats.org/officeDocument/2006/relationships/hyperlink" Target="https://www.jstage.jst.go.jp/article/pfr/14/0/14_1305047/_pdf/-char/en" TargetMode="External"/><Relationship Id="rId51" Type="http://schemas.openxmlformats.org/officeDocument/2006/relationships/hyperlink" Target="https://fti.neep.wisc.edu/fti.neep.wisc.edu/pdf/fdm150.pdf" TargetMode="External"/><Relationship Id="rId3" Type="http://schemas.openxmlformats.org/officeDocument/2006/relationships/hyperlink" Target="https://www.osti.gov/servlets/purl/1820946" TargetMode="External"/><Relationship Id="rId12" Type="http://schemas.openxmlformats.org/officeDocument/2006/relationships/hyperlink" Target="https://doi.org/10.1016/S0920-3796(02)00286-7" TargetMode="External"/><Relationship Id="rId17" Type="http://schemas.openxmlformats.org/officeDocument/2006/relationships/hyperlink" Target="http://large.stanford.edu/courses/2011/ph240/kumar2/docs/tritium.pdf" TargetMode="External"/><Relationship Id="rId25" Type="http://schemas.openxmlformats.org/officeDocument/2006/relationships/hyperlink" Target="https://www.semanticscholar.org/paper/CHARACTERISATION-OF-POWER-GENERATION-OPTIONS-FOR-21-Seebregts/8153954fe81c174fadc5c78f121e1f8e71f7d15c" TargetMode="External"/><Relationship Id="rId33" Type="http://schemas.openxmlformats.org/officeDocument/2006/relationships/hyperlink" Target="https://doi.org/10.1016/B0-12-176480-X/00305-3" TargetMode="External"/><Relationship Id="rId38" Type="http://schemas.openxmlformats.org/officeDocument/2006/relationships/hyperlink" Target="http://dx.doi.org/10.1088/0029-5515/49/5/055017" TargetMode="External"/><Relationship Id="rId46" Type="http://schemas.openxmlformats.org/officeDocument/2006/relationships/hyperlink" Target="https://doi.org/10.13182/FST15-157" TargetMode="External"/><Relationship Id="rId59" Type="http://schemas.openxmlformats.org/officeDocument/2006/relationships/table" Target="../tables/table7.xml"/><Relationship Id="rId20" Type="http://schemas.openxmlformats.org/officeDocument/2006/relationships/hyperlink" Target="https://www.osti.gov/servlets/purl/6933413" TargetMode="External"/><Relationship Id="rId41" Type="http://schemas.openxmlformats.org/officeDocument/2006/relationships/hyperlink" Target="https://www.sciencedirect.com/science/article/pii/S0301421502001271" TargetMode="External"/><Relationship Id="rId54" Type="http://schemas.openxmlformats.org/officeDocument/2006/relationships/hyperlink" Target="https://conferences.iaea.org/event/304/contributions/24735/attachments/12924/19891/Woodruff-IAEA-2022.pdf" TargetMode="External"/><Relationship Id="rId1" Type="http://schemas.openxmlformats.org/officeDocument/2006/relationships/hyperlink" Target="https://doi.org/10.1016/j.enpol.2010.09.019" TargetMode="External"/><Relationship Id="rId6" Type="http://schemas.openxmlformats.org/officeDocument/2006/relationships/hyperlink" Target="http://link.springer.com/10.1007/BF01053331" TargetMode="External"/><Relationship Id="rId15" Type="http://schemas.openxmlformats.org/officeDocument/2006/relationships/hyperlink" Target="http://rgdoi.net/10.13140/RG.2.2.24116.55688" TargetMode="External"/><Relationship Id="rId23" Type="http://schemas.openxmlformats.org/officeDocument/2006/relationships/hyperlink" Target="https://doi.org/10.1016/j.enpol.2023.113511" TargetMode="External"/><Relationship Id="rId28" Type="http://schemas.openxmlformats.org/officeDocument/2006/relationships/hyperlink" Target="http://dx.doi.org/10.1016/j.nima.2013.05.095" TargetMode="External"/><Relationship Id="rId36" Type="http://schemas.openxmlformats.org/officeDocument/2006/relationships/hyperlink" Target="https://www.sciencedirect.com/science/article/abs/pii/B9780444885081500335?via%3Dihub" TargetMode="External"/><Relationship Id="rId49" Type="http://schemas.openxmlformats.org/officeDocument/2006/relationships/hyperlink" Target="https://scispace.com/pdf/inertial-confinement-fusion-reaction-chamber-and-power-5480dgrvt8.pdf" TargetMode="External"/><Relationship Id="rId57" Type="http://schemas.openxmlformats.org/officeDocument/2006/relationships/hyperlink" Target="https://scispace.com/pdf/updated-reference-design-of-a-liquid-metal-cooled-tandem-l2u3cf4o2p.pdf" TargetMode="External"/><Relationship Id="rId10" Type="http://schemas.openxmlformats.org/officeDocument/2006/relationships/hyperlink" Target="https://doi.org/10.1016/S0920-3796(97)00153-1" TargetMode="External"/><Relationship Id="rId31" Type="http://schemas.openxmlformats.org/officeDocument/2006/relationships/hyperlink" Target="https://doi.org/10.3390/en14206817" TargetMode="External"/><Relationship Id="rId44" Type="http://schemas.openxmlformats.org/officeDocument/2006/relationships/hyperlink" Target="https://fire.pppl.gov/eu_ppcs_full_2005.pdf" TargetMode="External"/><Relationship Id="rId52" Type="http://schemas.openxmlformats.org/officeDocument/2006/relationships/hyperlink" Target="https://doi.org/10.1016/j.ecmx.2024.100668"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doi.org/10.1016/j.rser.2021.110836"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doi.org/10.1016/j.rser.2021.1108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E7C6F-BC54-4222-9A2B-1BD7AD17137E}">
  <sheetPr filterMode="1">
    <tabColor theme="9" tint="0.79998168889431442"/>
  </sheetPr>
  <dimension ref="A2:AC524"/>
  <sheetViews>
    <sheetView showGridLines="0" topLeftCell="A268" zoomScaleNormal="100" workbookViewId="0">
      <selection activeCell="M288" sqref="M288"/>
    </sheetView>
  </sheetViews>
  <sheetFormatPr baseColWidth="10" defaultRowHeight="12.9"/>
  <cols>
    <col min="1" max="1" width="12.52734375" customWidth="1"/>
    <col min="2" max="2" width="12.9375" customWidth="1"/>
    <col min="3" max="3" width="12.52734375" customWidth="1"/>
    <col min="4" max="4" width="15.05859375" customWidth="1"/>
    <col min="5" max="5" width="10.29296875" customWidth="1"/>
    <col min="6" max="6" width="9.52734375" customWidth="1"/>
    <col min="7" max="7" width="11.3515625" hidden="1" customWidth="1"/>
    <col min="8" max="8" width="12.3515625" customWidth="1"/>
    <col min="9" max="9" width="8.1171875" customWidth="1"/>
    <col min="10" max="10" width="7.17578125" customWidth="1"/>
    <col min="11" max="11" width="9" style="334" hidden="1" customWidth="1"/>
    <col min="12" max="12" width="37.87890625" customWidth="1"/>
    <col min="13" max="13" width="22.29296875" customWidth="1"/>
    <col min="14" max="15" width="0" hidden="1" customWidth="1"/>
    <col min="18" max="18" width="21.76171875" customWidth="1"/>
    <col min="19" max="19" width="14.29296875" customWidth="1"/>
    <col min="21" max="21" width="10.87890625" bestFit="1" customWidth="1"/>
    <col min="22" max="22" width="11.1171875" customWidth="1"/>
    <col min="23" max="23" width="10.87890625" customWidth="1"/>
    <col min="24" max="24" width="13.52734375" customWidth="1"/>
    <col min="25" max="25" width="9.9375" customWidth="1"/>
    <col min="26" max="26" width="10.87890625" customWidth="1"/>
    <col min="27" max="27" width="21.46875" customWidth="1"/>
  </cols>
  <sheetData>
    <row r="2" spans="1:15" ht="51.6">
      <c r="A2" s="514" t="s">
        <v>3</v>
      </c>
      <c r="B2" s="515" t="s">
        <v>4</v>
      </c>
      <c r="C2" s="515" t="s">
        <v>5</v>
      </c>
      <c r="D2" s="515" t="s">
        <v>6</v>
      </c>
      <c r="E2" s="515" t="s">
        <v>7</v>
      </c>
      <c r="F2" s="515" t="s">
        <v>8</v>
      </c>
      <c r="G2" s="273" t="s">
        <v>9</v>
      </c>
      <c r="H2" s="515" t="s">
        <v>10</v>
      </c>
      <c r="I2" s="515" t="s">
        <v>11</v>
      </c>
      <c r="J2" s="515" t="s">
        <v>1275</v>
      </c>
      <c r="K2" s="342" t="s">
        <v>1283</v>
      </c>
      <c r="L2" s="515" t="s">
        <v>14</v>
      </c>
      <c r="M2" s="515" t="s">
        <v>13</v>
      </c>
      <c r="N2" s="273" t="s">
        <v>1239</v>
      </c>
      <c r="O2" s="276" t="s">
        <v>718</v>
      </c>
    </row>
    <row r="3" spans="1:15" hidden="1">
      <c r="A3" s="505" t="s">
        <v>29</v>
      </c>
      <c r="B3" s="307" t="s">
        <v>30</v>
      </c>
      <c r="C3" s="307" t="s">
        <v>798</v>
      </c>
      <c r="D3" s="307">
        <v>400</v>
      </c>
      <c r="E3" s="271" t="s">
        <v>217</v>
      </c>
      <c r="F3" s="307" t="s">
        <v>32</v>
      </c>
      <c r="G3" s="271" t="s">
        <v>33</v>
      </c>
      <c r="H3" s="271">
        <v>6000000000</v>
      </c>
      <c r="I3" s="271" t="s">
        <v>34</v>
      </c>
      <c r="J3" s="271">
        <v>2011</v>
      </c>
      <c r="K3" s="335" t="s">
        <v>1254</v>
      </c>
      <c r="L3" s="307" t="s">
        <v>1247</v>
      </c>
      <c r="M3" s="307" t="s">
        <v>35</v>
      </c>
      <c r="N3" s="271" t="s">
        <v>37</v>
      </c>
      <c r="O3" s="294" t="s">
        <v>38</v>
      </c>
    </row>
    <row r="4" spans="1:15" ht="25.8" hidden="1">
      <c r="A4" s="506" t="s">
        <v>51</v>
      </c>
      <c r="B4" s="279" t="s">
        <v>30</v>
      </c>
      <c r="C4" s="279" t="s">
        <v>798</v>
      </c>
      <c r="D4" s="279">
        <v>2200</v>
      </c>
      <c r="E4" s="11" t="s">
        <v>217</v>
      </c>
      <c r="F4" s="279" t="s">
        <v>57</v>
      </c>
      <c r="G4" s="11" t="s">
        <v>33</v>
      </c>
      <c r="H4" s="11">
        <v>5000000000</v>
      </c>
      <c r="I4" s="11" t="s">
        <v>34</v>
      </c>
      <c r="J4" s="11">
        <v>2011</v>
      </c>
      <c r="K4" s="336" t="s">
        <v>1270</v>
      </c>
      <c r="L4" s="279" t="s">
        <v>1248</v>
      </c>
      <c r="M4" s="279" t="s">
        <v>35</v>
      </c>
      <c r="N4" s="11" t="s">
        <v>37</v>
      </c>
      <c r="O4" s="295" t="s">
        <v>38</v>
      </c>
    </row>
    <row r="5" spans="1:15" hidden="1">
      <c r="A5" s="307" t="s">
        <v>56</v>
      </c>
      <c r="B5" s="307" t="s">
        <v>30</v>
      </c>
      <c r="C5" s="307" t="s">
        <v>798</v>
      </c>
      <c r="D5" s="307">
        <v>2660</v>
      </c>
      <c r="E5" s="271" t="s">
        <v>217</v>
      </c>
      <c r="F5" s="307" t="s">
        <v>52</v>
      </c>
      <c r="G5" s="271" t="s">
        <v>33</v>
      </c>
      <c r="H5" s="271">
        <v>4000000000</v>
      </c>
      <c r="I5" s="271" t="s">
        <v>34</v>
      </c>
      <c r="J5" s="271">
        <v>2011</v>
      </c>
      <c r="K5" s="335" t="s">
        <v>1270</v>
      </c>
      <c r="L5" s="307" t="s">
        <v>1247</v>
      </c>
      <c r="M5" s="307" t="s">
        <v>35</v>
      </c>
      <c r="N5" s="271" t="s">
        <v>37</v>
      </c>
      <c r="O5" s="296" t="s">
        <v>38</v>
      </c>
    </row>
    <row r="6" spans="1:15" hidden="1">
      <c r="A6" s="517" t="s">
        <v>443</v>
      </c>
      <c r="B6" s="517" t="s">
        <v>61</v>
      </c>
      <c r="C6" s="517" t="s">
        <v>62</v>
      </c>
      <c r="D6" s="517">
        <v>1985</v>
      </c>
      <c r="E6" s="517" t="s">
        <v>31</v>
      </c>
      <c r="F6" s="517" t="s">
        <v>52</v>
      </c>
      <c r="G6" s="271" t="s">
        <v>33</v>
      </c>
      <c r="H6" s="271">
        <v>3270000000</v>
      </c>
      <c r="I6" s="271" t="s">
        <v>34</v>
      </c>
      <c r="J6" s="271">
        <v>1975</v>
      </c>
      <c r="K6" s="339" t="s">
        <v>1077</v>
      </c>
      <c r="L6" s="517"/>
      <c r="M6" s="517" t="s">
        <v>1075</v>
      </c>
      <c r="N6" s="271" t="s">
        <v>1068</v>
      </c>
      <c r="O6" s="296">
        <v>980000000</v>
      </c>
    </row>
    <row r="7" spans="1:15" ht="25.8" hidden="1">
      <c r="A7" s="307" t="s">
        <v>81</v>
      </c>
      <c r="B7" s="307" t="s">
        <v>61</v>
      </c>
      <c r="C7" s="307" t="s">
        <v>62</v>
      </c>
      <c r="D7" s="307">
        <v>1500</v>
      </c>
      <c r="E7" s="271" t="s">
        <v>75</v>
      </c>
      <c r="F7" s="307" t="s">
        <v>57</v>
      </c>
      <c r="G7" s="271" t="s">
        <v>76</v>
      </c>
      <c r="H7" s="271">
        <v>66.7</v>
      </c>
      <c r="I7" s="271" t="s">
        <v>88</v>
      </c>
      <c r="J7" s="271">
        <v>2011</v>
      </c>
      <c r="K7" s="335" t="s">
        <v>1265</v>
      </c>
      <c r="L7" s="307" t="s">
        <v>1289</v>
      </c>
      <c r="M7" s="307" t="s">
        <v>83</v>
      </c>
      <c r="N7" s="271"/>
      <c r="O7" s="296"/>
    </row>
    <row r="8" spans="1:15" ht="25.8" hidden="1">
      <c r="A8" s="505" t="s">
        <v>81</v>
      </c>
      <c r="B8" s="307" t="s">
        <v>61</v>
      </c>
      <c r="C8" s="307" t="s">
        <v>62</v>
      </c>
      <c r="D8" s="307">
        <v>1500</v>
      </c>
      <c r="E8" s="271" t="s">
        <v>75</v>
      </c>
      <c r="F8" s="307" t="s">
        <v>32</v>
      </c>
      <c r="G8" s="271" t="s">
        <v>76</v>
      </c>
      <c r="H8" s="271">
        <v>78.400000000000006</v>
      </c>
      <c r="I8" s="271" t="s">
        <v>88</v>
      </c>
      <c r="J8" s="271">
        <v>2011</v>
      </c>
      <c r="K8" s="335" t="s">
        <v>706</v>
      </c>
      <c r="L8" s="307" t="s">
        <v>1289</v>
      </c>
      <c r="M8" s="307" t="s">
        <v>83</v>
      </c>
      <c r="N8" s="271" t="s">
        <v>84</v>
      </c>
      <c r="O8" s="294" t="s">
        <v>38</v>
      </c>
    </row>
    <row r="9" spans="1:15" ht="25.8" hidden="1">
      <c r="A9" s="506" t="s">
        <v>81</v>
      </c>
      <c r="B9" s="279" t="s">
        <v>61</v>
      </c>
      <c r="C9" s="279" t="s">
        <v>62</v>
      </c>
      <c r="D9" s="279">
        <v>1500</v>
      </c>
      <c r="E9" s="11" t="s">
        <v>75</v>
      </c>
      <c r="F9" s="279" t="s">
        <v>32</v>
      </c>
      <c r="G9" s="11" t="s">
        <v>76</v>
      </c>
      <c r="H9" s="11">
        <v>64.5</v>
      </c>
      <c r="I9" s="11" t="s">
        <v>88</v>
      </c>
      <c r="J9" s="11">
        <v>2011</v>
      </c>
      <c r="K9" s="336" t="s">
        <v>706</v>
      </c>
      <c r="L9" s="279" t="s">
        <v>1290</v>
      </c>
      <c r="M9" s="279" t="s">
        <v>83</v>
      </c>
      <c r="N9" s="11" t="s">
        <v>84</v>
      </c>
      <c r="O9" s="295" t="s">
        <v>38</v>
      </c>
    </row>
    <row r="10" spans="1:15" ht="25.8" hidden="1">
      <c r="A10" s="307" t="s">
        <v>81</v>
      </c>
      <c r="B10" s="307" t="s">
        <v>61</v>
      </c>
      <c r="C10" s="307" t="s">
        <v>62</v>
      </c>
      <c r="D10" s="307">
        <v>1500</v>
      </c>
      <c r="E10" s="271" t="s">
        <v>75</v>
      </c>
      <c r="F10" s="307" t="s">
        <v>52</v>
      </c>
      <c r="G10" s="271" t="s">
        <v>76</v>
      </c>
      <c r="H10" s="271">
        <v>61.1</v>
      </c>
      <c r="I10" s="271" t="s">
        <v>88</v>
      </c>
      <c r="J10" s="271">
        <v>2011</v>
      </c>
      <c r="K10" s="335" t="s">
        <v>706</v>
      </c>
      <c r="L10" s="307" t="s">
        <v>1289</v>
      </c>
      <c r="M10" s="307" t="s">
        <v>83</v>
      </c>
      <c r="N10" s="271" t="s">
        <v>84</v>
      </c>
      <c r="O10" s="296" t="s">
        <v>38</v>
      </c>
    </row>
    <row r="11" spans="1:15" ht="25.8" hidden="1">
      <c r="A11" s="279" t="s">
        <v>81</v>
      </c>
      <c r="B11" s="279" t="s">
        <v>61</v>
      </c>
      <c r="C11" s="279" t="s">
        <v>62</v>
      </c>
      <c r="D11" s="279">
        <v>1500</v>
      </c>
      <c r="E11" s="11" t="s">
        <v>75</v>
      </c>
      <c r="F11" s="279" t="s">
        <v>52</v>
      </c>
      <c r="G11" s="11" t="s">
        <v>76</v>
      </c>
      <c r="H11" s="11">
        <v>49.3</v>
      </c>
      <c r="I11" s="11" t="s">
        <v>88</v>
      </c>
      <c r="J11" s="11">
        <v>2011</v>
      </c>
      <c r="K11" s="336" t="s">
        <v>706</v>
      </c>
      <c r="L11" s="279" t="s">
        <v>1290</v>
      </c>
      <c r="M11" s="279" t="s">
        <v>83</v>
      </c>
      <c r="N11" s="11" t="s">
        <v>84</v>
      </c>
      <c r="O11" s="297" t="s">
        <v>38</v>
      </c>
    </row>
    <row r="12" spans="1:15" ht="25.8" hidden="1">
      <c r="A12" s="307" t="s">
        <v>81</v>
      </c>
      <c r="B12" s="307" t="s">
        <v>61</v>
      </c>
      <c r="C12" s="307" t="s">
        <v>62</v>
      </c>
      <c r="D12" s="307">
        <v>1500</v>
      </c>
      <c r="E12" s="271" t="s">
        <v>75</v>
      </c>
      <c r="F12" s="307" t="s">
        <v>32</v>
      </c>
      <c r="G12" s="271" t="s">
        <v>76</v>
      </c>
      <c r="H12" s="271">
        <v>51.3</v>
      </c>
      <c r="I12" s="271" t="s">
        <v>88</v>
      </c>
      <c r="J12" s="271">
        <v>2011</v>
      </c>
      <c r="K12" s="335" t="s">
        <v>706</v>
      </c>
      <c r="L12" s="307" t="s">
        <v>1291</v>
      </c>
      <c r="M12" s="307" t="s">
        <v>83</v>
      </c>
      <c r="N12" s="271" t="s">
        <v>84</v>
      </c>
      <c r="O12" s="296" t="s">
        <v>38</v>
      </c>
    </row>
    <row r="13" spans="1:15" ht="25.8" hidden="1">
      <c r="A13" s="279" t="s">
        <v>81</v>
      </c>
      <c r="B13" s="279" t="s">
        <v>61</v>
      </c>
      <c r="C13" s="279" t="s">
        <v>62</v>
      </c>
      <c r="D13" s="279">
        <v>1500</v>
      </c>
      <c r="E13" s="11" t="s">
        <v>75</v>
      </c>
      <c r="F13" s="279" t="s">
        <v>52</v>
      </c>
      <c r="G13" s="11" t="s">
        <v>76</v>
      </c>
      <c r="H13" s="11">
        <v>39.4</v>
      </c>
      <c r="I13" s="11" t="s">
        <v>88</v>
      </c>
      <c r="J13" s="11">
        <v>2011</v>
      </c>
      <c r="K13" s="336" t="s">
        <v>706</v>
      </c>
      <c r="L13" s="307" t="s">
        <v>1291</v>
      </c>
      <c r="M13" s="279" t="s">
        <v>83</v>
      </c>
      <c r="N13" s="11" t="s">
        <v>84</v>
      </c>
      <c r="O13" s="297" t="s">
        <v>38</v>
      </c>
    </row>
    <row r="14" spans="1:15" ht="25.8" hidden="1">
      <c r="A14" s="279" t="s">
        <v>81</v>
      </c>
      <c r="B14" s="279" t="s">
        <v>61</v>
      </c>
      <c r="C14" s="279" t="s">
        <v>62</v>
      </c>
      <c r="D14" s="279">
        <v>1500</v>
      </c>
      <c r="E14" s="11" t="s">
        <v>75</v>
      </c>
      <c r="F14" s="279" t="s">
        <v>754</v>
      </c>
      <c r="G14" s="11" t="s">
        <v>76</v>
      </c>
      <c r="H14" s="11">
        <v>36.4</v>
      </c>
      <c r="I14" s="11" t="s">
        <v>88</v>
      </c>
      <c r="J14" s="11">
        <v>2011</v>
      </c>
      <c r="K14" s="336" t="s">
        <v>706</v>
      </c>
      <c r="L14" s="307" t="s">
        <v>1291</v>
      </c>
      <c r="M14" s="279" t="s">
        <v>83</v>
      </c>
      <c r="N14" s="11"/>
      <c r="O14" s="297"/>
    </row>
    <row r="15" spans="1:15" ht="38.700000000000003" hidden="1">
      <c r="A15" s="307" t="s">
        <v>81</v>
      </c>
      <c r="B15" s="307" t="s">
        <v>61</v>
      </c>
      <c r="C15" s="307" t="s">
        <v>62</v>
      </c>
      <c r="D15" s="307">
        <v>1500</v>
      </c>
      <c r="E15" s="271" t="s">
        <v>75</v>
      </c>
      <c r="F15" s="307" t="s">
        <v>755</v>
      </c>
      <c r="G15" s="271" t="s">
        <v>76</v>
      </c>
      <c r="H15" s="271">
        <v>54.6</v>
      </c>
      <c r="I15" s="271" t="s">
        <v>88</v>
      </c>
      <c r="J15" s="271">
        <v>2011</v>
      </c>
      <c r="K15" s="335" t="s">
        <v>706</v>
      </c>
      <c r="L15" s="307" t="s">
        <v>1289</v>
      </c>
      <c r="M15" s="307" t="s">
        <v>83</v>
      </c>
      <c r="N15" s="271" t="s">
        <v>84</v>
      </c>
      <c r="O15" s="296" t="s">
        <v>38</v>
      </c>
    </row>
    <row r="16" spans="1:15" ht="38.700000000000003" hidden="1">
      <c r="A16" s="279" t="s">
        <v>81</v>
      </c>
      <c r="B16" s="279" t="s">
        <v>61</v>
      </c>
      <c r="C16" s="279" t="s">
        <v>62</v>
      </c>
      <c r="D16" s="279">
        <v>1500</v>
      </c>
      <c r="E16" s="11" t="s">
        <v>75</v>
      </c>
      <c r="F16" s="279" t="s">
        <v>755</v>
      </c>
      <c r="G16" s="11" t="s">
        <v>76</v>
      </c>
      <c r="H16" s="11">
        <v>42.9</v>
      </c>
      <c r="I16" s="11" t="s">
        <v>88</v>
      </c>
      <c r="J16" s="11">
        <v>2011</v>
      </c>
      <c r="K16" s="336" t="s">
        <v>706</v>
      </c>
      <c r="L16" s="279" t="s">
        <v>1290</v>
      </c>
      <c r="M16" s="279" t="s">
        <v>83</v>
      </c>
      <c r="N16" s="11" t="s">
        <v>84</v>
      </c>
      <c r="O16" s="297" t="s">
        <v>38</v>
      </c>
    </row>
    <row r="17" spans="1:28" ht="38.700000000000003" hidden="1">
      <c r="A17" s="307" t="s">
        <v>81</v>
      </c>
      <c r="B17" s="307" t="s">
        <v>61</v>
      </c>
      <c r="C17" s="307" t="s">
        <v>62</v>
      </c>
      <c r="D17" s="307">
        <v>1500</v>
      </c>
      <c r="E17" s="271" t="s">
        <v>75</v>
      </c>
      <c r="F17" s="307" t="s">
        <v>755</v>
      </c>
      <c r="G17" s="271" t="s">
        <v>76</v>
      </c>
      <c r="H17" s="271">
        <v>34.299999999999997</v>
      </c>
      <c r="I17" s="271" t="s">
        <v>88</v>
      </c>
      <c r="J17" s="271">
        <v>2011</v>
      </c>
      <c r="K17" s="335" t="s">
        <v>706</v>
      </c>
      <c r="L17" s="307" t="s">
        <v>1291</v>
      </c>
      <c r="M17" s="307" t="s">
        <v>83</v>
      </c>
      <c r="N17" s="271" t="s">
        <v>84</v>
      </c>
      <c r="O17" s="296" t="s">
        <v>38</v>
      </c>
    </row>
    <row r="18" spans="1:28" ht="26.1" hidden="1" thickBot="1">
      <c r="A18" s="519" t="s">
        <v>81</v>
      </c>
      <c r="B18" s="519" t="s">
        <v>61</v>
      </c>
      <c r="C18" s="519" t="s">
        <v>62</v>
      </c>
      <c r="D18" s="519">
        <v>1500</v>
      </c>
      <c r="E18" s="519" t="s">
        <v>31</v>
      </c>
      <c r="F18" s="519" t="s">
        <v>32</v>
      </c>
      <c r="G18" s="11" t="s">
        <v>76</v>
      </c>
      <c r="H18" s="11">
        <v>8000</v>
      </c>
      <c r="I18" s="11" t="s">
        <v>82</v>
      </c>
      <c r="J18" s="11">
        <v>2011</v>
      </c>
      <c r="K18" s="336" t="s">
        <v>706</v>
      </c>
      <c r="L18" s="519" t="s">
        <v>1219</v>
      </c>
      <c r="M18" s="519" t="s">
        <v>83</v>
      </c>
      <c r="N18" s="11" t="s">
        <v>84</v>
      </c>
      <c r="O18" s="297" t="s">
        <v>38</v>
      </c>
      <c r="R18" s="365" t="s">
        <v>3</v>
      </c>
      <c r="S18" s="365" t="s">
        <v>1279</v>
      </c>
      <c r="T18" s="365" t="s">
        <v>1280</v>
      </c>
      <c r="U18" s="365" t="s">
        <v>6</v>
      </c>
      <c r="V18" s="365" t="s">
        <v>1281</v>
      </c>
      <c r="W18" s="365" t="s">
        <v>8</v>
      </c>
      <c r="X18" s="365" t="s">
        <v>10</v>
      </c>
      <c r="Y18" s="365" t="s">
        <v>11</v>
      </c>
      <c r="Z18" s="365" t="s">
        <v>1282</v>
      </c>
      <c r="AA18" s="365" t="s">
        <v>14</v>
      </c>
      <c r="AB18" s="365" t="s">
        <v>13</v>
      </c>
    </row>
    <row r="19" spans="1:28" ht="25.8" hidden="1">
      <c r="A19" s="517" t="s">
        <v>90</v>
      </c>
      <c r="B19" s="517" t="s">
        <v>61</v>
      </c>
      <c r="C19" s="517" t="s">
        <v>91</v>
      </c>
      <c r="D19" s="517">
        <v>1198</v>
      </c>
      <c r="E19" s="517" t="s">
        <v>31</v>
      </c>
      <c r="F19" s="517" t="s">
        <v>52</v>
      </c>
      <c r="G19" s="271" t="s">
        <v>33</v>
      </c>
      <c r="H19" s="271">
        <v>4969000000</v>
      </c>
      <c r="I19" s="271" t="s">
        <v>34</v>
      </c>
      <c r="J19" s="271">
        <v>1985</v>
      </c>
      <c r="K19" s="335" t="s">
        <v>94</v>
      </c>
      <c r="L19" s="517" t="s">
        <v>121</v>
      </c>
      <c r="M19" s="517" t="s">
        <v>92</v>
      </c>
      <c r="N19" s="271" t="s">
        <v>84</v>
      </c>
      <c r="O19" s="271">
        <v>436000000</v>
      </c>
      <c r="R19" s="362" t="s">
        <v>443</v>
      </c>
      <c r="S19" s="362" t="s">
        <v>61</v>
      </c>
      <c r="T19" s="362" t="s">
        <v>62</v>
      </c>
      <c r="U19" s="362">
        <v>1985</v>
      </c>
      <c r="V19" s="362" t="s">
        <v>31</v>
      </c>
      <c r="W19" s="362" t="s">
        <v>52</v>
      </c>
      <c r="X19" s="362">
        <v>3270000000</v>
      </c>
      <c r="Y19" s="362" t="s">
        <v>34</v>
      </c>
      <c r="Z19" s="362">
        <v>1975</v>
      </c>
      <c r="AA19" s="362"/>
      <c r="AB19" s="362" t="s">
        <v>1075</v>
      </c>
    </row>
    <row r="20" spans="1:28" ht="49.8" hidden="1">
      <c r="A20" s="521" t="s">
        <v>827</v>
      </c>
      <c r="B20" s="519" t="s">
        <v>30</v>
      </c>
      <c r="C20" s="521" t="s">
        <v>796</v>
      </c>
      <c r="D20" s="521">
        <v>1010</v>
      </c>
      <c r="E20" s="521" t="s">
        <v>31</v>
      </c>
      <c r="F20" s="519" t="s">
        <v>52</v>
      </c>
      <c r="G20" s="8" t="s">
        <v>33</v>
      </c>
      <c r="H20" s="8">
        <v>552000000</v>
      </c>
      <c r="I20" s="8" t="s">
        <v>34</v>
      </c>
      <c r="J20" s="8">
        <v>1983</v>
      </c>
      <c r="K20" s="338" t="s">
        <v>94</v>
      </c>
      <c r="L20" s="521" t="s">
        <v>1221</v>
      </c>
      <c r="M20" s="521" t="s">
        <v>825</v>
      </c>
      <c r="N20" s="297" t="s">
        <v>824</v>
      </c>
      <c r="O20" s="297">
        <v>328000000</v>
      </c>
      <c r="R20" s="362" t="s">
        <v>81</v>
      </c>
      <c r="S20" s="362" t="s">
        <v>61</v>
      </c>
      <c r="T20" s="362" t="s">
        <v>62</v>
      </c>
      <c r="U20" s="362">
        <v>1500</v>
      </c>
      <c r="V20" s="362" t="s">
        <v>31</v>
      </c>
      <c r="W20" s="362" t="s">
        <v>32</v>
      </c>
      <c r="X20" s="362">
        <v>8000</v>
      </c>
      <c r="Y20" s="362" t="s">
        <v>82</v>
      </c>
      <c r="Z20" s="362">
        <v>2011</v>
      </c>
      <c r="AA20" s="362" t="s">
        <v>1219</v>
      </c>
      <c r="AB20" s="362" t="s">
        <v>83</v>
      </c>
    </row>
    <row r="21" spans="1:28" ht="25.8" hidden="1">
      <c r="A21" s="279" t="s">
        <v>81</v>
      </c>
      <c r="B21" s="279" t="s">
        <v>61</v>
      </c>
      <c r="C21" s="279" t="s">
        <v>62</v>
      </c>
      <c r="D21" s="279">
        <v>1500</v>
      </c>
      <c r="E21" s="11" t="s">
        <v>75</v>
      </c>
      <c r="F21" s="279" t="s">
        <v>57</v>
      </c>
      <c r="G21" s="11" t="s">
        <v>76</v>
      </c>
      <c r="H21" s="11">
        <v>54.8</v>
      </c>
      <c r="I21" s="11" t="s">
        <v>88</v>
      </c>
      <c r="J21" s="11">
        <v>2011</v>
      </c>
      <c r="K21" s="293"/>
      <c r="L21" s="279" t="s">
        <v>1290</v>
      </c>
      <c r="M21" s="279" t="s">
        <v>83</v>
      </c>
      <c r="N21" s="11"/>
      <c r="O21" s="297"/>
      <c r="R21" s="353" t="s">
        <v>90</v>
      </c>
      <c r="S21" s="353" t="s">
        <v>61</v>
      </c>
      <c r="T21" s="353" t="s">
        <v>91</v>
      </c>
      <c r="U21" s="353">
        <v>1198</v>
      </c>
      <c r="V21" s="353" t="s">
        <v>31</v>
      </c>
      <c r="W21" s="353" t="s">
        <v>52</v>
      </c>
      <c r="X21" s="353">
        <v>4969000000</v>
      </c>
      <c r="Y21" s="353" t="s">
        <v>34</v>
      </c>
      <c r="Z21" s="353">
        <v>1985</v>
      </c>
      <c r="AA21" s="353" t="s">
        <v>121</v>
      </c>
      <c r="AB21" s="353" t="s">
        <v>92</v>
      </c>
    </row>
    <row r="22" spans="1:28" ht="25.8" hidden="1">
      <c r="A22" s="307" t="s">
        <v>81</v>
      </c>
      <c r="B22" s="307" t="s">
        <v>61</v>
      </c>
      <c r="C22" s="307" t="s">
        <v>62</v>
      </c>
      <c r="D22" s="307">
        <v>1500</v>
      </c>
      <c r="E22" s="271" t="s">
        <v>75</v>
      </c>
      <c r="F22" s="307" t="s">
        <v>57</v>
      </c>
      <c r="G22" s="271" t="s">
        <v>76</v>
      </c>
      <c r="H22" s="271">
        <v>43.6</v>
      </c>
      <c r="I22" s="271" t="s">
        <v>88</v>
      </c>
      <c r="J22" s="271">
        <v>2011</v>
      </c>
      <c r="K22" s="292"/>
      <c r="L22" s="307" t="s">
        <v>1291</v>
      </c>
      <c r="M22" s="307" t="s">
        <v>83</v>
      </c>
      <c r="N22" s="271"/>
      <c r="O22" s="296"/>
      <c r="R22" s="8" t="s">
        <v>827</v>
      </c>
      <c r="S22" s="11" t="s">
        <v>30</v>
      </c>
      <c r="T22" s="8" t="s">
        <v>796</v>
      </c>
      <c r="U22" s="8">
        <v>1010</v>
      </c>
      <c r="V22" s="8" t="s">
        <v>31</v>
      </c>
      <c r="W22" s="11" t="s">
        <v>52</v>
      </c>
      <c r="X22" s="8">
        <v>552000000</v>
      </c>
      <c r="Y22" s="8" t="s">
        <v>34</v>
      </c>
      <c r="Z22" s="8">
        <v>1983</v>
      </c>
      <c r="AA22" s="316" t="s">
        <v>1221</v>
      </c>
      <c r="AB22" s="8" t="s">
        <v>825</v>
      </c>
    </row>
    <row r="23" spans="1:28" ht="25.8" hidden="1">
      <c r="A23" s="506" t="s">
        <v>81</v>
      </c>
      <c r="B23" s="279" t="s">
        <v>61</v>
      </c>
      <c r="C23" s="279" t="s">
        <v>62</v>
      </c>
      <c r="D23" s="279">
        <v>1500</v>
      </c>
      <c r="E23" s="11" t="s">
        <v>75</v>
      </c>
      <c r="F23" s="279" t="s">
        <v>754</v>
      </c>
      <c r="G23" s="11" t="s">
        <v>76</v>
      </c>
      <c r="H23" s="11">
        <v>57.3</v>
      </c>
      <c r="I23" s="11" t="s">
        <v>88</v>
      </c>
      <c r="J23" s="11">
        <v>2011</v>
      </c>
      <c r="K23" s="293"/>
      <c r="L23" s="279" t="s">
        <v>1290</v>
      </c>
      <c r="M23" s="279" t="s">
        <v>83</v>
      </c>
      <c r="N23" s="11"/>
      <c r="O23" s="295"/>
      <c r="R23" s="309" t="s">
        <v>828</v>
      </c>
      <c r="S23" s="271" t="s">
        <v>30</v>
      </c>
      <c r="T23" s="302" t="s">
        <v>796</v>
      </c>
      <c r="U23" s="302">
        <v>2000</v>
      </c>
      <c r="V23" s="302" t="s">
        <v>31</v>
      </c>
      <c r="W23" s="271" t="s">
        <v>52</v>
      </c>
      <c r="X23" s="302">
        <v>855000000</v>
      </c>
      <c r="Y23" s="302" t="s">
        <v>34</v>
      </c>
      <c r="Z23" s="302">
        <v>1983</v>
      </c>
      <c r="AA23" s="302" t="s">
        <v>821</v>
      </c>
      <c r="AB23" s="302" t="s">
        <v>825</v>
      </c>
    </row>
    <row r="24" spans="1:28" ht="25.8" hidden="1">
      <c r="A24" s="505" t="s">
        <v>81</v>
      </c>
      <c r="B24" s="307" t="s">
        <v>61</v>
      </c>
      <c r="C24" s="307" t="s">
        <v>62</v>
      </c>
      <c r="D24" s="307">
        <v>1500</v>
      </c>
      <c r="E24" s="271" t="s">
        <v>75</v>
      </c>
      <c r="F24" s="307" t="s">
        <v>754</v>
      </c>
      <c r="G24" s="271" t="s">
        <v>76</v>
      </c>
      <c r="H24" s="271">
        <v>45.6</v>
      </c>
      <c r="I24" s="271" t="s">
        <v>88</v>
      </c>
      <c r="J24" s="271">
        <v>2011</v>
      </c>
      <c r="K24" s="292"/>
      <c r="L24" s="307" t="s">
        <v>1291</v>
      </c>
      <c r="M24" s="307" t="s">
        <v>83</v>
      </c>
      <c r="N24" s="271"/>
      <c r="O24" s="294"/>
      <c r="R24" s="272" t="s">
        <v>60</v>
      </c>
      <c r="S24" s="11" t="s">
        <v>61</v>
      </c>
      <c r="T24" s="11" t="s">
        <v>62</v>
      </c>
      <c r="U24" s="11">
        <v>1200</v>
      </c>
      <c r="V24" s="11" t="s">
        <v>31</v>
      </c>
      <c r="W24" s="11" t="s">
        <v>52</v>
      </c>
      <c r="X24" s="11">
        <v>1935530000.0000002</v>
      </c>
      <c r="Y24" s="11" t="s">
        <v>34</v>
      </c>
      <c r="Z24" s="11">
        <v>1980</v>
      </c>
      <c r="AA24" s="316" t="s">
        <v>1253</v>
      </c>
      <c r="AB24" s="11" t="s">
        <v>975</v>
      </c>
    </row>
    <row r="25" spans="1:28" hidden="1">
      <c r="A25" s="300" t="s">
        <v>114</v>
      </c>
      <c r="B25" s="300" t="s">
        <v>61</v>
      </c>
      <c r="C25" s="300" t="s">
        <v>421</v>
      </c>
      <c r="D25" s="301">
        <v>1000</v>
      </c>
      <c r="E25" s="300" t="s">
        <v>108</v>
      </c>
      <c r="F25" s="271" t="s">
        <v>52</v>
      </c>
      <c r="G25" s="300" t="s">
        <v>76</v>
      </c>
      <c r="H25" s="301">
        <v>100</v>
      </c>
      <c r="I25" s="300" t="s">
        <v>77</v>
      </c>
      <c r="J25" s="301">
        <v>1992</v>
      </c>
      <c r="K25" s="303" t="s">
        <v>38</v>
      </c>
      <c r="L25" s="271"/>
      <c r="M25" s="300" t="s">
        <v>420</v>
      </c>
      <c r="N25" s="303" t="s">
        <v>38</v>
      </c>
      <c r="O25" s="296" t="s">
        <v>38</v>
      </c>
      <c r="R25" s="271" t="s">
        <v>139</v>
      </c>
      <c r="S25" s="271" t="s">
        <v>61</v>
      </c>
      <c r="T25" s="271" t="s">
        <v>62</v>
      </c>
      <c r="U25" s="271">
        <v>1200</v>
      </c>
      <c r="V25" s="271" t="s">
        <v>31</v>
      </c>
      <c r="W25" s="271" t="s">
        <v>52</v>
      </c>
      <c r="X25" s="271">
        <v>2853000000</v>
      </c>
      <c r="Y25" s="271" t="s">
        <v>34</v>
      </c>
      <c r="Z25" s="271">
        <v>1990</v>
      </c>
      <c r="AA25" s="271" t="s">
        <v>1220</v>
      </c>
      <c r="AB25" s="271" t="s">
        <v>140</v>
      </c>
    </row>
    <row r="26" spans="1:28" hidden="1">
      <c r="A26" s="162" t="s">
        <v>422</v>
      </c>
      <c r="B26" s="162" t="s">
        <v>61</v>
      </c>
      <c r="C26" s="162" t="s">
        <v>421</v>
      </c>
      <c r="D26" s="157">
        <v>1000</v>
      </c>
      <c r="E26" s="162" t="s">
        <v>108</v>
      </c>
      <c r="F26" s="11" t="s">
        <v>52</v>
      </c>
      <c r="G26" s="162" t="s">
        <v>76</v>
      </c>
      <c r="H26" s="157">
        <v>82</v>
      </c>
      <c r="I26" s="162" t="s">
        <v>77</v>
      </c>
      <c r="J26" s="157">
        <v>1992</v>
      </c>
      <c r="K26" s="304" t="s">
        <v>38</v>
      </c>
      <c r="L26" s="11"/>
      <c r="M26" s="162" t="s">
        <v>420</v>
      </c>
      <c r="N26" s="304" t="s">
        <v>38</v>
      </c>
      <c r="O26" s="297" t="s">
        <v>38</v>
      </c>
      <c r="R26" s="344" t="s">
        <v>143</v>
      </c>
      <c r="S26" s="345" t="s">
        <v>61</v>
      </c>
      <c r="T26" s="345" t="s">
        <v>62</v>
      </c>
      <c r="U26" s="345">
        <v>1200</v>
      </c>
      <c r="V26" s="345" t="s">
        <v>31</v>
      </c>
      <c r="W26" s="345" t="s">
        <v>52</v>
      </c>
      <c r="X26" s="345">
        <v>2547000000</v>
      </c>
      <c r="Y26" s="345" t="s">
        <v>34</v>
      </c>
      <c r="Z26" s="345">
        <v>1990</v>
      </c>
      <c r="AA26" s="345" t="s">
        <v>1220</v>
      </c>
      <c r="AB26" s="345" t="s">
        <v>140</v>
      </c>
    </row>
    <row r="27" spans="1:28" ht="37.5" hidden="1">
      <c r="A27" s="523" t="s">
        <v>828</v>
      </c>
      <c r="B27" s="517" t="s">
        <v>30</v>
      </c>
      <c r="C27" s="520" t="s">
        <v>796</v>
      </c>
      <c r="D27" s="520">
        <v>2000</v>
      </c>
      <c r="E27" s="520" t="s">
        <v>31</v>
      </c>
      <c r="F27" s="517" t="s">
        <v>52</v>
      </c>
      <c r="G27" s="302" t="s">
        <v>33</v>
      </c>
      <c r="H27" s="302">
        <v>855000000</v>
      </c>
      <c r="I27" s="302" t="s">
        <v>34</v>
      </c>
      <c r="J27" s="302">
        <v>1983</v>
      </c>
      <c r="K27" s="339" t="s">
        <v>94</v>
      </c>
      <c r="L27" s="520" t="s">
        <v>821</v>
      </c>
      <c r="M27" s="520" t="s">
        <v>825</v>
      </c>
      <c r="N27" s="296" t="s">
        <v>824</v>
      </c>
      <c r="O27" s="294">
        <v>508000000</v>
      </c>
      <c r="R27" s="362" t="s">
        <v>114</v>
      </c>
      <c r="S27" s="362" t="s">
        <v>61</v>
      </c>
      <c r="T27" s="362" t="s">
        <v>62</v>
      </c>
      <c r="U27" s="362">
        <v>1200</v>
      </c>
      <c r="V27" s="362" t="s">
        <v>31</v>
      </c>
      <c r="W27" s="362" t="s">
        <v>52</v>
      </c>
      <c r="X27" s="362">
        <v>4092000000</v>
      </c>
      <c r="Y27" s="362" t="s">
        <v>34</v>
      </c>
      <c r="Z27" s="362">
        <v>1990</v>
      </c>
      <c r="AA27" s="362" t="s">
        <v>1220</v>
      </c>
      <c r="AB27" s="362" t="s">
        <v>140</v>
      </c>
    </row>
    <row r="28" spans="1:28" ht="270.89999999999998" hidden="1">
      <c r="A28" s="518" t="s">
        <v>60</v>
      </c>
      <c r="B28" s="519" t="s">
        <v>61</v>
      </c>
      <c r="C28" s="519" t="s">
        <v>62</v>
      </c>
      <c r="D28" s="519">
        <v>1200</v>
      </c>
      <c r="E28" s="519" t="s">
        <v>31</v>
      </c>
      <c r="F28" s="519" t="s">
        <v>52</v>
      </c>
      <c r="G28" s="11" t="s">
        <v>33</v>
      </c>
      <c r="H28" s="11">
        <v>1935530000.0000002</v>
      </c>
      <c r="I28" s="11" t="s">
        <v>34</v>
      </c>
      <c r="J28" s="11">
        <v>1980</v>
      </c>
      <c r="K28" s="336" t="s">
        <v>65</v>
      </c>
      <c r="L28" s="521" t="s">
        <v>1253</v>
      </c>
      <c r="M28" s="519" t="s">
        <v>975</v>
      </c>
      <c r="N28" s="279" t="s">
        <v>66</v>
      </c>
      <c r="O28" s="275">
        <v>188040000</v>
      </c>
      <c r="R28" s="366" t="s">
        <v>170</v>
      </c>
      <c r="S28" s="362" t="s">
        <v>61</v>
      </c>
      <c r="T28" s="362" t="s">
        <v>113</v>
      </c>
      <c r="U28" s="362">
        <v>1200</v>
      </c>
      <c r="V28" s="362" t="s">
        <v>31</v>
      </c>
      <c r="W28" s="362" t="s">
        <v>52</v>
      </c>
      <c r="X28" s="362">
        <v>1566300000</v>
      </c>
      <c r="Y28" s="362" t="s">
        <v>34</v>
      </c>
      <c r="Z28" s="362">
        <v>1986</v>
      </c>
      <c r="AA28" s="362" t="s">
        <v>1216</v>
      </c>
      <c r="AB28" s="362" t="s">
        <v>147</v>
      </c>
    </row>
    <row r="29" spans="1:28" ht="25.8" hidden="1">
      <c r="A29" s="505" t="s">
        <v>85</v>
      </c>
      <c r="B29" s="307" t="s">
        <v>61</v>
      </c>
      <c r="C29" s="307" t="s">
        <v>107</v>
      </c>
      <c r="D29" s="307">
        <v>735.77</v>
      </c>
      <c r="E29" s="271" t="s">
        <v>108</v>
      </c>
      <c r="F29" s="307" t="s">
        <v>32</v>
      </c>
      <c r="G29" s="271" t="s">
        <v>76</v>
      </c>
      <c r="H29" s="271">
        <v>0.06</v>
      </c>
      <c r="I29" s="271" t="s">
        <v>109</v>
      </c>
      <c r="J29" s="271">
        <v>2009</v>
      </c>
      <c r="K29" s="335" t="s">
        <v>707</v>
      </c>
      <c r="L29" s="307" t="s">
        <v>1251</v>
      </c>
      <c r="M29" s="307" t="s">
        <v>86</v>
      </c>
      <c r="N29" s="271" t="s">
        <v>84</v>
      </c>
      <c r="O29" s="294" t="s">
        <v>38</v>
      </c>
      <c r="R29" s="354" t="s">
        <v>172</v>
      </c>
      <c r="S29" s="353" t="s">
        <v>61</v>
      </c>
      <c r="T29" s="353" t="s">
        <v>113</v>
      </c>
      <c r="U29" s="353">
        <v>1200</v>
      </c>
      <c r="V29" s="353" t="s">
        <v>31</v>
      </c>
      <c r="W29" s="353" t="s">
        <v>52</v>
      </c>
      <c r="X29" s="353">
        <v>1589200000</v>
      </c>
      <c r="Y29" s="353" t="s">
        <v>34</v>
      </c>
      <c r="Z29" s="353">
        <v>1986</v>
      </c>
      <c r="AA29" s="355" t="s">
        <v>1216</v>
      </c>
      <c r="AB29" s="353" t="s">
        <v>147</v>
      </c>
    </row>
    <row r="30" spans="1:28" ht="38.700000000000003" hidden="1">
      <c r="A30" s="517" t="s">
        <v>100</v>
      </c>
      <c r="B30" s="517" t="s">
        <v>61</v>
      </c>
      <c r="C30" s="517" t="s">
        <v>62</v>
      </c>
      <c r="D30" s="549">
        <v>121.1</v>
      </c>
      <c r="E30" s="517" t="s">
        <v>31</v>
      </c>
      <c r="F30" s="517" t="s">
        <v>32</v>
      </c>
      <c r="G30" s="271" t="s">
        <v>33</v>
      </c>
      <c r="H30" s="271">
        <v>2579400000</v>
      </c>
      <c r="I30" s="271" t="s">
        <v>34</v>
      </c>
      <c r="J30" s="271">
        <v>2009</v>
      </c>
      <c r="K30" s="292" t="s">
        <v>103</v>
      </c>
      <c r="L30" s="520" t="s">
        <v>1241</v>
      </c>
      <c r="M30" s="517" t="s">
        <v>101</v>
      </c>
      <c r="N30" s="271" t="s">
        <v>104</v>
      </c>
      <c r="O30" s="271">
        <v>434600000</v>
      </c>
      <c r="R30" s="362" t="s">
        <v>200</v>
      </c>
      <c r="S30" s="362" t="s">
        <v>61</v>
      </c>
      <c r="T30" s="362" t="s">
        <v>62</v>
      </c>
      <c r="U30" s="362">
        <v>1000</v>
      </c>
      <c r="V30" s="362" t="s">
        <v>31</v>
      </c>
      <c r="W30" s="362" t="s">
        <v>52</v>
      </c>
      <c r="X30" s="362">
        <v>3521500000</v>
      </c>
      <c r="Y30" s="362" t="s">
        <v>34</v>
      </c>
      <c r="Z30" s="362">
        <v>1999</v>
      </c>
      <c r="AA30" s="362" t="s">
        <v>1216</v>
      </c>
      <c r="AB30" s="362" t="s">
        <v>1123</v>
      </c>
    </row>
    <row r="31" spans="1:28" ht="38.700000000000003" hidden="1">
      <c r="A31" s="518" t="s">
        <v>105</v>
      </c>
      <c r="B31" s="519" t="s">
        <v>61</v>
      </c>
      <c r="C31" s="519" t="s">
        <v>62</v>
      </c>
      <c r="D31" s="519">
        <v>121.1</v>
      </c>
      <c r="E31" s="519" t="s">
        <v>31</v>
      </c>
      <c r="F31" s="519" t="s">
        <v>32</v>
      </c>
      <c r="G31" s="11" t="s">
        <v>33</v>
      </c>
      <c r="H31" s="11">
        <v>1414500000</v>
      </c>
      <c r="I31" s="11" t="s">
        <v>34</v>
      </c>
      <c r="J31" s="11">
        <v>2009</v>
      </c>
      <c r="K31" s="293" t="s">
        <v>103</v>
      </c>
      <c r="L31" s="521" t="s">
        <v>1241</v>
      </c>
      <c r="M31" s="519" t="s">
        <v>101</v>
      </c>
      <c r="N31" s="11" t="s">
        <v>104</v>
      </c>
      <c r="O31" s="275">
        <v>238300000</v>
      </c>
      <c r="R31" s="362" t="s">
        <v>188</v>
      </c>
      <c r="S31" s="362" t="s">
        <v>61</v>
      </c>
      <c r="T31" s="362" t="s">
        <v>62</v>
      </c>
      <c r="U31" s="362">
        <v>1000</v>
      </c>
      <c r="V31" s="362" t="s">
        <v>31</v>
      </c>
      <c r="W31" s="362" t="s">
        <v>52</v>
      </c>
      <c r="X31" s="362">
        <v>3880800000</v>
      </c>
      <c r="Y31" s="362" t="s">
        <v>34</v>
      </c>
      <c r="Z31" s="362">
        <v>1999</v>
      </c>
      <c r="AA31" s="362" t="s">
        <v>1216</v>
      </c>
      <c r="AB31" s="362" t="s">
        <v>1123</v>
      </c>
    </row>
    <row r="32" spans="1:28" ht="38.700000000000003" hidden="1">
      <c r="A32" s="516" t="s">
        <v>139</v>
      </c>
      <c r="B32" s="517" t="s">
        <v>61</v>
      </c>
      <c r="C32" s="517" t="s">
        <v>62</v>
      </c>
      <c r="D32" s="517">
        <v>1200</v>
      </c>
      <c r="E32" s="517" t="s">
        <v>31</v>
      </c>
      <c r="F32" s="517" t="s">
        <v>52</v>
      </c>
      <c r="G32" s="271" t="s">
        <v>33</v>
      </c>
      <c r="H32" s="271">
        <v>2853000000</v>
      </c>
      <c r="I32" s="271" t="s">
        <v>34</v>
      </c>
      <c r="J32" s="271">
        <v>1990</v>
      </c>
      <c r="K32" s="335" t="s">
        <v>708</v>
      </c>
      <c r="L32" s="517" t="s">
        <v>1220</v>
      </c>
      <c r="M32" s="517" t="s">
        <v>140</v>
      </c>
      <c r="N32" s="271" t="s">
        <v>84</v>
      </c>
      <c r="O32" s="274">
        <v>557000000</v>
      </c>
      <c r="R32" s="362" t="s">
        <v>281</v>
      </c>
      <c r="S32" s="362" t="s">
        <v>61</v>
      </c>
      <c r="T32" s="367" t="s">
        <v>278</v>
      </c>
      <c r="U32" s="362">
        <v>1940</v>
      </c>
      <c r="V32" s="362" t="s">
        <v>31</v>
      </c>
      <c r="W32" s="362" t="s">
        <v>57</v>
      </c>
      <c r="X32" s="362">
        <v>5767800000</v>
      </c>
      <c r="Y32" s="362" t="s">
        <v>34</v>
      </c>
      <c r="Z32" s="362">
        <v>2003</v>
      </c>
      <c r="AA32" s="362"/>
      <c r="AB32" s="363" t="s">
        <v>279</v>
      </c>
    </row>
    <row r="33" spans="1:28" ht="38.700000000000003" hidden="1">
      <c r="A33" s="518" t="s">
        <v>143</v>
      </c>
      <c r="B33" s="519" t="s">
        <v>61</v>
      </c>
      <c r="C33" s="519" t="s">
        <v>62</v>
      </c>
      <c r="D33" s="519">
        <v>1200</v>
      </c>
      <c r="E33" s="519" t="s">
        <v>31</v>
      </c>
      <c r="F33" s="519" t="s">
        <v>52</v>
      </c>
      <c r="G33" s="11" t="s">
        <v>33</v>
      </c>
      <c r="H33" s="11">
        <v>2547000000</v>
      </c>
      <c r="I33" s="11" t="s">
        <v>34</v>
      </c>
      <c r="J33" s="11">
        <v>1990</v>
      </c>
      <c r="K33" s="336" t="s">
        <v>708</v>
      </c>
      <c r="L33" s="519" t="s">
        <v>1220</v>
      </c>
      <c r="M33" s="519" t="s">
        <v>140</v>
      </c>
      <c r="N33" s="11" t="s">
        <v>84</v>
      </c>
      <c r="O33" s="275">
        <v>469000000</v>
      </c>
      <c r="R33" s="362" t="s">
        <v>207</v>
      </c>
      <c r="S33" s="362" t="s">
        <v>61</v>
      </c>
      <c r="T33" s="362" t="s">
        <v>62</v>
      </c>
      <c r="U33" s="362">
        <v>1000</v>
      </c>
      <c r="V33" s="362" t="s">
        <v>31</v>
      </c>
      <c r="W33" s="362" t="s">
        <v>52</v>
      </c>
      <c r="X33" s="362">
        <v>2105150000</v>
      </c>
      <c r="Y33" s="362" t="s">
        <v>34</v>
      </c>
      <c r="Z33" s="362">
        <v>1992</v>
      </c>
      <c r="AA33" s="362"/>
      <c r="AB33" s="362" t="s">
        <v>1206</v>
      </c>
    </row>
    <row r="34" spans="1:28" ht="37.5" hidden="1">
      <c r="A34" s="517" t="s">
        <v>114</v>
      </c>
      <c r="B34" s="517" t="s">
        <v>61</v>
      </c>
      <c r="C34" s="517" t="s">
        <v>62</v>
      </c>
      <c r="D34" s="517">
        <v>1200</v>
      </c>
      <c r="E34" s="517" t="s">
        <v>31</v>
      </c>
      <c r="F34" s="517" t="s">
        <v>52</v>
      </c>
      <c r="G34" s="271" t="s">
        <v>33</v>
      </c>
      <c r="H34" s="271">
        <v>4092000000</v>
      </c>
      <c r="I34" s="271" t="s">
        <v>34</v>
      </c>
      <c r="J34" s="271">
        <v>1990</v>
      </c>
      <c r="K34" s="335" t="s">
        <v>708</v>
      </c>
      <c r="L34" s="517" t="s">
        <v>1220</v>
      </c>
      <c r="M34" s="517" t="s">
        <v>140</v>
      </c>
      <c r="N34" s="271" t="s">
        <v>84</v>
      </c>
      <c r="O34" s="271">
        <v>636000000</v>
      </c>
      <c r="R34" s="362" t="s">
        <v>222</v>
      </c>
      <c r="S34" s="362" t="s">
        <v>61</v>
      </c>
      <c r="T34" s="362" t="s">
        <v>62</v>
      </c>
      <c r="U34" s="362">
        <v>953</v>
      </c>
      <c r="V34" s="362" t="s">
        <v>31</v>
      </c>
      <c r="W34" s="362" t="s">
        <v>32</v>
      </c>
      <c r="X34" s="362">
        <v>7516000000</v>
      </c>
      <c r="Y34" s="362" t="s">
        <v>34</v>
      </c>
      <c r="Z34" s="362">
        <v>2015</v>
      </c>
      <c r="AA34" s="362" t="s">
        <v>225</v>
      </c>
      <c r="AB34" s="362" t="s">
        <v>223</v>
      </c>
    </row>
    <row r="35" spans="1:28" ht="25.8" hidden="1">
      <c r="A35" s="516" t="s">
        <v>60</v>
      </c>
      <c r="B35" s="517" t="s">
        <v>61</v>
      </c>
      <c r="C35" s="517" t="s">
        <v>62</v>
      </c>
      <c r="D35" s="517">
        <v>1200</v>
      </c>
      <c r="E35" s="517" t="s">
        <v>63</v>
      </c>
      <c r="F35" s="517" t="s">
        <v>52</v>
      </c>
      <c r="G35" s="271" t="s">
        <v>76</v>
      </c>
      <c r="H35" s="517">
        <v>0.04</v>
      </c>
      <c r="I35" s="517" t="s">
        <v>77</v>
      </c>
      <c r="J35" s="517">
        <v>1980</v>
      </c>
      <c r="K35" s="296" t="s">
        <v>38</v>
      </c>
      <c r="L35" s="517"/>
      <c r="M35" s="517" t="s">
        <v>975</v>
      </c>
      <c r="N35" s="296" t="s">
        <v>38</v>
      </c>
      <c r="O35" s="294" t="s">
        <v>38</v>
      </c>
      <c r="R35" s="356" t="s">
        <v>818</v>
      </c>
      <c r="S35" s="356" t="s">
        <v>30</v>
      </c>
      <c r="T35" s="356" t="s">
        <v>815</v>
      </c>
      <c r="U35" s="356">
        <v>38000</v>
      </c>
      <c r="V35" s="356" t="s">
        <v>31</v>
      </c>
      <c r="W35" s="356" t="s">
        <v>57</v>
      </c>
      <c r="X35" s="356">
        <v>75244000000</v>
      </c>
      <c r="Y35" s="356" t="s">
        <v>34</v>
      </c>
      <c r="Z35" s="356">
        <v>2014</v>
      </c>
      <c r="AA35" s="356" t="s">
        <v>1244</v>
      </c>
      <c r="AB35" s="356" t="s">
        <v>248</v>
      </c>
    </row>
    <row r="36" spans="1:28" ht="38.700000000000003" hidden="1">
      <c r="A36" s="518" t="s">
        <v>146</v>
      </c>
      <c r="B36" s="519" t="s">
        <v>61</v>
      </c>
      <c r="C36" s="519" t="s">
        <v>62</v>
      </c>
      <c r="D36" s="519">
        <v>1200</v>
      </c>
      <c r="E36" s="519" t="s">
        <v>63</v>
      </c>
      <c r="F36" s="519" t="s">
        <v>52</v>
      </c>
      <c r="G36" s="11" t="s">
        <v>76</v>
      </c>
      <c r="H36" s="519">
        <v>0.35563751317175973</v>
      </c>
      <c r="I36" s="519" t="s">
        <v>128</v>
      </c>
      <c r="J36" s="519">
        <v>1986</v>
      </c>
      <c r="K36" s="297" t="s">
        <v>122</v>
      </c>
      <c r="L36" s="519"/>
      <c r="M36" s="519" t="s">
        <v>147</v>
      </c>
      <c r="N36" s="304" t="s">
        <v>38</v>
      </c>
      <c r="O36" s="295" t="s">
        <v>38</v>
      </c>
      <c r="R36" s="271" t="s">
        <v>253</v>
      </c>
      <c r="S36" s="271" t="s">
        <v>61</v>
      </c>
      <c r="T36" s="271" t="s">
        <v>62</v>
      </c>
      <c r="U36" s="271">
        <v>1160</v>
      </c>
      <c r="V36" s="271" t="s">
        <v>31</v>
      </c>
      <c r="W36" s="271" t="s">
        <v>32</v>
      </c>
      <c r="X36" s="271">
        <v>7980000</v>
      </c>
      <c r="Y36" s="271" t="s">
        <v>254</v>
      </c>
      <c r="Z36" s="271">
        <v>2019</v>
      </c>
      <c r="AA36" s="271"/>
      <c r="AB36" s="271" t="s">
        <v>1126</v>
      </c>
    </row>
    <row r="37" spans="1:28" ht="38.700000000000003" hidden="1">
      <c r="A37" s="520" t="s">
        <v>165</v>
      </c>
      <c r="B37" s="517" t="s">
        <v>61</v>
      </c>
      <c r="C37" s="517" t="s">
        <v>62</v>
      </c>
      <c r="D37" s="517">
        <v>1200</v>
      </c>
      <c r="E37" s="517" t="s">
        <v>63</v>
      </c>
      <c r="F37" s="517" t="s">
        <v>52</v>
      </c>
      <c r="G37" s="271" t="s">
        <v>76</v>
      </c>
      <c r="H37" s="517">
        <v>0.35563751317175973</v>
      </c>
      <c r="I37" s="517" t="s">
        <v>128</v>
      </c>
      <c r="J37" s="517">
        <v>1986</v>
      </c>
      <c r="K37" s="296" t="s">
        <v>122</v>
      </c>
      <c r="L37" s="517"/>
      <c r="M37" s="517" t="s">
        <v>147</v>
      </c>
      <c r="N37" s="303" t="s">
        <v>38</v>
      </c>
      <c r="O37" s="296" t="s">
        <v>38</v>
      </c>
      <c r="R37" s="11" t="s">
        <v>253</v>
      </c>
      <c r="S37" s="11" t="s">
        <v>61</v>
      </c>
      <c r="T37" s="11" t="s">
        <v>62</v>
      </c>
      <c r="U37" s="11">
        <v>1160</v>
      </c>
      <c r="V37" s="11" t="s">
        <v>31</v>
      </c>
      <c r="W37" s="11" t="s">
        <v>52</v>
      </c>
      <c r="X37" s="11">
        <v>6870000</v>
      </c>
      <c r="Y37" s="11" t="s">
        <v>254</v>
      </c>
      <c r="Z37" s="11">
        <v>2019</v>
      </c>
      <c r="AA37" s="11"/>
      <c r="AB37" s="11" t="s">
        <v>1126</v>
      </c>
    </row>
    <row r="38" spans="1:28" ht="116.1" hidden="1">
      <c r="A38" s="521" t="s">
        <v>170</v>
      </c>
      <c r="B38" s="519" t="s">
        <v>61</v>
      </c>
      <c r="C38" s="519" t="s">
        <v>113</v>
      </c>
      <c r="D38" s="519">
        <v>1200</v>
      </c>
      <c r="E38" s="519" t="s">
        <v>63</v>
      </c>
      <c r="F38" s="519" t="s">
        <v>52</v>
      </c>
      <c r="G38" s="11" t="s">
        <v>76</v>
      </c>
      <c r="H38" s="519">
        <v>0.35563751317175973</v>
      </c>
      <c r="I38" s="519" t="s">
        <v>128</v>
      </c>
      <c r="J38" s="519">
        <v>1986</v>
      </c>
      <c r="K38" s="297" t="s">
        <v>122</v>
      </c>
      <c r="L38" s="519"/>
      <c r="M38" s="519" t="s">
        <v>147</v>
      </c>
      <c r="N38" s="304" t="s">
        <v>38</v>
      </c>
      <c r="O38" s="297" t="s">
        <v>38</v>
      </c>
      <c r="R38" s="271" t="s">
        <v>488</v>
      </c>
      <c r="S38" s="271" t="s">
        <v>470</v>
      </c>
      <c r="T38" s="271" t="s">
        <v>471</v>
      </c>
      <c r="U38" s="271">
        <v>383.1</v>
      </c>
      <c r="V38" s="271" t="s">
        <v>31</v>
      </c>
      <c r="W38" s="271" t="s">
        <v>754</v>
      </c>
      <c r="X38" s="271">
        <v>799800000.00000012</v>
      </c>
      <c r="Y38" s="271" t="s">
        <v>34</v>
      </c>
      <c r="Z38" s="271">
        <v>2020</v>
      </c>
      <c r="AA38" s="307" t="s">
        <v>1240</v>
      </c>
      <c r="AB38" s="271" t="s">
        <v>486</v>
      </c>
    </row>
    <row r="39" spans="1:28" ht="116.1" hidden="1">
      <c r="A39" s="520" t="s">
        <v>172</v>
      </c>
      <c r="B39" s="517" t="s">
        <v>61</v>
      </c>
      <c r="C39" s="517" t="s">
        <v>113</v>
      </c>
      <c r="D39" s="517">
        <v>1200</v>
      </c>
      <c r="E39" s="517" t="s">
        <v>63</v>
      </c>
      <c r="F39" s="517" t="s">
        <v>52</v>
      </c>
      <c r="G39" s="271" t="s">
        <v>76</v>
      </c>
      <c r="H39" s="517">
        <v>0.35563751317175973</v>
      </c>
      <c r="I39" s="517" t="s">
        <v>128</v>
      </c>
      <c r="J39" s="517">
        <v>1986</v>
      </c>
      <c r="K39" s="296" t="s">
        <v>122</v>
      </c>
      <c r="L39" s="517"/>
      <c r="M39" s="517" t="s">
        <v>147</v>
      </c>
      <c r="N39" s="303" t="s">
        <v>38</v>
      </c>
      <c r="O39" s="296" t="s">
        <v>38</v>
      </c>
      <c r="R39" s="11" t="s">
        <v>492</v>
      </c>
      <c r="S39" s="11" t="s">
        <v>470</v>
      </c>
      <c r="T39" s="11" t="s">
        <v>471</v>
      </c>
      <c r="U39" s="11">
        <v>814.4</v>
      </c>
      <c r="V39" s="11" t="s">
        <v>31</v>
      </c>
      <c r="W39" s="11" t="s">
        <v>754</v>
      </c>
      <c r="X39" s="11">
        <v>1572000000</v>
      </c>
      <c r="Y39" s="11" t="s">
        <v>34</v>
      </c>
      <c r="Z39" s="11">
        <v>2020</v>
      </c>
      <c r="AA39" s="279" t="s">
        <v>1240</v>
      </c>
      <c r="AB39" s="11" t="s">
        <v>486</v>
      </c>
    </row>
    <row r="40" spans="1:28" ht="38.700000000000003" hidden="1">
      <c r="A40" s="522" t="s">
        <v>174</v>
      </c>
      <c r="B40" s="519" t="s">
        <v>61</v>
      </c>
      <c r="C40" s="519" t="s">
        <v>62</v>
      </c>
      <c r="D40" s="519">
        <v>1200</v>
      </c>
      <c r="E40" s="519" t="s">
        <v>63</v>
      </c>
      <c r="F40" s="519" t="s">
        <v>52</v>
      </c>
      <c r="G40" s="11" t="s">
        <v>76</v>
      </c>
      <c r="H40" s="519">
        <v>0.35563751317175973</v>
      </c>
      <c r="I40" s="519" t="s">
        <v>128</v>
      </c>
      <c r="J40" s="519">
        <v>1986</v>
      </c>
      <c r="K40" s="297" t="s">
        <v>122</v>
      </c>
      <c r="L40" s="519"/>
      <c r="M40" s="519" t="s">
        <v>147</v>
      </c>
      <c r="N40" s="304" t="s">
        <v>38</v>
      </c>
      <c r="O40" s="295" t="s">
        <v>38</v>
      </c>
      <c r="R40" s="271" t="s">
        <v>286</v>
      </c>
      <c r="S40" s="271" t="s">
        <v>61</v>
      </c>
      <c r="T40" s="300" t="s">
        <v>278</v>
      </c>
      <c r="U40" s="271">
        <v>1604</v>
      </c>
      <c r="V40" s="271" t="s">
        <v>31</v>
      </c>
      <c r="W40" s="271" t="s">
        <v>57</v>
      </c>
      <c r="X40" s="271">
        <v>7270000000</v>
      </c>
      <c r="Y40" s="271" t="s">
        <v>34</v>
      </c>
      <c r="Z40" s="271">
        <v>2002</v>
      </c>
      <c r="AA40" s="271" t="s">
        <v>1276</v>
      </c>
      <c r="AB40" s="271" t="s">
        <v>287</v>
      </c>
    </row>
    <row r="41" spans="1:28" ht="38.700000000000003" hidden="1">
      <c r="A41" s="523" t="s">
        <v>176</v>
      </c>
      <c r="B41" s="517" t="s">
        <v>61</v>
      </c>
      <c r="C41" s="517" t="s">
        <v>62</v>
      </c>
      <c r="D41" s="517">
        <v>1200</v>
      </c>
      <c r="E41" s="517" t="s">
        <v>63</v>
      </c>
      <c r="F41" s="517" t="s">
        <v>52</v>
      </c>
      <c r="G41" s="271" t="s">
        <v>76</v>
      </c>
      <c r="H41" s="517">
        <v>0.35563751317175973</v>
      </c>
      <c r="I41" s="517" t="s">
        <v>128</v>
      </c>
      <c r="J41" s="517">
        <v>1986</v>
      </c>
      <c r="K41" s="296" t="s">
        <v>122</v>
      </c>
      <c r="L41" s="517"/>
      <c r="M41" s="517" t="s">
        <v>147</v>
      </c>
      <c r="N41" s="303" t="s">
        <v>38</v>
      </c>
      <c r="O41" s="294" t="s">
        <v>38</v>
      </c>
      <c r="R41" s="11" t="s">
        <v>286</v>
      </c>
      <c r="S41" s="11" t="s">
        <v>61</v>
      </c>
      <c r="T41" s="162" t="s">
        <v>278</v>
      </c>
      <c r="U41" s="11">
        <v>1601</v>
      </c>
      <c r="V41" s="11" t="s">
        <v>31</v>
      </c>
      <c r="W41" s="11" t="s">
        <v>57</v>
      </c>
      <c r="X41" s="11">
        <v>7393000000</v>
      </c>
      <c r="Y41" s="11" t="s">
        <v>34</v>
      </c>
      <c r="Z41" s="11">
        <v>2002</v>
      </c>
      <c r="AA41" s="271" t="s">
        <v>1276</v>
      </c>
      <c r="AB41" s="11" t="s">
        <v>287</v>
      </c>
    </row>
    <row r="42" spans="1:28" ht="38.700000000000003" hidden="1">
      <c r="A42" s="522" t="s">
        <v>182</v>
      </c>
      <c r="B42" s="519" t="s">
        <v>61</v>
      </c>
      <c r="C42" s="519" t="s">
        <v>62</v>
      </c>
      <c r="D42" s="519">
        <v>1200</v>
      </c>
      <c r="E42" s="519" t="s">
        <v>63</v>
      </c>
      <c r="F42" s="519" t="s">
        <v>52</v>
      </c>
      <c r="G42" s="11" t="s">
        <v>76</v>
      </c>
      <c r="H42" s="519">
        <v>0.30821917808219179</v>
      </c>
      <c r="I42" s="519" t="s">
        <v>128</v>
      </c>
      <c r="J42" s="519">
        <v>1986</v>
      </c>
      <c r="K42" s="297" t="s">
        <v>122</v>
      </c>
      <c r="L42" s="519"/>
      <c r="M42" s="519" t="s">
        <v>147</v>
      </c>
      <c r="N42" s="304" t="s">
        <v>38</v>
      </c>
      <c r="O42" s="295" t="s">
        <v>38</v>
      </c>
      <c r="R42" s="271" t="s">
        <v>286</v>
      </c>
      <c r="S42" s="271" t="s">
        <v>61</v>
      </c>
      <c r="T42" s="300" t="s">
        <v>278</v>
      </c>
      <c r="U42" s="271">
        <v>1598</v>
      </c>
      <c r="V42" s="271" t="s">
        <v>31</v>
      </c>
      <c r="W42" s="271" t="s">
        <v>57</v>
      </c>
      <c r="X42" s="271">
        <v>7705000000</v>
      </c>
      <c r="Y42" s="271" t="s">
        <v>34</v>
      </c>
      <c r="Z42" s="271">
        <v>2002</v>
      </c>
      <c r="AA42" s="271" t="s">
        <v>1276</v>
      </c>
      <c r="AB42" s="271" t="s">
        <v>287</v>
      </c>
    </row>
    <row r="43" spans="1:28" ht="38.700000000000003" hidden="1">
      <c r="A43" s="520" t="s">
        <v>183</v>
      </c>
      <c r="B43" s="517" t="s">
        <v>61</v>
      </c>
      <c r="C43" s="517" t="s">
        <v>62</v>
      </c>
      <c r="D43" s="517">
        <v>1200</v>
      </c>
      <c r="E43" s="517" t="s">
        <v>63</v>
      </c>
      <c r="F43" s="517" t="s">
        <v>52</v>
      </c>
      <c r="G43" s="271" t="s">
        <v>76</v>
      </c>
      <c r="H43" s="517">
        <v>2.0053272450532726</v>
      </c>
      <c r="I43" s="517" t="s">
        <v>128</v>
      </c>
      <c r="J43" s="517">
        <v>1986</v>
      </c>
      <c r="K43" s="296" t="s">
        <v>122</v>
      </c>
      <c r="L43" s="517" t="s">
        <v>1207</v>
      </c>
      <c r="M43" s="517" t="s">
        <v>147</v>
      </c>
      <c r="N43" s="303" t="s">
        <v>38</v>
      </c>
      <c r="O43" s="296" t="s">
        <v>38</v>
      </c>
      <c r="R43" s="11" t="s">
        <v>286</v>
      </c>
      <c r="S43" s="11" t="s">
        <v>61</v>
      </c>
      <c r="T43" s="162" t="s">
        <v>278</v>
      </c>
      <c r="U43" s="11">
        <v>1598</v>
      </c>
      <c r="V43" s="11" t="s">
        <v>31</v>
      </c>
      <c r="W43" s="11" t="s">
        <v>57</v>
      </c>
      <c r="X43" s="11">
        <v>6735000000</v>
      </c>
      <c r="Y43" s="11" t="s">
        <v>34</v>
      </c>
      <c r="Z43" s="11">
        <v>2002</v>
      </c>
      <c r="AA43" s="271" t="s">
        <v>1276</v>
      </c>
      <c r="AB43" s="11" t="s">
        <v>287</v>
      </c>
    </row>
    <row r="44" spans="1:28" ht="25.8" hidden="1">
      <c r="A44" s="518" t="s">
        <v>207</v>
      </c>
      <c r="B44" s="519" t="s">
        <v>61</v>
      </c>
      <c r="C44" s="519" t="s">
        <v>62</v>
      </c>
      <c r="D44" s="519">
        <v>1000</v>
      </c>
      <c r="E44" s="519" t="s">
        <v>63</v>
      </c>
      <c r="F44" s="519" t="s">
        <v>52</v>
      </c>
      <c r="G44" s="11" t="s">
        <v>76</v>
      </c>
      <c r="H44" s="519">
        <v>0.03</v>
      </c>
      <c r="I44" s="519" t="s">
        <v>77</v>
      </c>
      <c r="J44" s="519">
        <v>1992</v>
      </c>
      <c r="K44" s="297" t="s">
        <v>122</v>
      </c>
      <c r="L44" s="519"/>
      <c r="M44" s="519" t="s">
        <v>1206</v>
      </c>
      <c r="N44" s="304" t="s">
        <v>38</v>
      </c>
      <c r="O44" s="295" t="s">
        <v>38</v>
      </c>
      <c r="R44" s="271" t="s">
        <v>114</v>
      </c>
      <c r="S44" s="271" t="s">
        <v>61</v>
      </c>
      <c r="T44" s="271" t="s">
        <v>62</v>
      </c>
      <c r="U44" s="271">
        <v>1000</v>
      </c>
      <c r="V44" s="271" t="s">
        <v>31</v>
      </c>
      <c r="W44" s="271" t="s">
        <v>52</v>
      </c>
      <c r="X44" s="271">
        <v>3289800000</v>
      </c>
      <c r="Y44" s="271" t="s">
        <v>34</v>
      </c>
      <c r="Z44" s="271">
        <v>1992</v>
      </c>
      <c r="AA44" s="271" t="s">
        <v>1218</v>
      </c>
      <c r="AB44" s="271" t="s">
        <v>294</v>
      </c>
    </row>
    <row r="45" spans="1:28" ht="25.8" hidden="1">
      <c r="A45" s="516" t="s">
        <v>222</v>
      </c>
      <c r="B45" s="517" t="s">
        <v>61</v>
      </c>
      <c r="C45" s="517" t="s">
        <v>62</v>
      </c>
      <c r="D45" s="517">
        <v>953</v>
      </c>
      <c r="E45" s="517" t="s">
        <v>63</v>
      </c>
      <c r="F45" s="517" t="s">
        <v>32</v>
      </c>
      <c r="G45" s="271" t="s">
        <v>76</v>
      </c>
      <c r="H45" s="517">
        <v>0.44</v>
      </c>
      <c r="I45" s="517" t="s">
        <v>77</v>
      </c>
      <c r="J45" s="517">
        <v>2015</v>
      </c>
      <c r="K45" s="303" t="s">
        <v>38</v>
      </c>
      <c r="L45" s="517"/>
      <c r="M45" s="517" t="s">
        <v>223</v>
      </c>
      <c r="N45" s="303" t="s">
        <v>38</v>
      </c>
      <c r="O45" s="294" t="s">
        <v>38</v>
      </c>
      <c r="R45" s="11" t="s">
        <v>126</v>
      </c>
      <c r="S45" s="11" t="s">
        <v>61</v>
      </c>
      <c r="T45" s="11" t="s">
        <v>62</v>
      </c>
      <c r="U45" s="11">
        <v>1000</v>
      </c>
      <c r="V45" s="11" t="s">
        <v>31</v>
      </c>
      <c r="W45" s="11" t="s">
        <v>52</v>
      </c>
      <c r="X45" s="11">
        <v>3060900000</v>
      </c>
      <c r="Y45" s="11" t="s">
        <v>34</v>
      </c>
      <c r="Z45" s="11">
        <v>1992</v>
      </c>
      <c r="AA45" s="11" t="s">
        <v>1218</v>
      </c>
      <c r="AB45" s="11" t="s">
        <v>294</v>
      </c>
    </row>
    <row r="46" spans="1:28" ht="38.700000000000003" hidden="1">
      <c r="A46" s="518" t="s">
        <v>404</v>
      </c>
      <c r="B46" s="519" t="s">
        <v>61</v>
      </c>
      <c r="C46" s="519" t="s">
        <v>251</v>
      </c>
      <c r="D46" s="519">
        <v>914</v>
      </c>
      <c r="E46" s="519" t="s">
        <v>63</v>
      </c>
      <c r="F46" s="519" t="s">
        <v>32</v>
      </c>
      <c r="G46" s="11" t="s">
        <v>76</v>
      </c>
      <c r="H46" s="519">
        <v>0.2086503496215788</v>
      </c>
      <c r="I46" s="519" t="s">
        <v>128</v>
      </c>
      <c r="J46" s="519">
        <v>2023</v>
      </c>
      <c r="K46" s="297" t="s">
        <v>122</v>
      </c>
      <c r="L46" s="519"/>
      <c r="M46" s="519" t="s">
        <v>399</v>
      </c>
      <c r="N46" s="304" t="s">
        <v>38</v>
      </c>
      <c r="O46" s="295" t="s">
        <v>38</v>
      </c>
      <c r="R46" s="271" t="s">
        <v>301</v>
      </c>
      <c r="S46" s="271" t="s">
        <v>61</v>
      </c>
      <c r="T46" s="271" t="s">
        <v>62</v>
      </c>
      <c r="U46" s="271">
        <v>1000</v>
      </c>
      <c r="V46" s="271" t="s">
        <v>31</v>
      </c>
      <c r="W46" s="271" t="s">
        <v>52</v>
      </c>
      <c r="X46" s="271">
        <v>3114899999.9999995</v>
      </c>
      <c r="Y46" s="271" t="s">
        <v>34</v>
      </c>
      <c r="Z46" s="271">
        <v>1992</v>
      </c>
      <c r="AA46" s="271" t="s">
        <v>1218</v>
      </c>
      <c r="AB46" s="271" t="s">
        <v>294</v>
      </c>
    </row>
    <row r="47" spans="1:28" ht="38.700000000000003" hidden="1">
      <c r="A47" s="517" t="s">
        <v>405</v>
      </c>
      <c r="B47" s="517" t="s">
        <v>61</v>
      </c>
      <c r="C47" s="517" t="s">
        <v>251</v>
      </c>
      <c r="D47" s="517">
        <v>774</v>
      </c>
      <c r="E47" s="517" t="s">
        <v>63</v>
      </c>
      <c r="F47" s="517" t="s">
        <v>32</v>
      </c>
      <c r="G47" s="271" t="s">
        <v>76</v>
      </c>
      <c r="H47" s="517">
        <v>0.24639072293814343</v>
      </c>
      <c r="I47" s="517" t="s">
        <v>128</v>
      </c>
      <c r="J47" s="517">
        <v>2023</v>
      </c>
      <c r="K47" s="296" t="s">
        <v>122</v>
      </c>
      <c r="L47" s="517"/>
      <c r="M47" s="517" t="s">
        <v>399</v>
      </c>
      <c r="N47" s="303" t="s">
        <v>38</v>
      </c>
      <c r="O47" s="296" t="s">
        <v>38</v>
      </c>
      <c r="R47" s="11" t="s">
        <v>304</v>
      </c>
      <c r="S47" s="11" t="s">
        <v>61</v>
      </c>
      <c r="T47" s="11" t="s">
        <v>62</v>
      </c>
      <c r="U47" s="11">
        <v>1000</v>
      </c>
      <c r="V47" s="11" t="s">
        <v>31</v>
      </c>
      <c r="W47" s="11" t="s">
        <v>52</v>
      </c>
      <c r="X47" s="11">
        <v>2746300000</v>
      </c>
      <c r="Y47" s="11" t="s">
        <v>34</v>
      </c>
      <c r="Z47" s="11">
        <v>1992</v>
      </c>
      <c r="AA47" s="11" t="s">
        <v>1218</v>
      </c>
      <c r="AB47" s="11" t="s">
        <v>294</v>
      </c>
    </row>
    <row r="48" spans="1:28" ht="38.700000000000003" hidden="1">
      <c r="A48" s="518" t="s">
        <v>406</v>
      </c>
      <c r="B48" s="519" t="s">
        <v>61</v>
      </c>
      <c r="C48" s="519" t="s">
        <v>251</v>
      </c>
      <c r="D48" s="519">
        <v>1945</v>
      </c>
      <c r="E48" s="519" t="s">
        <v>63</v>
      </c>
      <c r="F48" s="519" t="s">
        <v>32</v>
      </c>
      <c r="G48" s="11" t="s">
        <v>76</v>
      </c>
      <c r="H48" s="519">
        <v>9.8049573035538823E-2</v>
      </c>
      <c r="I48" s="519" t="s">
        <v>128</v>
      </c>
      <c r="J48" s="519">
        <v>2023</v>
      </c>
      <c r="K48" s="297" t="s">
        <v>122</v>
      </c>
      <c r="L48" s="519"/>
      <c r="M48" s="519" t="s">
        <v>399</v>
      </c>
      <c r="N48" s="304" t="s">
        <v>38</v>
      </c>
      <c r="O48" s="295" t="s">
        <v>38</v>
      </c>
      <c r="R48" s="271" t="s">
        <v>325</v>
      </c>
      <c r="S48" s="271" t="s">
        <v>61</v>
      </c>
      <c r="T48" s="271" t="s">
        <v>326</v>
      </c>
      <c r="U48" s="271">
        <v>1100</v>
      </c>
      <c r="V48" s="271" t="s">
        <v>31</v>
      </c>
      <c r="W48" s="271" t="s">
        <v>52</v>
      </c>
      <c r="X48" s="271">
        <v>3637000000</v>
      </c>
      <c r="Y48" s="271" t="s">
        <v>34</v>
      </c>
      <c r="Z48" s="271">
        <v>1982</v>
      </c>
      <c r="AA48" s="271" t="s">
        <v>1214</v>
      </c>
      <c r="AB48" s="271" t="s">
        <v>327</v>
      </c>
    </row>
    <row r="49" spans="1:28" ht="38.700000000000003" hidden="1">
      <c r="A49" s="516" t="s">
        <v>407</v>
      </c>
      <c r="B49" s="517" t="s">
        <v>61</v>
      </c>
      <c r="C49" s="517" t="s">
        <v>251</v>
      </c>
      <c r="D49" s="517">
        <v>1165</v>
      </c>
      <c r="E49" s="517" t="s">
        <v>63</v>
      </c>
      <c r="F49" s="517" t="s">
        <v>32</v>
      </c>
      <c r="G49" s="271" t="s">
        <v>76</v>
      </c>
      <c r="H49" s="517">
        <v>0.16369649747135023</v>
      </c>
      <c r="I49" s="517" t="s">
        <v>128</v>
      </c>
      <c r="J49" s="517">
        <v>2023</v>
      </c>
      <c r="K49" s="296" t="s">
        <v>122</v>
      </c>
      <c r="L49" s="517"/>
      <c r="M49" s="517" t="s">
        <v>399</v>
      </c>
      <c r="N49" s="303" t="s">
        <v>38</v>
      </c>
      <c r="O49" s="294" t="s">
        <v>38</v>
      </c>
      <c r="R49" s="11" t="s">
        <v>343</v>
      </c>
      <c r="S49" s="11" t="s">
        <v>61</v>
      </c>
      <c r="T49" s="11" t="s">
        <v>62</v>
      </c>
      <c r="U49" s="11">
        <v>1500</v>
      </c>
      <c r="V49" s="11" t="s">
        <v>31</v>
      </c>
      <c r="W49" s="11" t="s">
        <v>57</v>
      </c>
      <c r="X49" s="11">
        <v>11580</v>
      </c>
      <c r="Y49" s="11" t="s">
        <v>189</v>
      </c>
      <c r="Z49" s="11">
        <v>2020</v>
      </c>
      <c r="AA49" s="279"/>
      <c r="AB49" s="11" t="s">
        <v>344</v>
      </c>
    </row>
    <row r="50" spans="1:28" ht="38.700000000000003" hidden="1">
      <c r="A50" s="518" t="s">
        <v>398</v>
      </c>
      <c r="B50" s="519" t="s">
        <v>61</v>
      </c>
      <c r="C50" s="519" t="s">
        <v>251</v>
      </c>
      <c r="D50" s="519">
        <v>1204</v>
      </c>
      <c r="E50" s="519" t="s">
        <v>63</v>
      </c>
      <c r="F50" s="519" t="s">
        <v>32</v>
      </c>
      <c r="G50" s="11" t="s">
        <v>76</v>
      </c>
      <c r="H50" s="519">
        <v>0.15839403617452077</v>
      </c>
      <c r="I50" s="519" t="s">
        <v>128</v>
      </c>
      <c r="J50" s="519">
        <v>2023</v>
      </c>
      <c r="K50" s="297" t="s">
        <v>122</v>
      </c>
      <c r="L50" s="519"/>
      <c r="M50" s="519" t="s">
        <v>399</v>
      </c>
      <c r="N50" s="304" t="s">
        <v>38</v>
      </c>
      <c r="O50" s="295" t="s">
        <v>38</v>
      </c>
      <c r="R50" s="271" t="s">
        <v>343</v>
      </c>
      <c r="S50" s="271" t="s">
        <v>61</v>
      </c>
      <c r="T50" s="271" t="s">
        <v>62</v>
      </c>
      <c r="U50" s="271">
        <v>1500</v>
      </c>
      <c r="V50" s="271" t="s">
        <v>31</v>
      </c>
      <c r="W50" s="271" t="s">
        <v>52</v>
      </c>
      <c r="X50" s="271">
        <v>8168</v>
      </c>
      <c r="Y50" s="271" t="s">
        <v>189</v>
      </c>
      <c r="Z50" s="271">
        <v>2020</v>
      </c>
      <c r="AA50" s="307"/>
      <c r="AB50" s="271" t="s">
        <v>344</v>
      </c>
    </row>
    <row r="51" spans="1:28" ht="38.700000000000003" hidden="1">
      <c r="A51" s="516" t="s">
        <v>401</v>
      </c>
      <c r="B51" s="517" t="s">
        <v>61</v>
      </c>
      <c r="C51" s="517" t="s">
        <v>251</v>
      </c>
      <c r="D51" s="517">
        <v>1313</v>
      </c>
      <c r="E51" s="517" t="s">
        <v>63</v>
      </c>
      <c r="F51" s="517" t="s">
        <v>32</v>
      </c>
      <c r="G51" s="271" t="s">
        <v>76</v>
      </c>
      <c r="H51" s="517">
        <v>0.14524479783253846</v>
      </c>
      <c r="I51" s="517" t="s">
        <v>128</v>
      </c>
      <c r="J51" s="517">
        <v>2023</v>
      </c>
      <c r="K51" s="296" t="s">
        <v>122</v>
      </c>
      <c r="L51" s="517"/>
      <c r="M51" s="517" t="s">
        <v>399</v>
      </c>
      <c r="N51" s="303" t="s">
        <v>38</v>
      </c>
      <c r="O51" s="294" t="s">
        <v>38</v>
      </c>
      <c r="R51" s="11" t="s">
        <v>347</v>
      </c>
      <c r="S51" s="11" t="s">
        <v>61</v>
      </c>
      <c r="T51" s="11" t="s">
        <v>62</v>
      </c>
      <c r="U51" s="11">
        <v>1500</v>
      </c>
      <c r="V51" s="11" t="s">
        <v>31</v>
      </c>
      <c r="W51" s="11" t="s">
        <v>57</v>
      </c>
      <c r="X51" s="11">
        <v>7733</v>
      </c>
      <c r="Y51" s="11" t="s">
        <v>189</v>
      </c>
      <c r="Z51" s="11">
        <v>2020</v>
      </c>
      <c r="AA51" s="11"/>
      <c r="AB51" s="11" t="s">
        <v>344</v>
      </c>
    </row>
    <row r="52" spans="1:28" ht="38.700000000000003" hidden="1">
      <c r="A52" s="518" t="s">
        <v>402</v>
      </c>
      <c r="B52" s="519" t="s">
        <v>61</v>
      </c>
      <c r="C52" s="519" t="s">
        <v>251</v>
      </c>
      <c r="D52" s="519">
        <v>2272</v>
      </c>
      <c r="E52" s="519" t="s">
        <v>63</v>
      </c>
      <c r="F52" s="519" t="s">
        <v>32</v>
      </c>
      <c r="G52" s="11" t="s">
        <v>76</v>
      </c>
      <c r="H52" s="519">
        <v>8.3937684662906256E-2</v>
      </c>
      <c r="I52" s="519" t="s">
        <v>128</v>
      </c>
      <c r="J52" s="519">
        <v>2023</v>
      </c>
      <c r="K52" s="297" t="s">
        <v>122</v>
      </c>
      <c r="L52" s="519"/>
      <c r="M52" s="519" t="s">
        <v>399</v>
      </c>
      <c r="N52" s="304" t="s">
        <v>38</v>
      </c>
      <c r="O52" s="295" t="s">
        <v>38</v>
      </c>
      <c r="R52" s="271" t="s">
        <v>347</v>
      </c>
      <c r="S52" s="271" t="s">
        <v>61</v>
      </c>
      <c r="T52" s="271" t="s">
        <v>62</v>
      </c>
      <c r="U52" s="271">
        <v>1500</v>
      </c>
      <c r="V52" s="271" t="s">
        <v>31</v>
      </c>
      <c r="W52" s="271" t="s">
        <v>52</v>
      </c>
      <c r="X52" s="271">
        <v>5747</v>
      </c>
      <c r="Y52" s="271" t="s">
        <v>189</v>
      </c>
      <c r="Z52" s="271">
        <v>2020</v>
      </c>
      <c r="AA52" s="271"/>
      <c r="AB52" s="271" t="s">
        <v>344</v>
      </c>
    </row>
    <row r="53" spans="1:28" ht="38.700000000000003" hidden="1">
      <c r="A53" s="516" t="s">
        <v>403</v>
      </c>
      <c r="B53" s="517" t="s">
        <v>61</v>
      </c>
      <c r="C53" s="517" t="s">
        <v>251</v>
      </c>
      <c r="D53" s="517">
        <v>1368</v>
      </c>
      <c r="E53" s="517" t="s">
        <v>63</v>
      </c>
      <c r="F53" s="517" t="s">
        <v>32</v>
      </c>
      <c r="G53" s="271" t="s">
        <v>76</v>
      </c>
      <c r="H53" s="517">
        <v>0.13940527745184431</v>
      </c>
      <c r="I53" s="517" t="s">
        <v>128</v>
      </c>
      <c r="J53" s="517">
        <v>2023</v>
      </c>
      <c r="K53" s="296" t="s">
        <v>122</v>
      </c>
      <c r="L53" s="517"/>
      <c r="M53" s="517" t="s">
        <v>399</v>
      </c>
      <c r="N53" s="303" t="s">
        <v>38</v>
      </c>
      <c r="O53" s="294" t="s">
        <v>38</v>
      </c>
      <c r="R53" s="271" t="s">
        <v>100</v>
      </c>
      <c r="S53" s="271" t="s">
        <v>61</v>
      </c>
      <c r="T53" s="271" t="s">
        <v>62</v>
      </c>
      <c r="U53" s="292">
        <v>121.1</v>
      </c>
      <c r="V53" s="271" t="s">
        <v>31</v>
      </c>
      <c r="W53" s="271" t="s">
        <v>32</v>
      </c>
      <c r="X53" s="271">
        <v>2579400000</v>
      </c>
      <c r="Y53" s="271" t="s">
        <v>34</v>
      </c>
      <c r="Z53" s="271">
        <v>2009</v>
      </c>
      <c r="AA53" s="302" t="s">
        <v>1241</v>
      </c>
      <c r="AB53" s="271" t="s">
        <v>101</v>
      </c>
    </row>
    <row r="54" spans="1:28" ht="25.8" hidden="1">
      <c r="A54" s="524" t="s">
        <v>226</v>
      </c>
      <c r="B54" s="525" t="s">
        <v>61</v>
      </c>
      <c r="C54" s="525" t="s">
        <v>62</v>
      </c>
      <c r="D54" s="525">
        <v>1000</v>
      </c>
      <c r="E54" s="525" t="s">
        <v>63</v>
      </c>
      <c r="F54" s="525" t="s">
        <v>52</v>
      </c>
      <c r="G54" s="162" t="s">
        <v>76</v>
      </c>
      <c r="H54" s="525">
        <v>2</v>
      </c>
      <c r="I54" s="525" t="s">
        <v>128</v>
      </c>
      <c r="J54" s="525">
        <v>2000</v>
      </c>
      <c r="K54" s="297" t="s">
        <v>122</v>
      </c>
      <c r="L54" s="519" t="s">
        <v>1208</v>
      </c>
      <c r="M54" s="525" t="s">
        <v>227</v>
      </c>
      <c r="N54" s="297" t="s">
        <v>122</v>
      </c>
      <c r="O54" s="295" t="s">
        <v>38</v>
      </c>
      <c r="R54" s="11" t="s">
        <v>105</v>
      </c>
      <c r="S54" s="11" t="s">
        <v>61</v>
      </c>
      <c r="T54" s="11" t="s">
        <v>62</v>
      </c>
      <c r="U54" s="11">
        <v>121.1</v>
      </c>
      <c r="V54" s="11" t="s">
        <v>31</v>
      </c>
      <c r="W54" s="11" t="s">
        <v>32</v>
      </c>
      <c r="X54" s="11">
        <v>1414500000</v>
      </c>
      <c r="Y54" s="11" t="s">
        <v>34</v>
      </c>
      <c r="Z54" s="11">
        <v>2009</v>
      </c>
      <c r="AA54" s="8" t="s">
        <v>1241</v>
      </c>
      <c r="AB54" s="11" t="s">
        <v>101</v>
      </c>
    </row>
    <row r="55" spans="1:28" ht="25.8" hidden="1">
      <c r="A55" s="526" t="s">
        <v>229</v>
      </c>
      <c r="B55" s="527" t="s">
        <v>61</v>
      </c>
      <c r="C55" s="527" t="s">
        <v>62</v>
      </c>
      <c r="D55" s="527">
        <v>1000</v>
      </c>
      <c r="E55" s="527" t="s">
        <v>63</v>
      </c>
      <c r="F55" s="527" t="s">
        <v>52</v>
      </c>
      <c r="G55" s="300" t="s">
        <v>76</v>
      </c>
      <c r="H55" s="527">
        <v>2</v>
      </c>
      <c r="I55" s="527" t="s">
        <v>128</v>
      </c>
      <c r="J55" s="527">
        <v>2000</v>
      </c>
      <c r="K55" s="296" t="s">
        <v>122</v>
      </c>
      <c r="L55" s="517" t="s">
        <v>1208</v>
      </c>
      <c r="M55" s="527" t="s">
        <v>227</v>
      </c>
      <c r="N55" s="296" t="s">
        <v>122</v>
      </c>
      <c r="O55" s="294" t="s">
        <v>38</v>
      </c>
      <c r="R55" s="302" t="s">
        <v>839</v>
      </c>
      <c r="S55" s="271" t="s">
        <v>30</v>
      </c>
      <c r="T55" s="302" t="s">
        <v>796</v>
      </c>
      <c r="U55" s="302">
        <v>815</v>
      </c>
      <c r="V55" s="302" t="s">
        <v>31</v>
      </c>
      <c r="W55" s="302" t="s">
        <v>52</v>
      </c>
      <c r="X55" s="302">
        <v>1233000000</v>
      </c>
      <c r="Y55" s="302" t="s">
        <v>34</v>
      </c>
      <c r="Z55" s="302">
        <v>1985</v>
      </c>
      <c r="AA55" s="315" t="s">
        <v>1216</v>
      </c>
      <c r="AB55" s="302" t="s">
        <v>842</v>
      </c>
    </row>
    <row r="56" spans="1:28" ht="38.700000000000003" hidden="1">
      <c r="A56" s="519" t="s">
        <v>488</v>
      </c>
      <c r="B56" s="519" t="s">
        <v>470</v>
      </c>
      <c r="C56" s="519" t="s">
        <v>1287</v>
      </c>
      <c r="D56" s="519">
        <v>383.1</v>
      </c>
      <c r="E56" s="519" t="s">
        <v>63</v>
      </c>
      <c r="F56" s="519" t="s">
        <v>754</v>
      </c>
      <c r="G56" s="11" t="s">
        <v>76</v>
      </c>
      <c r="H56" s="519">
        <v>3.3108631671902464E-2</v>
      </c>
      <c r="I56" s="519" t="s">
        <v>128</v>
      </c>
      <c r="J56" s="519">
        <v>2020</v>
      </c>
      <c r="K56" s="297" t="s">
        <v>122</v>
      </c>
      <c r="L56" s="519"/>
      <c r="M56" s="519" t="s">
        <v>486</v>
      </c>
      <c r="N56" s="304" t="s">
        <v>38</v>
      </c>
      <c r="O56" s="297" t="s">
        <v>38</v>
      </c>
      <c r="R56" s="8" t="s">
        <v>125</v>
      </c>
      <c r="S56" s="11" t="s">
        <v>30</v>
      </c>
      <c r="T56" s="8" t="s">
        <v>796</v>
      </c>
      <c r="U56" s="8">
        <v>815</v>
      </c>
      <c r="V56" s="8" t="s">
        <v>31</v>
      </c>
      <c r="W56" s="8" t="s">
        <v>52</v>
      </c>
      <c r="X56" s="8">
        <v>1559800000</v>
      </c>
      <c r="Y56" s="8" t="s">
        <v>34</v>
      </c>
      <c r="Z56" s="8">
        <v>1985</v>
      </c>
      <c r="AA56" s="316" t="s">
        <v>1216</v>
      </c>
      <c r="AB56" s="8" t="s">
        <v>842</v>
      </c>
    </row>
    <row r="57" spans="1:28" ht="38.700000000000003" hidden="1">
      <c r="A57" s="516" t="s">
        <v>492</v>
      </c>
      <c r="B57" s="517" t="s">
        <v>470</v>
      </c>
      <c r="C57" s="519" t="s">
        <v>1287</v>
      </c>
      <c r="D57" s="517">
        <v>814.4</v>
      </c>
      <c r="E57" s="517" t="s">
        <v>63</v>
      </c>
      <c r="F57" s="517" t="s">
        <v>754</v>
      </c>
      <c r="G57" s="271" t="s">
        <v>76</v>
      </c>
      <c r="H57" s="517">
        <v>1.5574554019530741E-2</v>
      </c>
      <c r="I57" s="517" t="s">
        <v>128</v>
      </c>
      <c r="J57" s="517">
        <v>2020</v>
      </c>
      <c r="K57" s="296" t="s">
        <v>122</v>
      </c>
      <c r="L57" s="517"/>
      <c r="M57" s="517" t="s">
        <v>486</v>
      </c>
      <c r="N57" s="303" t="s">
        <v>38</v>
      </c>
      <c r="O57" s="294" t="s">
        <v>38</v>
      </c>
      <c r="R57" s="271" t="s">
        <v>696</v>
      </c>
      <c r="S57" s="271" t="s">
        <v>61</v>
      </c>
      <c r="T57" s="271" t="s">
        <v>62</v>
      </c>
      <c r="U57" s="271">
        <v>1200</v>
      </c>
      <c r="V57" s="271" t="s">
        <v>31</v>
      </c>
      <c r="W57" s="271" t="s">
        <v>32</v>
      </c>
      <c r="X57" s="271">
        <v>7227000000</v>
      </c>
      <c r="Y57" s="271" t="s">
        <v>34</v>
      </c>
      <c r="Z57" s="271">
        <v>1990</v>
      </c>
      <c r="AA57" s="271"/>
      <c r="AB57" s="271" t="s">
        <v>369</v>
      </c>
    </row>
    <row r="58" spans="1:28" ht="25.8" hidden="1">
      <c r="A58" s="518" t="s">
        <v>286</v>
      </c>
      <c r="B58" s="519" t="s">
        <v>61</v>
      </c>
      <c r="C58" s="525" t="s">
        <v>278</v>
      </c>
      <c r="D58" s="519">
        <v>1604</v>
      </c>
      <c r="E58" s="519" t="s">
        <v>63</v>
      </c>
      <c r="F58" s="519" t="s">
        <v>57</v>
      </c>
      <c r="G58" s="11" t="s">
        <v>76</v>
      </c>
      <c r="H58" s="519">
        <v>2.3E-2</v>
      </c>
      <c r="I58" s="519" t="s">
        <v>77</v>
      </c>
      <c r="J58" s="519">
        <v>2002</v>
      </c>
      <c r="K58" s="297" t="s">
        <v>122</v>
      </c>
      <c r="L58" s="519"/>
      <c r="M58" s="519" t="s">
        <v>287</v>
      </c>
      <c r="N58" s="304" t="s">
        <v>38</v>
      </c>
      <c r="O58" s="295" t="s">
        <v>38</v>
      </c>
      <c r="R58" s="11" t="s">
        <v>695</v>
      </c>
      <c r="S58" s="11" t="s">
        <v>61</v>
      </c>
      <c r="T58" s="11" t="s">
        <v>62</v>
      </c>
      <c r="U58" s="11">
        <v>1200</v>
      </c>
      <c r="V58" s="11" t="s">
        <v>31</v>
      </c>
      <c r="W58" s="11" t="s">
        <v>52</v>
      </c>
      <c r="X58" s="11">
        <v>3646000000</v>
      </c>
      <c r="Y58" s="11" t="s">
        <v>34</v>
      </c>
      <c r="Z58" s="11">
        <v>1990</v>
      </c>
      <c r="AA58" s="11" t="s">
        <v>1216</v>
      </c>
      <c r="AB58" s="11" t="s">
        <v>369</v>
      </c>
    </row>
    <row r="59" spans="1:28" ht="25.8" hidden="1">
      <c r="A59" s="516" t="s">
        <v>286</v>
      </c>
      <c r="B59" s="517" t="s">
        <v>61</v>
      </c>
      <c r="C59" s="527" t="s">
        <v>278</v>
      </c>
      <c r="D59" s="517">
        <v>1601</v>
      </c>
      <c r="E59" s="517" t="s">
        <v>63</v>
      </c>
      <c r="F59" s="517" t="s">
        <v>57</v>
      </c>
      <c r="G59" s="271" t="s">
        <v>76</v>
      </c>
      <c r="H59" s="517">
        <v>2.1999999999999999E-2</v>
      </c>
      <c r="I59" s="517" t="s">
        <v>77</v>
      </c>
      <c r="J59" s="517">
        <v>2002</v>
      </c>
      <c r="K59" s="296" t="s">
        <v>122</v>
      </c>
      <c r="L59" s="517"/>
      <c r="M59" s="517" t="s">
        <v>287</v>
      </c>
      <c r="N59" s="303" t="s">
        <v>38</v>
      </c>
      <c r="O59" s="294" t="s">
        <v>38</v>
      </c>
      <c r="R59" s="272" t="s">
        <v>114</v>
      </c>
      <c r="S59" s="11" t="s">
        <v>61</v>
      </c>
      <c r="T59" s="11" t="s">
        <v>62</v>
      </c>
      <c r="U59" s="11">
        <v>1000</v>
      </c>
      <c r="V59" s="11" t="s">
        <v>31</v>
      </c>
      <c r="W59" s="11" t="s">
        <v>52</v>
      </c>
      <c r="X59" s="11">
        <v>2890000000.0000005</v>
      </c>
      <c r="Y59" s="11" t="s">
        <v>34</v>
      </c>
      <c r="Z59" s="11">
        <v>1988</v>
      </c>
      <c r="AA59" s="11"/>
      <c r="AB59" s="11" t="s">
        <v>597</v>
      </c>
    </row>
    <row r="60" spans="1:28" ht="25.8" hidden="1">
      <c r="A60" s="518" t="s">
        <v>286</v>
      </c>
      <c r="B60" s="519" t="s">
        <v>61</v>
      </c>
      <c r="C60" s="525" t="s">
        <v>278</v>
      </c>
      <c r="D60" s="519">
        <v>1598</v>
      </c>
      <c r="E60" s="519" t="s">
        <v>63</v>
      </c>
      <c r="F60" s="519" t="s">
        <v>57</v>
      </c>
      <c r="G60" s="11" t="s">
        <v>76</v>
      </c>
      <c r="H60" s="519">
        <v>2.1000000000000001E-2</v>
      </c>
      <c r="I60" s="519" t="s">
        <v>77</v>
      </c>
      <c r="J60" s="519">
        <v>2002</v>
      </c>
      <c r="K60" s="297" t="s">
        <v>122</v>
      </c>
      <c r="L60" s="519"/>
      <c r="M60" s="519" t="s">
        <v>287</v>
      </c>
      <c r="N60" s="304" t="s">
        <v>38</v>
      </c>
      <c r="O60" s="295" t="s">
        <v>38</v>
      </c>
      <c r="R60" s="271" t="s">
        <v>232</v>
      </c>
      <c r="S60" s="271" t="s">
        <v>61</v>
      </c>
      <c r="T60" s="271" t="s">
        <v>62</v>
      </c>
      <c r="U60" s="271">
        <v>1000</v>
      </c>
      <c r="V60" s="271" t="s">
        <v>31</v>
      </c>
      <c r="W60" s="271" t="s">
        <v>52</v>
      </c>
      <c r="X60" s="271">
        <v>2129000000</v>
      </c>
      <c r="Y60" s="271" t="s">
        <v>34</v>
      </c>
      <c r="Z60" s="271">
        <v>1992</v>
      </c>
      <c r="AA60" s="271" t="s">
        <v>1218</v>
      </c>
      <c r="AB60" s="271" t="s">
        <v>420</v>
      </c>
    </row>
    <row r="61" spans="1:28" ht="25.8" hidden="1">
      <c r="A61" s="516" t="s">
        <v>286</v>
      </c>
      <c r="B61" s="517" t="s">
        <v>61</v>
      </c>
      <c r="C61" s="527" t="s">
        <v>278</v>
      </c>
      <c r="D61" s="517">
        <v>1598</v>
      </c>
      <c r="E61" s="517" t="s">
        <v>63</v>
      </c>
      <c r="F61" s="517" t="s">
        <v>57</v>
      </c>
      <c r="G61" s="271" t="s">
        <v>76</v>
      </c>
      <c r="H61" s="517">
        <v>2.1000000000000001E-2</v>
      </c>
      <c r="I61" s="517" t="s">
        <v>77</v>
      </c>
      <c r="J61" s="517">
        <v>2002</v>
      </c>
      <c r="K61" s="296" t="s">
        <v>122</v>
      </c>
      <c r="L61" s="517"/>
      <c r="M61" s="517" t="s">
        <v>287</v>
      </c>
      <c r="N61" s="303" t="s">
        <v>38</v>
      </c>
      <c r="O61" s="294" t="s">
        <v>38</v>
      </c>
      <c r="R61" s="278" t="s">
        <v>426</v>
      </c>
      <c r="S61" s="278" t="s">
        <v>61</v>
      </c>
      <c r="T61" s="278" t="s">
        <v>62</v>
      </c>
      <c r="U61" s="278">
        <v>1080</v>
      </c>
      <c r="V61" s="278" t="s">
        <v>31</v>
      </c>
      <c r="W61" s="278" t="s">
        <v>32</v>
      </c>
      <c r="X61" s="278">
        <v>4228700000</v>
      </c>
      <c r="Y61" s="278" t="s">
        <v>34</v>
      </c>
      <c r="Z61" s="278">
        <v>2003</v>
      </c>
      <c r="AA61" s="278" t="s">
        <v>389</v>
      </c>
      <c r="AB61" s="278" t="s">
        <v>427</v>
      </c>
    </row>
    <row r="62" spans="1:28" ht="25.8" hidden="1">
      <c r="A62" s="518" t="s">
        <v>301</v>
      </c>
      <c r="B62" s="519" t="s">
        <v>61</v>
      </c>
      <c r="C62" s="519" t="s">
        <v>62</v>
      </c>
      <c r="D62" s="519">
        <v>1000</v>
      </c>
      <c r="E62" s="519" t="s">
        <v>63</v>
      </c>
      <c r="F62" s="519" t="s">
        <v>52</v>
      </c>
      <c r="G62" s="11" t="s">
        <v>76</v>
      </c>
      <c r="H62" s="519">
        <v>17.5</v>
      </c>
      <c r="I62" s="519" t="s">
        <v>77</v>
      </c>
      <c r="J62" s="519">
        <v>1992</v>
      </c>
      <c r="K62" s="297" t="s">
        <v>122</v>
      </c>
      <c r="L62" s="519" t="s">
        <v>306</v>
      </c>
      <c r="M62" s="519" t="s">
        <v>294</v>
      </c>
      <c r="N62" s="304" t="s">
        <v>38</v>
      </c>
      <c r="O62" s="295" t="s">
        <v>38</v>
      </c>
      <c r="R62" s="272" t="s">
        <v>735</v>
      </c>
      <c r="S62" s="11" t="s">
        <v>61</v>
      </c>
      <c r="T62" s="11" t="s">
        <v>62</v>
      </c>
      <c r="U62" s="11">
        <v>1450</v>
      </c>
      <c r="V62" s="11" t="s">
        <v>31</v>
      </c>
      <c r="W62" s="11" t="s">
        <v>52</v>
      </c>
      <c r="X62" s="288">
        <v>6093.04347826087</v>
      </c>
      <c r="Y62" s="11" t="s">
        <v>189</v>
      </c>
      <c r="Z62" s="11">
        <v>2010</v>
      </c>
      <c r="AA62" s="11" t="s">
        <v>1234</v>
      </c>
      <c r="AB62" s="11" t="s">
        <v>732</v>
      </c>
    </row>
    <row r="63" spans="1:28" ht="25.8" hidden="1">
      <c r="A63" s="516" t="s">
        <v>126</v>
      </c>
      <c r="B63" s="517" t="s">
        <v>61</v>
      </c>
      <c r="C63" s="517" t="s">
        <v>62</v>
      </c>
      <c r="D63" s="517">
        <v>1000</v>
      </c>
      <c r="E63" s="517" t="s">
        <v>63</v>
      </c>
      <c r="F63" s="517" t="s">
        <v>52</v>
      </c>
      <c r="G63" s="271" t="s">
        <v>76</v>
      </c>
      <c r="H63" s="517">
        <v>0.03</v>
      </c>
      <c r="I63" s="517" t="s">
        <v>77</v>
      </c>
      <c r="J63" s="517">
        <v>1992</v>
      </c>
      <c r="K63" s="296" t="s">
        <v>122</v>
      </c>
      <c r="L63" s="517"/>
      <c r="M63" s="517" t="s">
        <v>294</v>
      </c>
      <c r="N63" s="303" t="s">
        <v>38</v>
      </c>
      <c r="O63" s="294" t="s">
        <v>38</v>
      </c>
      <c r="R63" s="271" t="s">
        <v>232</v>
      </c>
      <c r="S63" s="271" t="s">
        <v>61</v>
      </c>
      <c r="T63" s="271" t="s">
        <v>62</v>
      </c>
      <c r="U63" s="271">
        <v>1000</v>
      </c>
      <c r="V63" s="271" t="s">
        <v>31</v>
      </c>
      <c r="W63" s="271" t="s">
        <v>52</v>
      </c>
      <c r="X63" s="271">
        <v>2849</v>
      </c>
      <c r="Y63" s="271" t="s">
        <v>189</v>
      </c>
      <c r="Z63" s="271">
        <v>2000</v>
      </c>
      <c r="AA63" s="271"/>
      <c r="AB63" s="271" t="s">
        <v>233</v>
      </c>
    </row>
    <row r="64" spans="1:28" ht="25.8" hidden="1">
      <c r="A64" s="518" t="s">
        <v>304</v>
      </c>
      <c r="B64" s="519" t="s">
        <v>61</v>
      </c>
      <c r="C64" s="519" t="s">
        <v>62</v>
      </c>
      <c r="D64" s="519">
        <v>1000</v>
      </c>
      <c r="E64" s="519" t="s">
        <v>63</v>
      </c>
      <c r="F64" s="519" t="s">
        <v>52</v>
      </c>
      <c r="G64" s="11" t="s">
        <v>76</v>
      </c>
      <c r="H64" s="519">
        <v>0.03</v>
      </c>
      <c r="I64" s="519" t="s">
        <v>77</v>
      </c>
      <c r="J64" s="519">
        <v>1992</v>
      </c>
      <c r="K64" s="297" t="s">
        <v>122</v>
      </c>
      <c r="L64" s="519"/>
      <c r="M64" s="519" t="s">
        <v>294</v>
      </c>
      <c r="N64" s="304" t="s">
        <v>38</v>
      </c>
      <c r="O64" s="295" t="s">
        <v>38</v>
      </c>
      <c r="R64" s="11" t="s">
        <v>235</v>
      </c>
      <c r="S64" s="11" t="s">
        <v>61</v>
      </c>
      <c r="T64" s="11" t="s">
        <v>62</v>
      </c>
      <c r="U64" s="11">
        <v>1000</v>
      </c>
      <c r="V64" s="11" t="s">
        <v>31</v>
      </c>
      <c r="W64" s="11" t="s">
        <v>52</v>
      </c>
      <c r="X64" s="11">
        <v>3940</v>
      </c>
      <c r="Y64" s="11" t="s">
        <v>189</v>
      </c>
      <c r="Z64" s="11">
        <v>2000</v>
      </c>
      <c r="AA64" s="11" t="s">
        <v>1209</v>
      </c>
      <c r="AB64" s="11" t="s">
        <v>233</v>
      </c>
    </row>
    <row r="65" spans="1:28" ht="25.8" hidden="1">
      <c r="A65" s="517" t="s">
        <v>114</v>
      </c>
      <c r="B65" s="517" t="s">
        <v>61</v>
      </c>
      <c r="C65" s="517" t="s">
        <v>62</v>
      </c>
      <c r="D65" s="517">
        <v>1000</v>
      </c>
      <c r="E65" s="517" t="s">
        <v>63</v>
      </c>
      <c r="F65" s="517" t="s">
        <v>52</v>
      </c>
      <c r="G65" s="271" t="s">
        <v>76</v>
      </c>
      <c r="H65" s="517">
        <v>0.03</v>
      </c>
      <c r="I65" s="517" t="s">
        <v>77</v>
      </c>
      <c r="J65" s="517">
        <v>1992</v>
      </c>
      <c r="K65" s="296" t="s">
        <v>122</v>
      </c>
      <c r="L65" s="517"/>
      <c r="M65" s="517" t="s">
        <v>294</v>
      </c>
      <c r="N65" s="303" t="s">
        <v>38</v>
      </c>
      <c r="O65" s="296" t="s">
        <v>38</v>
      </c>
      <c r="R65" s="270" t="s">
        <v>237</v>
      </c>
      <c r="S65" s="271" t="s">
        <v>61</v>
      </c>
      <c r="T65" s="271" t="s">
        <v>62</v>
      </c>
      <c r="U65" s="271">
        <v>1000</v>
      </c>
      <c r="V65" s="271" t="s">
        <v>31</v>
      </c>
      <c r="W65" s="271" t="s">
        <v>755</v>
      </c>
      <c r="X65" s="271">
        <v>2950</v>
      </c>
      <c r="Y65" s="271" t="s">
        <v>189</v>
      </c>
      <c r="Z65" s="271">
        <v>2000</v>
      </c>
      <c r="AA65" s="271" t="s">
        <v>1210</v>
      </c>
      <c r="AB65" s="271" t="s">
        <v>233</v>
      </c>
    </row>
    <row r="66" spans="1:28" ht="25.8" hidden="1">
      <c r="A66" s="519" t="s">
        <v>695</v>
      </c>
      <c r="B66" s="519" t="s">
        <v>61</v>
      </c>
      <c r="C66" s="519" t="s">
        <v>62</v>
      </c>
      <c r="D66" s="519">
        <v>1200</v>
      </c>
      <c r="E66" s="519" t="s">
        <v>63</v>
      </c>
      <c r="F66" s="519" t="s">
        <v>52</v>
      </c>
      <c r="G66" s="11" t="s">
        <v>76</v>
      </c>
      <c r="H66" s="519">
        <v>0.06</v>
      </c>
      <c r="I66" s="519" t="s">
        <v>77</v>
      </c>
      <c r="J66" s="519">
        <v>1990</v>
      </c>
      <c r="K66" s="297" t="s">
        <v>122</v>
      </c>
      <c r="L66" s="519"/>
      <c r="M66" s="519" t="s">
        <v>369</v>
      </c>
      <c r="N66" s="304" t="s">
        <v>38</v>
      </c>
      <c r="O66" s="297" t="s">
        <v>38</v>
      </c>
      <c r="R66" s="272" t="s">
        <v>239</v>
      </c>
      <c r="S66" s="11" t="s">
        <v>61</v>
      </c>
      <c r="T66" s="11" t="s">
        <v>62</v>
      </c>
      <c r="U66" s="11">
        <v>1000</v>
      </c>
      <c r="V66" s="11" t="s">
        <v>31</v>
      </c>
      <c r="W66" s="11" t="s">
        <v>52</v>
      </c>
      <c r="X66" s="11">
        <v>2820</v>
      </c>
      <c r="Y66" s="11" t="s">
        <v>189</v>
      </c>
      <c r="Z66" s="11">
        <v>2000</v>
      </c>
      <c r="AA66" s="11" t="s">
        <v>1211</v>
      </c>
      <c r="AB66" s="11" t="s">
        <v>233</v>
      </c>
    </row>
    <row r="67" spans="1:28" ht="25.8" hidden="1">
      <c r="A67" s="517" t="s">
        <v>696</v>
      </c>
      <c r="B67" s="517" t="s">
        <v>61</v>
      </c>
      <c r="C67" s="517" t="s">
        <v>62</v>
      </c>
      <c r="D67" s="517">
        <v>1200</v>
      </c>
      <c r="E67" s="517" t="s">
        <v>63</v>
      </c>
      <c r="F67" s="517" t="s">
        <v>32</v>
      </c>
      <c r="G67" s="271" t="s">
        <v>76</v>
      </c>
      <c r="H67" s="517">
        <v>0.05</v>
      </c>
      <c r="I67" s="517" t="s">
        <v>77</v>
      </c>
      <c r="J67" s="517">
        <v>1990</v>
      </c>
      <c r="K67" s="296" t="s">
        <v>122</v>
      </c>
      <c r="L67" s="517"/>
      <c r="M67" s="517" t="s">
        <v>369</v>
      </c>
      <c r="N67" s="303" t="s">
        <v>38</v>
      </c>
      <c r="O67" s="296" t="s">
        <v>38</v>
      </c>
      <c r="R67" s="271" t="s">
        <v>240</v>
      </c>
      <c r="S67" s="271" t="s">
        <v>61</v>
      </c>
      <c r="T67" s="271" t="s">
        <v>62</v>
      </c>
      <c r="U67" s="271">
        <v>1000</v>
      </c>
      <c r="V67" s="271" t="s">
        <v>31</v>
      </c>
      <c r="W67" s="271" t="s">
        <v>755</v>
      </c>
      <c r="X67" s="271">
        <v>2170</v>
      </c>
      <c r="Y67" s="271" t="s">
        <v>189</v>
      </c>
      <c r="Z67" s="271">
        <v>2000</v>
      </c>
      <c r="AA67" s="271" t="s">
        <v>1212</v>
      </c>
      <c r="AB67" s="271" t="s">
        <v>233</v>
      </c>
    </row>
    <row r="68" spans="1:28" ht="25.8" hidden="1">
      <c r="A68" s="519" t="s">
        <v>387</v>
      </c>
      <c r="B68" s="519" t="s">
        <v>30</v>
      </c>
      <c r="C68" s="519" t="s">
        <v>815</v>
      </c>
      <c r="D68" s="519">
        <v>1083</v>
      </c>
      <c r="E68" s="519" t="s">
        <v>63</v>
      </c>
      <c r="F68" s="521" t="s">
        <v>52</v>
      </c>
      <c r="G68" s="11" t="s">
        <v>76</v>
      </c>
      <c r="H68" s="519">
        <v>0.01</v>
      </c>
      <c r="I68" s="519" t="s">
        <v>77</v>
      </c>
      <c r="J68" s="519">
        <v>1988</v>
      </c>
      <c r="K68" s="304" t="s">
        <v>38</v>
      </c>
      <c r="L68" s="519"/>
      <c r="M68" s="519" t="s">
        <v>386</v>
      </c>
      <c r="N68" s="304" t="s">
        <v>38</v>
      </c>
      <c r="O68" s="297" t="s">
        <v>38</v>
      </c>
      <c r="R68" s="11" t="s">
        <v>211</v>
      </c>
      <c r="S68" s="11" t="s">
        <v>61</v>
      </c>
      <c r="T68" s="11" t="s">
        <v>62</v>
      </c>
      <c r="U68" s="11">
        <v>1000</v>
      </c>
      <c r="V68" s="11" t="s">
        <v>31</v>
      </c>
      <c r="W68" s="11" t="s">
        <v>52</v>
      </c>
      <c r="X68" s="11">
        <v>5625</v>
      </c>
      <c r="Y68" s="11" t="s">
        <v>189</v>
      </c>
      <c r="Z68" s="11">
        <v>2000</v>
      </c>
      <c r="AA68" s="11"/>
      <c r="AB68" s="11" t="s">
        <v>233</v>
      </c>
    </row>
    <row r="69" spans="1:28" ht="25.8" hidden="1">
      <c r="A69" s="517" t="s">
        <v>114</v>
      </c>
      <c r="B69" s="517" t="s">
        <v>61</v>
      </c>
      <c r="C69" s="517" t="s">
        <v>62</v>
      </c>
      <c r="D69" s="517">
        <v>1000</v>
      </c>
      <c r="E69" s="517" t="s">
        <v>63</v>
      </c>
      <c r="F69" s="517" t="s">
        <v>52</v>
      </c>
      <c r="G69" s="271" t="s">
        <v>76</v>
      </c>
      <c r="H69" s="517">
        <v>0.04</v>
      </c>
      <c r="I69" s="517" t="s">
        <v>77</v>
      </c>
      <c r="J69" s="517">
        <v>1988</v>
      </c>
      <c r="K69" s="303" t="s">
        <v>38</v>
      </c>
      <c r="L69" s="517"/>
      <c r="M69" s="517" t="s">
        <v>597</v>
      </c>
      <c r="N69" s="303" t="s">
        <v>38</v>
      </c>
      <c r="O69" s="296" t="s">
        <v>38</v>
      </c>
      <c r="R69" s="271" t="s">
        <v>213</v>
      </c>
      <c r="S69" s="271" t="s">
        <v>61</v>
      </c>
      <c r="T69" s="271" t="s">
        <v>62</v>
      </c>
      <c r="U69" s="271">
        <v>1000</v>
      </c>
      <c r="V69" s="271" t="s">
        <v>31</v>
      </c>
      <c r="W69" s="271" t="s">
        <v>52</v>
      </c>
      <c r="X69" s="271">
        <v>5215</v>
      </c>
      <c r="Y69" s="271" t="s">
        <v>189</v>
      </c>
      <c r="Z69" s="271">
        <v>2000</v>
      </c>
      <c r="AA69" s="271"/>
      <c r="AB69" s="271" t="s">
        <v>233</v>
      </c>
    </row>
    <row r="70" spans="1:28" ht="25.8" hidden="1">
      <c r="A70" s="518" t="s">
        <v>232</v>
      </c>
      <c r="B70" s="519" t="s">
        <v>61</v>
      </c>
      <c r="C70" s="519" t="s">
        <v>62</v>
      </c>
      <c r="D70" s="519">
        <v>1000</v>
      </c>
      <c r="E70" s="519" t="s">
        <v>63</v>
      </c>
      <c r="F70" s="519" t="s">
        <v>52</v>
      </c>
      <c r="G70" s="11" t="s">
        <v>76</v>
      </c>
      <c r="H70" s="519">
        <v>0.03</v>
      </c>
      <c r="I70" s="519" t="s">
        <v>77</v>
      </c>
      <c r="J70" s="519">
        <v>1992</v>
      </c>
      <c r="K70" s="297" t="s">
        <v>122</v>
      </c>
      <c r="L70" s="519"/>
      <c r="M70" s="519" t="s">
        <v>420</v>
      </c>
      <c r="N70" s="297" t="s">
        <v>38</v>
      </c>
      <c r="O70" s="295" t="s">
        <v>38</v>
      </c>
      <c r="R70" s="11" t="s">
        <v>214</v>
      </c>
      <c r="S70" s="11" t="s">
        <v>61</v>
      </c>
      <c r="T70" s="11" t="s">
        <v>62</v>
      </c>
      <c r="U70" s="11">
        <v>1000</v>
      </c>
      <c r="V70" s="11" t="s">
        <v>31</v>
      </c>
      <c r="W70" s="11" t="s">
        <v>52</v>
      </c>
      <c r="X70" s="11">
        <v>4155</v>
      </c>
      <c r="Y70" s="11" t="s">
        <v>189</v>
      </c>
      <c r="Z70" s="11">
        <v>2000</v>
      </c>
      <c r="AA70" s="11"/>
      <c r="AB70" s="11" t="s">
        <v>233</v>
      </c>
    </row>
    <row r="71" spans="1:28" ht="38.700000000000003" hidden="1">
      <c r="A71" s="516" t="s">
        <v>741</v>
      </c>
      <c r="B71" s="517" t="s">
        <v>61</v>
      </c>
      <c r="C71" s="517" t="s">
        <v>62</v>
      </c>
      <c r="D71" s="517">
        <v>1000</v>
      </c>
      <c r="E71" s="517" t="s">
        <v>63</v>
      </c>
      <c r="F71" s="517" t="s">
        <v>52</v>
      </c>
      <c r="G71" s="310" t="s">
        <v>76</v>
      </c>
      <c r="H71" s="528">
        <v>5.7077625570776253E-2</v>
      </c>
      <c r="I71" s="528" t="s">
        <v>128</v>
      </c>
      <c r="J71" s="517">
        <v>2010</v>
      </c>
      <c r="K71" s="311"/>
      <c r="L71" s="528"/>
      <c r="M71" s="517" t="s">
        <v>732</v>
      </c>
      <c r="N71" s="310"/>
      <c r="O71" s="313"/>
      <c r="R71" s="347" t="s">
        <v>215</v>
      </c>
      <c r="S71" s="347" t="s">
        <v>61</v>
      </c>
      <c r="T71" s="347" t="s">
        <v>62</v>
      </c>
      <c r="U71" s="347">
        <v>1000</v>
      </c>
      <c r="V71" s="347" t="s">
        <v>31</v>
      </c>
      <c r="W71" s="347" t="s">
        <v>52</v>
      </c>
      <c r="X71" s="347">
        <v>2868</v>
      </c>
      <c r="Y71" s="347" t="s">
        <v>189</v>
      </c>
      <c r="Z71" s="347">
        <v>2000</v>
      </c>
      <c r="AA71" s="347"/>
      <c r="AB71" s="347" t="s">
        <v>233</v>
      </c>
    </row>
    <row r="72" spans="1:28" ht="38.700000000000003" hidden="1">
      <c r="A72" s="522" t="s">
        <v>170</v>
      </c>
      <c r="B72" s="519" t="s">
        <v>61</v>
      </c>
      <c r="C72" s="519" t="s">
        <v>113</v>
      </c>
      <c r="D72" s="519">
        <v>1200</v>
      </c>
      <c r="E72" s="519" t="s">
        <v>31</v>
      </c>
      <c r="F72" s="519" t="s">
        <v>52</v>
      </c>
      <c r="G72" s="11" t="s">
        <v>33</v>
      </c>
      <c r="H72" s="11">
        <v>1566300000</v>
      </c>
      <c r="I72" s="11" t="s">
        <v>34</v>
      </c>
      <c r="J72" s="11">
        <v>1986</v>
      </c>
      <c r="K72" s="341" t="s">
        <v>709</v>
      </c>
      <c r="L72" s="519" t="s">
        <v>1216</v>
      </c>
      <c r="M72" s="519" t="s">
        <v>147</v>
      </c>
      <c r="N72" s="11" t="s">
        <v>84</v>
      </c>
      <c r="O72" s="275">
        <v>234900000</v>
      </c>
      <c r="R72" s="362" t="s">
        <v>741</v>
      </c>
      <c r="S72" s="362" t="s">
        <v>61</v>
      </c>
      <c r="T72" s="362" t="s">
        <v>62</v>
      </c>
      <c r="U72" s="362">
        <v>1000</v>
      </c>
      <c r="V72" s="362" t="s">
        <v>31</v>
      </c>
      <c r="W72" s="362" t="s">
        <v>52</v>
      </c>
      <c r="X72" s="368">
        <v>6252.0652173913049</v>
      </c>
      <c r="Y72" s="362" t="s">
        <v>189</v>
      </c>
      <c r="Z72" s="362">
        <v>2010</v>
      </c>
      <c r="AA72" s="362" t="s">
        <v>1216</v>
      </c>
      <c r="AB72" s="362" t="s">
        <v>732</v>
      </c>
    </row>
    <row r="73" spans="1:28" ht="38.700000000000003" hidden="1">
      <c r="A73" s="520" t="s">
        <v>172</v>
      </c>
      <c r="B73" s="517" t="s">
        <v>61</v>
      </c>
      <c r="C73" s="517" t="s">
        <v>113</v>
      </c>
      <c r="D73" s="517">
        <v>1200</v>
      </c>
      <c r="E73" s="517" t="s">
        <v>31</v>
      </c>
      <c r="F73" s="517" t="s">
        <v>52</v>
      </c>
      <c r="G73" s="271" t="s">
        <v>33</v>
      </c>
      <c r="H73" s="271">
        <v>1589200000</v>
      </c>
      <c r="I73" s="271" t="s">
        <v>34</v>
      </c>
      <c r="J73" s="271">
        <v>1986</v>
      </c>
      <c r="K73" s="340" t="s">
        <v>709</v>
      </c>
      <c r="L73" s="517" t="s">
        <v>1216</v>
      </c>
      <c r="M73" s="517" t="s">
        <v>147</v>
      </c>
      <c r="N73" s="271" t="s">
        <v>84</v>
      </c>
      <c r="O73" s="271">
        <v>238400000</v>
      </c>
      <c r="R73" s="362" t="s">
        <v>200</v>
      </c>
      <c r="S73" s="362" t="s">
        <v>61</v>
      </c>
      <c r="T73" s="362" t="s">
        <v>62</v>
      </c>
      <c r="U73" s="362">
        <v>1000</v>
      </c>
      <c r="V73" s="362" t="s">
        <v>31</v>
      </c>
      <c r="W73" s="362" t="s">
        <v>52</v>
      </c>
      <c r="X73" s="368">
        <v>4897.2521739130434</v>
      </c>
      <c r="Y73" s="362" t="s">
        <v>189</v>
      </c>
      <c r="Z73" s="362">
        <v>2010</v>
      </c>
      <c r="AA73" s="362" t="s">
        <v>1232</v>
      </c>
      <c r="AB73" s="362" t="s">
        <v>732</v>
      </c>
    </row>
    <row r="74" spans="1:28" ht="38.700000000000003" hidden="1">
      <c r="A74" s="519" t="s">
        <v>146</v>
      </c>
      <c r="B74" s="519" t="s">
        <v>61</v>
      </c>
      <c r="C74" s="519" t="s">
        <v>62</v>
      </c>
      <c r="D74" s="519">
        <v>1200</v>
      </c>
      <c r="E74" s="519" t="s">
        <v>31</v>
      </c>
      <c r="F74" s="519" t="s">
        <v>52</v>
      </c>
      <c r="G74" s="11" t="s">
        <v>33</v>
      </c>
      <c r="H74" s="11">
        <v>2273100000</v>
      </c>
      <c r="I74" s="11" t="s">
        <v>34</v>
      </c>
      <c r="J74" s="11">
        <v>1986</v>
      </c>
      <c r="K74" s="341" t="s">
        <v>709</v>
      </c>
      <c r="L74" s="519" t="s">
        <v>1216</v>
      </c>
      <c r="M74" s="519" t="s">
        <v>147</v>
      </c>
      <c r="N74" s="11" t="s">
        <v>84</v>
      </c>
      <c r="O74" s="11">
        <v>341000000</v>
      </c>
      <c r="R74" s="362" t="s">
        <v>737</v>
      </c>
      <c r="S74" s="362" t="s">
        <v>61</v>
      </c>
      <c r="T74" s="362" t="s">
        <v>62</v>
      </c>
      <c r="U74" s="362">
        <v>1000</v>
      </c>
      <c r="V74" s="362" t="s">
        <v>31</v>
      </c>
      <c r="W74" s="362" t="s">
        <v>52</v>
      </c>
      <c r="X74" s="368">
        <v>3045.326086956522</v>
      </c>
      <c r="Y74" s="362" t="s">
        <v>189</v>
      </c>
      <c r="Z74" s="362">
        <v>2010</v>
      </c>
      <c r="AA74" s="362" t="s">
        <v>1233</v>
      </c>
      <c r="AB74" s="362" t="s">
        <v>732</v>
      </c>
    </row>
    <row r="75" spans="1:28" ht="38.700000000000003" hidden="1">
      <c r="A75" s="517" t="s">
        <v>735</v>
      </c>
      <c r="B75" s="517" t="s">
        <v>61</v>
      </c>
      <c r="C75" s="517" t="s">
        <v>62</v>
      </c>
      <c r="D75" s="517">
        <v>1450</v>
      </c>
      <c r="E75" s="517" t="s">
        <v>63</v>
      </c>
      <c r="F75" s="517" t="s">
        <v>52</v>
      </c>
      <c r="G75" s="310" t="s">
        <v>76</v>
      </c>
      <c r="H75" s="528">
        <v>4.1988138350915867E-2</v>
      </c>
      <c r="I75" s="528" t="s">
        <v>128</v>
      </c>
      <c r="J75" s="517">
        <v>2010</v>
      </c>
      <c r="K75" s="311"/>
      <c r="L75" s="528"/>
      <c r="M75" s="517" t="s">
        <v>732</v>
      </c>
      <c r="N75" s="310"/>
      <c r="O75" s="310"/>
      <c r="R75" s="357" t="s">
        <v>636</v>
      </c>
      <c r="S75" s="353" t="s">
        <v>61</v>
      </c>
      <c r="T75" s="353" t="s">
        <v>62</v>
      </c>
      <c r="U75" s="353">
        <v>1000</v>
      </c>
      <c r="V75" s="353" t="s">
        <v>31</v>
      </c>
      <c r="W75" s="353" t="s">
        <v>32</v>
      </c>
      <c r="X75" s="353">
        <v>6326914000</v>
      </c>
      <c r="Y75" s="353" t="s">
        <v>34</v>
      </c>
      <c r="Z75" s="353">
        <v>1996</v>
      </c>
      <c r="AA75" s="355"/>
      <c r="AB75" s="353" t="s">
        <v>633</v>
      </c>
    </row>
    <row r="76" spans="1:28" ht="25.8" hidden="1">
      <c r="A76" s="519" t="s">
        <v>200</v>
      </c>
      <c r="B76" s="519" t="s">
        <v>61</v>
      </c>
      <c r="C76" s="519" t="s">
        <v>62</v>
      </c>
      <c r="D76" s="519">
        <v>1000</v>
      </c>
      <c r="E76" s="519" t="s">
        <v>63</v>
      </c>
      <c r="F76" s="519" t="s">
        <v>52</v>
      </c>
      <c r="G76" s="278" t="s">
        <v>76</v>
      </c>
      <c r="H76" s="529">
        <v>5.3720118184260007E-2</v>
      </c>
      <c r="I76" s="529" t="s">
        <v>128</v>
      </c>
      <c r="J76" s="519">
        <v>2010</v>
      </c>
      <c r="K76" s="335" t="s">
        <v>1268</v>
      </c>
      <c r="L76" s="529"/>
      <c r="M76" s="519" t="s">
        <v>732</v>
      </c>
      <c r="N76" s="278"/>
      <c r="O76" s="278"/>
      <c r="R76" s="344" t="s">
        <v>635</v>
      </c>
      <c r="S76" s="345" t="s">
        <v>61</v>
      </c>
      <c r="T76" s="345" t="s">
        <v>62</v>
      </c>
      <c r="U76" s="345">
        <v>1700</v>
      </c>
      <c r="V76" s="345" t="s">
        <v>31</v>
      </c>
      <c r="W76" s="345" t="s">
        <v>57</v>
      </c>
      <c r="X76" s="345">
        <v>4697100000</v>
      </c>
      <c r="Y76" s="345" t="s">
        <v>34</v>
      </c>
      <c r="Z76" s="345">
        <v>1996</v>
      </c>
      <c r="AA76" s="348" t="s">
        <v>1277</v>
      </c>
      <c r="AB76" s="345" t="s">
        <v>633</v>
      </c>
    </row>
    <row r="77" spans="1:28" ht="38.700000000000003" hidden="1">
      <c r="A77" s="523" t="s">
        <v>165</v>
      </c>
      <c r="B77" s="517" t="s">
        <v>61</v>
      </c>
      <c r="C77" s="517" t="s">
        <v>62</v>
      </c>
      <c r="D77" s="517">
        <v>1200</v>
      </c>
      <c r="E77" s="517" t="s">
        <v>31</v>
      </c>
      <c r="F77" s="517" t="s">
        <v>52</v>
      </c>
      <c r="G77" s="271" t="s">
        <v>33</v>
      </c>
      <c r="H77" s="271">
        <v>2288500000</v>
      </c>
      <c r="I77" s="271" t="s">
        <v>34</v>
      </c>
      <c r="J77" s="271">
        <v>1986</v>
      </c>
      <c r="K77" s="340" t="s">
        <v>709</v>
      </c>
      <c r="L77" s="517" t="s">
        <v>1216</v>
      </c>
      <c r="M77" s="517" t="s">
        <v>147</v>
      </c>
      <c r="N77" s="271" t="s">
        <v>84</v>
      </c>
      <c r="O77" s="274">
        <v>343000000</v>
      </c>
      <c r="R77" s="362" t="s">
        <v>736</v>
      </c>
      <c r="S77" s="362" t="s">
        <v>61</v>
      </c>
      <c r="T77" s="362" t="s">
        <v>62</v>
      </c>
      <c r="U77" s="362">
        <v>1000</v>
      </c>
      <c r="V77" s="362" t="s">
        <v>31</v>
      </c>
      <c r="W77" s="362" t="s">
        <v>52</v>
      </c>
      <c r="X77" s="368">
        <v>3949.239130434783</v>
      </c>
      <c r="Y77" s="362" t="s">
        <v>189</v>
      </c>
      <c r="Z77" s="362">
        <v>2010</v>
      </c>
      <c r="AA77" s="362" t="s">
        <v>1233</v>
      </c>
      <c r="AB77" s="362" t="s">
        <v>732</v>
      </c>
    </row>
    <row r="78" spans="1:28" ht="38.700000000000003" hidden="1">
      <c r="A78" s="522" t="s">
        <v>174</v>
      </c>
      <c r="B78" s="519" t="s">
        <v>61</v>
      </c>
      <c r="C78" s="519" t="s">
        <v>62</v>
      </c>
      <c r="D78" s="519">
        <v>1200</v>
      </c>
      <c r="E78" s="519" t="s">
        <v>31</v>
      </c>
      <c r="F78" s="519" t="s">
        <v>52</v>
      </c>
      <c r="G78" s="11" t="s">
        <v>33</v>
      </c>
      <c r="H78" s="11">
        <v>2675000000</v>
      </c>
      <c r="I78" s="11" t="s">
        <v>34</v>
      </c>
      <c r="J78" s="11">
        <v>1986</v>
      </c>
      <c r="K78" s="341" t="s">
        <v>709</v>
      </c>
      <c r="L78" s="519" t="s">
        <v>1216</v>
      </c>
      <c r="M78" s="519" t="s">
        <v>147</v>
      </c>
      <c r="N78" s="11" t="s">
        <v>84</v>
      </c>
      <c r="O78" s="275">
        <v>401200000</v>
      </c>
      <c r="R78" s="363" t="s">
        <v>60</v>
      </c>
      <c r="S78" s="363" t="s">
        <v>61</v>
      </c>
      <c r="T78" s="363" t="s">
        <v>62</v>
      </c>
      <c r="U78" s="363">
        <v>1200</v>
      </c>
      <c r="V78" s="363" t="s">
        <v>31</v>
      </c>
      <c r="W78" s="363" t="s">
        <v>52</v>
      </c>
      <c r="X78" s="363">
        <v>2307000000</v>
      </c>
      <c r="Y78" s="363" t="s">
        <v>34</v>
      </c>
      <c r="Z78" s="363">
        <v>1983</v>
      </c>
      <c r="AA78" s="363" t="s">
        <v>389</v>
      </c>
      <c r="AB78" s="363" t="s">
        <v>428</v>
      </c>
    </row>
    <row r="79" spans="1:28" ht="129" hidden="1">
      <c r="A79" s="516" t="s">
        <v>737</v>
      </c>
      <c r="B79" s="517" t="s">
        <v>61</v>
      </c>
      <c r="C79" s="517" t="s">
        <v>62</v>
      </c>
      <c r="D79" s="517">
        <v>1000</v>
      </c>
      <c r="E79" s="517" t="s">
        <v>63</v>
      </c>
      <c r="F79" s="517" t="s">
        <v>52</v>
      </c>
      <c r="G79" s="310" t="s">
        <v>76</v>
      </c>
      <c r="H79" s="528">
        <v>5.3720118184260007E-2</v>
      </c>
      <c r="I79" s="528" t="s">
        <v>128</v>
      </c>
      <c r="J79" s="517">
        <v>2010</v>
      </c>
      <c r="K79" s="335" t="s">
        <v>1268</v>
      </c>
      <c r="L79" s="528"/>
      <c r="M79" s="517" t="s">
        <v>732</v>
      </c>
      <c r="N79" s="310"/>
      <c r="O79" s="313"/>
      <c r="R79" s="353" t="s">
        <v>939</v>
      </c>
      <c r="S79" s="353" t="s">
        <v>61</v>
      </c>
      <c r="T79" s="353" t="s">
        <v>62</v>
      </c>
      <c r="U79" s="353">
        <v>1247</v>
      </c>
      <c r="V79" s="353" t="s">
        <v>31</v>
      </c>
      <c r="W79" s="353" t="s">
        <v>32</v>
      </c>
      <c r="X79" s="353">
        <v>6121062000</v>
      </c>
      <c r="Y79" s="353" t="s">
        <v>34</v>
      </c>
      <c r="Z79" s="353">
        <v>1984</v>
      </c>
      <c r="AA79" s="353" t="s">
        <v>1237</v>
      </c>
      <c r="AB79" s="358" t="s">
        <v>938</v>
      </c>
    </row>
    <row r="80" spans="1:28" ht="129" hidden="1">
      <c r="A80" s="518" t="s">
        <v>736</v>
      </c>
      <c r="B80" s="519" t="s">
        <v>61</v>
      </c>
      <c r="C80" s="519" t="s">
        <v>62</v>
      </c>
      <c r="D80" s="519">
        <v>1000</v>
      </c>
      <c r="E80" s="519" t="s">
        <v>63</v>
      </c>
      <c r="F80" s="519" t="s">
        <v>52</v>
      </c>
      <c r="G80" s="278" t="s">
        <v>76</v>
      </c>
      <c r="H80" s="529">
        <v>5.3720118184260007E-2</v>
      </c>
      <c r="I80" s="529" t="s">
        <v>128</v>
      </c>
      <c r="J80" s="519">
        <v>2010</v>
      </c>
      <c r="K80" s="335" t="s">
        <v>1268</v>
      </c>
      <c r="L80" s="529"/>
      <c r="M80" s="519" t="s">
        <v>732</v>
      </c>
      <c r="N80" s="278"/>
      <c r="O80" s="314"/>
      <c r="R80" s="11" t="s">
        <v>940</v>
      </c>
      <c r="S80" s="11" t="s">
        <v>61</v>
      </c>
      <c r="T80" s="11" t="s">
        <v>62</v>
      </c>
      <c r="U80" s="11">
        <v>1203</v>
      </c>
      <c r="V80" s="11" t="s">
        <v>31</v>
      </c>
      <c r="W80" s="11" t="s">
        <v>32</v>
      </c>
      <c r="X80" s="11">
        <v>5801517000</v>
      </c>
      <c r="Y80" s="11" t="s">
        <v>34</v>
      </c>
      <c r="Z80" s="11">
        <v>1984</v>
      </c>
      <c r="AA80" s="11" t="s">
        <v>1236</v>
      </c>
      <c r="AB80" s="278" t="s">
        <v>938</v>
      </c>
    </row>
    <row r="81" spans="1:28" ht="129" hidden="1">
      <c r="A81" s="538" t="s">
        <v>60</v>
      </c>
      <c r="B81" s="529" t="s">
        <v>61</v>
      </c>
      <c r="C81" s="529" t="s">
        <v>62</v>
      </c>
      <c r="D81" s="529">
        <v>1200</v>
      </c>
      <c r="E81" s="529" t="s">
        <v>63</v>
      </c>
      <c r="F81" s="529" t="s">
        <v>52</v>
      </c>
      <c r="G81" s="278" t="s">
        <v>76</v>
      </c>
      <c r="H81" s="529">
        <v>5.8541154431565393E-2</v>
      </c>
      <c r="I81" s="529" t="s">
        <v>128</v>
      </c>
      <c r="J81" s="529">
        <v>1983</v>
      </c>
      <c r="K81" s="312" t="s">
        <v>38</v>
      </c>
      <c r="L81" s="529"/>
      <c r="M81" s="529" t="s">
        <v>428</v>
      </c>
      <c r="N81" s="304" t="s">
        <v>38</v>
      </c>
      <c r="O81" s="295" t="s">
        <v>38</v>
      </c>
      <c r="R81" s="271" t="s">
        <v>941</v>
      </c>
      <c r="S81" s="271" t="s">
        <v>61</v>
      </c>
      <c r="T81" s="271" t="s">
        <v>62</v>
      </c>
      <c r="U81" s="271">
        <v>1209</v>
      </c>
      <c r="V81" s="271" t="s">
        <v>31</v>
      </c>
      <c r="W81" s="271" t="s">
        <v>32</v>
      </c>
      <c r="X81" s="271">
        <v>4251921000</v>
      </c>
      <c r="Y81" s="271" t="s">
        <v>34</v>
      </c>
      <c r="Z81" s="271">
        <v>1984</v>
      </c>
      <c r="AA81" s="271" t="s">
        <v>1236</v>
      </c>
      <c r="AB81" s="310" t="s">
        <v>938</v>
      </c>
    </row>
    <row r="82" spans="1:28" ht="26.1" hidden="1" thickBot="1">
      <c r="A82" s="516" t="s">
        <v>795</v>
      </c>
      <c r="B82" s="517" t="s">
        <v>30</v>
      </c>
      <c r="C82" s="517" t="s">
        <v>796</v>
      </c>
      <c r="D82" s="517">
        <v>972</v>
      </c>
      <c r="E82" s="517" t="s">
        <v>63</v>
      </c>
      <c r="F82" s="517" t="s">
        <v>52</v>
      </c>
      <c r="G82" s="271" t="s">
        <v>76</v>
      </c>
      <c r="H82" s="517">
        <v>0.60348890425300639</v>
      </c>
      <c r="I82" s="517" t="s">
        <v>128</v>
      </c>
      <c r="J82" s="517">
        <v>1991</v>
      </c>
      <c r="K82" s="335" t="s">
        <v>1264</v>
      </c>
      <c r="L82" s="517"/>
      <c r="M82" s="517" t="s">
        <v>799</v>
      </c>
      <c r="N82" s="271" t="s">
        <v>37</v>
      </c>
      <c r="O82" s="294" t="s">
        <v>38</v>
      </c>
      <c r="R82" s="325" t="s">
        <v>313</v>
      </c>
      <c r="S82" s="325" t="s">
        <v>61</v>
      </c>
      <c r="T82" s="325" t="s">
        <v>62</v>
      </c>
      <c r="U82" s="325">
        <v>1500</v>
      </c>
      <c r="V82" s="325" t="s">
        <v>31</v>
      </c>
      <c r="W82" s="326" t="s">
        <v>754</v>
      </c>
      <c r="X82" s="325">
        <v>2576</v>
      </c>
      <c r="Y82" s="325" t="s">
        <v>82</v>
      </c>
      <c r="Z82" s="325">
        <v>1998</v>
      </c>
      <c r="AA82" s="271" t="s">
        <v>1222</v>
      </c>
      <c r="AB82" s="325" t="s">
        <v>311</v>
      </c>
    </row>
    <row r="83" spans="1:28" ht="26.1" hidden="1" thickBot="1">
      <c r="A83" s="518" t="s">
        <v>797</v>
      </c>
      <c r="B83" s="519" t="s">
        <v>30</v>
      </c>
      <c r="C83" s="519" t="s">
        <v>798</v>
      </c>
      <c r="D83" s="519">
        <v>999</v>
      </c>
      <c r="E83" s="519" t="s">
        <v>63</v>
      </c>
      <c r="F83" s="519" t="s">
        <v>52</v>
      </c>
      <c r="G83" s="11" t="s">
        <v>76</v>
      </c>
      <c r="H83" s="519">
        <v>0.82831810387667537</v>
      </c>
      <c r="I83" s="519" t="s">
        <v>128</v>
      </c>
      <c r="J83" s="519">
        <v>1991</v>
      </c>
      <c r="K83" s="336" t="s">
        <v>1266</v>
      </c>
      <c r="L83" s="519"/>
      <c r="M83" s="519" t="s">
        <v>799</v>
      </c>
      <c r="N83" s="11" t="s">
        <v>37</v>
      </c>
      <c r="O83" s="295" t="s">
        <v>38</v>
      </c>
      <c r="R83" s="324" t="s">
        <v>313</v>
      </c>
      <c r="S83" s="324" t="s">
        <v>61</v>
      </c>
      <c r="T83" s="324" t="s">
        <v>62</v>
      </c>
      <c r="U83" s="149">
        <v>1500</v>
      </c>
      <c r="V83" s="11" t="s">
        <v>31</v>
      </c>
      <c r="W83" s="327" t="s">
        <v>52</v>
      </c>
      <c r="X83" s="324">
        <v>2926</v>
      </c>
      <c r="Y83" s="324" t="s">
        <v>82</v>
      </c>
      <c r="Z83" s="324">
        <v>1998</v>
      </c>
      <c r="AA83" s="11" t="s">
        <v>1223</v>
      </c>
      <c r="AB83" s="324" t="s">
        <v>311</v>
      </c>
    </row>
    <row r="84" spans="1:28" ht="26.1" hidden="1" thickBot="1">
      <c r="A84" s="527" t="s">
        <v>497</v>
      </c>
      <c r="B84" s="527" t="s">
        <v>61</v>
      </c>
      <c r="C84" s="527" t="s">
        <v>62</v>
      </c>
      <c r="D84" s="527">
        <v>1000</v>
      </c>
      <c r="E84" s="527" t="s">
        <v>63</v>
      </c>
      <c r="F84" s="520" t="s">
        <v>57</v>
      </c>
      <c r="G84" s="300" t="s">
        <v>76</v>
      </c>
      <c r="H84" s="527">
        <v>0.04</v>
      </c>
      <c r="I84" s="527" t="s">
        <v>77</v>
      </c>
      <c r="J84" s="527">
        <v>2003</v>
      </c>
      <c r="K84" s="296" t="s">
        <v>122</v>
      </c>
      <c r="L84" s="517" t="s">
        <v>389</v>
      </c>
      <c r="M84" s="527" t="s">
        <v>503</v>
      </c>
      <c r="N84" s="303" t="s">
        <v>38</v>
      </c>
      <c r="O84" s="296" t="s">
        <v>38</v>
      </c>
      <c r="R84" s="325" t="s">
        <v>316</v>
      </c>
      <c r="S84" s="325" t="s">
        <v>61</v>
      </c>
      <c r="T84" s="325" t="s">
        <v>62</v>
      </c>
      <c r="U84" s="323">
        <v>1000</v>
      </c>
      <c r="V84" s="271" t="s">
        <v>31</v>
      </c>
      <c r="W84" s="326" t="s">
        <v>57</v>
      </c>
      <c r="X84" s="325">
        <v>5220</v>
      </c>
      <c r="Y84" s="325" t="s">
        <v>82</v>
      </c>
      <c r="Z84" s="325">
        <v>1998</v>
      </c>
      <c r="AA84" s="271" t="s">
        <v>1224</v>
      </c>
      <c r="AB84" s="325" t="s">
        <v>311</v>
      </c>
    </row>
    <row r="85" spans="1:28" ht="26.1" hidden="1" thickBot="1">
      <c r="A85" s="525" t="s">
        <v>505</v>
      </c>
      <c r="B85" s="525" t="s">
        <v>61</v>
      </c>
      <c r="C85" s="525" t="s">
        <v>107</v>
      </c>
      <c r="D85" s="525">
        <v>1000</v>
      </c>
      <c r="E85" s="525" t="s">
        <v>63</v>
      </c>
      <c r="F85" s="521" t="s">
        <v>57</v>
      </c>
      <c r="G85" s="162" t="s">
        <v>76</v>
      </c>
      <c r="H85" s="525">
        <v>0.04</v>
      </c>
      <c r="I85" s="525" t="s">
        <v>77</v>
      </c>
      <c r="J85" s="525">
        <v>2003</v>
      </c>
      <c r="K85" s="297" t="s">
        <v>122</v>
      </c>
      <c r="L85" s="519" t="s">
        <v>389</v>
      </c>
      <c r="M85" s="525" t="s">
        <v>503</v>
      </c>
      <c r="N85" s="304" t="s">
        <v>38</v>
      </c>
      <c r="O85" s="297" t="s">
        <v>38</v>
      </c>
      <c r="R85" s="324" t="s">
        <v>318</v>
      </c>
      <c r="S85" s="324" t="s">
        <v>61</v>
      </c>
      <c r="T85" s="324" t="s">
        <v>62</v>
      </c>
      <c r="U85" s="149">
        <v>1000</v>
      </c>
      <c r="V85" s="11" t="s">
        <v>31</v>
      </c>
      <c r="W85" s="324" t="s">
        <v>32</v>
      </c>
      <c r="X85" s="324">
        <v>7906</v>
      </c>
      <c r="Y85" s="324" t="s">
        <v>82</v>
      </c>
      <c r="Z85" s="324">
        <v>1998</v>
      </c>
      <c r="AA85" s="11" t="s">
        <v>1225</v>
      </c>
      <c r="AB85" s="324" t="s">
        <v>311</v>
      </c>
    </row>
    <row r="86" spans="1:28" ht="25.8" hidden="1">
      <c r="A86" s="526" t="s">
        <v>501</v>
      </c>
      <c r="B86" s="527" t="s">
        <v>61</v>
      </c>
      <c r="C86" s="527" t="s">
        <v>278</v>
      </c>
      <c r="D86" s="527">
        <v>1000</v>
      </c>
      <c r="E86" s="527" t="s">
        <v>63</v>
      </c>
      <c r="F86" s="520" t="s">
        <v>57</v>
      </c>
      <c r="G86" s="300" t="s">
        <v>76</v>
      </c>
      <c r="H86" s="527">
        <v>0.04</v>
      </c>
      <c r="I86" s="527" t="s">
        <v>77</v>
      </c>
      <c r="J86" s="527">
        <v>2003</v>
      </c>
      <c r="K86" s="296" t="s">
        <v>122</v>
      </c>
      <c r="L86" s="517" t="s">
        <v>389</v>
      </c>
      <c r="M86" s="527" t="s">
        <v>503</v>
      </c>
      <c r="N86" s="303" t="s">
        <v>38</v>
      </c>
      <c r="O86" s="294" t="s">
        <v>38</v>
      </c>
      <c r="R86" s="346" t="s">
        <v>443</v>
      </c>
      <c r="S86" s="349" t="s">
        <v>61</v>
      </c>
      <c r="T86" s="349" t="s">
        <v>62</v>
      </c>
      <c r="U86" s="349">
        <v>1185</v>
      </c>
      <c r="V86" s="349" t="s">
        <v>31</v>
      </c>
      <c r="W86" s="349" t="s">
        <v>52</v>
      </c>
      <c r="X86" s="349">
        <v>3609000000</v>
      </c>
      <c r="Y86" s="349" t="s">
        <v>34</v>
      </c>
      <c r="Z86" s="349">
        <v>1976</v>
      </c>
      <c r="AA86" s="350" t="s">
        <v>389</v>
      </c>
      <c r="AB86" s="349" t="s">
        <v>444</v>
      </c>
    </row>
    <row r="87" spans="1:28" ht="38.700000000000003" hidden="1">
      <c r="A87" s="523" t="s">
        <v>176</v>
      </c>
      <c r="B87" s="517" t="s">
        <v>61</v>
      </c>
      <c r="C87" s="517" t="s">
        <v>62</v>
      </c>
      <c r="D87" s="517">
        <v>1200</v>
      </c>
      <c r="E87" s="517" t="s">
        <v>31</v>
      </c>
      <c r="F87" s="517" t="s">
        <v>52</v>
      </c>
      <c r="G87" s="271" t="s">
        <v>33</v>
      </c>
      <c r="H87" s="271">
        <v>1953700000</v>
      </c>
      <c r="I87" s="271" t="s">
        <v>34</v>
      </c>
      <c r="J87" s="271">
        <v>1986</v>
      </c>
      <c r="K87" s="340" t="s">
        <v>709</v>
      </c>
      <c r="L87" s="517" t="s">
        <v>1216</v>
      </c>
      <c r="M87" s="517" t="s">
        <v>147</v>
      </c>
      <c r="N87" s="271" t="s">
        <v>84</v>
      </c>
      <c r="O87" s="274">
        <v>293000000</v>
      </c>
      <c r="R87" s="362" t="s">
        <v>795</v>
      </c>
      <c r="S87" s="362" t="s">
        <v>30</v>
      </c>
      <c r="T87" s="362" t="s">
        <v>796</v>
      </c>
      <c r="U87" s="362">
        <v>972</v>
      </c>
      <c r="V87" s="362" t="s">
        <v>31</v>
      </c>
      <c r="W87" s="362" t="s">
        <v>52</v>
      </c>
      <c r="X87" s="362">
        <v>3929900000</v>
      </c>
      <c r="Y87" s="362" t="s">
        <v>34</v>
      </c>
      <c r="Z87" s="362">
        <v>1991</v>
      </c>
      <c r="AA87" s="362" t="s">
        <v>93</v>
      </c>
      <c r="AB87" s="362" t="s">
        <v>799</v>
      </c>
    </row>
    <row r="88" spans="1:28" ht="13.2" hidden="1" thickBot="1">
      <c r="A88" s="279" t="s">
        <v>201</v>
      </c>
      <c r="B88" s="279" t="s">
        <v>61</v>
      </c>
      <c r="C88" s="279" t="s">
        <v>62</v>
      </c>
      <c r="D88" s="279">
        <v>1000</v>
      </c>
      <c r="E88" s="11" t="s">
        <v>75</v>
      </c>
      <c r="F88" s="279" t="s">
        <v>52</v>
      </c>
      <c r="G88" s="11" t="s">
        <v>76</v>
      </c>
      <c r="H88" s="11">
        <v>103</v>
      </c>
      <c r="I88" s="11" t="s">
        <v>77</v>
      </c>
      <c r="J88" s="11">
        <v>1999</v>
      </c>
      <c r="K88" s="336" t="s">
        <v>710</v>
      </c>
      <c r="L88" s="279"/>
      <c r="M88" s="279" t="s">
        <v>1123</v>
      </c>
      <c r="N88" s="11" t="s">
        <v>84</v>
      </c>
      <c r="O88" s="297" t="s">
        <v>38</v>
      </c>
      <c r="R88" s="359" t="s">
        <v>348</v>
      </c>
      <c r="S88" s="150" t="s">
        <v>61</v>
      </c>
      <c r="T88" s="150" t="s">
        <v>62</v>
      </c>
      <c r="U88" s="150">
        <v>200</v>
      </c>
      <c r="V88" s="150" t="s">
        <v>31</v>
      </c>
      <c r="W88" s="150" t="s">
        <v>57</v>
      </c>
      <c r="X88" s="150">
        <v>16343</v>
      </c>
      <c r="Y88" s="150" t="s">
        <v>189</v>
      </c>
      <c r="Z88" s="150">
        <v>2020</v>
      </c>
      <c r="AA88" s="152" t="s">
        <v>1215</v>
      </c>
      <c r="AB88" s="150" t="s">
        <v>344</v>
      </c>
    </row>
    <row r="89" spans="1:28" ht="13.2" hidden="1" thickBot="1">
      <c r="A89" s="279" t="s">
        <v>204</v>
      </c>
      <c r="B89" s="279" t="s">
        <v>61</v>
      </c>
      <c r="C89" s="279" t="s">
        <v>62</v>
      </c>
      <c r="D89" s="279">
        <v>1000</v>
      </c>
      <c r="E89" s="11" t="s">
        <v>75</v>
      </c>
      <c r="F89" s="279" t="s">
        <v>52</v>
      </c>
      <c r="G89" s="11" t="s">
        <v>76</v>
      </c>
      <c r="H89" s="11">
        <v>110</v>
      </c>
      <c r="I89" s="11" t="s">
        <v>77</v>
      </c>
      <c r="J89" s="11">
        <v>1999</v>
      </c>
      <c r="K89" s="336" t="s">
        <v>710</v>
      </c>
      <c r="L89" s="279"/>
      <c r="M89" s="279" t="s">
        <v>1123</v>
      </c>
      <c r="N89" s="11" t="s">
        <v>84</v>
      </c>
      <c r="O89" s="297" t="s">
        <v>38</v>
      </c>
      <c r="R89" s="330" t="s">
        <v>348</v>
      </c>
      <c r="S89" s="325" t="s">
        <v>61</v>
      </c>
      <c r="T89" s="325" t="s">
        <v>62</v>
      </c>
      <c r="U89" s="325">
        <v>200</v>
      </c>
      <c r="V89" s="325" t="s">
        <v>31</v>
      </c>
      <c r="W89" s="325" t="s">
        <v>52</v>
      </c>
      <c r="X89" s="325">
        <v>12095</v>
      </c>
      <c r="Y89" s="325" t="s">
        <v>189</v>
      </c>
      <c r="Z89" s="325">
        <v>2020</v>
      </c>
      <c r="AA89" s="328" t="s">
        <v>1215</v>
      </c>
      <c r="AB89" s="271" t="s">
        <v>344</v>
      </c>
    </row>
    <row r="90" spans="1:28" ht="13.2" hidden="1" thickBot="1">
      <c r="A90" s="307" t="s">
        <v>200</v>
      </c>
      <c r="B90" s="307" t="s">
        <v>61</v>
      </c>
      <c r="C90" s="307" t="s">
        <v>62</v>
      </c>
      <c r="D90" s="307">
        <v>1300</v>
      </c>
      <c r="E90" s="271" t="s">
        <v>75</v>
      </c>
      <c r="F90" s="307" t="s">
        <v>52</v>
      </c>
      <c r="G90" s="271" t="s">
        <v>76</v>
      </c>
      <c r="H90" s="271">
        <v>80</v>
      </c>
      <c r="I90" s="271" t="s">
        <v>77</v>
      </c>
      <c r="J90" s="271">
        <v>1999</v>
      </c>
      <c r="K90" s="335" t="s">
        <v>706</v>
      </c>
      <c r="L90" s="307"/>
      <c r="M90" s="307" t="s">
        <v>1123</v>
      </c>
      <c r="N90" s="271" t="s">
        <v>84</v>
      </c>
      <c r="O90" s="296" t="s">
        <v>38</v>
      </c>
      <c r="R90" s="331" t="s">
        <v>348</v>
      </c>
      <c r="S90" s="324" t="s">
        <v>61</v>
      </c>
      <c r="T90" s="324" t="s">
        <v>62</v>
      </c>
      <c r="U90" s="324">
        <v>200</v>
      </c>
      <c r="V90" s="324" t="s">
        <v>31</v>
      </c>
      <c r="W90" s="324" t="s">
        <v>754</v>
      </c>
      <c r="X90" s="324">
        <v>7219</v>
      </c>
      <c r="Y90" s="324" t="s">
        <v>189</v>
      </c>
      <c r="Z90" s="324">
        <v>2020</v>
      </c>
      <c r="AA90" s="329" t="s">
        <v>1215</v>
      </c>
      <c r="AB90" s="11" t="s">
        <v>344</v>
      </c>
    </row>
    <row r="91" spans="1:28" ht="129.30000000000001" hidden="1" thickBot="1">
      <c r="A91" s="279" t="s">
        <v>200</v>
      </c>
      <c r="B91" s="279" t="s">
        <v>61</v>
      </c>
      <c r="C91" s="279" t="s">
        <v>62</v>
      </c>
      <c r="D91" s="279">
        <v>1000</v>
      </c>
      <c r="E91" s="11" t="s">
        <v>75</v>
      </c>
      <c r="F91" s="279" t="s">
        <v>52</v>
      </c>
      <c r="G91" s="11" t="s">
        <v>76</v>
      </c>
      <c r="H91" s="11">
        <v>90</v>
      </c>
      <c r="I91" s="11" t="s">
        <v>77</v>
      </c>
      <c r="J91" s="11">
        <v>1999</v>
      </c>
      <c r="K91" s="336" t="s">
        <v>706</v>
      </c>
      <c r="L91" s="279"/>
      <c r="M91" s="279" t="s">
        <v>1123</v>
      </c>
      <c r="N91" s="11" t="s">
        <v>84</v>
      </c>
      <c r="O91" s="297" t="s">
        <v>38</v>
      </c>
      <c r="R91" s="325" t="s">
        <v>187</v>
      </c>
      <c r="S91" s="325" t="s">
        <v>61</v>
      </c>
      <c r="T91" s="325" t="s">
        <v>62</v>
      </c>
      <c r="U91" s="325">
        <v>1200</v>
      </c>
      <c r="V91" s="325" t="s">
        <v>31</v>
      </c>
      <c r="W91" s="325" t="s">
        <v>52</v>
      </c>
      <c r="X91" s="325">
        <v>2178</v>
      </c>
      <c r="Y91" s="325" t="s">
        <v>189</v>
      </c>
      <c r="Z91" s="325">
        <v>1986</v>
      </c>
      <c r="AA91" s="328" t="s">
        <v>1230</v>
      </c>
      <c r="AB91" s="310" t="s">
        <v>1105</v>
      </c>
    </row>
    <row r="92" spans="1:28" ht="129.30000000000001" hidden="1" thickBot="1">
      <c r="A92" s="307" t="s">
        <v>188</v>
      </c>
      <c r="B92" s="307" t="s">
        <v>61</v>
      </c>
      <c r="C92" s="307" t="s">
        <v>62</v>
      </c>
      <c r="D92" s="307">
        <v>1300</v>
      </c>
      <c r="E92" s="271" t="s">
        <v>75</v>
      </c>
      <c r="F92" s="307" t="s">
        <v>52</v>
      </c>
      <c r="G92" s="271" t="s">
        <v>76</v>
      </c>
      <c r="H92" s="271">
        <v>86</v>
      </c>
      <c r="I92" s="271" t="s">
        <v>77</v>
      </c>
      <c r="J92" s="271">
        <v>1999</v>
      </c>
      <c r="K92" s="335" t="s">
        <v>706</v>
      </c>
      <c r="L92" s="307"/>
      <c r="M92" s="307" t="s">
        <v>1123</v>
      </c>
      <c r="N92" s="271" t="s">
        <v>84</v>
      </c>
      <c r="O92" s="296" t="s">
        <v>38</v>
      </c>
      <c r="R92" s="324" t="s">
        <v>165</v>
      </c>
      <c r="S92" s="324" t="s">
        <v>61</v>
      </c>
      <c r="T92" s="324" t="s">
        <v>62</v>
      </c>
      <c r="U92" s="324">
        <v>1200</v>
      </c>
      <c r="V92" s="324" t="s">
        <v>31</v>
      </c>
      <c r="W92" s="324" t="s">
        <v>52</v>
      </c>
      <c r="X92" s="324">
        <v>2193</v>
      </c>
      <c r="Y92" s="324" t="s">
        <v>189</v>
      </c>
      <c r="Z92" s="324">
        <v>1986</v>
      </c>
      <c r="AA92" s="329" t="s">
        <v>1230</v>
      </c>
      <c r="AB92" s="278" t="s">
        <v>1105</v>
      </c>
    </row>
    <row r="93" spans="1:28" ht="129" hidden="1">
      <c r="A93" s="307" t="s">
        <v>188</v>
      </c>
      <c r="B93" s="307" t="s">
        <v>61</v>
      </c>
      <c r="C93" s="307" t="s">
        <v>62</v>
      </c>
      <c r="D93" s="307">
        <v>1000</v>
      </c>
      <c r="E93" s="271" t="s">
        <v>75</v>
      </c>
      <c r="F93" s="307" t="s">
        <v>52</v>
      </c>
      <c r="G93" s="271" t="s">
        <v>76</v>
      </c>
      <c r="H93" s="271">
        <v>95</v>
      </c>
      <c r="I93" s="271" t="s">
        <v>77</v>
      </c>
      <c r="J93" s="271">
        <v>1999</v>
      </c>
      <c r="K93" s="335" t="s">
        <v>706</v>
      </c>
      <c r="L93" s="307"/>
      <c r="M93" s="307" t="s">
        <v>1123</v>
      </c>
      <c r="N93" s="271" t="s">
        <v>84</v>
      </c>
      <c r="O93" s="296" t="s">
        <v>38</v>
      </c>
      <c r="R93" s="347" t="s">
        <v>170</v>
      </c>
      <c r="S93" s="347" t="s">
        <v>61</v>
      </c>
      <c r="T93" s="347" t="s">
        <v>113</v>
      </c>
      <c r="U93" s="347">
        <v>970</v>
      </c>
      <c r="V93" s="347" t="s">
        <v>31</v>
      </c>
      <c r="W93" s="347" t="s">
        <v>52</v>
      </c>
      <c r="X93" s="347">
        <v>1501</v>
      </c>
      <c r="Y93" s="347" t="s">
        <v>189</v>
      </c>
      <c r="Z93" s="347">
        <v>1986</v>
      </c>
      <c r="AA93" s="351" t="s">
        <v>1230</v>
      </c>
      <c r="AB93" s="352" t="s">
        <v>1105</v>
      </c>
    </row>
    <row r="94" spans="1:28" ht="123" hidden="1">
      <c r="A94" s="521" t="s">
        <v>178</v>
      </c>
      <c r="B94" s="519" t="s">
        <v>61</v>
      </c>
      <c r="C94" s="519" t="s">
        <v>62</v>
      </c>
      <c r="D94" s="519">
        <v>1200</v>
      </c>
      <c r="E94" s="519" t="s">
        <v>31</v>
      </c>
      <c r="F94" s="519" t="s">
        <v>52</v>
      </c>
      <c r="G94" s="11" t="s">
        <v>33</v>
      </c>
      <c r="H94" s="11">
        <v>1439800000</v>
      </c>
      <c r="I94" s="11" t="s">
        <v>34</v>
      </c>
      <c r="J94" s="11">
        <v>1986</v>
      </c>
      <c r="K94" s="336" t="s">
        <v>708</v>
      </c>
      <c r="L94" s="519" t="s">
        <v>1216</v>
      </c>
      <c r="M94" s="519" t="s">
        <v>147</v>
      </c>
      <c r="N94" s="11" t="s">
        <v>84</v>
      </c>
      <c r="O94" s="11">
        <v>216000000</v>
      </c>
      <c r="R94" s="362" t="s">
        <v>172</v>
      </c>
      <c r="S94" s="362" t="s">
        <v>61</v>
      </c>
      <c r="T94" s="362" t="s">
        <v>113</v>
      </c>
      <c r="U94" s="362">
        <v>970</v>
      </c>
      <c r="V94" s="362" t="s">
        <v>31</v>
      </c>
      <c r="W94" s="362" t="s">
        <v>52</v>
      </c>
      <c r="X94" s="362">
        <v>1523</v>
      </c>
      <c r="Y94" s="362" t="s">
        <v>189</v>
      </c>
      <c r="Z94" s="362">
        <v>1986</v>
      </c>
      <c r="AA94" s="362" t="s">
        <v>1230</v>
      </c>
      <c r="AB94" s="363" t="s">
        <v>1105</v>
      </c>
    </row>
    <row r="95" spans="1:28" ht="123" hidden="1">
      <c r="A95" s="520" t="s">
        <v>180</v>
      </c>
      <c r="B95" s="517" t="s">
        <v>61</v>
      </c>
      <c r="C95" s="517" t="s">
        <v>62</v>
      </c>
      <c r="D95" s="517">
        <v>1200</v>
      </c>
      <c r="E95" s="517" t="s">
        <v>31</v>
      </c>
      <c r="F95" s="517" t="s">
        <v>52</v>
      </c>
      <c r="G95" s="271" t="s">
        <v>33</v>
      </c>
      <c r="H95" s="271">
        <v>2907700000</v>
      </c>
      <c r="I95" s="271" t="s">
        <v>34</v>
      </c>
      <c r="J95" s="271">
        <v>1986</v>
      </c>
      <c r="K95" s="335" t="s">
        <v>708</v>
      </c>
      <c r="L95" s="517" t="s">
        <v>1216</v>
      </c>
      <c r="M95" s="517" t="s">
        <v>147</v>
      </c>
      <c r="N95" s="271" t="s">
        <v>84</v>
      </c>
      <c r="O95" s="271">
        <v>436200000</v>
      </c>
      <c r="R95" s="362" t="s">
        <v>174</v>
      </c>
      <c r="S95" s="362" t="s">
        <v>61</v>
      </c>
      <c r="T95" s="362" t="s">
        <v>62</v>
      </c>
      <c r="U95" s="362">
        <v>1200</v>
      </c>
      <c r="V95" s="362" t="s">
        <v>31</v>
      </c>
      <c r="W95" s="362" t="s">
        <v>52</v>
      </c>
      <c r="X95" s="362">
        <v>2563</v>
      </c>
      <c r="Y95" s="362" t="s">
        <v>189</v>
      </c>
      <c r="Z95" s="362">
        <v>1986</v>
      </c>
      <c r="AA95" s="362" t="s">
        <v>1230</v>
      </c>
      <c r="AB95" s="363" t="s">
        <v>1105</v>
      </c>
    </row>
    <row r="96" spans="1:28" ht="129.30000000000001" hidden="1" thickBot="1">
      <c r="A96" s="307" t="s">
        <v>203</v>
      </c>
      <c r="B96" s="307" t="s">
        <v>61</v>
      </c>
      <c r="C96" s="307" t="s">
        <v>62</v>
      </c>
      <c r="D96" s="307">
        <v>1300</v>
      </c>
      <c r="E96" s="271" t="s">
        <v>75</v>
      </c>
      <c r="F96" s="307" t="s">
        <v>52</v>
      </c>
      <c r="G96" s="271" t="s">
        <v>76</v>
      </c>
      <c r="H96" s="271">
        <v>68</v>
      </c>
      <c r="I96" s="271" t="s">
        <v>77</v>
      </c>
      <c r="J96" s="271">
        <v>1999</v>
      </c>
      <c r="K96" s="335" t="s">
        <v>715</v>
      </c>
      <c r="L96" s="307"/>
      <c r="M96" s="307" t="s">
        <v>1123</v>
      </c>
      <c r="N96" s="271" t="s">
        <v>84</v>
      </c>
      <c r="O96" s="296" t="s">
        <v>38</v>
      </c>
      <c r="R96" s="359" t="s">
        <v>176</v>
      </c>
      <c r="S96" s="150" t="s">
        <v>61</v>
      </c>
      <c r="T96" s="150" t="s">
        <v>62</v>
      </c>
      <c r="U96" s="150">
        <v>1200</v>
      </c>
      <c r="V96" s="150" t="s">
        <v>31</v>
      </c>
      <c r="W96" s="150" t="s">
        <v>52</v>
      </c>
      <c r="X96" s="150">
        <v>1873</v>
      </c>
      <c r="Y96" s="150" t="s">
        <v>189</v>
      </c>
      <c r="Z96" s="150">
        <v>1986</v>
      </c>
      <c r="AA96" s="152" t="s">
        <v>1230</v>
      </c>
      <c r="AB96" s="360" t="s">
        <v>1105</v>
      </c>
    </row>
    <row r="97" spans="1:29" ht="129.30000000000001" hidden="1" thickBot="1">
      <c r="A97" s="279" t="s">
        <v>205</v>
      </c>
      <c r="B97" s="279" t="s">
        <v>61</v>
      </c>
      <c r="C97" s="279" t="s">
        <v>62</v>
      </c>
      <c r="D97" s="279">
        <v>1300</v>
      </c>
      <c r="E97" s="11" t="s">
        <v>75</v>
      </c>
      <c r="F97" s="279" t="s">
        <v>52</v>
      </c>
      <c r="G97" s="11" t="s">
        <v>76</v>
      </c>
      <c r="H97" s="11">
        <v>65</v>
      </c>
      <c r="I97" s="11" t="s">
        <v>77</v>
      </c>
      <c r="J97" s="11">
        <v>1999</v>
      </c>
      <c r="K97" s="336" t="s">
        <v>715</v>
      </c>
      <c r="L97" s="279"/>
      <c r="M97" s="279" t="s">
        <v>1123</v>
      </c>
      <c r="N97" s="11" t="s">
        <v>84</v>
      </c>
      <c r="O97" s="297" t="s">
        <v>38</v>
      </c>
      <c r="R97" s="325" t="s">
        <v>182</v>
      </c>
      <c r="S97" s="325" t="s">
        <v>61</v>
      </c>
      <c r="T97" s="325" t="s">
        <v>62</v>
      </c>
      <c r="U97" s="325">
        <v>1200</v>
      </c>
      <c r="V97" s="325" t="s">
        <v>31</v>
      </c>
      <c r="W97" s="325" t="s">
        <v>52</v>
      </c>
      <c r="X97" s="325">
        <v>1380</v>
      </c>
      <c r="Y97" s="325" t="s">
        <v>189</v>
      </c>
      <c r="Z97" s="325">
        <v>1986</v>
      </c>
      <c r="AA97" s="328" t="s">
        <v>1230</v>
      </c>
      <c r="AB97" s="310" t="s">
        <v>1105</v>
      </c>
    </row>
    <row r="98" spans="1:29" ht="129.30000000000001" hidden="1" thickBot="1">
      <c r="A98" s="279" t="s">
        <v>277</v>
      </c>
      <c r="B98" s="279" t="s">
        <v>61</v>
      </c>
      <c r="C98" s="508" t="s">
        <v>278</v>
      </c>
      <c r="D98" s="279">
        <v>1000</v>
      </c>
      <c r="E98" s="11" t="s">
        <v>75</v>
      </c>
      <c r="F98" s="279" t="s">
        <v>57</v>
      </c>
      <c r="G98" s="11" t="s">
        <v>76</v>
      </c>
      <c r="H98" s="11">
        <v>93</v>
      </c>
      <c r="I98" s="11" t="s">
        <v>77</v>
      </c>
      <c r="J98" s="11">
        <v>2003</v>
      </c>
      <c r="K98" s="336" t="s">
        <v>65</v>
      </c>
      <c r="L98" s="279" t="s">
        <v>1292</v>
      </c>
      <c r="M98" s="278" t="s">
        <v>279</v>
      </c>
      <c r="N98" s="11" t="s">
        <v>84</v>
      </c>
      <c r="O98" s="297" t="s">
        <v>38</v>
      </c>
      <c r="R98" s="11" t="s">
        <v>1100</v>
      </c>
      <c r="S98" s="11" t="s">
        <v>61</v>
      </c>
      <c r="T98" s="11" t="s">
        <v>62</v>
      </c>
      <c r="U98" s="11">
        <v>1200</v>
      </c>
      <c r="V98" s="324" t="s">
        <v>31</v>
      </c>
      <c r="W98" s="324" t="s">
        <v>52</v>
      </c>
      <c r="X98" s="11">
        <v>2787</v>
      </c>
      <c r="Y98" s="11" t="s">
        <v>189</v>
      </c>
      <c r="Z98" s="11">
        <v>1986</v>
      </c>
      <c r="AA98" s="333" t="s">
        <v>1230</v>
      </c>
      <c r="AB98" s="278" t="s">
        <v>1105</v>
      </c>
    </row>
    <row r="99" spans="1:29" ht="26.1" hidden="1" thickBot="1">
      <c r="A99" s="307" t="s">
        <v>283</v>
      </c>
      <c r="B99" s="307" t="s">
        <v>61</v>
      </c>
      <c r="C99" s="307" t="s">
        <v>251</v>
      </c>
      <c r="D99" s="307">
        <v>1000</v>
      </c>
      <c r="E99" s="271" t="s">
        <v>75</v>
      </c>
      <c r="F99" s="307" t="s">
        <v>52</v>
      </c>
      <c r="G99" s="271" t="s">
        <v>76</v>
      </c>
      <c r="H99" s="271">
        <v>91</v>
      </c>
      <c r="I99" s="271" t="s">
        <v>77</v>
      </c>
      <c r="J99" s="271">
        <v>2003</v>
      </c>
      <c r="K99" s="336" t="s">
        <v>65</v>
      </c>
      <c r="L99" s="307" t="s">
        <v>1293</v>
      </c>
      <c r="M99" s="310" t="s">
        <v>279</v>
      </c>
      <c r="N99" s="271" t="s">
        <v>84</v>
      </c>
      <c r="O99" s="296" t="s">
        <v>38</v>
      </c>
      <c r="R99" s="11" t="s">
        <v>797</v>
      </c>
      <c r="S99" s="11" t="s">
        <v>30</v>
      </c>
      <c r="T99" s="11" t="s">
        <v>798</v>
      </c>
      <c r="U99" s="11">
        <v>999</v>
      </c>
      <c r="V99" s="324" t="s">
        <v>31</v>
      </c>
      <c r="W99" s="324" t="s">
        <v>52</v>
      </c>
      <c r="X99" s="11">
        <v>2716020000</v>
      </c>
      <c r="Y99" s="11" t="s">
        <v>34</v>
      </c>
      <c r="Z99" s="11">
        <v>1991</v>
      </c>
      <c r="AA99" s="343" t="s">
        <v>93</v>
      </c>
      <c r="AB99" s="11" t="s">
        <v>799</v>
      </c>
    </row>
    <row r="100" spans="1:29" hidden="1">
      <c r="A100" s="279" t="s">
        <v>207</v>
      </c>
      <c r="B100" s="279" t="s">
        <v>61</v>
      </c>
      <c r="C100" s="279" t="s">
        <v>62</v>
      </c>
      <c r="D100" s="279">
        <v>1000</v>
      </c>
      <c r="E100" s="11" t="s">
        <v>108</v>
      </c>
      <c r="F100" s="279" t="s">
        <v>52</v>
      </c>
      <c r="G100" s="11" t="s">
        <v>76</v>
      </c>
      <c r="H100" s="11">
        <v>47.12</v>
      </c>
      <c r="I100" s="11" t="s">
        <v>77</v>
      </c>
      <c r="J100" s="11">
        <v>1992</v>
      </c>
      <c r="K100" s="336" t="s">
        <v>713</v>
      </c>
      <c r="L100" s="279" t="s">
        <v>1292</v>
      </c>
      <c r="M100" s="279" t="s">
        <v>1206</v>
      </c>
      <c r="N100" s="279" t="s">
        <v>84</v>
      </c>
      <c r="O100" s="297" t="s">
        <v>38</v>
      </c>
      <c r="R100" s="271" t="s">
        <v>387</v>
      </c>
      <c r="S100" s="271" t="s">
        <v>30</v>
      </c>
      <c r="T100" s="271" t="s">
        <v>815</v>
      </c>
      <c r="U100" s="271">
        <v>1083</v>
      </c>
      <c r="V100" s="271" t="s">
        <v>31</v>
      </c>
      <c r="W100" s="302" t="s">
        <v>52</v>
      </c>
      <c r="X100" s="271">
        <v>4231500000</v>
      </c>
      <c r="Y100" s="271" t="s">
        <v>34</v>
      </c>
      <c r="Z100" s="271">
        <v>1988</v>
      </c>
      <c r="AA100" s="271" t="s">
        <v>389</v>
      </c>
      <c r="AB100" s="271" t="s">
        <v>386</v>
      </c>
    </row>
    <row r="101" spans="1:29" ht="38.700000000000003" hidden="1">
      <c r="A101" s="279" t="s">
        <v>398</v>
      </c>
      <c r="B101" s="279" t="s">
        <v>61</v>
      </c>
      <c r="C101" s="279" t="s">
        <v>251</v>
      </c>
      <c r="D101" s="279">
        <v>1204</v>
      </c>
      <c r="E101" s="11" t="s">
        <v>75</v>
      </c>
      <c r="F101" s="279" t="s">
        <v>32</v>
      </c>
      <c r="G101" s="11" t="s">
        <v>76</v>
      </c>
      <c r="H101" s="11">
        <v>87</v>
      </c>
      <c r="I101" s="11" t="s">
        <v>128</v>
      </c>
      <c r="J101" s="11">
        <v>2023</v>
      </c>
      <c r="K101" s="336" t="s">
        <v>713</v>
      </c>
      <c r="L101" s="279" t="s">
        <v>1294</v>
      </c>
      <c r="M101" s="279" t="s">
        <v>399</v>
      </c>
      <c r="N101" s="11" t="s">
        <v>84</v>
      </c>
      <c r="O101" s="297" t="s">
        <v>38</v>
      </c>
      <c r="R101" s="11" t="s">
        <v>738</v>
      </c>
      <c r="S101" s="11" t="s">
        <v>61</v>
      </c>
      <c r="T101" s="11" t="s">
        <v>62</v>
      </c>
      <c r="U101" s="11">
        <v>1000</v>
      </c>
      <c r="V101" s="11" t="s">
        <v>31</v>
      </c>
      <c r="W101" s="11" t="s">
        <v>32</v>
      </c>
      <c r="X101" s="288">
        <v>5324.347826086957</v>
      </c>
      <c r="Y101" s="11" t="s">
        <v>189</v>
      </c>
      <c r="Z101" s="11">
        <v>2010</v>
      </c>
      <c r="AA101" s="11" t="s">
        <v>1231</v>
      </c>
      <c r="AB101" s="11" t="s">
        <v>732</v>
      </c>
    </row>
    <row r="102" spans="1:29" ht="129" hidden="1">
      <c r="A102" s="307" t="s">
        <v>398</v>
      </c>
      <c r="B102" s="307" t="s">
        <v>61</v>
      </c>
      <c r="C102" s="307" t="s">
        <v>251</v>
      </c>
      <c r="D102" s="307">
        <v>1204</v>
      </c>
      <c r="E102" s="271" t="s">
        <v>75</v>
      </c>
      <c r="F102" s="307" t="s">
        <v>32</v>
      </c>
      <c r="G102" s="271" t="s">
        <v>76</v>
      </c>
      <c r="H102" s="271">
        <v>67</v>
      </c>
      <c r="I102" s="271" t="s">
        <v>128</v>
      </c>
      <c r="J102" s="271">
        <v>2023</v>
      </c>
      <c r="K102" s="335" t="s">
        <v>713</v>
      </c>
      <c r="L102" s="279" t="s">
        <v>1294</v>
      </c>
      <c r="M102" s="307" t="s">
        <v>399</v>
      </c>
      <c r="N102" s="271" t="s">
        <v>84</v>
      </c>
      <c r="O102" s="296" t="s">
        <v>38</v>
      </c>
      <c r="R102" s="11" t="s">
        <v>1102</v>
      </c>
      <c r="S102" s="11" t="s">
        <v>61</v>
      </c>
      <c r="T102" s="11" t="s">
        <v>62</v>
      </c>
      <c r="U102" s="11">
        <v>1164</v>
      </c>
      <c r="V102" s="11" t="s">
        <v>31</v>
      </c>
      <c r="W102" s="11" t="s">
        <v>32</v>
      </c>
      <c r="X102" s="11">
        <v>3948156000</v>
      </c>
      <c r="Y102" s="11" t="s">
        <v>34</v>
      </c>
      <c r="Z102" s="11">
        <v>1984</v>
      </c>
      <c r="AA102" s="11" t="s">
        <v>1235</v>
      </c>
      <c r="AB102" s="278" t="s">
        <v>938</v>
      </c>
    </row>
    <row r="103" spans="1:29" ht="38.700000000000003" hidden="1">
      <c r="A103" s="279" t="s">
        <v>401</v>
      </c>
      <c r="B103" s="279" t="s">
        <v>61</v>
      </c>
      <c r="C103" s="279" t="s">
        <v>251</v>
      </c>
      <c r="D103" s="279">
        <v>1313</v>
      </c>
      <c r="E103" s="11" t="s">
        <v>75</v>
      </c>
      <c r="F103" s="279" t="s">
        <v>32</v>
      </c>
      <c r="G103" s="11" t="s">
        <v>76</v>
      </c>
      <c r="H103" s="11">
        <v>84</v>
      </c>
      <c r="I103" s="11" t="s">
        <v>128</v>
      </c>
      <c r="J103" s="11">
        <v>2023</v>
      </c>
      <c r="K103" s="336" t="s">
        <v>713</v>
      </c>
      <c r="L103" s="279" t="s">
        <v>1294</v>
      </c>
      <c r="M103" s="279" t="s">
        <v>399</v>
      </c>
      <c r="N103" s="11" t="s">
        <v>84</v>
      </c>
      <c r="O103" s="297" t="s">
        <v>38</v>
      </c>
      <c r="R103" s="344" t="s">
        <v>1246</v>
      </c>
      <c r="S103" s="345" t="s">
        <v>61</v>
      </c>
      <c r="T103" s="345" t="s">
        <v>62</v>
      </c>
      <c r="U103" s="345">
        <v>1200</v>
      </c>
      <c r="V103" s="345" t="s">
        <v>31</v>
      </c>
      <c r="W103" s="345" t="s">
        <v>57</v>
      </c>
      <c r="X103" s="345">
        <v>3116000000</v>
      </c>
      <c r="Y103" s="345" t="s">
        <v>34</v>
      </c>
      <c r="Z103" s="345">
        <v>2020</v>
      </c>
      <c r="AA103" s="345" t="s">
        <v>1238</v>
      </c>
      <c r="AB103" s="345" t="s">
        <v>433</v>
      </c>
    </row>
    <row r="104" spans="1:29" ht="86.7" hidden="1">
      <c r="A104" s="519" t="s">
        <v>200</v>
      </c>
      <c r="B104" s="519" t="s">
        <v>61</v>
      </c>
      <c r="C104" s="519" t="s">
        <v>62</v>
      </c>
      <c r="D104" s="519">
        <v>1000</v>
      </c>
      <c r="E104" s="519" t="s">
        <v>31</v>
      </c>
      <c r="F104" s="519" t="s">
        <v>52</v>
      </c>
      <c r="G104" s="11" t="s">
        <v>33</v>
      </c>
      <c r="H104" s="11">
        <v>3521500000</v>
      </c>
      <c r="I104" s="11" t="s">
        <v>34</v>
      </c>
      <c r="J104" s="11">
        <v>1999</v>
      </c>
      <c r="K104" s="336" t="s">
        <v>706</v>
      </c>
      <c r="L104" s="519" t="s">
        <v>1216</v>
      </c>
      <c r="M104" s="519" t="s">
        <v>1123</v>
      </c>
      <c r="N104" s="11" t="s">
        <v>84</v>
      </c>
      <c r="O104" s="11">
        <v>704000000</v>
      </c>
      <c r="R104" s="362" t="s">
        <v>81</v>
      </c>
      <c r="S104" s="362" t="s">
        <v>61</v>
      </c>
      <c r="T104" s="362" t="s">
        <v>62</v>
      </c>
      <c r="U104" s="362">
        <v>1000</v>
      </c>
      <c r="V104" s="362" t="s">
        <v>31</v>
      </c>
      <c r="W104" s="362" t="s">
        <v>57</v>
      </c>
      <c r="X104" s="362">
        <v>2400</v>
      </c>
      <c r="Y104" s="362" t="s">
        <v>189</v>
      </c>
      <c r="Z104" s="362">
        <v>2003</v>
      </c>
      <c r="AA104" s="362" t="s">
        <v>1217</v>
      </c>
      <c r="AB104" s="362" t="s">
        <v>440</v>
      </c>
    </row>
    <row r="105" spans="1:29" ht="38.700000000000003" hidden="1">
      <c r="A105" s="505" t="s">
        <v>401</v>
      </c>
      <c r="B105" s="307" t="s">
        <v>61</v>
      </c>
      <c r="C105" s="307" t="s">
        <v>251</v>
      </c>
      <c r="D105" s="307">
        <v>1313</v>
      </c>
      <c r="E105" s="271" t="s">
        <v>75</v>
      </c>
      <c r="F105" s="307" t="s">
        <v>32</v>
      </c>
      <c r="G105" s="271" t="s">
        <v>76</v>
      </c>
      <c r="H105" s="271">
        <v>65</v>
      </c>
      <c r="I105" s="271" t="s">
        <v>128</v>
      </c>
      <c r="J105" s="271">
        <v>2023</v>
      </c>
      <c r="K105" s="335" t="s">
        <v>713</v>
      </c>
      <c r="L105" s="279" t="s">
        <v>1294</v>
      </c>
      <c r="M105" s="307" t="s">
        <v>399</v>
      </c>
      <c r="N105" s="271" t="s">
        <v>84</v>
      </c>
      <c r="O105" s="294" t="s">
        <v>38</v>
      </c>
      <c r="R105" t="s">
        <v>81</v>
      </c>
      <c r="S105" t="s">
        <v>61</v>
      </c>
      <c r="T105" t="s">
        <v>62</v>
      </c>
      <c r="U105">
        <v>1000</v>
      </c>
      <c r="V105" t="s">
        <v>31</v>
      </c>
      <c r="W105" t="s">
        <v>32</v>
      </c>
      <c r="X105">
        <v>4480</v>
      </c>
      <c r="Y105" t="s">
        <v>189</v>
      </c>
      <c r="Z105">
        <v>2003</v>
      </c>
      <c r="AA105" t="s">
        <v>1217</v>
      </c>
      <c r="AB105" t="s">
        <v>440</v>
      </c>
    </row>
    <row r="106" spans="1:29" ht="86.7" hidden="1">
      <c r="A106" s="516" t="s">
        <v>188</v>
      </c>
      <c r="B106" s="517" t="s">
        <v>61</v>
      </c>
      <c r="C106" s="517" t="s">
        <v>62</v>
      </c>
      <c r="D106" s="517">
        <v>1000</v>
      </c>
      <c r="E106" s="517" t="s">
        <v>31</v>
      </c>
      <c r="F106" s="517" t="s">
        <v>52</v>
      </c>
      <c r="G106" s="271" t="s">
        <v>33</v>
      </c>
      <c r="H106" s="271">
        <v>3880800000</v>
      </c>
      <c r="I106" s="271" t="s">
        <v>34</v>
      </c>
      <c r="J106" s="271">
        <v>1999</v>
      </c>
      <c r="K106" s="335" t="s">
        <v>706</v>
      </c>
      <c r="L106" s="517" t="s">
        <v>1216</v>
      </c>
      <c r="M106" s="517" t="s">
        <v>1123</v>
      </c>
      <c r="N106" s="271" t="s">
        <v>84</v>
      </c>
      <c r="O106" s="274">
        <v>776000000</v>
      </c>
      <c r="R106" s="363" t="s">
        <v>1245</v>
      </c>
      <c r="S106" s="363" t="s">
        <v>61</v>
      </c>
      <c r="T106" s="363" t="s">
        <v>62</v>
      </c>
      <c r="U106" s="363">
        <v>2000</v>
      </c>
      <c r="V106" s="363" t="s">
        <v>31</v>
      </c>
      <c r="W106" s="363" t="s">
        <v>52</v>
      </c>
      <c r="X106" s="363">
        <v>9000</v>
      </c>
      <c r="Y106" s="363" t="s">
        <v>189</v>
      </c>
      <c r="Z106" s="363">
        <v>2020</v>
      </c>
      <c r="AA106" s="362" t="s">
        <v>1224</v>
      </c>
      <c r="AB106" s="362" t="s">
        <v>730</v>
      </c>
    </row>
    <row r="107" spans="1:29" ht="62.4" hidden="1" thickBot="1">
      <c r="A107" s="519" t="s">
        <v>281</v>
      </c>
      <c r="B107" s="519" t="s">
        <v>61</v>
      </c>
      <c r="C107" s="525" t="s">
        <v>278</v>
      </c>
      <c r="D107" s="519">
        <v>1940</v>
      </c>
      <c r="E107" s="519" t="s">
        <v>31</v>
      </c>
      <c r="F107" s="519" t="s">
        <v>57</v>
      </c>
      <c r="G107" s="11" t="s">
        <v>33</v>
      </c>
      <c r="H107" s="11">
        <v>5767800000</v>
      </c>
      <c r="I107" s="11" t="s">
        <v>34</v>
      </c>
      <c r="J107" s="11">
        <v>2003</v>
      </c>
      <c r="K107" s="336" t="s">
        <v>65</v>
      </c>
      <c r="L107" s="519"/>
      <c r="M107" s="529" t="s">
        <v>279</v>
      </c>
      <c r="N107" s="11" t="s">
        <v>84</v>
      </c>
      <c r="O107" s="322">
        <v>997800000</v>
      </c>
      <c r="R107" s="364" t="s">
        <v>211</v>
      </c>
      <c r="S107" s="364" t="s">
        <v>61</v>
      </c>
      <c r="T107" s="364" t="s">
        <v>62</v>
      </c>
      <c r="U107" s="364">
        <v>500</v>
      </c>
      <c r="V107" s="364" t="s">
        <v>31</v>
      </c>
      <c r="W107" s="364" t="s">
        <v>32</v>
      </c>
      <c r="X107" s="364">
        <v>30000</v>
      </c>
      <c r="Y107" s="364" t="s">
        <v>189</v>
      </c>
      <c r="Z107" s="364">
        <v>2020</v>
      </c>
      <c r="AA107" s="369"/>
      <c r="AB107" s="369" t="s">
        <v>731</v>
      </c>
      <c r="AC107" s="264"/>
    </row>
    <row r="108" spans="1:29" ht="38.700000000000003" hidden="1">
      <c r="A108" s="279" t="s">
        <v>402</v>
      </c>
      <c r="B108" s="279" t="s">
        <v>61</v>
      </c>
      <c r="C108" s="279" t="s">
        <v>251</v>
      </c>
      <c r="D108" s="279">
        <v>2272</v>
      </c>
      <c r="E108" s="11" t="s">
        <v>75</v>
      </c>
      <c r="F108" s="279" t="s">
        <v>32</v>
      </c>
      <c r="G108" s="11" t="s">
        <v>76</v>
      </c>
      <c r="H108" s="11">
        <v>70</v>
      </c>
      <c r="I108" s="11" t="s">
        <v>128</v>
      </c>
      <c r="J108" s="11">
        <v>2023</v>
      </c>
      <c r="K108" s="336" t="s">
        <v>713</v>
      </c>
      <c r="L108" s="279" t="s">
        <v>1294</v>
      </c>
      <c r="M108" s="279" t="s">
        <v>399</v>
      </c>
      <c r="N108" s="11" t="s">
        <v>84</v>
      </c>
      <c r="O108" s="297" t="s">
        <v>38</v>
      </c>
      <c r="R108" s="361" t="s">
        <v>447</v>
      </c>
      <c r="S108" s="360" t="s">
        <v>61</v>
      </c>
      <c r="T108" s="360" t="s">
        <v>62</v>
      </c>
      <c r="U108" s="360">
        <v>2000</v>
      </c>
      <c r="V108" s="360" t="s">
        <v>31</v>
      </c>
      <c r="W108" s="360" t="s">
        <v>32</v>
      </c>
      <c r="X108" s="360">
        <v>12000</v>
      </c>
      <c r="Y108" s="360" t="s">
        <v>189</v>
      </c>
      <c r="Z108" s="360">
        <v>2020</v>
      </c>
      <c r="AA108" s="356"/>
      <c r="AB108" s="356" t="s">
        <v>731</v>
      </c>
    </row>
    <row r="109" spans="1:29" ht="38.700000000000003" hidden="1">
      <c r="A109" s="307" t="s">
        <v>403</v>
      </c>
      <c r="B109" s="307" t="s">
        <v>61</v>
      </c>
      <c r="C109" s="307" t="s">
        <v>251</v>
      </c>
      <c r="D109" s="307">
        <v>1368</v>
      </c>
      <c r="E109" s="271" t="s">
        <v>75</v>
      </c>
      <c r="F109" s="307" t="s">
        <v>32</v>
      </c>
      <c r="G109" s="271" t="s">
        <v>76</v>
      </c>
      <c r="H109" s="271">
        <v>63.16</v>
      </c>
      <c r="I109" s="271" t="s">
        <v>128</v>
      </c>
      <c r="J109" s="271">
        <v>2023</v>
      </c>
      <c r="K109" s="335" t="s">
        <v>713</v>
      </c>
      <c r="L109" s="279" t="s">
        <v>1294</v>
      </c>
      <c r="M109" s="307" t="s">
        <v>399</v>
      </c>
      <c r="N109" s="271" t="s">
        <v>84</v>
      </c>
      <c r="O109" s="296" t="s">
        <v>38</v>
      </c>
      <c r="R109" s="270" t="s">
        <v>469</v>
      </c>
      <c r="S109" s="271" t="s">
        <v>470</v>
      </c>
      <c r="T109" s="271" t="s">
        <v>471</v>
      </c>
      <c r="U109" s="271">
        <v>150</v>
      </c>
      <c r="V109" s="271" t="s">
        <v>31</v>
      </c>
      <c r="W109" s="271" t="s">
        <v>52</v>
      </c>
      <c r="X109" s="271">
        <v>603000000</v>
      </c>
      <c r="Y109" s="271" t="s">
        <v>34</v>
      </c>
      <c r="Z109" s="271">
        <v>2016</v>
      </c>
      <c r="AA109" s="271" t="s">
        <v>1278</v>
      </c>
      <c r="AB109" s="271" t="s">
        <v>472</v>
      </c>
    </row>
    <row r="110" spans="1:29" ht="38.700000000000003" hidden="1">
      <c r="A110" s="279" t="s">
        <v>402</v>
      </c>
      <c r="B110" s="279" t="s">
        <v>61</v>
      </c>
      <c r="C110" s="279" t="s">
        <v>251</v>
      </c>
      <c r="D110" s="279">
        <v>2272</v>
      </c>
      <c r="E110" s="11" t="s">
        <v>75</v>
      </c>
      <c r="F110" s="279" t="s">
        <v>32</v>
      </c>
      <c r="G110" s="11" t="s">
        <v>76</v>
      </c>
      <c r="H110" s="11">
        <v>90</v>
      </c>
      <c r="I110" s="11" t="s">
        <v>128</v>
      </c>
      <c r="J110" s="11">
        <v>2023</v>
      </c>
      <c r="K110" s="336" t="s">
        <v>713</v>
      </c>
      <c r="L110" s="279" t="s">
        <v>1294</v>
      </c>
      <c r="M110" s="279" t="s">
        <v>399</v>
      </c>
      <c r="N110" s="11" t="s">
        <v>84</v>
      </c>
      <c r="O110" s="297" t="s">
        <v>38</v>
      </c>
      <c r="R110" s="11" t="s">
        <v>481</v>
      </c>
      <c r="S110" s="11" t="s">
        <v>470</v>
      </c>
      <c r="T110" s="11" t="s">
        <v>471</v>
      </c>
      <c r="U110" s="11">
        <v>150</v>
      </c>
      <c r="V110" s="11" t="s">
        <v>31</v>
      </c>
      <c r="W110" s="11" t="s">
        <v>52</v>
      </c>
      <c r="X110" s="11">
        <v>1313000000</v>
      </c>
      <c r="Y110" s="11" t="s">
        <v>34</v>
      </c>
      <c r="Z110" s="11">
        <v>2016</v>
      </c>
      <c r="AA110" s="11" t="s">
        <v>482</v>
      </c>
      <c r="AB110" s="11" t="s">
        <v>472</v>
      </c>
    </row>
    <row r="111" spans="1:29" ht="38.700000000000003" hidden="1">
      <c r="A111" s="307" t="s">
        <v>403</v>
      </c>
      <c r="B111" s="307" t="s">
        <v>61</v>
      </c>
      <c r="C111" s="307" t="s">
        <v>251</v>
      </c>
      <c r="D111" s="307">
        <v>1368</v>
      </c>
      <c r="E111" s="271" t="s">
        <v>75</v>
      </c>
      <c r="F111" s="307" t="s">
        <v>32</v>
      </c>
      <c r="G111" s="271" t="s">
        <v>76</v>
      </c>
      <c r="H111" s="271">
        <v>82.95</v>
      </c>
      <c r="I111" s="271" t="s">
        <v>128</v>
      </c>
      <c r="J111" s="271">
        <v>2023</v>
      </c>
      <c r="K111" s="335" t="s">
        <v>713</v>
      </c>
      <c r="L111" s="279" t="s">
        <v>1294</v>
      </c>
      <c r="M111" s="307" t="s">
        <v>399</v>
      </c>
      <c r="N111" s="271" t="s">
        <v>84</v>
      </c>
      <c r="O111" s="296" t="s">
        <v>38</v>
      </c>
      <c r="R111" s="271" t="s">
        <v>483</v>
      </c>
      <c r="S111" s="271" t="s">
        <v>470</v>
      </c>
      <c r="T111" s="271" t="s">
        <v>471</v>
      </c>
      <c r="U111" s="271">
        <v>150</v>
      </c>
      <c r="V111" s="271" t="s">
        <v>31</v>
      </c>
      <c r="W111" s="271" t="s">
        <v>52</v>
      </c>
      <c r="X111" s="271">
        <v>1714000000</v>
      </c>
      <c r="Y111" s="271" t="s">
        <v>34</v>
      </c>
      <c r="Z111" s="271">
        <v>2016</v>
      </c>
      <c r="AA111" s="271" t="s">
        <v>482</v>
      </c>
      <c r="AB111" s="271" t="s">
        <v>472</v>
      </c>
    </row>
    <row r="112" spans="1:29" ht="38.700000000000003" hidden="1">
      <c r="A112" s="279" t="s">
        <v>404</v>
      </c>
      <c r="B112" s="279" t="s">
        <v>61</v>
      </c>
      <c r="C112" s="279" t="s">
        <v>251</v>
      </c>
      <c r="D112" s="279">
        <v>914</v>
      </c>
      <c r="E112" s="11" t="s">
        <v>75</v>
      </c>
      <c r="F112" s="279" t="s">
        <v>32</v>
      </c>
      <c r="G112" s="11" t="s">
        <v>76</v>
      </c>
      <c r="H112" s="11">
        <v>75</v>
      </c>
      <c r="I112" s="11" t="s">
        <v>128</v>
      </c>
      <c r="J112" s="11">
        <v>2023</v>
      </c>
      <c r="K112" s="336" t="s">
        <v>713</v>
      </c>
      <c r="L112" s="279" t="s">
        <v>1296</v>
      </c>
      <c r="M112" s="279" t="s">
        <v>399</v>
      </c>
      <c r="N112" s="11" t="s">
        <v>84</v>
      </c>
      <c r="O112" s="297" t="s">
        <v>38</v>
      </c>
    </row>
    <row r="113" spans="1:28" ht="38.700000000000003" hidden="1">
      <c r="A113" s="307" t="s">
        <v>404</v>
      </c>
      <c r="B113" s="307" t="s">
        <v>61</v>
      </c>
      <c r="C113" s="307" t="s">
        <v>251</v>
      </c>
      <c r="D113" s="307">
        <v>914</v>
      </c>
      <c r="E113" s="271" t="s">
        <v>75</v>
      </c>
      <c r="F113" s="307" t="s">
        <v>32</v>
      </c>
      <c r="G113" s="271" t="s">
        <v>76</v>
      </c>
      <c r="H113" s="271">
        <v>60</v>
      </c>
      <c r="I113" s="271" t="s">
        <v>128</v>
      </c>
      <c r="J113" s="271">
        <v>2023</v>
      </c>
      <c r="K113" s="335" t="s">
        <v>713</v>
      </c>
      <c r="L113" s="307" t="s">
        <v>1296</v>
      </c>
      <c r="M113" s="307" t="s">
        <v>399</v>
      </c>
      <c r="N113" s="271" t="s">
        <v>84</v>
      </c>
      <c r="O113" s="296" t="s">
        <v>38</v>
      </c>
    </row>
    <row r="114" spans="1:28" ht="38.700000000000003" hidden="1">
      <c r="A114" s="279" t="s">
        <v>405</v>
      </c>
      <c r="B114" s="279" t="s">
        <v>61</v>
      </c>
      <c r="C114" s="279" t="s">
        <v>251</v>
      </c>
      <c r="D114" s="279">
        <v>774</v>
      </c>
      <c r="E114" s="11" t="s">
        <v>75</v>
      </c>
      <c r="F114" s="279" t="s">
        <v>32</v>
      </c>
      <c r="G114" s="11" t="s">
        <v>76</v>
      </c>
      <c r="H114" s="11">
        <v>59</v>
      </c>
      <c r="I114" s="11" t="s">
        <v>128</v>
      </c>
      <c r="J114" s="11">
        <v>2023</v>
      </c>
      <c r="K114" s="336" t="s">
        <v>713</v>
      </c>
      <c r="L114" s="279" t="s">
        <v>1295</v>
      </c>
      <c r="M114" s="279" t="s">
        <v>399</v>
      </c>
      <c r="N114" s="11" t="s">
        <v>84</v>
      </c>
      <c r="O114" s="297" t="s">
        <v>38</v>
      </c>
    </row>
    <row r="115" spans="1:28" ht="38.700000000000003" hidden="1">
      <c r="A115" s="307" t="s">
        <v>405</v>
      </c>
      <c r="B115" s="307" t="s">
        <v>61</v>
      </c>
      <c r="C115" s="307" t="s">
        <v>251</v>
      </c>
      <c r="D115" s="307">
        <v>774</v>
      </c>
      <c r="E115" s="271" t="s">
        <v>75</v>
      </c>
      <c r="F115" s="307" t="s">
        <v>32</v>
      </c>
      <c r="G115" s="271" t="s">
        <v>76</v>
      </c>
      <c r="H115" s="271">
        <v>79</v>
      </c>
      <c r="I115" s="271" t="s">
        <v>128</v>
      </c>
      <c r="J115" s="271">
        <v>2023</v>
      </c>
      <c r="K115" s="335" t="s">
        <v>713</v>
      </c>
      <c r="L115" s="307" t="s">
        <v>1295</v>
      </c>
      <c r="M115" s="307" t="s">
        <v>399</v>
      </c>
      <c r="N115" s="271" t="s">
        <v>84</v>
      </c>
      <c r="O115" s="296" t="s">
        <v>38</v>
      </c>
    </row>
    <row r="116" spans="1:28" ht="38.700000000000003" hidden="1">
      <c r="A116" s="279" t="s">
        <v>406</v>
      </c>
      <c r="B116" s="279" t="s">
        <v>61</v>
      </c>
      <c r="C116" s="279" t="s">
        <v>251</v>
      </c>
      <c r="D116" s="279">
        <v>1945</v>
      </c>
      <c r="E116" s="11" t="s">
        <v>75</v>
      </c>
      <c r="F116" s="279" t="s">
        <v>32</v>
      </c>
      <c r="G116" s="11" t="s">
        <v>76</v>
      </c>
      <c r="H116" s="11">
        <v>70</v>
      </c>
      <c r="I116" s="11" t="s">
        <v>128</v>
      </c>
      <c r="J116" s="11">
        <v>2023</v>
      </c>
      <c r="K116" s="336" t="s">
        <v>713</v>
      </c>
      <c r="L116" s="279" t="s">
        <v>1297</v>
      </c>
      <c r="M116" s="279" t="s">
        <v>399</v>
      </c>
      <c r="N116" s="11" t="s">
        <v>84</v>
      </c>
      <c r="O116" s="297" t="s">
        <v>38</v>
      </c>
    </row>
    <row r="117" spans="1:28" ht="64.5" hidden="1">
      <c r="A117" s="307" t="s">
        <v>407</v>
      </c>
      <c r="B117" s="307" t="s">
        <v>61</v>
      </c>
      <c r="C117" s="307" t="s">
        <v>251</v>
      </c>
      <c r="D117" s="307">
        <v>1165</v>
      </c>
      <c r="E117" s="271" t="s">
        <v>75</v>
      </c>
      <c r="F117" s="307" t="s">
        <v>32</v>
      </c>
      <c r="G117" s="271" t="s">
        <v>76</v>
      </c>
      <c r="H117" s="271">
        <v>53.9</v>
      </c>
      <c r="I117" s="271" t="s">
        <v>128</v>
      </c>
      <c r="J117" s="271">
        <v>2023</v>
      </c>
      <c r="K117" s="335" t="s">
        <v>713</v>
      </c>
      <c r="L117" s="307" t="s">
        <v>1298</v>
      </c>
      <c r="M117" s="307" t="s">
        <v>399</v>
      </c>
      <c r="N117" s="271" t="s">
        <v>84</v>
      </c>
      <c r="O117" s="296" t="s">
        <v>38</v>
      </c>
    </row>
    <row r="118" spans="1:28" ht="38.700000000000003" hidden="1">
      <c r="A118" s="279" t="s">
        <v>406</v>
      </c>
      <c r="B118" s="279" t="s">
        <v>61</v>
      </c>
      <c r="C118" s="279" t="s">
        <v>251</v>
      </c>
      <c r="D118" s="279">
        <v>1945</v>
      </c>
      <c r="E118" s="11" t="s">
        <v>75</v>
      </c>
      <c r="F118" s="279" t="s">
        <v>32</v>
      </c>
      <c r="G118" s="11" t="s">
        <v>76</v>
      </c>
      <c r="H118" s="11">
        <v>90</v>
      </c>
      <c r="I118" s="11" t="s">
        <v>128</v>
      </c>
      <c r="J118" s="11">
        <v>2023</v>
      </c>
      <c r="K118" s="336" t="s">
        <v>713</v>
      </c>
      <c r="L118" s="279" t="s">
        <v>1297</v>
      </c>
      <c r="M118" s="279" t="s">
        <v>399</v>
      </c>
      <c r="N118" s="11" t="s">
        <v>84</v>
      </c>
      <c r="O118" s="297" t="s">
        <v>38</v>
      </c>
    </row>
    <row r="119" spans="1:28" ht="64.5" hidden="1">
      <c r="A119" s="307" t="s">
        <v>407</v>
      </c>
      <c r="B119" s="307" t="s">
        <v>61</v>
      </c>
      <c r="C119" s="307" t="s">
        <v>251</v>
      </c>
      <c r="D119" s="307">
        <v>1165</v>
      </c>
      <c r="E119" s="271" t="s">
        <v>75</v>
      </c>
      <c r="F119" s="307" t="s">
        <v>32</v>
      </c>
      <c r="G119" s="271" t="s">
        <v>76</v>
      </c>
      <c r="H119" s="271">
        <v>38.53</v>
      </c>
      <c r="I119" s="271" t="s">
        <v>128</v>
      </c>
      <c r="J119" s="271">
        <v>2023</v>
      </c>
      <c r="K119" s="335" t="s">
        <v>713</v>
      </c>
      <c r="L119" s="307" t="s">
        <v>1298</v>
      </c>
      <c r="M119" s="307" t="s">
        <v>399</v>
      </c>
      <c r="N119" s="271" t="s">
        <v>84</v>
      </c>
      <c r="O119" s="296" t="s">
        <v>38</v>
      </c>
    </row>
    <row r="120" spans="1:28" ht="25.8" hidden="1">
      <c r="A120" s="508" t="s">
        <v>226</v>
      </c>
      <c r="B120" s="508" t="s">
        <v>61</v>
      </c>
      <c r="C120" s="508" t="s">
        <v>62</v>
      </c>
      <c r="D120" s="509">
        <v>1000</v>
      </c>
      <c r="E120" s="162" t="s">
        <v>230</v>
      </c>
      <c r="F120" s="508" t="s">
        <v>52</v>
      </c>
      <c r="G120" s="162" t="s">
        <v>76</v>
      </c>
      <c r="H120" s="157">
        <v>8500</v>
      </c>
      <c r="I120" s="162" t="s">
        <v>189</v>
      </c>
      <c r="J120" s="157">
        <v>2000</v>
      </c>
      <c r="K120" s="335" t="s">
        <v>1269</v>
      </c>
      <c r="L120" s="307" t="s">
        <v>1218</v>
      </c>
      <c r="M120" s="508" t="s">
        <v>227</v>
      </c>
      <c r="N120" s="297" t="s">
        <v>122</v>
      </c>
      <c r="O120" s="297" t="s">
        <v>38</v>
      </c>
    </row>
    <row r="121" spans="1:28" hidden="1">
      <c r="A121" s="511" t="s">
        <v>229</v>
      </c>
      <c r="B121" s="511" t="s">
        <v>61</v>
      </c>
      <c r="C121" s="511" t="s">
        <v>62</v>
      </c>
      <c r="D121" s="512">
        <v>1000</v>
      </c>
      <c r="E121" s="300" t="s">
        <v>230</v>
      </c>
      <c r="F121" s="511" t="s">
        <v>52</v>
      </c>
      <c r="G121" s="300" t="s">
        <v>76</v>
      </c>
      <c r="H121" s="301">
        <v>6600</v>
      </c>
      <c r="I121" s="300" t="s">
        <v>189</v>
      </c>
      <c r="J121" s="301">
        <v>2000</v>
      </c>
      <c r="K121" s="335" t="s">
        <v>1269</v>
      </c>
      <c r="L121" s="307" t="s">
        <v>1218</v>
      </c>
      <c r="M121" s="511" t="s">
        <v>227</v>
      </c>
      <c r="N121" s="296" t="s">
        <v>122</v>
      </c>
      <c r="O121" s="296" t="s">
        <v>38</v>
      </c>
    </row>
    <row r="122" spans="1:28" hidden="1">
      <c r="A122" s="517" t="s">
        <v>207</v>
      </c>
      <c r="B122" s="517" t="s">
        <v>61</v>
      </c>
      <c r="C122" s="517" t="s">
        <v>62</v>
      </c>
      <c r="D122" s="517">
        <v>1000</v>
      </c>
      <c r="E122" s="517" t="s">
        <v>31</v>
      </c>
      <c r="F122" s="517" t="s">
        <v>52</v>
      </c>
      <c r="G122" s="271" t="s">
        <v>33</v>
      </c>
      <c r="H122" s="271">
        <v>2105150000</v>
      </c>
      <c r="I122" s="271" t="s">
        <v>34</v>
      </c>
      <c r="J122" s="271">
        <v>1992</v>
      </c>
      <c r="K122" s="335" t="s">
        <v>713</v>
      </c>
      <c r="L122" s="517"/>
      <c r="M122" s="517" t="s">
        <v>1206</v>
      </c>
      <c r="N122" s="271" t="s">
        <v>84</v>
      </c>
      <c r="O122" s="271">
        <v>308400000</v>
      </c>
      <c r="R122" s="13"/>
      <c r="S122" s="13"/>
      <c r="T122" s="13"/>
      <c r="U122" s="13"/>
      <c r="V122" s="13"/>
      <c r="W122" s="13"/>
      <c r="X122" s="13"/>
      <c r="Y122" s="13"/>
      <c r="Z122" s="13"/>
      <c r="AA122" s="13"/>
      <c r="AB122" s="13"/>
    </row>
    <row r="123" spans="1:28" hidden="1">
      <c r="A123" s="519" t="s">
        <v>222</v>
      </c>
      <c r="B123" s="519" t="s">
        <v>61</v>
      </c>
      <c r="C123" s="519" t="s">
        <v>62</v>
      </c>
      <c r="D123" s="519">
        <v>953</v>
      </c>
      <c r="E123" s="519" t="s">
        <v>31</v>
      </c>
      <c r="F123" s="519" t="s">
        <v>32</v>
      </c>
      <c r="G123" s="11" t="s">
        <v>33</v>
      </c>
      <c r="H123" s="11">
        <v>7516000000</v>
      </c>
      <c r="I123" s="11" t="s">
        <v>34</v>
      </c>
      <c r="J123" s="11">
        <v>2015</v>
      </c>
      <c r="K123" s="336" t="s">
        <v>65</v>
      </c>
      <c r="L123" s="519" t="s">
        <v>225</v>
      </c>
      <c r="M123" s="519" t="s">
        <v>223</v>
      </c>
      <c r="N123" s="11" t="s">
        <v>84</v>
      </c>
      <c r="O123" s="11">
        <v>1009000000</v>
      </c>
    </row>
    <row r="124" spans="1:28" hidden="1">
      <c r="A124" s="517" t="s">
        <v>232</v>
      </c>
      <c r="B124" s="517" t="s">
        <v>61</v>
      </c>
      <c r="C124" s="517" t="s">
        <v>62</v>
      </c>
      <c r="D124" s="517">
        <v>1000</v>
      </c>
      <c r="E124" s="517" t="s">
        <v>31</v>
      </c>
      <c r="F124" s="517" t="s">
        <v>52</v>
      </c>
      <c r="G124" s="271" t="s">
        <v>76</v>
      </c>
      <c r="H124" s="271">
        <v>2849</v>
      </c>
      <c r="I124" s="271" t="s">
        <v>189</v>
      </c>
      <c r="J124" s="271">
        <v>2000</v>
      </c>
      <c r="K124" s="321" t="s">
        <v>38</v>
      </c>
      <c r="L124" s="517"/>
      <c r="M124" s="517" t="s">
        <v>233</v>
      </c>
      <c r="N124" s="321" t="s">
        <v>38</v>
      </c>
      <c r="O124" s="296" t="s">
        <v>38</v>
      </c>
    </row>
    <row r="125" spans="1:28" ht="25.8" hidden="1">
      <c r="A125" s="307" t="s">
        <v>264</v>
      </c>
      <c r="B125" s="307" t="s">
        <v>61</v>
      </c>
      <c r="C125" s="307" t="s">
        <v>62</v>
      </c>
      <c r="D125" s="307">
        <v>1000</v>
      </c>
      <c r="E125" s="271" t="s">
        <v>75</v>
      </c>
      <c r="F125" s="307" t="s">
        <v>57</v>
      </c>
      <c r="G125" s="271" t="s">
        <v>76</v>
      </c>
      <c r="H125" s="271">
        <v>109</v>
      </c>
      <c r="I125" s="271" t="s">
        <v>77</v>
      </c>
      <c r="J125" s="271">
        <v>2010</v>
      </c>
      <c r="K125" s="336" t="s">
        <v>65</v>
      </c>
      <c r="L125" s="307" t="s">
        <v>1299</v>
      </c>
      <c r="M125" s="307" t="s">
        <v>262</v>
      </c>
      <c r="N125" s="271" t="s">
        <v>84</v>
      </c>
      <c r="O125" s="296" t="s">
        <v>38</v>
      </c>
    </row>
    <row r="126" spans="1:28" ht="25.8" hidden="1">
      <c r="A126" s="279" t="s">
        <v>265</v>
      </c>
      <c r="B126" s="279" t="s">
        <v>61</v>
      </c>
      <c r="C126" s="279" t="s">
        <v>62</v>
      </c>
      <c r="D126" s="279">
        <v>1600</v>
      </c>
      <c r="E126" s="11" t="s">
        <v>75</v>
      </c>
      <c r="F126" s="279" t="s">
        <v>57</v>
      </c>
      <c r="G126" s="11" t="s">
        <v>76</v>
      </c>
      <c r="H126" s="11">
        <v>140</v>
      </c>
      <c r="I126" s="11" t="s">
        <v>77</v>
      </c>
      <c r="J126" s="11">
        <v>2010</v>
      </c>
      <c r="K126" s="336" t="s">
        <v>65</v>
      </c>
      <c r="L126" s="307" t="s">
        <v>1299</v>
      </c>
      <c r="M126" s="279" t="s">
        <v>262</v>
      </c>
      <c r="N126" s="11" t="s">
        <v>84</v>
      </c>
      <c r="O126" s="297" t="s">
        <v>38</v>
      </c>
    </row>
    <row r="127" spans="1:28" ht="25.8" hidden="1">
      <c r="A127" s="307" t="s">
        <v>686</v>
      </c>
      <c r="B127" s="307" t="s">
        <v>61</v>
      </c>
      <c r="C127" s="307" t="s">
        <v>62</v>
      </c>
      <c r="D127" s="307">
        <v>1000</v>
      </c>
      <c r="E127" s="271" t="s">
        <v>75</v>
      </c>
      <c r="F127" s="307" t="s">
        <v>57</v>
      </c>
      <c r="G127" s="271" t="s">
        <v>76</v>
      </c>
      <c r="H127" s="271">
        <v>98</v>
      </c>
      <c r="I127" s="271" t="s">
        <v>77</v>
      </c>
      <c r="J127" s="271">
        <v>2010</v>
      </c>
      <c r="K127" s="336" t="s">
        <v>65</v>
      </c>
      <c r="L127" s="307" t="s">
        <v>1299</v>
      </c>
      <c r="M127" s="307" t="s">
        <v>262</v>
      </c>
      <c r="N127" s="271" t="s">
        <v>84</v>
      </c>
      <c r="O127" s="296" t="s">
        <v>38</v>
      </c>
    </row>
    <row r="128" spans="1:28" ht="25.8" hidden="1">
      <c r="A128" s="279" t="s">
        <v>687</v>
      </c>
      <c r="B128" s="279" t="s">
        <v>61</v>
      </c>
      <c r="C128" s="279" t="s">
        <v>62</v>
      </c>
      <c r="D128" s="279">
        <v>1420</v>
      </c>
      <c r="E128" s="11" t="s">
        <v>75</v>
      </c>
      <c r="F128" s="279" t="s">
        <v>57</v>
      </c>
      <c r="G128" s="11" t="s">
        <v>76</v>
      </c>
      <c r="H128" s="11">
        <v>130</v>
      </c>
      <c r="I128" s="11" t="s">
        <v>77</v>
      </c>
      <c r="J128" s="11">
        <v>2010</v>
      </c>
      <c r="K128" s="336" t="s">
        <v>65</v>
      </c>
      <c r="L128" s="307" t="s">
        <v>1299</v>
      </c>
      <c r="M128" s="279" t="s">
        <v>262</v>
      </c>
      <c r="N128" s="11" t="s">
        <v>84</v>
      </c>
      <c r="O128" s="297" t="s">
        <v>38</v>
      </c>
    </row>
    <row r="129" spans="1:15" ht="25.8" hidden="1">
      <c r="A129" s="519" t="s">
        <v>235</v>
      </c>
      <c r="B129" s="519" t="s">
        <v>61</v>
      </c>
      <c r="C129" s="519" t="s">
        <v>62</v>
      </c>
      <c r="D129" s="519">
        <v>1000</v>
      </c>
      <c r="E129" s="519" t="s">
        <v>31</v>
      </c>
      <c r="F129" s="519" t="s">
        <v>52</v>
      </c>
      <c r="G129" s="11" t="s">
        <v>76</v>
      </c>
      <c r="H129" s="11">
        <v>3940</v>
      </c>
      <c r="I129" s="11" t="s">
        <v>189</v>
      </c>
      <c r="J129" s="11">
        <v>2000</v>
      </c>
      <c r="K129" s="320" t="s">
        <v>38</v>
      </c>
      <c r="L129" s="519" t="s">
        <v>1209</v>
      </c>
      <c r="M129" s="519" t="s">
        <v>233</v>
      </c>
      <c r="N129" s="320" t="s">
        <v>38</v>
      </c>
      <c r="O129" s="297" t="s">
        <v>38</v>
      </c>
    </row>
    <row r="130" spans="1:15" ht="38.700000000000003" hidden="1">
      <c r="A130" s="517" t="s">
        <v>237</v>
      </c>
      <c r="B130" s="517" t="s">
        <v>61</v>
      </c>
      <c r="C130" s="517" t="s">
        <v>62</v>
      </c>
      <c r="D130" s="517">
        <v>1000</v>
      </c>
      <c r="E130" s="517" t="s">
        <v>31</v>
      </c>
      <c r="F130" s="517" t="s">
        <v>755</v>
      </c>
      <c r="G130" s="271" t="s">
        <v>76</v>
      </c>
      <c r="H130" s="271">
        <v>2950</v>
      </c>
      <c r="I130" s="271" t="s">
        <v>189</v>
      </c>
      <c r="J130" s="271">
        <v>2000</v>
      </c>
      <c r="K130" s="321" t="s">
        <v>38</v>
      </c>
      <c r="L130" s="517" t="s">
        <v>1210</v>
      </c>
      <c r="M130" s="517" t="s">
        <v>233</v>
      </c>
      <c r="N130" s="321" t="s">
        <v>38</v>
      </c>
      <c r="O130" s="296" t="s">
        <v>38</v>
      </c>
    </row>
    <row r="131" spans="1:15" hidden="1">
      <c r="A131" s="307" t="s">
        <v>269</v>
      </c>
      <c r="B131" s="307" t="s">
        <v>61</v>
      </c>
      <c r="C131" s="307" t="s">
        <v>62</v>
      </c>
      <c r="D131" s="307">
        <v>1013.2</v>
      </c>
      <c r="E131" s="271" t="s">
        <v>108</v>
      </c>
      <c r="F131" s="307" t="s">
        <v>52</v>
      </c>
      <c r="G131" s="271" t="s">
        <v>76</v>
      </c>
      <c r="H131" s="271">
        <v>64.3</v>
      </c>
      <c r="I131" s="271" t="s">
        <v>77</v>
      </c>
      <c r="J131" s="271">
        <v>2015</v>
      </c>
      <c r="K131" s="303" t="s">
        <v>38</v>
      </c>
      <c r="L131" s="307" t="s">
        <v>1218</v>
      </c>
      <c r="M131" s="307" t="s">
        <v>289</v>
      </c>
      <c r="N131" s="271" t="s">
        <v>84</v>
      </c>
      <c r="O131" s="296" t="s">
        <v>38</v>
      </c>
    </row>
    <row r="132" spans="1:15" hidden="1">
      <c r="A132" s="279" t="s">
        <v>271</v>
      </c>
      <c r="B132" s="279" t="s">
        <v>61</v>
      </c>
      <c r="C132" s="279" t="s">
        <v>62</v>
      </c>
      <c r="D132" s="279">
        <v>999.7</v>
      </c>
      <c r="E132" s="11" t="s">
        <v>108</v>
      </c>
      <c r="F132" s="279" t="s">
        <v>52</v>
      </c>
      <c r="G132" s="11" t="s">
        <v>76</v>
      </c>
      <c r="H132" s="11">
        <v>86.2</v>
      </c>
      <c r="I132" s="11" t="s">
        <v>77</v>
      </c>
      <c r="J132" s="11">
        <v>2015</v>
      </c>
      <c r="K132" s="304" t="s">
        <v>38</v>
      </c>
      <c r="L132" s="307" t="s">
        <v>1218</v>
      </c>
      <c r="M132" s="279" t="s">
        <v>289</v>
      </c>
      <c r="N132" s="11" t="s">
        <v>84</v>
      </c>
      <c r="O132" s="297" t="s">
        <v>38</v>
      </c>
    </row>
    <row r="133" spans="1:15" hidden="1">
      <c r="A133" s="307" t="s">
        <v>273</v>
      </c>
      <c r="B133" s="307" t="s">
        <v>61</v>
      </c>
      <c r="C133" s="307" t="s">
        <v>62</v>
      </c>
      <c r="D133" s="307">
        <v>1010</v>
      </c>
      <c r="E133" s="271" t="s">
        <v>108</v>
      </c>
      <c r="F133" s="307" t="s">
        <v>52</v>
      </c>
      <c r="G133" s="271" t="s">
        <v>76</v>
      </c>
      <c r="H133" s="271">
        <v>73.2</v>
      </c>
      <c r="I133" s="271" t="s">
        <v>77</v>
      </c>
      <c r="J133" s="271">
        <v>2015</v>
      </c>
      <c r="K133" s="303" t="s">
        <v>38</v>
      </c>
      <c r="L133" s="307" t="s">
        <v>1218</v>
      </c>
      <c r="M133" s="307" t="s">
        <v>289</v>
      </c>
      <c r="N133" s="271" t="s">
        <v>84</v>
      </c>
      <c r="O133" s="296" t="s">
        <v>38</v>
      </c>
    </row>
    <row r="134" spans="1:15" hidden="1">
      <c r="A134" s="279" t="s">
        <v>275</v>
      </c>
      <c r="B134" s="279" t="s">
        <v>61</v>
      </c>
      <c r="C134" s="279" t="s">
        <v>62</v>
      </c>
      <c r="D134" s="279">
        <v>999.2</v>
      </c>
      <c r="E134" s="11" t="s">
        <v>108</v>
      </c>
      <c r="F134" s="279" t="s">
        <v>52</v>
      </c>
      <c r="G134" s="11" t="s">
        <v>76</v>
      </c>
      <c r="H134" s="11">
        <v>80.5</v>
      </c>
      <c r="I134" s="11" t="s">
        <v>77</v>
      </c>
      <c r="J134" s="11">
        <v>2015</v>
      </c>
      <c r="K134" s="304" t="s">
        <v>38</v>
      </c>
      <c r="L134" s="307" t="s">
        <v>1218</v>
      </c>
      <c r="M134" s="279" t="s">
        <v>289</v>
      </c>
      <c r="N134" s="11" t="s">
        <v>84</v>
      </c>
      <c r="O134" s="297" t="s">
        <v>38</v>
      </c>
    </row>
    <row r="135" spans="1:15" ht="38.700000000000003" hidden="1">
      <c r="A135" s="519" t="s">
        <v>239</v>
      </c>
      <c r="B135" s="519" t="s">
        <v>61</v>
      </c>
      <c r="C135" s="519" t="s">
        <v>62</v>
      </c>
      <c r="D135" s="519">
        <v>1000</v>
      </c>
      <c r="E135" s="519" t="s">
        <v>31</v>
      </c>
      <c r="F135" s="519" t="s">
        <v>52</v>
      </c>
      <c r="G135" s="11" t="s">
        <v>76</v>
      </c>
      <c r="H135" s="11">
        <v>2820</v>
      </c>
      <c r="I135" s="11" t="s">
        <v>189</v>
      </c>
      <c r="J135" s="11">
        <v>2000</v>
      </c>
      <c r="K135" s="320" t="s">
        <v>38</v>
      </c>
      <c r="L135" s="519" t="s">
        <v>1211</v>
      </c>
      <c r="M135" s="519" t="s">
        <v>233</v>
      </c>
      <c r="N135" s="320" t="s">
        <v>38</v>
      </c>
      <c r="O135" s="297" t="s">
        <v>38</v>
      </c>
    </row>
    <row r="136" spans="1:15" ht="38.700000000000003" hidden="1">
      <c r="A136" s="517" t="s">
        <v>240</v>
      </c>
      <c r="B136" s="517" t="s">
        <v>61</v>
      </c>
      <c r="C136" s="517" t="s">
        <v>62</v>
      </c>
      <c r="D136" s="517">
        <v>1000</v>
      </c>
      <c r="E136" s="517" t="s">
        <v>31</v>
      </c>
      <c r="F136" s="517" t="s">
        <v>755</v>
      </c>
      <c r="G136" s="271" t="s">
        <v>76</v>
      </c>
      <c r="H136" s="271">
        <v>2170</v>
      </c>
      <c r="I136" s="271" t="s">
        <v>189</v>
      </c>
      <c r="J136" s="271">
        <v>2000</v>
      </c>
      <c r="K136" s="321" t="s">
        <v>38</v>
      </c>
      <c r="L136" s="517" t="s">
        <v>1212</v>
      </c>
      <c r="M136" s="517" t="s">
        <v>233</v>
      </c>
      <c r="N136" s="321" t="s">
        <v>38</v>
      </c>
      <c r="O136" s="296" t="s">
        <v>38</v>
      </c>
    </row>
    <row r="137" spans="1:15" hidden="1">
      <c r="A137" s="519" t="s">
        <v>211</v>
      </c>
      <c r="B137" s="519" t="s">
        <v>61</v>
      </c>
      <c r="C137" s="519" t="s">
        <v>62</v>
      </c>
      <c r="D137" s="519">
        <v>1000</v>
      </c>
      <c r="E137" s="519" t="s">
        <v>31</v>
      </c>
      <c r="F137" s="519" t="s">
        <v>52</v>
      </c>
      <c r="G137" s="11" t="s">
        <v>76</v>
      </c>
      <c r="H137" s="11">
        <v>5625</v>
      </c>
      <c r="I137" s="11" t="s">
        <v>189</v>
      </c>
      <c r="J137" s="11">
        <v>2000</v>
      </c>
      <c r="K137" s="320" t="s">
        <v>38</v>
      </c>
      <c r="L137" s="519"/>
      <c r="M137" s="519" t="s">
        <v>233</v>
      </c>
      <c r="N137" s="320" t="s">
        <v>38</v>
      </c>
      <c r="O137" s="297" t="s">
        <v>38</v>
      </c>
    </row>
    <row r="138" spans="1:15" hidden="1">
      <c r="A138" s="517" t="s">
        <v>213</v>
      </c>
      <c r="B138" s="517" t="s">
        <v>61</v>
      </c>
      <c r="C138" s="517" t="s">
        <v>62</v>
      </c>
      <c r="D138" s="517">
        <v>1000</v>
      </c>
      <c r="E138" s="517" t="s">
        <v>31</v>
      </c>
      <c r="F138" s="517" t="s">
        <v>52</v>
      </c>
      <c r="G138" s="271" t="s">
        <v>76</v>
      </c>
      <c r="H138" s="271">
        <v>5215</v>
      </c>
      <c r="I138" s="271" t="s">
        <v>189</v>
      </c>
      <c r="J138" s="271">
        <v>2000</v>
      </c>
      <c r="K138" s="321" t="s">
        <v>38</v>
      </c>
      <c r="L138" s="517"/>
      <c r="M138" s="517" t="s">
        <v>233</v>
      </c>
      <c r="N138" s="321" t="s">
        <v>38</v>
      </c>
      <c r="O138" s="296" t="s">
        <v>38</v>
      </c>
    </row>
    <row r="139" spans="1:15" hidden="1">
      <c r="A139" s="307" t="s">
        <v>293</v>
      </c>
      <c r="B139" s="307" t="s">
        <v>61</v>
      </c>
      <c r="C139" s="307" t="s">
        <v>62</v>
      </c>
      <c r="D139" s="307">
        <v>1000</v>
      </c>
      <c r="E139" s="271" t="s">
        <v>75</v>
      </c>
      <c r="F139" s="307" t="s">
        <v>52</v>
      </c>
      <c r="G139" s="271" t="s">
        <v>76</v>
      </c>
      <c r="H139" s="271">
        <v>87</v>
      </c>
      <c r="I139" s="271" t="s">
        <v>77</v>
      </c>
      <c r="J139" s="271">
        <v>1992</v>
      </c>
      <c r="K139" s="336" t="s">
        <v>65</v>
      </c>
      <c r="L139" s="307" t="s">
        <v>1218</v>
      </c>
      <c r="M139" s="307" t="s">
        <v>294</v>
      </c>
      <c r="N139" s="271" t="s">
        <v>84</v>
      </c>
      <c r="O139" s="296" t="s">
        <v>38</v>
      </c>
    </row>
    <row r="140" spans="1:15" ht="38.700000000000003" hidden="1">
      <c r="A140" s="279" t="s">
        <v>296</v>
      </c>
      <c r="B140" s="279" t="s">
        <v>61</v>
      </c>
      <c r="C140" s="279" t="s">
        <v>297</v>
      </c>
      <c r="D140" s="279">
        <v>1000</v>
      </c>
      <c r="E140" s="11" t="s">
        <v>75</v>
      </c>
      <c r="F140" s="279" t="s">
        <v>52</v>
      </c>
      <c r="G140" s="11" t="s">
        <v>76</v>
      </c>
      <c r="H140" s="11">
        <v>44</v>
      </c>
      <c r="I140" s="11" t="s">
        <v>77</v>
      </c>
      <c r="J140" s="11">
        <v>1992</v>
      </c>
      <c r="K140" s="336" t="s">
        <v>65</v>
      </c>
      <c r="L140" s="307" t="s">
        <v>1218</v>
      </c>
      <c r="M140" s="279" t="s">
        <v>294</v>
      </c>
      <c r="N140" s="11" t="s">
        <v>84</v>
      </c>
      <c r="O140" s="297" t="s">
        <v>38</v>
      </c>
    </row>
    <row r="141" spans="1:15" hidden="1">
      <c r="A141" s="505" t="s">
        <v>298</v>
      </c>
      <c r="B141" s="307" t="s">
        <v>61</v>
      </c>
      <c r="C141" s="307" t="s">
        <v>251</v>
      </c>
      <c r="D141" s="307">
        <v>1000</v>
      </c>
      <c r="E141" s="271" t="s">
        <v>75</v>
      </c>
      <c r="F141" s="307" t="s">
        <v>52</v>
      </c>
      <c r="G141" s="271" t="s">
        <v>76</v>
      </c>
      <c r="H141" s="271">
        <v>43</v>
      </c>
      <c r="I141" s="271" t="s">
        <v>77</v>
      </c>
      <c r="J141" s="271">
        <v>1992</v>
      </c>
      <c r="K141" s="336" t="s">
        <v>65</v>
      </c>
      <c r="L141" s="307" t="s">
        <v>1218</v>
      </c>
      <c r="M141" s="307" t="s">
        <v>294</v>
      </c>
      <c r="N141" s="271" t="s">
        <v>84</v>
      </c>
      <c r="O141" s="294" t="s">
        <v>38</v>
      </c>
    </row>
    <row r="142" spans="1:15" ht="38.700000000000003" hidden="1">
      <c r="A142" s="506" t="s">
        <v>299</v>
      </c>
      <c r="B142" s="279" t="s">
        <v>61</v>
      </c>
      <c r="C142" s="279" t="s">
        <v>251</v>
      </c>
      <c r="D142" s="279">
        <v>1000</v>
      </c>
      <c r="E142" s="11" t="s">
        <v>75</v>
      </c>
      <c r="F142" s="279" t="s">
        <v>52</v>
      </c>
      <c r="G142" s="11" t="s">
        <v>76</v>
      </c>
      <c r="H142" s="11">
        <v>78</v>
      </c>
      <c r="I142" s="11" t="s">
        <v>77</v>
      </c>
      <c r="J142" s="11">
        <v>1992</v>
      </c>
      <c r="K142" s="336" t="s">
        <v>65</v>
      </c>
      <c r="L142" s="307" t="s">
        <v>1218</v>
      </c>
      <c r="M142" s="279" t="s">
        <v>294</v>
      </c>
      <c r="N142" s="11" t="s">
        <v>84</v>
      </c>
      <c r="O142" s="295" t="s">
        <v>38</v>
      </c>
    </row>
    <row r="143" spans="1:15" ht="25.8" hidden="1">
      <c r="A143" s="505" t="s">
        <v>112</v>
      </c>
      <c r="B143" s="307" t="s">
        <v>61</v>
      </c>
      <c r="C143" s="307" t="s">
        <v>113</v>
      </c>
      <c r="D143" s="307">
        <v>1000</v>
      </c>
      <c r="E143" s="271" t="s">
        <v>75</v>
      </c>
      <c r="F143" s="307" t="s">
        <v>52</v>
      </c>
      <c r="G143" s="271" t="s">
        <v>76</v>
      </c>
      <c r="H143" s="271">
        <v>52</v>
      </c>
      <c r="I143" s="271" t="s">
        <v>77</v>
      </c>
      <c r="J143" s="271">
        <v>1992</v>
      </c>
      <c r="K143" s="336" t="s">
        <v>65</v>
      </c>
      <c r="L143" s="307" t="s">
        <v>1218</v>
      </c>
      <c r="M143" s="307" t="s">
        <v>294</v>
      </c>
      <c r="N143" s="271" t="s">
        <v>84</v>
      </c>
      <c r="O143" s="294" t="s">
        <v>38</v>
      </c>
    </row>
    <row r="144" spans="1:15" ht="25.8" hidden="1">
      <c r="A144" s="279" t="s">
        <v>300</v>
      </c>
      <c r="B144" s="279" t="s">
        <v>61</v>
      </c>
      <c r="C144" s="279" t="s">
        <v>113</v>
      </c>
      <c r="D144" s="279">
        <v>1000</v>
      </c>
      <c r="E144" s="11" t="s">
        <v>75</v>
      </c>
      <c r="F144" s="279" t="s">
        <v>52</v>
      </c>
      <c r="G144" s="11" t="s">
        <v>76</v>
      </c>
      <c r="H144" s="11">
        <v>46</v>
      </c>
      <c r="I144" s="11" t="s">
        <v>77</v>
      </c>
      <c r="J144" s="11">
        <v>1992</v>
      </c>
      <c r="K144" s="336" t="s">
        <v>65</v>
      </c>
      <c r="L144" s="307" t="s">
        <v>1218</v>
      </c>
      <c r="M144" s="279" t="s">
        <v>294</v>
      </c>
      <c r="N144" s="11" t="s">
        <v>84</v>
      </c>
      <c r="O144" s="297" t="s">
        <v>38</v>
      </c>
    </row>
    <row r="145" spans="1:15" hidden="1">
      <c r="A145" s="519" t="s">
        <v>214</v>
      </c>
      <c r="B145" s="519" t="s">
        <v>61</v>
      </c>
      <c r="C145" s="519" t="s">
        <v>62</v>
      </c>
      <c r="D145" s="519">
        <v>1000</v>
      </c>
      <c r="E145" s="519" t="s">
        <v>31</v>
      </c>
      <c r="F145" s="519" t="s">
        <v>52</v>
      </c>
      <c r="G145" s="11" t="s">
        <v>76</v>
      </c>
      <c r="H145" s="11">
        <v>4155</v>
      </c>
      <c r="I145" s="11" t="s">
        <v>189</v>
      </c>
      <c r="J145" s="11">
        <v>2000</v>
      </c>
      <c r="K145" s="320" t="s">
        <v>38</v>
      </c>
      <c r="L145" s="519"/>
      <c r="M145" s="519" t="s">
        <v>233</v>
      </c>
      <c r="N145" s="320" t="s">
        <v>38</v>
      </c>
      <c r="O145" s="297" t="s">
        <v>38</v>
      </c>
    </row>
    <row r="146" spans="1:15" hidden="1">
      <c r="A146" s="517" t="s">
        <v>215</v>
      </c>
      <c r="B146" s="517" t="s">
        <v>61</v>
      </c>
      <c r="C146" s="517" t="s">
        <v>62</v>
      </c>
      <c r="D146" s="517">
        <v>1000</v>
      </c>
      <c r="E146" s="517" t="s">
        <v>31</v>
      </c>
      <c r="F146" s="517" t="s">
        <v>52</v>
      </c>
      <c r="G146" s="271" t="s">
        <v>76</v>
      </c>
      <c r="H146" s="271">
        <v>2868</v>
      </c>
      <c r="I146" s="271" t="s">
        <v>189</v>
      </c>
      <c r="J146" s="271">
        <v>2000</v>
      </c>
      <c r="K146" s="321" t="s">
        <v>38</v>
      </c>
      <c r="L146" s="517"/>
      <c r="M146" s="517" t="s">
        <v>233</v>
      </c>
      <c r="N146" s="321" t="s">
        <v>38</v>
      </c>
      <c r="O146" s="296" t="s">
        <v>38</v>
      </c>
    </row>
    <row r="147" spans="1:15" ht="64.5" hidden="1">
      <c r="A147" s="519" t="s">
        <v>818</v>
      </c>
      <c r="B147" s="519" t="s">
        <v>30</v>
      </c>
      <c r="C147" s="519" t="s">
        <v>815</v>
      </c>
      <c r="D147" s="519">
        <v>38000</v>
      </c>
      <c r="E147" s="519" t="s">
        <v>31</v>
      </c>
      <c r="F147" s="519" t="s">
        <v>57</v>
      </c>
      <c r="G147" s="11" t="s">
        <v>33</v>
      </c>
      <c r="H147" s="11">
        <v>75244000000</v>
      </c>
      <c r="I147" s="11" t="s">
        <v>34</v>
      </c>
      <c r="J147" s="11">
        <v>2014</v>
      </c>
      <c r="K147" s="336" t="s">
        <v>706</v>
      </c>
      <c r="L147" s="519" t="s">
        <v>1244</v>
      </c>
      <c r="M147" s="519" t="s">
        <v>248</v>
      </c>
      <c r="N147" s="11" t="s">
        <v>84</v>
      </c>
      <c r="O147" s="11">
        <v>4000000</v>
      </c>
    </row>
    <row r="148" spans="1:15" hidden="1">
      <c r="A148" s="517" t="s">
        <v>253</v>
      </c>
      <c r="B148" s="517" t="s">
        <v>61</v>
      </c>
      <c r="C148" s="517" t="s">
        <v>62</v>
      </c>
      <c r="D148" s="517">
        <v>1160</v>
      </c>
      <c r="E148" s="517" t="s">
        <v>31</v>
      </c>
      <c r="F148" s="517" t="s">
        <v>32</v>
      </c>
      <c r="G148" s="271" t="s">
        <v>76</v>
      </c>
      <c r="H148" s="271">
        <v>7980000</v>
      </c>
      <c r="I148" s="271" t="s">
        <v>254</v>
      </c>
      <c r="J148" s="271">
        <v>2019</v>
      </c>
      <c r="K148" s="335" t="s">
        <v>1269</v>
      </c>
      <c r="L148" s="517"/>
      <c r="M148" s="517" t="s">
        <v>1126</v>
      </c>
      <c r="N148" s="271" t="s">
        <v>84</v>
      </c>
      <c r="O148" s="296" t="s">
        <v>38</v>
      </c>
    </row>
    <row r="149" spans="1:15" hidden="1">
      <c r="A149" s="307" t="s">
        <v>81</v>
      </c>
      <c r="B149" s="307" t="s">
        <v>61</v>
      </c>
      <c r="C149" s="307" t="s">
        <v>62</v>
      </c>
      <c r="D149" s="307">
        <v>1000</v>
      </c>
      <c r="E149" s="271" t="s">
        <v>902</v>
      </c>
      <c r="F149" s="307" t="s">
        <v>32</v>
      </c>
      <c r="G149" s="271" t="s">
        <v>76</v>
      </c>
      <c r="H149" s="271">
        <v>7855</v>
      </c>
      <c r="I149" s="271" t="s">
        <v>82</v>
      </c>
      <c r="J149" s="271">
        <v>1998</v>
      </c>
      <c r="K149" s="335" t="s">
        <v>716</v>
      </c>
      <c r="L149" s="307" t="s">
        <v>1300</v>
      </c>
      <c r="M149" s="307" t="s">
        <v>311</v>
      </c>
      <c r="N149" s="271" t="s">
        <v>84</v>
      </c>
      <c r="O149" s="296" t="s">
        <v>38</v>
      </c>
    </row>
    <row r="150" spans="1:15" hidden="1">
      <c r="A150" s="519" t="s">
        <v>253</v>
      </c>
      <c r="B150" s="519" t="s">
        <v>61</v>
      </c>
      <c r="C150" s="519" t="s">
        <v>62</v>
      </c>
      <c r="D150" s="519">
        <v>1160</v>
      </c>
      <c r="E150" s="519" t="s">
        <v>31</v>
      </c>
      <c r="F150" s="519" t="s">
        <v>52</v>
      </c>
      <c r="G150" s="11" t="s">
        <v>76</v>
      </c>
      <c r="H150" s="11">
        <v>6870000</v>
      </c>
      <c r="I150" s="11" t="s">
        <v>254</v>
      </c>
      <c r="J150" s="11">
        <v>2019</v>
      </c>
      <c r="K150" s="335" t="s">
        <v>1269</v>
      </c>
      <c r="L150" s="519"/>
      <c r="M150" s="519" t="s">
        <v>1126</v>
      </c>
      <c r="N150" s="11" t="s">
        <v>84</v>
      </c>
      <c r="O150" s="297" t="s">
        <v>38</v>
      </c>
    </row>
    <row r="151" spans="1:15" ht="25.8" hidden="1">
      <c r="A151" s="506" t="s">
        <v>330</v>
      </c>
      <c r="B151" s="279" t="s">
        <v>61</v>
      </c>
      <c r="C151" s="279" t="s">
        <v>62</v>
      </c>
      <c r="D151" s="279">
        <v>190</v>
      </c>
      <c r="E151" s="11" t="s">
        <v>902</v>
      </c>
      <c r="F151" s="279" t="s">
        <v>32</v>
      </c>
      <c r="G151" s="11" t="s">
        <v>33</v>
      </c>
      <c r="H151" s="11">
        <v>5300000000</v>
      </c>
      <c r="I151" s="11" t="s">
        <v>34</v>
      </c>
      <c r="J151" s="11">
        <v>2010</v>
      </c>
      <c r="K151" s="336" t="s">
        <v>711</v>
      </c>
      <c r="L151" s="279" t="s">
        <v>1305</v>
      </c>
      <c r="M151" s="279" t="s">
        <v>331</v>
      </c>
      <c r="N151" s="11" t="s">
        <v>333</v>
      </c>
      <c r="O151" s="295" t="s">
        <v>38</v>
      </c>
    </row>
    <row r="152" spans="1:15" ht="25.8" hidden="1">
      <c r="A152" s="505" t="s">
        <v>335</v>
      </c>
      <c r="B152" s="307" t="s">
        <v>61</v>
      </c>
      <c r="C152" s="307" t="s">
        <v>62</v>
      </c>
      <c r="D152" s="307">
        <v>250</v>
      </c>
      <c r="E152" s="271" t="s">
        <v>902</v>
      </c>
      <c r="F152" s="315" t="s">
        <v>57</v>
      </c>
      <c r="G152" s="271" t="s">
        <v>33</v>
      </c>
      <c r="H152" s="271">
        <v>2800000000</v>
      </c>
      <c r="I152" s="271" t="s">
        <v>34</v>
      </c>
      <c r="J152" s="271">
        <v>2010</v>
      </c>
      <c r="K152" s="335" t="s">
        <v>711</v>
      </c>
      <c r="L152" s="279" t="s">
        <v>1306</v>
      </c>
      <c r="M152" s="307" t="s">
        <v>331</v>
      </c>
      <c r="N152" s="271" t="s">
        <v>333</v>
      </c>
      <c r="O152" s="294" t="s">
        <v>38</v>
      </c>
    </row>
    <row r="153" spans="1:15" hidden="1">
      <c r="A153" s="506" t="s">
        <v>337</v>
      </c>
      <c r="B153" s="279" t="s">
        <v>61</v>
      </c>
      <c r="C153" s="279" t="s">
        <v>62</v>
      </c>
      <c r="D153" s="279">
        <v>500</v>
      </c>
      <c r="E153" s="11" t="s">
        <v>902</v>
      </c>
      <c r="F153" s="279" t="s">
        <v>32</v>
      </c>
      <c r="G153" s="11" t="s">
        <v>33</v>
      </c>
      <c r="H153" s="11">
        <v>5900000000</v>
      </c>
      <c r="I153" s="11" t="s">
        <v>34</v>
      </c>
      <c r="J153" s="11">
        <v>2010</v>
      </c>
      <c r="K153" s="336" t="s">
        <v>711</v>
      </c>
      <c r="L153" s="279" t="s">
        <v>1303</v>
      </c>
      <c r="M153" s="279" t="s">
        <v>331</v>
      </c>
      <c r="N153" s="11" t="s">
        <v>333</v>
      </c>
      <c r="O153" s="295" t="s">
        <v>38</v>
      </c>
    </row>
    <row r="154" spans="1:15" ht="25.8" hidden="1">
      <c r="A154" s="307" t="s">
        <v>340</v>
      </c>
      <c r="B154" s="307" t="s">
        <v>61</v>
      </c>
      <c r="C154" s="307" t="s">
        <v>62</v>
      </c>
      <c r="D154" s="307">
        <v>500</v>
      </c>
      <c r="E154" s="271" t="s">
        <v>902</v>
      </c>
      <c r="F154" s="315" t="s">
        <v>57</v>
      </c>
      <c r="G154" s="271" t="s">
        <v>33</v>
      </c>
      <c r="H154" s="271">
        <v>4200000000</v>
      </c>
      <c r="I154" s="271" t="s">
        <v>34</v>
      </c>
      <c r="J154" s="271">
        <v>2010</v>
      </c>
      <c r="K154" s="335" t="s">
        <v>711</v>
      </c>
      <c r="L154" s="279" t="s">
        <v>1304</v>
      </c>
      <c r="M154" s="307" t="s">
        <v>331</v>
      </c>
      <c r="N154" s="271" t="s">
        <v>333</v>
      </c>
      <c r="O154" s="296" t="s">
        <v>38</v>
      </c>
    </row>
    <row r="155" spans="1:15" hidden="1">
      <c r="A155" s="279" t="s">
        <v>342</v>
      </c>
      <c r="B155" s="279" t="s">
        <v>61</v>
      </c>
      <c r="C155" s="279" t="s">
        <v>62</v>
      </c>
      <c r="D155" s="279">
        <v>500</v>
      </c>
      <c r="E155" s="11" t="s">
        <v>902</v>
      </c>
      <c r="F155" s="279" t="s">
        <v>32</v>
      </c>
      <c r="G155" s="11" t="s">
        <v>33</v>
      </c>
      <c r="H155" s="11">
        <v>8500000000</v>
      </c>
      <c r="I155" s="11" t="s">
        <v>34</v>
      </c>
      <c r="J155" s="11">
        <v>2010</v>
      </c>
      <c r="K155" s="336" t="s">
        <v>711</v>
      </c>
      <c r="L155" s="279" t="s">
        <v>1303</v>
      </c>
      <c r="M155" s="279" t="s">
        <v>331</v>
      </c>
      <c r="N155" s="11" t="s">
        <v>333</v>
      </c>
      <c r="O155" s="297" t="s">
        <v>38</v>
      </c>
    </row>
    <row r="156" spans="1:15" ht="193.5" hidden="1">
      <c r="A156" s="517" t="s">
        <v>488</v>
      </c>
      <c r="B156" s="517" t="s">
        <v>470</v>
      </c>
      <c r="C156" s="519" t="s">
        <v>1287</v>
      </c>
      <c r="D156" s="517">
        <v>383.1</v>
      </c>
      <c r="E156" s="517" t="s">
        <v>31</v>
      </c>
      <c r="F156" s="517" t="s">
        <v>754</v>
      </c>
      <c r="G156" s="271" t="s">
        <v>33</v>
      </c>
      <c r="H156" s="271">
        <v>799800000.00000012</v>
      </c>
      <c r="I156" s="271" t="s">
        <v>34</v>
      </c>
      <c r="J156" s="271">
        <v>2020</v>
      </c>
      <c r="K156" s="335" t="s">
        <v>1269</v>
      </c>
      <c r="L156" s="517" t="s">
        <v>1310</v>
      </c>
      <c r="M156" s="517" t="s">
        <v>486</v>
      </c>
      <c r="N156" s="271" t="s">
        <v>350</v>
      </c>
      <c r="O156" s="307" t="s">
        <v>487</v>
      </c>
    </row>
    <row r="157" spans="1:15" ht="193.5" hidden="1">
      <c r="A157" s="519" t="s">
        <v>492</v>
      </c>
      <c r="B157" s="519" t="s">
        <v>470</v>
      </c>
      <c r="C157" s="519" t="s">
        <v>1287</v>
      </c>
      <c r="D157" s="519">
        <v>814.4</v>
      </c>
      <c r="E157" s="519" t="s">
        <v>31</v>
      </c>
      <c r="F157" s="519" t="s">
        <v>754</v>
      </c>
      <c r="G157" s="11" t="s">
        <v>33</v>
      </c>
      <c r="H157" s="11">
        <v>1572000000</v>
      </c>
      <c r="I157" s="11" t="s">
        <v>34</v>
      </c>
      <c r="J157" s="11">
        <v>2020</v>
      </c>
      <c r="K157" s="335" t="s">
        <v>1269</v>
      </c>
      <c r="L157" s="517" t="s">
        <v>1310</v>
      </c>
      <c r="M157" s="519" t="s">
        <v>486</v>
      </c>
      <c r="N157" s="11" t="s">
        <v>350</v>
      </c>
      <c r="O157" s="279" t="s">
        <v>487</v>
      </c>
    </row>
    <row r="158" spans="1:15" hidden="1">
      <c r="A158" s="517" t="s">
        <v>636</v>
      </c>
      <c r="B158" s="517" t="s">
        <v>61</v>
      </c>
      <c r="C158" s="517" t="s">
        <v>62</v>
      </c>
      <c r="D158" s="517">
        <v>1000</v>
      </c>
      <c r="E158" s="517" t="s">
        <v>31</v>
      </c>
      <c r="F158" s="517" t="s">
        <v>32</v>
      </c>
      <c r="G158" s="271" t="s">
        <v>33</v>
      </c>
      <c r="H158" s="271">
        <v>6326914000</v>
      </c>
      <c r="I158" s="271" t="s">
        <v>34</v>
      </c>
      <c r="J158" s="271">
        <v>1996</v>
      </c>
      <c r="K158" s="303" t="s">
        <v>38</v>
      </c>
      <c r="L158" s="517"/>
      <c r="M158" s="517" t="s">
        <v>633</v>
      </c>
      <c r="N158" s="271" t="s">
        <v>84</v>
      </c>
      <c r="O158" s="296" t="s">
        <v>38</v>
      </c>
    </row>
    <row r="159" spans="1:15">
      <c r="A159" s="302" t="s">
        <v>827</v>
      </c>
      <c r="B159" s="271" t="s">
        <v>30</v>
      </c>
      <c r="C159" s="302" t="s">
        <v>796</v>
      </c>
      <c r="D159" s="302">
        <v>1010</v>
      </c>
      <c r="E159" s="302" t="s">
        <v>116</v>
      </c>
      <c r="F159" s="271" t="s">
        <v>52</v>
      </c>
      <c r="G159" s="302" t="s">
        <v>76</v>
      </c>
      <c r="H159" s="302">
        <v>11</v>
      </c>
      <c r="I159" s="302" t="s">
        <v>77</v>
      </c>
      <c r="J159" s="302">
        <v>1983</v>
      </c>
      <c r="K159" s="303"/>
      <c r="L159" s="315"/>
      <c r="M159" s="302" t="s">
        <v>825</v>
      </c>
      <c r="N159" s="296"/>
      <c r="O159" s="296"/>
    </row>
    <row r="160" spans="1:15">
      <c r="A160" s="8" t="s">
        <v>828</v>
      </c>
      <c r="B160" s="11" t="s">
        <v>30</v>
      </c>
      <c r="C160" s="8" t="s">
        <v>796</v>
      </c>
      <c r="D160" s="8">
        <v>2000</v>
      </c>
      <c r="E160" s="8" t="s">
        <v>116</v>
      </c>
      <c r="F160" s="11" t="s">
        <v>52</v>
      </c>
      <c r="G160" s="8" t="s">
        <v>76</v>
      </c>
      <c r="H160" s="8">
        <v>8</v>
      </c>
      <c r="I160" s="8" t="s">
        <v>77</v>
      </c>
      <c r="J160" s="8">
        <v>1983</v>
      </c>
      <c r="K160" s="304"/>
      <c r="L160" s="316"/>
      <c r="M160" s="8" t="s">
        <v>825</v>
      </c>
      <c r="N160" s="297"/>
      <c r="O160" s="11"/>
    </row>
    <row r="161" spans="1:15">
      <c r="A161" s="271" t="s">
        <v>60</v>
      </c>
      <c r="B161" s="271" t="s">
        <v>61</v>
      </c>
      <c r="C161" s="271" t="s">
        <v>62</v>
      </c>
      <c r="D161" s="271">
        <v>1200</v>
      </c>
      <c r="E161" s="271" t="s">
        <v>116</v>
      </c>
      <c r="F161" s="271" t="s">
        <v>52</v>
      </c>
      <c r="G161" s="271" t="s">
        <v>33</v>
      </c>
      <c r="H161" s="271">
        <v>19410000</v>
      </c>
      <c r="I161" s="271" t="s">
        <v>34</v>
      </c>
      <c r="J161" s="271">
        <v>1980</v>
      </c>
      <c r="K161" s="296" t="s">
        <v>38</v>
      </c>
      <c r="L161" s="307"/>
      <c r="M161" s="271" t="s">
        <v>975</v>
      </c>
      <c r="N161" s="296" t="s">
        <v>38</v>
      </c>
      <c r="O161" s="296" t="s">
        <v>38</v>
      </c>
    </row>
    <row r="162" spans="1:15">
      <c r="A162" s="11" t="s">
        <v>125</v>
      </c>
      <c r="B162" s="11" t="s">
        <v>30</v>
      </c>
      <c r="C162" s="11" t="s">
        <v>796</v>
      </c>
      <c r="D162" s="11">
        <v>815</v>
      </c>
      <c r="E162" s="11" t="s">
        <v>116</v>
      </c>
      <c r="F162" s="11" t="s">
        <v>52</v>
      </c>
      <c r="G162" s="11" t="s">
        <v>76</v>
      </c>
      <c r="H162" s="11">
        <v>7</v>
      </c>
      <c r="I162" s="11" t="s">
        <v>77</v>
      </c>
      <c r="J162" s="11">
        <v>1988</v>
      </c>
      <c r="K162" s="297" t="s">
        <v>122</v>
      </c>
      <c r="L162" s="11" t="s">
        <v>121</v>
      </c>
      <c r="M162" s="11" t="s">
        <v>120</v>
      </c>
      <c r="N162" s="297" t="s">
        <v>122</v>
      </c>
      <c r="O162" s="297" t="s">
        <v>38</v>
      </c>
    </row>
    <row r="163" spans="1:15">
      <c r="A163" s="270" t="s">
        <v>124</v>
      </c>
      <c r="B163" s="271" t="s">
        <v>30</v>
      </c>
      <c r="C163" s="271" t="s">
        <v>796</v>
      </c>
      <c r="D163" s="271">
        <v>1010</v>
      </c>
      <c r="E163" s="271" t="s">
        <v>116</v>
      </c>
      <c r="F163" s="271" t="s">
        <v>52</v>
      </c>
      <c r="G163" s="271" t="s">
        <v>76</v>
      </c>
      <c r="H163" s="271">
        <v>7</v>
      </c>
      <c r="I163" s="271" t="s">
        <v>77</v>
      </c>
      <c r="J163" s="271">
        <v>1988</v>
      </c>
      <c r="K163" s="296" t="s">
        <v>122</v>
      </c>
      <c r="L163" s="271" t="s">
        <v>121</v>
      </c>
      <c r="M163" s="271" t="s">
        <v>120</v>
      </c>
      <c r="N163" s="296" t="s">
        <v>122</v>
      </c>
      <c r="O163" s="294" t="s">
        <v>38</v>
      </c>
    </row>
    <row r="164" spans="1:15">
      <c r="A164" s="272" t="s">
        <v>1242</v>
      </c>
      <c r="B164" s="11" t="s">
        <v>61</v>
      </c>
      <c r="C164" s="11" t="s">
        <v>113</v>
      </c>
      <c r="D164" s="11">
        <v>1200</v>
      </c>
      <c r="E164" s="11" t="s">
        <v>116</v>
      </c>
      <c r="F164" s="11" t="s">
        <v>52</v>
      </c>
      <c r="G164" s="11" t="s">
        <v>76</v>
      </c>
      <c r="H164" s="11">
        <v>10</v>
      </c>
      <c r="I164" s="11" t="s">
        <v>77</v>
      </c>
      <c r="J164" s="11">
        <v>1988</v>
      </c>
      <c r="K164" s="297" t="s">
        <v>122</v>
      </c>
      <c r="L164" s="11" t="s">
        <v>121</v>
      </c>
      <c r="M164" s="11" t="s">
        <v>120</v>
      </c>
      <c r="N164" s="297" t="s">
        <v>122</v>
      </c>
      <c r="O164" s="295" t="s">
        <v>38</v>
      </c>
    </row>
    <row r="165" spans="1:15">
      <c r="A165" s="270" t="s">
        <v>112</v>
      </c>
      <c r="B165" s="271" t="s">
        <v>61</v>
      </c>
      <c r="C165" s="271" t="s">
        <v>113</v>
      </c>
      <c r="D165" s="271">
        <v>970</v>
      </c>
      <c r="E165" s="271" t="s">
        <v>116</v>
      </c>
      <c r="F165" s="271" t="s">
        <v>52</v>
      </c>
      <c r="G165" s="271" t="s">
        <v>76</v>
      </c>
      <c r="H165" s="271">
        <v>7</v>
      </c>
      <c r="I165" s="271" t="s">
        <v>77</v>
      </c>
      <c r="J165" s="271">
        <v>1988</v>
      </c>
      <c r="K165" s="296" t="s">
        <v>122</v>
      </c>
      <c r="L165" s="271" t="s">
        <v>121</v>
      </c>
      <c r="M165" s="271" t="s">
        <v>120</v>
      </c>
      <c r="N165" s="296" t="s">
        <v>122</v>
      </c>
      <c r="O165" s="294" t="s">
        <v>38</v>
      </c>
    </row>
    <row r="166" spans="1:15">
      <c r="A166" s="272" t="s">
        <v>126</v>
      </c>
      <c r="B166" s="11" t="s">
        <v>61</v>
      </c>
      <c r="C166" s="11" t="s">
        <v>62</v>
      </c>
      <c r="D166" s="11">
        <v>1000</v>
      </c>
      <c r="E166" s="11" t="s">
        <v>116</v>
      </c>
      <c r="F166" s="11" t="s">
        <v>52</v>
      </c>
      <c r="G166" s="11" t="s">
        <v>76</v>
      </c>
      <c r="H166" s="11">
        <v>7</v>
      </c>
      <c r="I166" s="11" t="s">
        <v>77</v>
      </c>
      <c r="J166" s="11">
        <v>1988</v>
      </c>
      <c r="K166" s="297" t="s">
        <v>122</v>
      </c>
      <c r="L166" s="11" t="s">
        <v>121</v>
      </c>
      <c r="M166" s="11" t="s">
        <v>120</v>
      </c>
      <c r="N166" s="297" t="s">
        <v>122</v>
      </c>
      <c r="O166" s="295" t="s">
        <v>38</v>
      </c>
    </row>
    <row r="167" spans="1:15">
      <c r="A167" s="271" t="s">
        <v>114</v>
      </c>
      <c r="B167" s="271" t="s">
        <v>61</v>
      </c>
      <c r="C167" s="271" t="s">
        <v>62</v>
      </c>
      <c r="D167" s="271">
        <v>1000</v>
      </c>
      <c r="E167" s="271" t="s">
        <v>116</v>
      </c>
      <c r="F167" s="271" t="s">
        <v>52</v>
      </c>
      <c r="G167" s="271" t="s">
        <v>76</v>
      </c>
      <c r="H167" s="271">
        <v>7</v>
      </c>
      <c r="I167" s="271" t="s">
        <v>77</v>
      </c>
      <c r="J167" s="271">
        <v>1988</v>
      </c>
      <c r="K167" s="296" t="s">
        <v>122</v>
      </c>
      <c r="L167" s="271" t="s">
        <v>121</v>
      </c>
      <c r="M167" s="271" t="s">
        <v>120</v>
      </c>
      <c r="N167" s="296" t="s">
        <v>122</v>
      </c>
      <c r="O167" s="296" t="s">
        <v>38</v>
      </c>
    </row>
    <row r="168" spans="1:15">
      <c r="A168" s="11" t="s">
        <v>1243</v>
      </c>
      <c r="B168" s="11" t="s">
        <v>61</v>
      </c>
      <c r="C168" s="11" t="s">
        <v>62</v>
      </c>
      <c r="D168" s="11">
        <v>1200</v>
      </c>
      <c r="E168" s="11" t="s">
        <v>116</v>
      </c>
      <c r="F168" s="11" t="s">
        <v>52</v>
      </c>
      <c r="G168" s="11" t="s">
        <v>76</v>
      </c>
      <c r="H168" s="11">
        <v>8.6999999999999993</v>
      </c>
      <c r="I168" s="11" t="s">
        <v>77</v>
      </c>
      <c r="J168" s="11">
        <v>1990</v>
      </c>
      <c r="K168" s="297" t="s">
        <v>122</v>
      </c>
      <c r="L168" s="11"/>
      <c r="M168" s="11" t="s">
        <v>140</v>
      </c>
      <c r="N168" s="304" t="s">
        <v>38</v>
      </c>
      <c r="O168" s="297" t="s">
        <v>38</v>
      </c>
    </row>
    <row r="169" spans="1:15">
      <c r="A169" s="270" t="s">
        <v>114</v>
      </c>
      <c r="B169" s="271" t="s">
        <v>61</v>
      </c>
      <c r="C169" s="271" t="s">
        <v>62</v>
      </c>
      <c r="D169" s="271">
        <v>1200</v>
      </c>
      <c r="E169" s="271" t="s">
        <v>116</v>
      </c>
      <c r="F169" s="271" t="s">
        <v>52</v>
      </c>
      <c r="G169" s="271" t="s">
        <v>76</v>
      </c>
      <c r="H169" s="271">
        <v>8.6999999999999993</v>
      </c>
      <c r="I169" s="271" t="s">
        <v>77</v>
      </c>
      <c r="J169" s="271">
        <v>1990</v>
      </c>
      <c r="K169" s="296" t="s">
        <v>122</v>
      </c>
      <c r="L169" s="271"/>
      <c r="M169" s="271" t="s">
        <v>140</v>
      </c>
      <c r="N169" s="303" t="s">
        <v>38</v>
      </c>
      <c r="O169" s="294" t="s">
        <v>38</v>
      </c>
    </row>
    <row r="170" spans="1:15">
      <c r="A170" s="272" t="s">
        <v>187</v>
      </c>
      <c r="B170" s="11" t="s">
        <v>61</v>
      </c>
      <c r="C170" s="11" t="s">
        <v>62</v>
      </c>
      <c r="D170" s="11">
        <v>1200</v>
      </c>
      <c r="E170" s="11" t="s">
        <v>116</v>
      </c>
      <c r="F170" s="11" t="s">
        <v>52</v>
      </c>
      <c r="G170" s="11" t="s">
        <v>33</v>
      </c>
      <c r="H170" s="11">
        <v>65910000</v>
      </c>
      <c r="I170" s="11" t="s">
        <v>34</v>
      </c>
      <c r="J170" s="11">
        <v>1986</v>
      </c>
      <c r="K170" s="297" t="s">
        <v>122</v>
      </c>
      <c r="L170" s="279"/>
      <c r="M170" s="11" t="s">
        <v>147</v>
      </c>
      <c r="N170" s="304" t="s">
        <v>38</v>
      </c>
      <c r="O170" s="295" t="s">
        <v>38</v>
      </c>
    </row>
    <row r="171" spans="1:15">
      <c r="A171" s="302" t="s">
        <v>165</v>
      </c>
      <c r="B171" s="271" t="s">
        <v>61</v>
      </c>
      <c r="C171" s="271" t="s">
        <v>62</v>
      </c>
      <c r="D171" s="271">
        <v>1200</v>
      </c>
      <c r="E171" s="271" t="s">
        <v>116</v>
      </c>
      <c r="F171" s="271" t="s">
        <v>52</v>
      </c>
      <c r="G171" s="271" t="s">
        <v>33</v>
      </c>
      <c r="H171" s="271">
        <v>60559999.999999993</v>
      </c>
      <c r="I171" s="271" t="s">
        <v>34</v>
      </c>
      <c r="J171" s="271">
        <v>1986</v>
      </c>
      <c r="K171" s="296" t="s">
        <v>122</v>
      </c>
      <c r="L171" s="307"/>
      <c r="M171" s="271" t="s">
        <v>147</v>
      </c>
      <c r="N171" s="303" t="s">
        <v>38</v>
      </c>
      <c r="O171" s="296" t="s">
        <v>38</v>
      </c>
    </row>
    <row r="172" spans="1:15">
      <c r="A172" s="8" t="s">
        <v>170</v>
      </c>
      <c r="B172" s="11" t="s">
        <v>61</v>
      </c>
      <c r="C172" s="11" t="s">
        <v>113</v>
      </c>
      <c r="D172" s="11">
        <v>1200</v>
      </c>
      <c r="E172" s="11" t="s">
        <v>116</v>
      </c>
      <c r="F172" s="11" t="s">
        <v>52</v>
      </c>
      <c r="G172" s="11" t="s">
        <v>33</v>
      </c>
      <c r="H172" s="11">
        <v>65260000.000000007</v>
      </c>
      <c r="I172" s="11" t="s">
        <v>34</v>
      </c>
      <c r="J172" s="11">
        <v>1986</v>
      </c>
      <c r="K172" s="297" t="s">
        <v>122</v>
      </c>
      <c r="L172" s="279"/>
      <c r="M172" s="11" t="s">
        <v>147</v>
      </c>
      <c r="N172" s="304" t="s">
        <v>38</v>
      </c>
      <c r="O172" s="297" t="s">
        <v>38</v>
      </c>
    </row>
    <row r="173" spans="1:15">
      <c r="A173" s="302" t="s">
        <v>172</v>
      </c>
      <c r="B173" s="271" t="s">
        <v>61</v>
      </c>
      <c r="C173" s="271" t="s">
        <v>113</v>
      </c>
      <c r="D173" s="271">
        <v>1200</v>
      </c>
      <c r="E173" s="271" t="s">
        <v>116</v>
      </c>
      <c r="F173" s="271" t="s">
        <v>52</v>
      </c>
      <c r="G173" s="271" t="s">
        <v>33</v>
      </c>
      <c r="H173" s="271">
        <v>63640000</v>
      </c>
      <c r="I173" s="271" t="s">
        <v>34</v>
      </c>
      <c r="J173" s="271">
        <v>1986</v>
      </c>
      <c r="K173" s="296" t="s">
        <v>122</v>
      </c>
      <c r="L173" s="307"/>
      <c r="M173" s="271" t="s">
        <v>147</v>
      </c>
      <c r="N173" s="303" t="s">
        <v>38</v>
      </c>
      <c r="O173" s="296" t="s">
        <v>38</v>
      </c>
    </row>
    <row r="174" spans="1:15">
      <c r="A174" s="8" t="s">
        <v>174</v>
      </c>
      <c r="B174" s="11" t="s">
        <v>61</v>
      </c>
      <c r="C174" s="11" t="s">
        <v>62</v>
      </c>
      <c r="D174" s="11">
        <v>1200</v>
      </c>
      <c r="E174" s="11" t="s">
        <v>116</v>
      </c>
      <c r="F174" s="11" t="s">
        <v>52</v>
      </c>
      <c r="G174" s="11" t="s">
        <v>33</v>
      </c>
      <c r="H174" s="11">
        <v>59750000</v>
      </c>
      <c r="I174" s="11" t="s">
        <v>34</v>
      </c>
      <c r="J174" s="11">
        <v>1986</v>
      </c>
      <c r="K174" s="297" t="s">
        <v>122</v>
      </c>
      <c r="L174" s="279"/>
      <c r="M174" s="11" t="s">
        <v>147</v>
      </c>
      <c r="N174" s="304" t="s">
        <v>38</v>
      </c>
      <c r="O174" s="297" t="s">
        <v>38</v>
      </c>
    </row>
    <row r="175" spans="1:15">
      <c r="A175" s="302" t="s">
        <v>176</v>
      </c>
      <c r="B175" s="271" t="s">
        <v>61</v>
      </c>
      <c r="C175" s="271" t="s">
        <v>62</v>
      </c>
      <c r="D175" s="271">
        <v>1200</v>
      </c>
      <c r="E175" s="271" t="s">
        <v>116</v>
      </c>
      <c r="F175" s="271" t="s">
        <v>52</v>
      </c>
      <c r="G175" s="271" t="s">
        <v>33</v>
      </c>
      <c r="H175" s="271">
        <v>65700000</v>
      </c>
      <c r="I175" s="271" t="s">
        <v>34</v>
      </c>
      <c r="J175" s="271">
        <v>1986</v>
      </c>
      <c r="K175" s="296" t="s">
        <v>122</v>
      </c>
      <c r="L175" s="307"/>
      <c r="M175" s="271" t="s">
        <v>147</v>
      </c>
      <c r="N175" s="303" t="s">
        <v>38</v>
      </c>
      <c r="O175" s="296" t="s">
        <v>38</v>
      </c>
    </row>
    <row r="176" spans="1:15">
      <c r="A176" s="8" t="s">
        <v>182</v>
      </c>
      <c r="B176" s="11" t="s">
        <v>61</v>
      </c>
      <c r="C176" s="11" t="s">
        <v>62</v>
      </c>
      <c r="D176" s="11">
        <v>1200</v>
      </c>
      <c r="E176" s="11" t="s">
        <v>116</v>
      </c>
      <c r="F176" s="11" t="s">
        <v>52</v>
      </c>
      <c r="G176" s="11" t="s">
        <v>33</v>
      </c>
      <c r="H176" s="11">
        <v>60700000</v>
      </c>
      <c r="I176" s="11" t="s">
        <v>34</v>
      </c>
      <c r="J176" s="11">
        <v>1986</v>
      </c>
      <c r="K176" s="297" t="s">
        <v>122</v>
      </c>
      <c r="L176" s="279"/>
      <c r="M176" s="11" t="s">
        <v>147</v>
      </c>
      <c r="N176" s="304" t="s">
        <v>38</v>
      </c>
      <c r="O176" s="297" t="s">
        <v>38</v>
      </c>
    </row>
    <row r="177" spans="1:15">
      <c r="A177" s="302" t="s">
        <v>183</v>
      </c>
      <c r="B177" s="271" t="s">
        <v>61</v>
      </c>
      <c r="C177" s="271" t="s">
        <v>62</v>
      </c>
      <c r="D177" s="271">
        <v>1200</v>
      </c>
      <c r="E177" s="271" t="s">
        <v>116</v>
      </c>
      <c r="F177" s="271" t="s">
        <v>52</v>
      </c>
      <c r="G177" s="271" t="s">
        <v>33</v>
      </c>
      <c r="H177" s="271">
        <v>40500000</v>
      </c>
      <c r="I177" s="271" t="s">
        <v>34</v>
      </c>
      <c r="J177" s="271">
        <v>1986</v>
      </c>
      <c r="K177" s="296" t="s">
        <v>122</v>
      </c>
      <c r="L177" s="307"/>
      <c r="M177" s="271" t="s">
        <v>147</v>
      </c>
      <c r="N177" s="303" t="s">
        <v>38</v>
      </c>
      <c r="O177" s="296" t="s">
        <v>38</v>
      </c>
    </row>
    <row r="178" spans="1:15">
      <c r="A178" s="271" t="s">
        <v>146</v>
      </c>
      <c r="B178" s="302" t="s">
        <v>61</v>
      </c>
      <c r="C178" s="302" t="s">
        <v>62</v>
      </c>
      <c r="D178" s="302">
        <v>1200</v>
      </c>
      <c r="E178" s="302" t="s">
        <v>669</v>
      </c>
      <c r="F178" s="271" t="s">
        <v>52</v>
      </c>
      <c r="G178" s="302" t="s">
        <v>33</v>
      </c>
      <c r="H178" s="302">
        <v>57700000</v>
      </c>
      <c r="I178" s="302" t="s">
        <v>34</v>
      </c>
      <c r="J178" s="302">
        <v>1986</v>
      </c>
      <c r="K178" s="296" t="s">
        <v>122</v>
      </c>
      <c r="L178" s="315"/>
      <c r="M178" s="302" t="s">
        <v>147</v>
      </c>
      <c r="N178" s="303" t="s">
        <v>38</v>
      </c>
      <c r="O178" s="296" t="s">
        <v>38</v>
      </c>
    </row>
    <row r="179" spans="1:15">
      <c r="A179" s="11" t="s">
        <v>146</v>
      </c>
      <c r="B179" s="8" t="s">
        <v>61</v>
      </c>
      <c r="C179" s="8" t="s">
        <v>62</v>
      </c>
      <c r="D179" s="8">
        <v>1200</v>
      </c>
      <c r="E179" s="8" t="s">
        <v>670</v>
      </c>
      <c r="F179" s="11" t="s">
        <v>52</v>
      </c>
      <c r="G179" s="8" t="s">
        <v>76</v>
      </c>
      <c r="H179" s="8">
        <v>0.44</v>
      </c>
      <c r="I179" s="8" t="s">
        <v>77</v>
      </c>
      <c r="J179" s="8">
        <v>1986</v>
      </c>
      <c r="K179" s="297" t="s">
        <v>122</v>
      </c>
      <c r="L179" s="316"/>
      <c r="M179" s="8" t="s">
        <v>147</v>
      </c>
      <c r="N179" s="304" t="s">
        <v>38</v>
      </c>
      <c r="O179" s="297" t="s">
        <v>38</v>
      </c>
    </row>
    <row r="180" spans="1:15">
      <c r="A180" s="11" t="s">
        <v>479</v>
      </c>
      <c r="B180" s="11" t="s">
        <v>61</v>
      </c>
      <c r="C180" s="11" t="s">
        <v>62</v>
      </c>
      <c r="D180" s="11">
        <v>1200</v>
      </c>
      <c r="E180" s="11" t="s">
        <v>116</v>
      </c>
      <c r="F180" s="11" t="s">
        <v>52</v>
      </c>
      <c r="G180" s="11" t="s">
        <v>76</v>
      </c>
      <c r="H180" s="11">
        <v>8.9</v>
      </c>
      <c r="I180" s="11" t="s">
        <v>77</v>
      </c>
      <c r="J180" s="11">
        <v>1986</v>
      </c>
      <c r="K180" s="304" t="s">
        <v>38</v>
      </c>
      <c r="L180" s="11"/>
      <c r="M180" s="11" t="s">
        <v>480</v>
      </c>
      <c r="N180" s="304" t="s">
        <v>38</v>
      </c>
      <c r="O180" s="297" t="s">
        <v>38</v>
      </c>
    </row>
    <row r="181" spans="1:15">
      <c r="A181" s="8" t="s">
        <v>188</v>
      </c>
      <c r="B181" s="11" t="s">
        <v>61</v>
      </c>
      <c r="C181" s="11" t="s">
        <v>62</v>
      </c>
      <c r="D181" s="11">
        <v>1000</v>
      </c>
      <c r="E181" s="11" t="s">
        <v>669</v>
      </c>
      <c r="F181" s="11" t="s">
        <v>52</v>
      </c>
      <c r="G181" s="11" t="s">
        <v>33</v>
      </c>
      <c r="H181" s="11">
        <v>60000000</v>
      </c>
      <c r="I181" s="11" t="s">
        <v>34</v>
      </c>
      <c r="J181" s="11">
        <v>1999</v>
      </c>
      <c r="K181" s="297" t="s">
        <v>122</v>
      </c>
      <c r="L181" s="11"/>
      <c r="M181" s="11" t="s">
        <v>1123</v>
      </c>
      <c r="N181" s="304" t="s">
        <v>38</v>
      </c>
      <c r="O181" s="297" t="s">
        <v>38</v>
      </c>
    </row>
    <row r="182" spans="1:15">
      <c r="A182" s="302" t="s">
        <v>200</v>
      </c>
      <c r="B182" s="271" t="s">
        <v>61</v>
      </c>
      <c r="C182" s="271" t="s">
        <v>62</v>
      </c>
      <c r="D182" s="271">
        <v>1000</v>
      </c>
      <c r="E182" s="271" t="s">
        <v>669</v>
      </c>
      <c r="F182" s="271" t="s">
        <v>52</v>
      </c>
      <c r="G182" s="271" t="s">
        <v>33</v>
      </c>
      <c r="H182" s="271">
        <v>60000000</v>
      </c>
      <c r="I182" s="271" t="s">
        <v>34</v>
      </c>
      <c r="J182" s="271">
        <v>1999</v>
      </c>
      <c r="K182" s="296" t="s">
        <v>122</v>
      </c>
      <c r="L182" s="271"/>
      <c r="M182" s="271" t="s">
        <v>1123</v>
      </c>
      <c r="N182" s="303" t="s">
        <v>38</v>
      </c>
      <c r="O182" s="296" t="s">
        <v>38</v>
      </c>
    </row>
    <row r="183" spans="1:15">
      <c r="A183" s="309" t="s">
        <v>188</v>
      </c>
      <c r="B183" s="271" t="s">
        <v>61</v>
      </c>
      <c r="C183" s="271" t="s">
        <v>62</v>
      </c>
      <c r="D183" s="271">
        <v>1000</v>
      </c>
      <c r="E183" s="271" t="s">
        <v>670</v>
      </c>
      <c r="F183" s="271" t="s">
        <v>52</v>
      </c>
      <c r="G183" s="271" t="s">
        <v>76</v>
      </c>
      <c r="H183" s="271">
        <v>0.4</v>
      </c>
      <c r="I183" s="271" t="s">
        <v>77</v>
      </c>
      <c r="J183" s="271">
        <v>1999</v>
      </c>
      <c r="K183" s="296" t="s">
        <v>122</v>
      </c>
      <c r="L183" s="271"/>
      <c r="M183" s="271" t="s">
        <v>1123</v>
      </c>
      <c r="N183" s="303" t="s">
        <v>38</v>
      </c>
      <c r="O183" s="294" t="s">
        <v>38</v>
      </c>
    </row>
    <row r="184" spans="1:15">
      <c r="A184" s="308" t="s">
        <v>200</v>
      </c>
      <c r="B184" s="11" t="s">
        <v>61</v>
      </c>
      <c r="C184" s="11" t="s">
        <v>62</v>
      </c>
      <c r="D184" s="11">
        <v>1000</v>
      </c>
      <c r="E184" s="11" t="s">
        <v>670</v>
      </c>
      <c r="F184" s="11" t="s">
        <v>52</v>
      </c>
      <c r="G184" s="11" t="s">
        <v>76</v>
      </c>
      <c r="H184" s="11">
        <v>0.4</v>
      </c>
      <c r="I184" s="11" t="s">
        <v>77</v>
      </c>
      <c r="J184" s="11">
        <v>1999</v>
      </c>
      <c r="K184" s="297" t="s">
        <v>122</v>
      </c>
      <c r="L184" s="11"/>
      <c r="M184" s="11" t="s">
        <v>1123</v>
      </c>
      <c r="N184" s="304" t="s">
        <v>38</v>
      </c>
      <c r="O184" s="295" t="s">
        <v>38</v>
      </c>
    </row>
    <row r="185" spans="1:15">
      <c r="A185" s="271" t="s">
        <v>281</v>
      </c>
      <c r="B185" s="271" t="s">
        <v>61</v>
      </c>
      <c r="C185" s="300" t="s">
        <v>278</v>
      </c>
      <c r="D185" s="271">
        <v>1940</v>
      </c>
      <c r="E185" s="271" t="s">
        <v>116</v>
      </c>
      <c r="F185" s="271" t="s">
        <v>57</v>
      </c>
      <c r="G185" s="271" t="s">
        <v>33</v>
      </c>
      <c r="H185" s="271">
        <v>100364000</v>
      </c>
      <c r="I185" s="271" t="s">
        <v>34</v>
      </c>
      <c r="J185" s="271">
        <v>2003</v>
      </c>
      <c r="K185" s="296" t="s">
        <v>122</v>
      </c>
      <c r="L185" s="271"/>
      <c r="M185" s="310" t="s">
        <v>279</v>
      </c>
      <c r="N185" s="303" t="s">
        <v>38</v>
      </c>
      <c r="O185" s="296" t="s">
        <v>38</v>
      </c>
    </row>
    <row r="186" spans="1:15">
      <c r="A186" s="11" t="s">
        <v>207</v>
      </c>
      <c r="B186" s="11" t="s">
        <v>61</v>
      </c>
      <c r="C186" s="11" t="s">
        <v>62</v>
      </c>
      <c r="D186" s="11">
        <v>1000</v>
      </c>
      <c r="E186" s="11" t="s">
        <v>116</v>
      </c>
      <c r="F186" s="11" t="s">
        <v>52</v>
      </c>
      <c r="G186" s="11" t="s">
        <v>76</v>
      </c>
      <c r="H186" s="11">
        <v>6.87</v>
      </c>
      <c r="I186" s="11" t="s">
        <v>77</v>
      </c>
      <c r="J186" s="11">
        <v>1992</v>
      </c>
      <c r="K186" s="297" t="s">
        <v>122</v>
      </c>
      <c r="L186" s="11"/>
      <c r="M186" s="11" t="s">
        <v>1206</v>
      </c>
      <c r="N186" s="304" t="s">
        <v>38</v>
      </c>
      <c r="O186" s="297" t="s">
        <v>38</v>
      </c>
    </row>
    <row r="187" spans="1:15">
      <c r="A187" s="271" t="s">
        <v>222</v>
      </c>
      <c r="B187" s="271" t="s">
        <v>61</v>
      </c>
      <c r="C187" s="271" t="s">
        <v>62</v>
      </c>
      <c r="D187" s="271">
        <v>953</v>
      </c>
      <c r="E187" s="271" t="s">
        <v>116</v>
      </c>
      <c r="F187" s="271" t="s">
        <v>32</v>
      </c>
      <c r="G187" s="271" t="s">
        <v>76</v>
      </c>
      <c r="H187" s="271">
        <v>9.81</v>
      </c>
      <c r="I187" s="271" t="s">
        <v>77</v>
      </c>
      <c r="J187" s="271">
        <v>2015</v>
      </c>
      <c r="K187" s="303" t="s">
        <v>38</v>
      </c>
      <c r="L187" s="271"/>
      <c r="M187" s="271" t="s">
        <v>223</v>
      </c>
      <c r="N187" s="303" t="s">
        <v>38</v>
      </c>
      <c r="O187" s="296" t="s">
        <v>38</v>
      </c>
    </row>
    <row r="188" spans="1:15">
      <c r="A188" s="11" t="s">
        <v>398</v>
      </c>
      <c r="B188" s="11" t="s">
        <v>61</v>
      </c>
      <c r="C188" s="11" t="s">
        <v>251</v>
      </c>
      <c r="D188" s="11">
        <v>1204</v>
      </c>
      <c r="E188" s="11" t="s">
        <v>116</v>
      </c>
      <c r="F188" s="11" t="s">
        <v>32</v>
      </c>
      <c r="G188" s="11" t="s">
        <v>33</v>
      </c>
      <c r="H188" s="11">
        <v>113800000</v>
      </c>
      <c r="I188" s="11" t="s">
        <v>34</v>
      </c>
      <c r="J188" s="11">
        <v>2023</v>
      </c>
      <c r="K188" s="297" t="s">
        <v>122</v>
      </c>
      <c r="L188" s="279"/>
      <c r="M188" s="11" t="s">
        <v>399</v>
      </c>
      <c r="N188" s="304" t="s">
        <v>38</v>
      </c>
      <c r="O188" s="297" t="s">
        <v>38</v>
      </c>
    </row>
    <row r="189" spans="1:15">
      <c r="A189" s="271" t="s">
        <v>401</v>
      </c>
      <c r="B189" s="271" t="s">
        <v>61</v>
      </c>
      <c r="C189" s="271" t="s">
        <v>251</v>
      </c>
      <c r="D189" s="271">
        <v>1313</v>
      </c>
      <c r="E189" s="271" t="s">
        <v>116</v>
      </c>
      <c r="F189" s="271" t="s">
        <v>32</v>
      </c>
      <c r="G189" s="271" t="s">
        <v>33</v>
      </c>
      <c r="H189" s="271">
        <v>118100000</v>
      </c>
      <c r="I189" s="271" t="s">
        <v>34</v>
      </c>
      <c r="J189" s="271">
        <v>2023</v>
      </c>
      <c r="K189" s="296" t="s">
        <v>122</v>
      </c>
      <c r="L189" s="307"/>
      <c r="M189" s="271" t="s">
        <v>399</v>
      </c>
      <c r="N189" s="303" t="s">
        <v>38</v>
      </c>
      <c r="O189" s="296" t="s">
        <v>38</v>
      </c>
    </row>
    <row r="190" spans="1:15">
      <c r="A190" s="11" t="s">
        <v>402</v>
      </c>
      <c r="B190" s="11" t="s">
        <v>61</v>
      </c>
      <c r="C190" s="11" t="s">
        <v>251</v>
      </c>
      <c r="D190" s="11">
        <v>2272</v>
      </c>
      <c r="E190" s="11" t="s">
        <v>116</v>
      </c>
      <c r="F190" s="11" t="s">
        <v>32</v>
      </c>
      <c r="G190" s="11" t="s">
        <v>33</v>
      </c>
      <c r="H190" s="11">
        <v>155700000</v>
      </c>
      <c r="I190" s="11" t="s">
        <v>34</v>
      </c>
      <c r="J190" s="11">
        <v>2023</v>
      </c>
      <c r="K190" s="297" t="s">
        <v>122</v>
      </c>
      <c r="L190" s="279"/>
      <c r="M190" s="11" t="s">
        <v>399</v>
      </c>
      <c r="N190" s="304" t="s">
        <v>38</v>
      </c>
      <c r="O190" s="297" t="s">
        <v>38</v>
      </c>
    </row>
    <row r="191" spans="1:15">
      <c r="A191" s="271" t="s">
        <v>403</v>
      </c>
      <c r="B191" s="271" t="s">
        <v>61</v>
      </c>
      <c r="C191" s="271" t="s">
        <v>251</v>
      </c>
      <c r="D191" s="271">
        <v>1368</v>
      </c>
      <c r="E191" s="271" t="s">
        <v>116</v>
      </c>
      <c r="F191" s="271" t="s">
        <v>32</v>
      </c>
      <c r="G191" s="271" t="s">
        <v>33</v>
      </c>
      <c r="H191" s="271">
        <v>120650000</v>
      </c>
      <c r="I191" s="271" t="s">
        <v>34</v>
      </c>
      <c r="J191" s="271">
        <v>2023</v>
      </c>
      <c r="K191" s="296" t="s">
        <v>122</v>
      </c>
      <c r="L191" s="307"/>
      <c r="M191" s="271" t="s">
        <v>399</v>
      </c>
      <c r="N191" s="303" t="s">
        <v>38</v>
      </c>
      <c r="O191" s="296" t="s">
        <v>38</v>
      </c>
    </row>
    <row r="192" spans="1:15">
      <c r="A192" s="11" t="s">
        <v>404</v>
      </c>
      <c r="B192" s="11" t="s">
        <v>61</v>
      </c>
      <c r="C192" s="11" t="s">
        <v>251</v>
      </c>
      <c r="D192" s="11">
        <v>914</v>
      </c>
      <c r="E192" s="11" t="s">
        <v>116</v>
      </c>
      <c r="F192" s="11" t="s">
        <v>32</v>
      </c>
      <c r="G192" s="11" t="s">
        <v>33</v>
      </c>
      <c r="H192" s="11">
        <v>98610000</v>
      </c>
      <c r="I192" s="11" t="s">
        <v>34</v>
      </c>
      <c r="J192" s="11">
        <v>2023</v>
      </c>
      <c r="K192" s="297" t="s">
        <v>122</v>
      </c>
      <c r="L192" s="279"/>
      <c r="M192" s="11" t="s">
        <v>399</v>
      </c>
      <c r="N192" s="304" t="s">
        <v>38</v>
      </c>
      <c r="O192" s="297" t="s">
        <v>38</v>
      </c>
    </row>
    <row r="193" spans="1:15">
      <c r="A193" s="271" t="s">
        <v>405</v>
      </c>
      <c r="B193" s="271" t="s">
        <v>61</v>
      </c>
      <c r="C193" s="271" t="s">
        <v>251</v>
      </c>
      <c r="D193" s="271">
        <v>774</v>
      </c>
      <c r="E193" s="271" t="s">
        <v>116</v>
      </c>
      <c r="F193" s="271" t="s">
        <v>32</v>
      </c>
      <c r="G193" s="271" t="s">
        <v>33</v>
      </c>
      <c r="H193" s="271">
        <v>90750000</v>
      </c>
      <c r="I193" s="271" t="s">
        <v>34</v>
      </c>
      <c r="J193" s="271">
        <v>2023</v>
      </c>
      <c r="K193" s="296" t="s">
        <v>122</v>
      </c>
      <c r="L193" s="307"/>
      <c r="M193" s="271" t="s">
        <v>399</v>
      </c>
      <c r="N193" s="303" t="s">
        <v>38</v>
      </c>
      <c r="O193" s="296" t="s">
        <v>38</v>
      </c>
    </row>
    <row r="194" spans="1:15">
      <c r="A194" s="11" t="s">
        <v>406</v>
      </c>
      <c r="B194" s="11" t="s">
        <v>61</v>
      </c>
      <c r="C194" s="11" t="s">
        <v>251</v>
      </c>
      <c r="D194" s="11">
        <v>1945</v>
      </c>
      <c r="E194" s="11" t="s">
        <v>116</v>
      </c>
      <c r="F194" s="11" t="s">
        <v>32</v>
      </c>
      <c r="G194" s="11" t="s">
        <v>33</v>
      </c>
      <c r="H194" s="11">
        <v>143850000</v>
      </c>
      <c r="I194" s="11" t="s">
        <v>34</v>
      </c>
      <c r="J194" s="11">
        <v>2023</v>
      </c>
      <c r="K194" s="297" t="s">
        <v>122</v>
      </c>
      <c r="L194" s="279"/>
      <c r="M194" s="11" t="s">
        <v>399</v>
      </c>
      <c r="N194" s="304" t="s">
        <v>38</v>
      </c>
      <c r="O194" s="297" t="s">
        <v>38</v>
      </c>
    </row>
    <row r="195" spans="1:15">
      <c r="A195" s="271" t="s">
        <v>407</v>
      </c>
      <c r="B195" s="271" t="s">
        <v>61</v>
      </c>
      <c r="C195" s="271" t="s">
        <v>251</v>
      </c>
      <c r="D195" s="271">
        <v>1165</v>
      </c>
      <c r="E195" s="271" t="s">
        <v>116</v>
      </c>
      <c r="F195" s="271" t="s">
        <v>32</v>
      </c>
      <c r="G195" s="271" t="s">
        <v>33</v>
      </c>
      <c r="H195" s="271">
        <v>111340000</v>
      </c>
      <c r="I195" s="271" t="s">
        <v>34</v>
      </c>
      <c r="J195" s="271">
        <v>2023</v>
      </c>
      <c r="K195" s="296" t="s">
        <v>122</v>
      </c>
      <c r="L195" s="307"/>
      <c r="M195" s="271" t="s">
        <v>399</v>
      </c>
      <c r="N195" s="303" t="s">
        <v>38</v>
      </c>
      <c r="O195" s="296" t="s">
        <v>38</v>
      </c>
    </row>
    <row r="196" spans="1:15">
      <c r="A196" s="11" t="s">
        <v>235</v>
      </c>
      <c r="B196" s="11" t="s">
        <v>61</v>
      </c>
      <c r="C196" s="11" t="s">
        <v>62</v>
      </c>
      <c r="D196" s="11">
        <v>1000</v>
      </c>
      <c r="E196" s="11" t="s">
        <v>669</v>
      </c>
      <c r="F196" s="11" t="s">
        <v>52</v>
      </c>
      <c r="G196" s="11" t="s">
        <v>33</v>
      </c>
      <c r="H196" s="11">
        <v>65800000</v>
      </c>
      <c r="I196" s="11" t="s">
        <v>34</v>
      </c>
      <c r="J196" s="11">
        <v>2000</v>
      </c>
      <c r="K196" s="320" t="s">
        <v>38</v>
      </c>
      <c r="L196" s="11"/>
      <c r="M196" s="11" t="s">
        <v>233</v>
      </c>
      <c r="N196" s="320" t="s">
        <v>38</v>
      </c>
      <c r="O196" s="297" t="s">
        <v>38</v>
      </c>
    </row>
    <row r="197" spans="1:15">
      <c r="A197" s="271" t="s">
        <v>237</v>
      </c>
      <c r="B197" s="271" t="s">
        <v>61</v>
      </c>
      <c r="C197" s="271" t="s">
        <v>62</v>
      </c>
      <c r="D197" s="271">
        <v>1000</v>
      </c>
      <c r="E197" s="271" t="s">
        <v>669</v>
      </c>
      <c r="F197" s="271" t="s">
        <v>755</v>
      </c>
      <c r="G197" s="271" t="s">
        <v>33</v>
      </c>
      <c r="H197" s="271" t="s">
        <v>1132</v>
      </c>
      <c r="I197" s="271" t="s">
        <v>34</v>
      </c>
      <c r="J197" s="271">
        <v>2000</v>
      </c>
      <c r="K197" s="321" t="s">
        <v>38</v>
      </c>
      <c r="L197" s="271" t="s">
        <v>236</v>
      </c>
      <c r="M197" s="271" t="s">
        <v>233</v>
      </c>
      <c r="N197" s="321" t="s">
        <v>38</v>
      </c>
      <c r="O197" s="296" t="s">
        <v>38</v>
      </c>
    </row>
    <row r="198" spans="1:15">
      <c r="A198" s="11" t="s">
        <v>239</v>
      </c>
      <c r="B198" s="11" t="s">
        <v>61</v>
      </c>
      <c r="C198" s="11" t="s">
        <v>62</v>
      </c>
      <c r="D198" s="11">
        <v>1000</v>
      </c>
      <c r="E198" s="11" t="s">
        <v>669</v>
      </c>
      <c r="F198" s="11" t="s">
        <v>52</v>
      </c>
      <c r="G198" s="11" t="s">
        <v>33</v>
      </c>
      <c r="H198" s="11">
        <v>65300000</v>
      </c>
      <c r="I198" s="11" t="s">
        <v>34</v>
      </c>
      <c r="J198" s="11">
        <v>2000</v>
      </c>
      <c r="K198" s="320" t="s">
        <v>38</v>
      </c>
      <c r="L198" s="11"/>
      <c r="M198" s="11" t="s">
        <v>233</v>
      </c>
      <c r="N198" s="320" t="s">
        <v>38</v>
      </c>
      <c r="O198" s="297" t="s">
        <v>38</v>
      </c>
    </row>
    <row r="199" spans="1:15">
      <c r="A199" s="271" t="s">
        <v>240</v>
      </c>
      <c r="B199" s="271" t="s">
        <v>61</v>
      </c>
      <c r="C199" s="271" t="s">
        <v>62</v>
      </c>
      <c r="D199" s="271">
        <v>1000</v>
      </c>
      <c r="E199" s="271" t="s">
        <v>669</v>
      </c>
      <c r="F199" s="271" t="s">
        <v>755</v>
      </c>
      <c r="G199" s="271" t="s">
        <v>33</v>
      </c>
      <c r="H199" s="271">
        <v>65300000</v>
      </c>
      <c r="I199" s="271" t="s">
        <v>34</v>
      </c>
      <c r="J199" s="271">
        <v>2000</v>
      </c>
      <c r="K199" s="321" t="s">
        <v>38</v>
      </c>
      <c r="L199" s="271"/>
      <c r="M199" s="271" t="s">
        <v>233</v>
      </c>
      <c r="N199" s="321" t="s">
        <v>38</v>
      </c>
      <c r="O199" s="296" t="s">
        <v>38</v>
      </c>
    </row>
    <row r="200" spans="1:15">
      <c r="A200" s="271" t="s">
        <v>235</v>
      </c>
      <c r="B200" s="271" t="s">
        <v>61</v>
      </c>
      <c r="C200" s="271" t="s">
        <v>62</v>
      </c>
      <c r="D200" s="271">
        <v>1000</v>
      </c>
      <c r="E200" s="271" t="s">
        <v>670</v>
      </c>
      <c r="F200" s="271" t="s">
        <v>52</v>
      </c>
      <c r="G200" s="271" t="s">
        <v>76</v>
      </c>
      <c r="H200" s="271">
        <v>7.78</v>
      </c>
      <c r="I200" s="271" t="s">
        <v>77</v>
      </c>
      <c r="J200" s="271">
        <v>2000</v>
      </c>
      <c r="K200" s="321" t="s">
        <v>38</v>
      </c>
      <c r="L200" s="271"/>
      <c r="M200" s="271" t="s">
        <v>233</v>
      </c>
      <c r="N200" s="321" t="s">
        <v>38</v>
      </c>
      <c r="O200" s="296" t="s">
        <v>38</v>
      </c>
    </row>
    <row r="201" spans="1:15">
      <c r="A201" s="11" t="s">
        <v>237</v>
      </c>
      <c r="B201" s="11" t="s">
        <v>61</v>
      </c>
      <c r="C201" s="11" t="s">
        <v>62</v>
      </c>
      <c r="D201" s="11">
        <v>1000</v>
      </c>
      <c r="E201" s="11" t="s">
        <v>670</v>
      </c>
      <c r="F201" s="11" t="s">
        <v>755</v>
      </c>
      <c r="G201" s="11" t="s">
        <v>76</v>
      </c>
      <c r="H201" s="11">
        <v>5.9</v>
      </c>
      <c r="I201" s="11" t="s">
        <v>77</v>
      </c>
      <c r="J201" s="11">
        <v>2000</v>
      </c>
      <c r="K201" s="320" t="s">
        <v>38</v>
      </c>
      <c r="L201" s="11"/>
      <c r="M201" s="11" t="s">
        <v>233</v>
      </c>
      <c r="N201" s="320" t="s">
        <v>38</v>
      </c>
      <c r="O201" s="297" t="s">
        <v>38</v>
      </c>
    </row>
    <row r="202" spans="1:15">
      <c r="A202" s="270" t="s">
        <v>239</v>
      </c>
      <c r="B202" s="271" t="s">
        <v>61</v>
      </c>
      <c r="C202" s="271" t="s">
        <v>62</v>
      </c>
      <c r="D202" s="271">
        <v>1000</v>
      </c>
      <c r="E202" s="271" t="s">
        <v>670</v>
      </c>
      <c r="F202" s="271" t="s">
        <v>52</v>
      </c>
      <c r="G202" s="271" t="s">
        <v>76</v>
      </c>
      <c r="H202" s="271">
        <v>7.7</v>
      </c>
      <c r="I202" s="271" t="s">
        <v>77</v>
      </c>
      <c r="J202" s="271">
        <v>2000</v>
      </c>
      <c r="K202" s="321" t="s">
        <v>38</v>
      </c>
      <c r="L202" s="271"/>
      <c r="M202" s="271" t="s">
        <v>233</v>
      </c>
      <c r="N202" s="321" t="s">
        <v>38</v>
      </c>
      <c r="O202" s="294" t="s">
        <v>38</v>
      </c>
    </row>
    <row r="203" spans="1:15">
      <c r="A203" s="272" t="s">
        <v>240</v>
      </c>
      <c r="B203" s="11" t="s">
        <v>61</v>
      </c>
      <c r="C203" s="11" t="s">
        <v>62</v>
      </c>
      <c r="D203" s="11">
        <v>1000</v>
      </c>
      <c r="E203" s="11" t="s">
        <v>670</v>
      </c>
      <c r="F203" s="11" t="s">
        <v>755</v>
      </c>
      <c r="G203" s="11" t="s">
        <v>76</v>
      </c>
      <c r="H203" s="11">
        <v>5.9</v>
      </c>
      <c r="I203" s="11" t="s">
        <v>77</v>
      </c>
      <c r="J203" s="11">
        <v>2000</v>
      </c>
      <c r="K203" s="320" t="s">
        <v>38</v>
      </c>
      <c r="L203" s="11"/>
      <c r="M203" s="11" t="s">
        <v>233</v>
      </c>
      <c r="N203" s="320" t="s">
        <v>38</v>
      </c>
      <c r="O203" s="295" t="s">
        <v>38</v>
      </c>
    </row>
    <row r="204" spans="1:15" ht="38.700000000000003">
      <c r="A204" s="11" t="s">
        <v>488</v>
      </c>
      <c r="B204" s="11" t="s">
        <v>470</v>
      </c>
      <c r="C204" s="519" t="s">
        <v>1287</v>
      </c>
      <c r="D204" s="11">
        <v>383.1</v>
      </c>
      <c r="E204" s="11" t="s">
        <v>116</v>
      </c>
      <c r="F204" s="11" t="s">
        <v>754</v>
      </c>
      <c r="G204" s="11" t="s">
        <v>33</v>
      </c>
      <c r="H204" s="11">
        <v>42000000</v>
      </c>
      <c r="I204" s="11" t="s">
        <v>34</v>
      </c>
      <c r="J204" s="11">
        <v>2020</v>
      </c>
      <c r="K204" s="297" t="s">
        <v>122</v>
      </c>
      <c r="L204" s="11"/>
      <c r="M204" s="11" t="s">
        <v>486</v>
      </c>
      <c r="N204" s="304" t="s">
        <v>38</v>
      </c>
      <c r="O204" s="297" t="s">
        <v>38</v>
      </c>
    </row>
    <row r="205" spans="1:15" ht="38.700000000000003">
      <c r="A205" s="271" t="s">
        <v>492</v>
      </c>
      <c r="B205" s="271" t="s">
        <v>470</v>
      </c>
      <c r="C205" s="519" t="s">
        <v>1287</v>
      </c>
      <c r="D205" s="271">
        <v>814.4</v>
      </c>
      <c r="E205" s="271" t="s">
        <v>116</v>
      </c>
      <c r="F205" s="271" t="s">
        <v>754</v>
      </c>
      <c r="G205" s="271" t="s">
        <v>33</v>
      </c>
      <c r="H205" s="271">
        <v>61300000</v>
      </c>
      <c r="I205" s="271" t="s">
        <v>34</v>
      </c>
      <c r="J205" s="271">
        <v>2020</v>
      </c>
      <c r="K205" s="296" t="s">
        <v>122</v>
      </c>
      <c r="L205" s="271"/>
      <c r="M205" s="271" t="s">
        <v>486</v>
      </c>
      <c r="N205" s="303" t="s">
        <v>38</v>
      </c>
      <c r="O205" s="296" t="s">
        <v>38</v>
      </c>
    </row>
    <row r="206" spans="1:15">
      <c r="A206" s="272" t="s">
        <v>264</v>
      </c>
      <c r="B206" s="11" t="s">
        <v>61</v>
      </c>
      <c r="C206" s="11" t="s">
        <v>62</v>
      </c>
      <c r="D206" s="11">
        <v>1000</v>
      </c>
      <c r="E206" s="11" t="s">
        <v>116</v>
      </c>
      <c r="F206" s="11" t="s">
        <v>57</v>
      </c>
      <c r="G206" s="11" t="s">
        <v>33</v>
      </c>
      <c r="H206" s="288">
        <v>98590060.350929901</v>
      </c>
      <c r="I206" s="11" t="s">
        <v>34</v>
      </c>
      <c r="J206" s="11">
        <v>2010</v>
      </c>
      <c r="K206" s="304" t="s">
        <v>38</v>
      </c>
      <c r="L206" s="11"/>
      <c r="M206" s="11" t="s">
        <v>262</v>
      </c>
      <c r="N206" s="304" t="s">
        <v>38</v>
      </c>
      <c r="O206" s="295" t="s">
        <v>38</v>
      </c>
    </row>
    <row r="207" spans="1:15">
      <c r="A207" s="270" t="s">
        <v>265</v>
      </c>
      <c r="B207" s="271" t="s">
        <v>61</v>
      </c>
      <c r="C207" s="271" t="s">
        <v>62</v>
      </c>
      <c r="D207" s="271">
        <v>1600</v>
      </c>
      <c r="E207" s="271" t="s">
        <v>116</v>
      </c>
      <c r="F207" s="271" t="s">
        <v>57</v>
      </c>
      <c r="G207" s="271" t="s">
        <v>33</v>
      </c>
      <c r="H207" s="317">
        <v>124707658.14495915</v>
      </c>
      <c r="I207" s="271" t="s">
        <v>34</v>
      </c>
      <c r="J207" s="271">
        <v>2010</v>
      </c>
      <c r="K207" s="303" t="s">
        <v>38</v>
      </c>
      <c r="L207" s="271"/>
      <c r="M207" s="271" t="s">
        <v>262</v>
      </c>
      <c r="N207" s="303" t="s">
        <v>38</v>
      </c>
      <c r="O207" s="294" t="s">
        <v>38</v>
      </c>
    </row>
    <row r="208" spans="1:15">
      <c r="A208" s="11" t="s">
        <v>686</v>
      </c>
      <c r="B208" s="11" t="s">
        <v>61</v>
      </c>
      <c r="C208" s="11" t="s">
        <v>62</v>
      </c>
      <c r="D208" s="11">
        <v>1200</v>
      </c>
      <c r="E208" s="11" t="s">
        <v>116</v>
      </c>
      <c r="F208" s="11" t="s">
        <v>57</v>
      </c>
      <c r="G208" s="11" t="s">
        <v>33</v>
      </c>
      <c r="H208" s="11">
        <v>108000000</v>
      </c>
      <c r="I208" s="11" t="s">
        <v>34</v>
      </c>
      <c r="J208" s="11">
        <v>2010</v>
      </c>
      <c r="K208" s="304" t="s">
        <v>38</v>
      </c>
      <c r="L208" s="11"/>
      <c r="M208" s="11" t="s">
        <v>262</v>
      </c>
      <c r="N208" s="304" t="s">
        <v>38</v>
      </c>
      <c r="O208" s="297" t="s">
        <v>38</v>
      </c>
    </row>
    <row r="209" spans="1:15">
      <c r="A209" s="271" t="s">
        <v>687</v>
      </c>
      <c r="B209" s="271" t="s">
        <v>61</v>
      </c>
      <c r="C209" s="271" t="s">
        <v>62</v>
      </c>
      <c r="D209" s="271">
        <v>1420</v>
      </c>
      <c r="E209" s="271" t="s">
        <v>116</v>
      </c>
      <c r="F209" s="271" t="s">
        <v>57</v>
      </c>
      <c r="G209" s="271" t="s">
        <v>33</v>
      </c>
      <c r="H209" s="318">
        <v>117483615.87898119</v>
      </c>
      <c r="I209" s="271" t="s">
        <v>34</v>
      </c>
      <c r="J209" s="271">
        <v>2010</v>
      </c>
      <c r="K209" s="303" t="s">
        <v>38</v>
      </c>
      <c r="L209" s="271"/>
      <c r="M209" s="271" t="s">
        <v>262</v>
      </c>
      <c r="N209" s="303" t="s">
        <v>38</v>
      </c>
      <c r="O209" s="296" t="s">
        <v>38</v>
      </c>
    </row>
    <row r="210" spans="1:15">
      <c r="A210" s="11" t="s">
        <v>286</v>
      </c>
      <c r="B210" s="11" t="s">
        <v>61</v>
      </c>
      <c r="C210" s="162" t="s">
        <v>278</v>
      </c>
      <c r="D210" s="11">
        <v>1604</v>
      </c>
      <c r="E210" s="11" t="s">
        <v>116</v>
      </c>
      <c r="F210" s="11" t="s">
        <v>57</v>
      </c>
      <c r="G210" s="11" t="s">
        <v>76</v>
      </c>
      <c r="H210" s="11">
        <v>26.8</v>
      </c>
      <c r="I210" s="11" t="s">
        <v>77</v>
      </c>
      <c r="J210" s="11">
        <v>2002</v>
      </c>
      <c r="K210" s="297" t="s">
        <v>122</v>
      </c>
      <c r="L210" s="11"/>
      <c r="M210" s="11" t="s">
        <v>287</v>
      </c>
      <c r="N210" s="304" t="s">
        <v>38</v>
      </c>
      <c r="O210" s="297" t="s">
        <v>38</v>
      </c>
    </row>
    <row r="211" spans="1:15">
      <c r="A211" s="271" t="s">
        <v>286</v>
      </c>
      <c r="B211" s="271" t="s">
        <v>61</v>
      </c>
      <c r="C211" s="300" t="s">
        <v>278</v>
      </c>
      <c r="D211" s="271">
        <v>1601</v>
      </c>
      <c r="E211" s="271" t="s">
        <v>116</v>
      </c>
      <c r="F211" s="271" t="s">
        <v>57</v>
      </c>
      <c r="G211" s="271" t="s">
        <v>76</v>
      </c>
      <c r="H211" s="271">
        <v>27.1</v>
      </c>
      <c r="I211" s="271" t="s">
        <v>77</v>
      </c>
      <c r="J211" s="271">
        <v>2002</v>
      </c>
      <c r="K211" s="296" t="s">
        <v>122</v>
      </c>
      <c r="L211" s="271"/>
      <c r="M211" s="271" t="s">
        <v>287</v>
      </c>
      <c r="N211" s="303" t="s">
        <v>38</v>
      </c>
      <c r="O211" s="296" t="s">
        <v>38</v>
      </c>
    </row>
    <row r="212" spans="1:15">
      <c r="A212" s="11" t="s">
        <v>286</v>
      </c>
      <c r="B212" s="11" t="s">
        <v>61</v>
      </c>
      <c r="C212" s="162" t="s">
        <v>278</v>
      </c>
      <c r="D212" s="11">
        <v>1598</v>
      </c>
      <c r="E212" s="11" t="s">
        <v>116</v>
      </c>
      <c r="F212" s="11" t="s">
        <v>57</v>
      </c>
      <c r="G212" s="11" t="s">
        <v>76</v>
      </c>
      <c r="H212" s="11">
        <v>28.2</v>
      </c>
      <c r="I212" s="11" t="s">
        <v>77</v>
      </c>
      <c r="J212" s="11">
        <v>2002</v>
      </c>
      <c r="K212" s="297" t="s">
        <v>122</v>
      </c>
      <c r="L212" s="11"/>
      <c r="M212" s="11" t="s">
        <v>287</v>
      </c>
      <c r="N212" s="304" t="s">
        <v>38</v>
      </c>
      <c r="O212" s="297" t="s">
        <v>38</v>
      </c>
    </row>
    <row r="213" spans="1:15">
      <c r="A213" s="271" t="s">
        <v>286</v>
      </c>
      <c r="B213" s="271" t="s">
        <v>61</v>
      </c>
      <c r="C213" s="300" t="s">
        <v>278</v>
      </c>
      <c r="D213" s="271">
        <v>1598</v>
      </c>
      <c r="E213" s="271" t="s">
        <v>116</v>
      </c>
      <c r="F213" s="271" t="s">
        <v>57</v>
      </c>
      <c r="G213" s="271" t="s">
        <v>76</v>
      </c>
      <c r="H213" s="271">
        <v>31.4</v>
      </c>
      <c r="I213" s="271" t="s">
        <v>77</v>
      </c>
      <c r="J213" s="271">
        <v>2002</v>
      </c>
      <c r="K213" s="296" t="s">
        <v>122</v>
      </c>
      <c r="L213" s="271"/>
      <c r="M213" s="271" t="s">
        <v>287</v>
      </c>
      <c r="N213" s="303" t="s">
        <v>38</v>
      </c>
      <c r="O213" s="296" t="s">
        <v>38</v>
      </c>
    </row>
    <row r="214" spans="1:15">
      <c r="A214" s="271" t="s">
        <v>301</v>
      </c>
      <c r="B214" s="271" t="s">
        <v>61</v>
      </c>
      <c r="C214" s="271" t="s">
        <v>62</v>
      </c>
      <c r="D214" s="271">
        <v>1000</v>
      </c>
      <c r="E214" s="271" t="s">
        <v>670</v>
      </c>
      <c r="F214" s="271" t="s">
        <v>52</v>
      </c>
      <c r="G214" s="271" t="s">
        <v>76</v>
      </c>
      <c r="H214" s="271">
        <v>9.1999999999999993</v>
      </c>
      <c r="I214" s="271" t="s">
        <v>77</v>
      </c>
      <c r="J214" s="271">
        <v>1992</v>
      </c>
      <c r="K214" s="296" t="s">
        <v>122</v>
      </c>
      <c r="L214" s="271"/>
      <c r="M214" s="271" t="s">
        <v>294</v>
      </c>
      <c r="N214" s="303" t="s">
        <v>38</v>
      </c>
      <c r="O214" s="296" t="s">
        <v>38</v>
      </c>
    </row>
    <row r="215" spans="1:15">
      <c r="A215" s="11" t="s">
        <v>304</v>
      </c>
      <c r="B215" s="11" t="s">
        <v>61</v>
      </c>
      <c r="C215" s="11" t="s">
        <v>62</v>
      </c>
      <c r="D215" s="11">
        <v>1000</v>
      </c>
      <c r="E215" s="11" t="s">
        <v>670</v>
      </c>
      <c r="F215" s="11" t="s">
        <v>52</v>
      </c>
      <c r="G215" s="11" t="s">
        <v>76</v>
      </c>
      <c r="H215" s="11">
        <v>7.5</v>
      </c>
      <c r="I215" s="11" t="s">
        <v>77</v>
      </c>
      <c r="J215" s="11">
        <v>1992</v>
      </c>
      <c r="K215" s="297" t="s">
        <v>122</v>
      </c>
      <c r="L215" s="11"/>
      <c r="M215" s="11" t="s">
        <v>294</v>
      </c>
      <c r="N215" s="304" t="s">
        <v>38</v>
      </c>
      <c r="O215" s="297" t="s">
        <v>38</v>
      </c>
    </row>
    <row r="216" spans="1:15">
      <c r="A216" s="271" t="s">
        <v>114</v>
      </c>
      <c r="B216" s="271" t="s">
        <v>61</v>
      </c>
      <c r="C216" s="271" t="s">
        <v>62</v>
      </c>
      <c r="D216" s="271">
        <v>1000</v>
      </c>
      <c r="E216" s="271" t="s">
        <v>670</v>
      </c>
      <c r="F216" s="271" t="s">
        <v>52</v>
      </c>
      <c r="G216" s="271" t="s">
        <v>76</v>
      </c>
      <c r="H216" s="271">
        <v>7.5</v>
      </c>
      <c r="I216" s="271" t="s">
        <v>77</v>
      </c>
      <c r="J216" s="271">
        <v>1992</v>
      </c>
      <c r="K216" s="296" t="s">
        <v>122</v>
      </c>
      <c r="L216" s="271"/>
      <c r="M216" s="271" t="s">
        <v>294</v>
      </c>
      <c r="N216" s="303" t="s">
        <v>38</v>
      </c>
      <c r="O216" s="296" t="s">
        <v>38</v>
      </c>
    </row>
    <row r="217" spans="1:15">
      <c r="A217" s="11" t="s">
        <v>126</v>
      </c>
      <c r="B217" s="11" t="s">
        <v>61</v>
      </c>
      <c r="C217" s="11" t="s">
        <v>62</v>
      </c>
      <c r="D217" s="11">
        <v>1000</v>
      </c>
      <c r="E217" s="11" t="s">
        <v>670</v>
      </c>
      <c r="F217" s="11" t="s">
        <v>52</v>
      </c>
      <c r="G217" s="11" t="s">
        <v>76</v>
      </c>
      <c r="H217" s="11">
        <v>9.1999999999999993</v>
      </c>
      <c r="I217" s="11" t="s">
        <v>77</v>
      </c>
      <c r="J217" s="11">
        <v>1992</v>
      </c>
      <c r="K217" s="297" t="s">
        <v>122</v>
      </c>
      <c r="L217" s="11"/>
      <c r="M217" s="11" t="s">
        <v>294</v>
      </c>
      <c r="N217" s="304" t="s">
        <v>38</v>
      </c>
      <c r="O217" s="297" t="s">
        <v>38</v>
      </c>
    </row>
    <row r="218" spans="1:15">
      <c r="A218" s="11" t="s">
        <v>81</v>
      </c>
      <c r="B218" s="11" t="s">
        <v>61</v>
      </c>
      <c r="C218" s="11" t="s">
        <v>62</v>
      </c>
      <c r="D218" s="11">
        <v>1000</v>
      </c>
      <c r="E218" s="11" t="s">
        <v>116</v>
      </c>
      <c r="F218" s="11" t="s">
        <v>57</v>
      </c>
      <c r="G218" s="11" t="s">
        <v>76</v>
      </c>
      <c r="H218" s="11">
        <v>270</v>
      </c>
      <c r="I218" s="11" t="s">
        <v>82</v>
      </c>
      <c r="J218" s="11">
        <v>1998</v>
      </c>
      <c r="K218" s="297" t="s">
        <v>122</v>
      </c>
      <c r="L218" s="11" t="s">
        <v>1307</v>
      </c>
      <c r="M218" s="11" t="s">
        <v>311</v>
      </c>
      <c r="N218" s="304" t="s">
        <v>38</v>
      </c>
      <c r="O218" s="297" t="s">
        <v>38</v>
      </c>
    </row>
    <row r="219" spans="1:15">
      <c r="A219" s="271" t="s">
        <v>81</v>
      </c>
      <c r="B219" s="271" t="s">
        <v>61</v>
      </c>
      <c r="C219" s="271" t="s">
        <v>62</v>
      </c>
      <c r="D219" s="271">
        <v>1000</v>
      </c>
      <c r="E219" s="271" t="s">
        <v>116</v>
      </c>
      <c r="F219" s="271" t="s">
        <v>32</v>
      </c>
      <c r="G219" s="271" t="s">
        <v>76</v>
      </c>
      <c r="H219" s="271">
        <v>430</v>
      </c>
      <c r="I219" s="271" t="s">
        <v>82</v>
      </c>
      <c r="J219" s="271">
        <v>1998</v>
      </c>
      <c r="K219" s="303" t="s">
        <v>38</v>
      </c>
      <c r="L219" s="271" t="s">
        <v>320</v>
      </c>
      <c r="M219" s="271" t="s">
        <v>311</v>
      </c>
      <c r="N219" s="303" t="s">
        <v>38</v>
      </c>
      <c r="O219" s="296" t="s">
        <v>38</v>
      </c>
    </row>
    <row r="220" spans="1:15">
      <c r="A220" s="11" t="s">
        <v>81</v>
      </c>
      <c r="B220" s="11" t="s">
        <v>61</v>
      </c>
      <c r="C220" s="11" t="s">
        <v>62</v>
      </c>
      <c r="D220" s="11">
        <v>1000</v>
      </c>
      <c r="E220" s="11" t="s">
        <v>116</v>
      </c>
      <c r="F220" s="11" t="s">
        <v>32</v>
      </c>
      <c r="G220" s="11" t="s">
        <v>76</v>
      </c>
      <c r="H220" s="11">
        <v>377</v>
      </c>
      <c r="I220" s="11" t="s">
        <v>82</v>
      </c>
      <c r="J220" s="11">
        <v>1998</v>
      </c>
      <c r="K220" s="297" t="s">
        <v>122</v>
      </c>
      <c r="L220" s="11" t="s">
        <v>321</v>
      </c>
      <c r="M220" s="11" t="s">
        <v>311</v>
      </c>
      <c r="N220" s="304" t="s">
        <v>38</v>
      </c>
      <c r="O220" s="297" t="s">
        <v>38</v>
      </c>
    </row>
    <row r="221" spans="1:15">
      <c r="A221" s="270" t="s">
        <v>81</v>
      </c>
      <c r="B221" s="271" t="s">
        <v>61</v>
      </c>
      <c r="C221" s="271" t="s">
        <v>62</v>
      </c>
      <c r="D221" s="271">
        <v>1000</v>
      </c>
      <c r="E221" s="271" t="s">
        <v>116</v>
      </c>
      <c r="F221" s="271" t="s">
        <v>57</v>
      </c>
      <c r="G221" s="271" t="s">
        <v>76</v>
      </c>
      <c r="H221" s="271">
        <v>377</v>
      </c>
      <c r="I221" s="271" t="s">
        <v>82</v>
      </c>
      <c r="J221" s="271">
        <v>1998</v>
      </c>
      <c r="K221" s="296" t="s">
        <v>122</v>
      </c>
      <c r="L221" s="271" t="s">
        <v>322</v>
      </c>
      <c r="M221" s="271" t="s">
        <v>311</v>
      </c>
      <c r="N221" s="303" t="s">
        <v>38</v>
      </c>
      <c r="O221" s="294" t="s">
        <v>38</v>
      </c>
    </row>
    <row r="222" spans="1:15">
      <c r="A222" s="272" t="s">
        <v>81</v>
      </c>
      <c r="B222" s="11" t="s">
        <v>61</v>
      </c>
      <c r="C222" s="11" t="s">
        <v>62</v>
      </c>
      <c r="D222" s="11">
        <v>1000</v>
      </c>
      <c r="E222" s="11" t="s">
        <v>116</v>
      </c>
      <c r="F222" s="11" t="s">
        <v>52</v>
      </c>
      <c r="G222" s="11" t="s">
        <v>76</v>
      </c>
      <c r="H222" s="11">
        <v>190</v>
      </c>
      <c r="I222" s="11" t="s">
        <v>82</v>
      </c>
      <c r="J222" s="11">
        <v>1998</v>
      </c>
      <c r="K222" s="297" t="s">
        <v>122</v>
      </c>
      <c r="L222" s="11" t="s">
        <v>323</v>
      </c>
      <c r="M222" s="11" t="s">
        <v>311</v>
      </c>
      <c r="N222" s="304" t="s">
        <v>38</v>
      </c>
      <c r="O222" s="295" t="s">
        <v>38</v>
      </c>
    </row>
    <row r="223" spans="1:15">
      <c r="A223" s="271" t="s">
        <v>81</v>
      </c>
      <c r="B223" s="271" t="s">
        <v>61</v>
      </c>
      <c r="C223" s="271" t="s">
        <v>62</v>
      </c>
      <c r="D223" s="271">
        <v>1000</v>
      </c>
      <c r="E223" s="271" t="s">
        <v>116</v>
      </c>
      <c r="F223" s="271" t="s">
        <v>754</v>
      </c>
      <c r="G223" s="271" t="s">
        <v>76</v>
      </c>
      <c r="H223" s="271">
        <v>184</v>
      </c>
      <c r="I223" s="271" t="s">
        <v>82</v>
      </c>
      <c r="J223" s="271">
        <v>1998</v>
      </c>
      <c r="K223" s="296" t="s">
        <v>122</v>
      </c>
      <c r="L223" s="271" t="s">
        <v>324</v>
      </c>
      <c r="M223" s="271" t="s">
        <v>311</v>
      </c>
      <c r="N223" s="303" t="s">
        <v>38</v>
      </c>
      <c r="O223" s="296" t="s">
        <v>38</v>
      </c>
    </row>
    <row r="224" spans="1:15">
      <c r="A224" s="11" t="s">
        <v>325</v>
      </c>
      <c r="B224" s="11" t="s">
        <v>61</v>
      </c>
      <c r="C224" s="11" t="s">
        <v>326</v>
      </c>
      <c r="D224" s="11">
        <v>1100</v>
      </c>
      <c r="E224" s="11" t="s">
        <v>116</v>
      </c>
      <c r="F224" s="11" t="s">
        <v>52</v>
      </c>
      <c r="G224" s="11" t="s">
        <v>33</v>
      </c>
      <c r="H224" s="11">
        <v>73000000</v>
      </c>
      <c r="I224" s="11" t="s">
        <v>34</v>
      </c>
      <c r="J224" s="11">
        <v>1982</v>
      </c>
      <c r="K224" s="297" t="s">
        <v>122</v>
      </c>
      <c r="L224" s="11"/>
      <c r="M224" s="11" t="s">
        <v>327</v>
      </c>
      <c r="N224" s="297" t="s">
        <v>38</v>
      </c>
      <c r="O224" s="297" t="s">
        <v>38</v>
      </c>
    </row>
    <row r="225" spans="1:15">
      <c r="A225" s="11" t="s">
        <v>330</v>
      </c>
      <c r="B225" s="11" t="s">
        <v>61</v>
      </c>
      <c r="C225" s="11" t="s">
        <v>62</v>
      </c>
      <c r="D225" s="11">
        <v>190</v>
      </c>
      <c r="E225" s="11" t="s">
        <v>669</v>
      </c>
      <c r="F225" s="11" t="s">
        <v>32</v>
      </c>
      <c r="G225" s="11" t="s">
        <v>33</v>
      </c>
      <c r="H225" s="11">
        <v>20000000</v>
      </c>
      <c r="I225" s="11" t="s">
        <v>34</v>
      </c>
      <c r="J225" s="11">
        <v>2010</v>
      </c>
      <c r="K225" s="297" t="s">
        <v>122</v>
      </c>
      <c r="L225" s="11" t="s">
        <v>1305</v>
      </c>
      <c r="M225" s="11" t="s">
        <v>331</v>
      </c>
      <c r="N225" s="304" t="s">
        <v>38</v>
      </c>
      <c r="O225" s="297" t="s">
        <v>38</v>
      </c>
    </row>
    <row r="226" spans="1:15">
      <c r="A226" s="271" t="s">
        <v>337</v>
      </c>
      <c r="B226" s="271" t="s">
        <v>61</v>
      </c>
      <c r="C226" s="271" t="s">
        <v>62</v>
      </c>
      <c r="D226" s="271">
        <v>500</v>
      </c>
      <c r="E226" s="271" t="s">
        <v>669</v>
      </c>
      <c r="F226" s="302" t="s">
        <v>32</v>
      </c>
      <c r="G226" s="271" t="s">
        <v>33</v>
      </c>
      <c r="H226" s="271">
        <v>33000000</v>
      </c>
      <c r="I226" s="271" t="s">
        <v>34</v>
      </c>
      <c r="J226" s="271">
        <v>2010</v>
      </c>
      <c r="K226" s="296" t="s">
        <v>122</v>
      </c>
      <c r="L226" s="271" t="s">
        <v>1303</v>
      </c>
      <c r="M226" s="271" t="s">
        <v>331</v>
      </c>
      <c r="N226" s="303" t="s">
        <v>38</v>
      </c>
      <c r="O226" s="296" t="s">
        <v>38</v>
      </c>
    </row>
    <row r="227" spans="1:15">
      <c r="A227" s="11" t="s">
        <v>340</v>
      </c>
      <c r="B227" s="11" t="s">
        <v>61</v>
      </c>
      <c r="C227" s="11" t="s">
        <v>62</v>
      </c>
      <c r="D227" s="11">
        <v>500</v>
      </c>
      <c r="E227" s="11" t="s">
        <v>669</v>
      </c>
      <c r="F227" s="8" t="s">
        <v>57</v>
      </c>
      <c r="G227" s="11" t="s">
        <v>33</v>
      </c>
      <c r="H227" s="11">
        <v>33000000</v>
      </c>
      <c r="I227" s="11" t="s">
        <v>34</v>
      </c>
      <c r="J227" s="11">
        <v>2010</v>
      </c>
      <c r="K227" s="297" t="s">
        <v>122</v>
      </c>
      <c r="L227" s="11" t="s">
        <v>1304</v>
      </c>
      <c r="M227" s="11" t="s">
        <v>331</v>
      </c>
      <c r="N227" s="304" t="s">
        <v>38</v>
      </c>
      <c r="O227" s="297" t="s">
        <v>38</v>
      </c>
    </row>
    <row r="228" spans="1:15">
      <c r="A228" s="271" t="s">
        <v>342</v>
      </c>
      <c r="B228" s="271" t="s">
        <v>61</v>
      </c>
      <c r="C228" s="271" t="s">
        <v>62</v>
      </c>
      <c r="D228" s="271">
        <v>500</v>
      </c>
      <c r="E228" s="271" t="s">
        <v>669</v>
      </c>
      <c r="F228" s="271" t="s">
        <v>32</v>
      </c>
      <c r="G228" s="271" t="s">
        <v>33</v>
      </c>
      <c r="H228" s="271">
        <v>33000000</v>
      </c>
      <c r="I228" s="271" t="s">
        <v>34</v>
      </c>
      <c r="J228" s="271">
        <v>2010</v>
      </c>
      <c r="K228" s="296" t="s">
        <v>122</v>
      </c>
      <c r="L228" s="271" t="s">
        <v>1303</v>
      </c>
      <c r="M228" s="271" t="s">
        <v>331</v>
      </c>
      <c r="N228" s="303" t="s">
        <v>38</v>
      </c>
      <c r="O228" s="296" t="s">
        <v>38</v>
      </c>
    </row>
    <row r="229" spans="1:15">
      <c r="A229" s="271" t="s">
        <v>335</v>
      </c>
      <c r="B229" s="271" t="s">
        <v>61</v>
      </c>
      <c r="C229" s="271" t="s">
        <v>62</v>
      </c>
      <c r="D229" s="271">
        <v>250</v>
      </c>
      <c r="E229" s="271" t="s">
        <v>670</v>
      </c>
      <c r="F229" s="302" t="s">
        <v>57</v>
      </c>
      <c r="G229" s="271" t="s">
        <v>76</v>
      </c>
      <c r="H229" s="292">
        <v>9.332400093323999</v>
      </c>
      <c r="I229" s="271" t="s">
        <v>77</v>
      </c>
      <c r="J229" s="271">
        <v>2010</v>
      </c>
      <c r="K229" s="296" t="s">
        <v>122</v>
      </c>
      <c r="L229" s="271" t="s">
        <v>1306</v>
      </c>
      <c r="M229" s="271" t="s">
        <v>331</v>
      </c>
      <c r="N229" s="303" t="s">
        <v>38</v>
      </c>
      <c r="O229" s="296" t="s">
        <v>38</v>
      </c>
    </row>
    <row r="230" spans="1:15">
      <c r="A230" s="11" t="s">
        <v>340</v>
      </c>
      <c r="B230" s="11" t="s">
        <v>61</v>
      </c>
      <c r="C230" s="11" t="s">
        <v>62</v>
      </c>
      <c r="D230" s="11">
        <v>500</v>
      </c>
      <c r="E230" s="11" t="s">
        <v>670</v>
      </c>
      <c r="F230" s="11" t="s">
        <v>57</v>
      </c>
      <c r="G230" s="11" t="s">
        <v>76</v>
      </c>
      <c r="H230" s="293">
        <v>5.6661000566609996</v>
      </c>
      <c r="I230" s="11" t="s">
        <v>77</v>
      </c>
      <c r="J230" s="11">
        <v>2010</v>
      </c>
      <c r="K230" s="297" t="s">
        <v>122</v>
      </c>
      <c r="L230" s="11" t="s">
        <v>1304</v>
      </c>
      <c r="M230" s="11" t="s">
        <v>331</v>
      </c>
      <c r="N230" s="304" t="s">
        <v>38</v>
      </c>
      <c r="O230" s="297" t="s">
        <v>38</v>
      </c>
    </row>
    <row r="231" spans="1:15">
      <c r="A231" s="271" t="s">
        <v>337</v>
      </c>
      <c r="B231" s="271" t="s">
        <v>61</v>
      </c>
      <c r="C231" s="271" t="s">
        <v>62</v>
      </c>
      <c r="D231" s="271">
        <v>500</v>
      </c>
      <c r="E231" s="271" t="s">
        <v>670</v>
      </c>
      <c r="F231" s="271" t="s">
        <v>32</v>
      </c>
      <c r="G231" s="271" t="s">
        <v>76</v>
      </c>
      <c r="H231" s="292">
        <v>7.6659000766589998</v>
      </c>
      <c r="I231" s="271" t="s">
        <v>77</v>
      </c>
      <c r="J231" s="271">
        <v>2010</v>
      </c>
      <c r="K231" s="296" t="s">
        <v>122</v>
      </c>
      <c r="L231" s="271" t="s">
        <v>1303</v>
      </c>
      <c r="M231" s="271" t="s">
        <v>331</v>
      </c>
      <c r="N231" s="303" t="s">
        <v>38</v>
      </c>
      <c r="O231" s="296" t="s">
        <v>38</v>
      </c>
    </row>
    <row r="232" spans="1:15">
      <c r="A232" s="11" t="s">
        <v>342</v>
      </c>
      <c r="B232" s="11" t="s">
        <v>61</v>
      </c>
      <c r="C232" s="11" t="s">
        <v>62</v>
      </c>
      <c r="D232" s="11">
        <v>500</v>
      </c>
      <c r="E232" s="11" t="s">
        <v>670</v>
      </c>
      <c r="F232" s="11" t="s">
        <v>32</v>
      </c>
      <c r="G232" s="11" t="s">
        <v>76</v>
      </c>
      <c r="H232" s="293">
        <v>7.6659000766589998</v>
      </c>
      <c r="I232" s="11" t="s">
        <v>77</v>
      </c>
      <c r="J232" s="11">
        <v>2010</v>
      </c>
      <c r="K232" s="297" t="s">
        <v>122</v>
      </c>
      <c r="L232" s="271" t="s">
        <v>1303</v>
      </c>
      <c r="M232" s="11" t="s">
        <v>331</v>
      </c>
      <c r="N232" s="304" t="s">
        <v>38</v>
      </c>
      <c r="O232" s="297" t="s">
        <v>38</v>
      </c>
    </row>
    <row r="233" spans="1:15" ht="51.6">
      <c r="A233" s="271" t="s">
        <v>187</v>
      </c>
      <c r="B233" s="271" t="s">
        <v>61</v>
      </c>
      <c r="C233" s="271" t="s">
        <v>62</v>
      </c>
      <c r="D233" s="271">
        <v>1200</v>
      </c>
      <c r="E233" s="271" t="s">
        <v>116</v>
      </c>
      <c r="F233" s="271" t="s">
        <v>52</v>
      </c>
      <c r="G233" s="271" t="s">
        <v>76</v>
      </c>
      <c r="H233" s="271">
        <v>18.100000000000001</v>
      </c>
      <c r="I233" s="271" t="s">
        <v>77</v>
      </c>
      <c r="J233" s="271">
        <v>1986</v>
      </c>
      <c r="K233" s="303"/>
      <c r="L233" s="271" t="s">
        <v>1230</v>
      </c>
      <c r="M233" s="310" t="s">
        <v>1105</v>
      </c>
      <c r="N233" s="303"/>
      <c r="O233" s="296"/>
    </row>
    <row r="234" spans="1:15" ht="51.6">
      <c r="A234" s="11" t="s">
        <v>165</v>
      </c>
      <c r="B234" s="11" t="s">
        <v>61</v>
      </c>
      <c r="C234" s="11" t="s">
        <v>62</v>
      </c>
      <c r="D234" s="11">
        <v>1200</v>
      </c>
      <c r="E234" s="11" t="s">
        <v>116</v>
      </c>
      <c r="F234" s="11" t="s">
        <v>52</v>
      </c>
      <c r="G234" s="11" t="s">
        <v>76</v>
      </c>
      <c r="H234" s="11">
        <v>13.2</v>
      </c>
      <c r="I234" s="11" t="s">
        <v>77</v>
      </c>
      <c r="J234" s="11">
        <v>1986</v>
      </c>
      <c r="K234" s="304"/>
      <c r="L234" s="11" t="s">
        <v>1230</v>
      </c>
      <c r="M234" s="278" t="s">
        <v>1105</v>
      </c>
      <c r="N234" s="304"/>
      <c r="O234" s="297"/>
    </row>
    <row r="235" spans="1:15" ht="51.6">
      <c r="A235" s="270" t="s">
        <v>170</v>
      </c>
      <c r="B235" s="271" t="s">
        <v>61</v>
      </c>
      <c r="C235" s="271" t="s">
        <v>113</v>
      </c>
      <c r="D235" s="271">
        <v>970</v>
      </c>
      <c r="E235" s="271" t="s">
        <v>116</v>
      </c>
      <c r="F235" s="271" t="s">
        <v>52</v>
      </c>
      <c r="G235" s="271" t="s">
        <v>76</v>
      </c>
      <c r="H235" s="271">
        <v>13.5</v>
      </c>
      <c r="I235" s="271" t="s">
        <v>77</v>
      </c>
      <c r="J235" s="271">
        <v>1986</v>
      </c>
      <c r="K235" s="303"/>
      <c r="L235" s="271" t="s">
        <v>1230</v>
      </c>
      <c r="M235" s="310" t="s">
        <v>1105</v>
      </c>
      <c r="N235" s="303"/>
      <c r="O235" s="294"/>
    </row>
    <row r="236" spans="1:15" ht="51.6">
      <c r="A236" s="272" t="s">
        <v>172</v>
      </c>
      <c r="B236" s="11" t="s">
        <v>61</v>
      </c>
      <c r="C236" s="11" t="s">
        <v>113</v>
      </c>
      <c r="D236" s="11">
        <v>970</v>
      </c>
      <c r="E236" s="11" t="s">
        <v>116</v>
      </c>
      <c r="F236" s="11" t="s">
        <v>52</v>
      </c>
      <c r="G236" s="11" t="s">
        <v>76</v>
      </c>
      <c r="H236" s="11">
        <v>12.8</v>
      </c>
      <c r="I236" s="11" t="s">
        <v>77</v>
      </c>
      <c r="J236" s="11">
        <v>1986</v>
      </c>
      <c r="K236" s="304"/>
      <c r="L236" s="11" t="s">
        <v>1230</v>
      </c>
      <c r="M236" s="278" t="s">
        <v>1105</v>
      </c>
      <c r="N236" s="304"/>
      <c r="O236" s="295"/>
    </row>
    <row r="237" spans="1:15" hidden="1">
      <c r="A237" s="519" t="s">
        <v>635</v>
      </c>
      <c r="B237" s="519" t="s">
        <v>61</v>
      </c>
      <c r="C237" s="519" t="s">
        <v>62</v>
      </c>
      <c r="D237" s="519">
        <v>1700</v>
      </c>
      <c r="E237" s="519" t="s">
        <v>31</v>
      </c>
      <c r="F237" s="519" t="s">
        <v>57</v>
      </c>
      <c r="G237" s="11" t="s">
        <v>33</v>
      </c>
      <c r="H237" s="11">
        <v>4697100000</v>
      </c>
      <c r="I237" s="11" t="s">
        <v>34</v>
      </c>
      <c r="J237" s="11">
        <v>1996</v>
      </c>
      <c r="K237" s="304" t="s">
        <v>38</v>
      </c>
      <c r="L237" s="519" t="s">
        <v>1277</v>
      </c>
      <c r="M237" s="519" t="s">
        <v>633</v>
      </c>
      <c r="N237" s="11" t="s">
        <v>84</v>
      </c>
      <c r="O237" s="297" t="s">
        <v>38</v>
      </c>
    </row>
    <row r="238" spans="1:15" ht="51.6">
      <c r="A238" s="271" t="s">
        <v>174</v>
      </c>
      <c r="B238" s="271" t="s">
        <v>61</v>
      </c>
      <c r="C238" s="271" t="s">
        <v>62</v>
      </c>
      <c r="D238" s="271">
        <v>1200</v>
      </c>
      <c r="E238" s="271" t="s">
        <v>116</v>
      </c>
      <c r="F238" s="271" t="s">
        <v>52</v>
      </c>
      <c r="G238" s="271" t="s">
        <v>76</v>
      </c>
      <c r="H238" s="271">
        <v>13.4</v>
      </c>
      <c r="I238" s="271" t="s">
        <v>77</v>
      </c>
      <c r="J238" s="271">
        <v>1986</v>
      </c>
      <c r="K238" s="303"/>
      <c r="L238" s="271" t="s">
        <v>1230</v>
      </c>
      <c r="M238" s="310" t="s">
        <v>1105</v>
      </c>
      <c r="N238" s="303"/>
      <c r="O238" s="296"/>
    </row>
    <row r="239" spans="1:15" ht="51.6">
      <c r="A239" s="11" t="s">
        <v>176</v>
      </c>
      <c r="B239" s="11" t="s">
        <v>61</v>
      </c>
      <c r="C239" s="11" t="s">
        <v>62</v>
      </c>
      <c r="D239" s="11">
        <v>1200</v>
      </c>
      <c r="E239" s="11" t="s">
        <v>116</v>
      </c>
      <c r="F239" s="11" t="s">
        <v>52</v>
      </c>
      <c r="G239" s="11" t="s">
        <v>76</v>
      </c>
      <c r="H239" s="11">
        <v>17.8</v>
      </c>
      <c r="I239" s="11" t="s">
        <v>77</v>
      </c>
      <c r="J239" s="11">
        <v>1986</v>
      </c>
      <c r="K239" s="304"/>
      <c r="L239" s="11" t="s">
        <v>1230</v>
      </c>
      <c r="M239" s="278" t="s">
        <v>1105</v>
      </c>
      <c r="N239" s="304"/>
      <c r="O239" s="297"/>
    </row>
    <row r="240" spans="1:15" ht="51.6">
      <c r="A240" s="271" t="s">
        <v>182</v>
      </c>
      <c r="B240" s="271" t="s">
        <v>61</v>
      </c>
      <c r="C240" s="271" t="s">
        <v>62</v>
      </c>
      <c r="D240" s="271">
        <v>1200</v>
      </c>
      <c r="E240" s="271" t="s">
        <v>116</v>
      </c>
      <c r="F240" s="271" t="s">
        <v>52</v>
      </c>
      <c r="G240" s="271" t="s">
        <v>76</v>
      </c>
      <c r="H240" s="271">
        <v>16.100000000000001</v>
      </c>
      <c r="I240" s="271" t="s">
        <v>77</v>
      </c>
      <c r="J240" s="271">
        <v>1986</v>
      </c>
      <c r="K240" s="303"/>
      <c r="L240" s="548" t="s">
        <v>1230</v>
      </c>
      <c r="M240" s="310" t="s">
        <v>1105</v>
      </c>
      <c r="N240" s="303"/>
      <c r="O240" s="296"/>
    </row>
    <row r="241" spans="1:15" ht="51.6">
      <c r="A241" s="11" t="s">
        <v>1100</v>
      </c>
      <c r="B241" s="11" t="s">
        <v>61</v>
      </c>
      <c r="C241" s="11" t="s">
        <v>62</v>
      </c>
      <c r="D241" s="11">
        <v>1200</v>
      </c>
      <c r="E241" s="11" t="s">
        <v>116</v>
      </c>
      <c r="F241" s="11" t="s">
        <v>52</v>
      </c>
      <c r="G241" s="11" t="s">
        <v>76</v>
      </c>
      <c r="H241" s="11">
        <v>8.9</v>
      </c>
      <c r="I241" s="11" t="s">
        <v>77</v>
      </c>
      <c r="J241" s="11">
        <v>1986</v>
      </c>
      <c r="K241" s="304"/>
      <c r="L241" s="11" t="s">
        <v>1230</v>
      </c>
      <c r="M241" s="278" t="s">
        <v>1105</v>
      </c>
      <c r="N241" s="304"/>
      <c r="O241" s="297"/>
    </row>
    <row r="242" spans="1:15">
      <c r="A242" s="290" t="s">
        <v>211</v>
      </c>
      <c r="B242" s="11" t="s">
        <v>61</v>
      </c>
      <c r="C242" s="290" t="s">
        <v>62</v>
      </c>
      <c r="D242" s="290">
        <v>1546</v>
      </c>
      <c r="E242" s="290" t="s">
        <v>116</v>
      </c>
      <c r="F242" s="290" t="s">
        <v>52</v>
      </c>
      <c r="G242" s="11" t="s">
        <v>76</v>
      </c>
      <c r="H242" s="290">
        <v>8.5500000000000003E-3</v>
      </c>
      <c r="I242" s="290" t="s">
        <v>1111</v>
      </c>
      <c r="J242" s="290">
        <v>2005</v>
      </c>
      <c r="K242" s="297" t="s">
        <v>122</v>
      </c>
      <c r="L242" s="271" t="s">
        <v>1308</v>
      </c>
      <c r="M242" s="290" t="s">
        <v>1288</v>
      </c>
      <c r="N242" s="304" t="s">
        <v>38</v>
      </c>
      <c r="O242" s="297" t="s">
        <v>38</v>
      </c>
    </row>
    <row r="243" spans="1:15">
      <c r="A243" s="291" t="s">
        <v>213</v>
      </c>
      <c r="B243" s="271" t="s">
        <v>61</v>
      </c>
      <c r="C243" s="291" t="s">
        <v>62</v>
      </c>
      <c r="D243" s="291">
        <v>1332</v>
      </c>
      <c r="E243" s="291" t="s">
        <v>116</v>
      </c>
      <c r="F243" s="291" t="s">
        <v>52</v>
      </c>
      <c r="G243" s="271" t="s">
        <v>76</v>
      </c>
      <c r="H243" s="291">
        <v>8.0000000000000002E-3</v>
      </c>
      <c r="I243" s="291" t="s">
        <v>1111</v>
      </c>
      <c r="J243" s="291">
        <v>2005</v>
      </c>
      <c r="K243" s="296" t="s">
        <v>122</v>
      </c>
      <c r="L243" s="271" t="s">
        <v>1308</v>
      </c>
      <c r="M243" s="290" t="s">
        <v>1288</v>
      </c>
      <c r="N243" s="303" t="s">
        <v>38</v>
      </c>
      <c r="O243" s="296" t="s">
        <v>38</v>
      </c>
    </row>
    <row r="244" spans="1:15">
      <c r="A244" s="298" t="s">
        <v>214</v>
      </c>
      <c r="B244" s="11" t="s">
        <v>61</v>
      </c>
      <c r="C244" s="290" t="s">
        <v>62</v>
      </c>
      <c r="D244" s="290">
        <v>1449</v>
      </c>
      <c r="E244" s="290" t="s">
        <v>116</v>
      </c>
      <c r="F244" s="290" t="s">
        <v>52</v>
      </c>
      <c r="G244" s="11" t="s">
        <v>76</v>
      </c>
      <c r="H244" s="290">
        <v>8.3999999999999995E-3</v>
      </c>
      <c r="I244" s="290" t="s">
        <v>1111</v>
      </c>
      <c r="J244" s="290">
        <v>2005</v>
      </c>
      <c r="K244" s="297" t="s">
        <v>122</v>
      </c>
      <c r="L244" s="271" t="s">
        <v>1308</v>
      </c>
      <c r="M244" s="290" t="s">
        <v>1288</v>
      </c>
      <c r="N244" s="304" t="s">
        <v>38</v>
      </c>
      <c r="O244" s="295" t="s">
        <v>38</v>
      </c>
    </row>
    <row r="245" spans="1:15">
      <c r="A245" s="299" t="s">
        <v>215</v>
      </c>
      <c r="B245" s="271" t="s">
        <v>61</v>
      </c>
      <c r="C245" s="291" t="s">
        <v>62</v>
      </c>
      <c r="D245" s="291">
        <v>1527</v>
      </c>
      <c r="E245" s="291" t="s">
        <v>116</v>
      </c>
      <c r="F245" s="291" t="s">
        <v>52</v>
      </c>
      <c r="G245" s="271" t="s">
        <v>76</v>
      </c>
      <c r="H245" s="291">
        <v>8.5000000000000006E-3</v>
      </c>
      <c r="I245" s="291" t="s">
        <v>1111</v>
      </c>
      <c r="J245" s="291">
        <v>2005</v>
      </c>
      <c r="K245" s="296" t="s">
        <v>122</v>
      </c>
      <c r="L245" s="271" t="s">
        <v>1308</v>
      </c>
      <c r="M245" s="290" t="s">
        <v>1288</v>
      </c>
      <c r="N245" s="303" t="s">
        <v>38</v>
      </c>
      <c r="O245" s="294" t="s">
        <v>38</v>
      </c>
    </row>
    <row r="246" spans="1:15">
      <c r="A246" s="302" t="s">
        <v>839</v>
      </c>
      <c r="B246" s="271" t="s">
        <v>30</v>
      </c>
      <c r="C246" s="302" t="s">
        <v>796</v>
      </c>
      <c r="D246" s="302">
        <v>815</v>
      </c>
      <c r="E246" s="302" t="s">
        <v>670</v>
      </c>
      <c r="F246" s="302" t="s">
        <v>52</v>
      </c>
      <c r="G246" s="302" t="s">
        <v>76</v>
      </c>
      <c r="H246" s="302">
        <v>0.1</v>
      </c>
      <c r="I246" s="302" t="s">
        <v>77</v>
      </c>
      <c r="J246" s="302">
        <v>1985</v>
      </c>
      <c r="K246" s="303"/>
      <c r="L246" s="302"/>
      <c r="M246" s="302" t="s">
        <v>842</v>
      </c>
      <c r="N246" s="303" t="s">
        <v>38</v>
      </c>
      <c r="O246" s="296" t="s">
        <v>38</v>
      </c>
    </row>
    <row r="247" spans="1:15">
      <c r="A247" s="8" t="s">
        <v>125</v>
      </c>
      <c r="B247" s="11" t="s">
        <v>30</v>
      </c>
      <c r="C247" s="8" t="s">
        <v>796</v>
      </c>
      <c r="D247" s="8">
        <v>815</v>
      </c>
      <c r="E247" s="8" t="s">
        <v>670</v>
      </c>
      <c r="F247" s="8" t="s">
        <v>52</v>
      </c>
      <c r="G247" s="8" t="s">
        <v>76</v>
      </c>
      <c r="H247" s="8">
        <v>0.1</v>
      </c>
      <c r="I247" s="8" t="s">
        <v>77</v>
      </c>
      <c r="J247" s="8">
        <v>1985</v>
      </c>
      <c r="K247" s="304"/>
      <c r="L247" s="8"/>
      <c r="M247" s="8" t="s">
        <v>842</v>
      </c>
      <c r="N247" s="304" t="s">
        <v>38</v>
      </c>
      <c r="O247" s="297" t="s">
        <v>38</v>
      </c>
    </row>
    <row r="248" spans="1:15">
      <c r="A248" s="8" t="s">
        <v>839</v>
      </c>
      <c r="B248" s="11" t="s">
        <v>30</v>
      </c>
      <c r="C248" s="8" t="s">
        <v>796</v>
      </c>
      <c r="D248" s="8">
        <v>815</v>
      </c>
      <c r="E248" s="8" t="s">
        <v>669</v>
      </c>
      <c r="F248" s="8" t="s">
        <v>52</v>
      </c>
      <c r="G248" s="8" t="s">
        <v>33</v>
      </c>
      <c r="H248" s="8">
        <v>50000000</v>
      </c>
      <c r="I248" s="8" t="s">
        <v>34</v>
      </c>
      <c r="J248" s="8">
        <v>1985</v>
      </c>
      <c r="K248" s="336" t="s">
        <v>65</v>
      </c>
      <c r="L248" s="8"/>
      <c r="M248" s="8" t="s">
        <v>842</v>
      </c>
      <c r="N248" s="304" t="s">
        <v>38</v>
      </c>
      <c r="O248" s="297" t="s">
        <v>38</v>
      </c>
    </row>
    <row r="249" spans="1:15">
      <c r="A249" s="302" t="s">
        <v>125</v>
      </c>
      <c r="B249" s="271" t="s">
        <v>30</v>
      </c>
      <c r="C249" s="302" t="s">
        <v>796</v>
      </c>
      <c r="D249" s="302">
        <v>815</v>
      </c>
      <c r="E249" s="302" t="s">
        <v>669</v>
      </c>
      <c r="F249" s="302" t="s">
        <v>52</v>
      </c>
      <c r="G249" s="302" t="s">
        <v>33</v>
      </c>
      <c r="H249" s="302">
        <v>60000000</v>
      </c>
      <c r="I249" s="302" t="s">
        <v>34</v>
      </c>
      <c r="J249" s="302">
        <v>1985</v>
      </c>
      <c r="K249" s="336" t="s">
        <v>65</v>
      </c>
      <c r="L249" s="302"/>
      <c r="M249" s="302" t="s">
        <v>842</v>
      </c>
      <c r="N249" s="303" t="s">
        <v>38</v>
      </c>
      <c r="O249" s="296" t="s">
        <v>38</v>
      </c>
    </row>
    <row r="250" spans="1:15">
      <c r="A250" s="271" t="s">
        <v>695</v>
      </c>
      <c r="B250" s="271" t="s">
        <v>61</v>
      </c>
      <c r="C250" s="271" t="s">
        <v>62</v>
      </c>
      <c r="D250" s="271">
        <v>1200</v>
      </c>
      <c r="E250" s="271" t="s">
        <v>116</v>
      </c>
      <c r="F250" s="271" t="s">
        <v>52</v>
      </c>
      <c r="G250" s="271" t="s">
        <v>76</v>
      </c>
      <c r="H250" s="271">
        <v>6.7</v>
      </c>
      <c r="I250" s="271" t="s">
        <v>77</v>
      </c>
      <c r="J250" s="271">
        <v>1990</v>
      </c>
      <c r="K250" s="296" t="s">
        <v>122</v>
      </c>
      <c r="L250" s="271"/>
      <c r="M250" s="271" t="s">
        <v>369</v>
      </c>
      <c r="N250" s="303" t="s">
        <v>38</v>
      </c>
      <c r="O250" s="296" t="s">
        <v>38</v>
      </c>
    </row>
    <row r="251" spans="1:15">
      <c r="A251" s="11" t="s">
        <v>696</v>
      </c>
      <c r="B251" s="11" t="s">
        <v>61</v>
      </c>
      <c r="C251" s="11" t="s">
        <v>62</v>
      </c>
      <c r="D251" s="11">
        <v>1200</v>
      </c>
      <c r="E251" s="11" t="s">
        <v>116</v>
      </c>
      <c r="F251" s="11" t="s">
        <v>32</v>
      </c>
      <c r="G251" s="11" t="s">
        <v>76</v>
      </c>
      <c r="H251" s="11">
        <v>5.2</v>
      </c>
      <c r="I251" s="11" t="s">
        <v>77</v>
      </c>
      <c r="J251" s="11">
        <v>1990</v>
      </c>
      <c r="K251" s="297" t="s">
        <v>122</v>
      </c>
      <c r="L251" s="11" t="s">
        <v>375</v>
      </c>
      <c r="M251" s="11" t="s">
        <v>369</v>
      </c>
      <c r="N251" s="304" t="s">
        <v>38</v>
      </c>
      <c r="O251" s="297" t="s">
        <v>38</v>
      </c>
    </row>
    <row r="252" spans="1:15">
      <c r="A252" s="302" t="s">
        <v>385</v>
      </c>
      <c r="B252" s="302" t="s">
        <v>61</v>
      </c>
      <c r="C252" s="302" t="s">
        <v>62</v>
      </c>
      <c r="D252" s="302">
        <v>1200</v>
      </c>
      <c r="E252" s="302" t="s">
        <v>116</v>
      </c>
      <c r="F252" s="271" t="s">
        <v>52</v>
      </c>
      <c r="G252" s="302" t="s">
        <v>33</v>
      </c>
      <c r="H252" s="302">
        <v>49100000</v>
      </c>
      <c r="I252" s="302" t="s">
        <v>34</v>
      </c>
      <c r="J252" s="302">
        <v>1982</v>
      </c>
      <c r="K252" s="296" t="s">
        <v>122</v>
      </c>
      <c r="L252" s="302"/>
      <c r="M252" s="302" t="s">
        <v>693</v>
      </c>
      <c r="N252" s="296" t="s">
        <v>38</v>
      </c>
      <c r="O252" s="296" t="s">
        <v>38</v>
      </c>
    </row>
    <row r="253" spans="1:15">
      <c r="A253" s="11" t="s">
        <v>387</v>
      </c>
      <c r="B253" s="11" t="s">
        <v>30</v>
      </c>
      <c r="C253" s="11" t="s">
        <v>815</v>
      </c>
      <c r="D253" s="11">
        <v>1083</v>
      </c>
      <c r="E253" s="11" t="s">
        <v>391</v>
      </c>
      <c r="F253" s="8" t="s">
        <v>52</v>
      </c>
      <c r="G253" s="11" t="s">
        <v>76</v>
      </c>
      <c r="H253" s="11">
        <v>2.2400000000000002</v>
      </c>
      <c r="I253" s="11" t="s">
        <v>77</v>
      </c>
      <c r="J253" s="11">
        <v>1988</v>
      </c>
      <c r="K253" s="304" t="s">
        <v>38</v>
      </c>
      <c r="L253" s="279"/>
      <c r="M253" s="11" t="s">
        <v>386</v>
      </c>
      <c r="N253" s="304" t="s">
        <v>38</v>
      </c>
      <c r="O253" s="297" t="s">
        <v>38</v>
      </c>
    </row>
    <row r="254" spans="1:15">
      <c r="A254" s="272" t="s">
        <v>114</v>
      </c>
      <c r="B254" s="11" t="s">
        <v>61</v>
      </c>
      <c r="C254" s="11" t="s">
        <v>62</v>
      </c>
      <c r="D254" s="11">
        <v>1000</v>
      </c>
      <c r="E254" s="11" t="s">
        <v>116</v>
      </c>
      <c r="F254" s="11" t="s">
        <v>52</v>
      </c>
      <c r="G254" s="11" t="s">
        <v>76</v>
      </c>
      <c r="H254" s="11">
        <v>6.7</v>
      </c>
      <c r="I254" s="11" t="s">
        <v>77</v>
      </c>
      <c r="J254" s="11">
        <v>1988</v>
      </c>
      <c r="K254" s="304" t="s">
        <v>38</v>
      </c>
      <c r="L254" s="11"/>
      <c r="M254" s="11" t="s">
        <v>597</v>
      </c>
      <c r="N254" s="304" t="s">
        <v>38</v>
      </c>
      <c r="O254" s="295" t="s">
        <v>38</v>
      </c>
    </row>
    <row r="255" spans="1:15">
      <c r="A255" s="270" t="s">
        <v>232</v>
      </c>
      <c r="B255" s="271" t="s">
        <v>61</v>
      </c>
      <c r="C255" s="271" t="s">
        <v>62</v>
      </c>
      <c r="D255" s="271">
        <v>1000</v>
      </c>
      <c r="E255" s="271" t="s">
        <v>116</v>
      </c>
      <c r="F255" s="271" t="s">
        <v>52</v>
      </c>
      <c r="G255" s="271" t="s">
        <v>76</v>
      </c>
      <c r="H255" s="271">
        <v>6.87</v>
      </c>
      <c r="I255" s="271" t="s">
        <v>77</v>
      </c>
      <c r="J255" s="271">
        <v>1992</v>
      </c>
      <c r="K255" s="296" t="s">
        <v>122</v>
      </c>
      <c r="L255" s="271"/>
      <c r="M255" s="271" t="s">
        <v>420</v>
      </c>
      <c r="N255" s="296" t="s">
        <v>38</v>
      </c>
      <c r="O255" s="294" t="s">
        <v>38</v>
      </c>
    </row>
    <row r="256" spans="1:15">
      <c r="A256" s="272" t="s">
        <v>741</v>
      </c>
      <c r="B256" s="11" t="s">
        <v>61</v>
      </c>
      <c r="C256" s="11" t="s">
        <v>62</v>
      </c>
      <c r="D256" s="11">
        <v>1200</v>
      </c>
      <c r="E256" s="11" t="s">
        <v>116</v>
      </c>
      <c r="F256" s="11" t="s">
        <v>52</v>
      </c>
      <c r="G256" s="278" t="s">
        <v>33</v>
      </c>
      <c r="H256" s="278">
        <v>108000000</v>
      </c>
      <c r="I256" s="278" t="s">
        <v>34</v>
      </c>
      <c r="J256" s="11">
        <v>2010</v>
      </c>
      <c r="K256" s="312"/>
      <c r="L256" s="278"/>
      <c r="M256" s="11" t="s">
        <v>732</v>
      </c>
      <c r="N256" s="278"/>
      <c r="O256" s="314"/>
    </row>
    <row r="257" spans="1:15">
      <c r="A257" s="270" t="s">
        <v>741</v>
      </c>
      <c r="B257" s="271" t="s">
        <v>61</v>
      </c>
      <c r="C257" s="271" t="s">
        <v>62</v>
      </c>
      <c r="D257" s="271">
        <v>1500</v>
      </c>
      <c r="E257" s="271" t="s">
        <v>116</v>
      </c>
      <c r="F257" s="271" t="s">
        <v>52</v>
      </c>
      <c r="G257" s="310" t="s">
        <v>33</v>
      </c>
      <c r="H257" s="310">
        <v>121000000</v>
      </c>
      <c r="I257" s="310" t="s">
        <v>34</v>
      </c>
      <c r="J257" s="271">
        <v>2010</v>
      </c>
      <c r="K257" s="311"/>
      <c r="L257" s="310"/>
      <c r="M257" s="271" t="s">
        <v>732</v>
      </c>
      <c r="N257" s="310"/>
      <c r="O257" s="313"/>
    </row>
    <row r="258" spans="1:15">
      <c r="A258" s="11" t="s">
        <v>741</v>
      </c>
      <c r="B258" s="11" t="s">
        <v>61</v>
      </c>
      <c r="C258" s="11" t="s">
        <v>62</v>
      </c>
      <c r="D258" s="11">
        <v>2000</v>
      </c>
      <c r="E258" s="11" t="s">
        <v>116</v>
      </c>
      <c r="F258" s="11" t="s">
        <v>52</v>
      </c>
      <c r="G258" s="278" t="s">
        <v>33</v>
      </c>
      <c r="H258" s="278">
        <v>139000000</v>
      </c>
      <c r="I258" s="278" t="s">
        <v>34</v>
      </c>
      <c r="J258" s="11">
        <v>2010</v>
      </c>
      <c r="K258" s="312"/>
      <c r="L258" s="278"/>
      <c r="M258" s="11" t="s">
        <v>732</v>
      </c>
      <c r="N258" s="278"/>
      <c r="O258" s="278"/>
    </row>
    <row r="259" spans="1:15">
      <c r="A259" s="271" t="s">
        <v>741</v>
      </c>
      <c r="B259" s="271" t="s">
        <v>61</v>
      </c>
      <c r="C259" s="271" t="s">
        <v>62</v>
      </c>
      <c r="D259" s="271">
        <v>2500</v>
      </c>
      <c r="E259" s="271" t="s">
        <v>116</v>
      </c>
      <c r="F259" s="271" t="s">
        <v>52</v>
      </c>
      <c r="G259" s="310" t="s">
        <v>33</v>
      </c>
      <c r="H259" s="310">
        <v>156000000</v>
      </c>
      <c r="I259" s="310" t="s">
        <v>34</v>
      </c>
      <c r="J259" s="271">
        <v>2010</v>
      </c>
      <c r="K259" s="311"/>
      <c r="L259" s="310"/>
      <c r="M259" s="271" t="s">
        <v>732</v>
      </c>
      <c r="N259" s="310"/>
      <c r="O259" s="310"/>
    </row>
    <row r="260" spans="1:15">
      <c r="A260" s="272" t="s">
        <v>741</v>
      </c>
      <c r="B260" s="11" t="s">
        <v>61</v>
      </c>
      <c r="C260" s="11" t="s">
        <v>62</v>
      </c>
      <c r="D260" s="11">
        <v>3000</v>
      </c>
      <c r="E260" s="11" t="s">
        <v>116</v>
      </c>
      <c r="F260" s="11" t="s">
        <v>52</v>
      </c>
      <c r="G260" s="278" t="s">
        <v>33</v>
      </c>
      <c r="H260" s="278">
        <v>171000000</v>
      </c>
      <c r="I260" s="278" t="s">
        <v>34</v>
      </c>
      <c r="J260" s="11">
        <v>2010</v>
      </c>
      <c r="K260" s="312"/>
      <c r="L260" s="278"/>
      <c r="M260" s="11" t="s">
        <v>732</v>
      </c>
      <c r="N260" s="278"/>
      <c r="O260" s="314"/>
    </row>
    <row r="261" spans="1:15">
      <c r="A261" s="270" t="s">
        <v>741</v>
      </c>
      <c r="B261" s="271" t="s">
        <v>61</v>
      </c>
      <c r="C261" s="271" t="s">
        <v>62</v>
      </c>
      <c r="D261" s="271">
        <v>1000</v>
      </c>
      <c r="E261" s="271" t="s">
        <v>116</v>
      </c>
      <c r="F261" s="271" t="s">
        <v>52</v>
      </c>
      <c r="G261" s="310" t="s">
        <v>33</v>
      </c>
      <c r="H261" s="310">
        <v>99000000</v>
      </c>
      <c r="I261" s="310" t="s">
        <v>34</v>
      </c>
      <c r="J261" s="271">
        <v>2010</v>
      </c>
      <c r="K261" s="311"/>
      <c r="L261" s="310"/>
      <c r="M261" s="271" t="s">
        <v>732</v>
      </c>
      <c r="N261" s="310"/>
      <c r="O261" s="313"/>
    </row>
    <row r="262" spans="1:15">
      <c r="A262" s="11" t="s">
        <v>200</v>
      </c>
      <c r="B262" s="11" t="s">
        <v>61</v>
      </c>
      <c r="C262" s="11" t="s">
        <v>62</v>
      </c>
      <c r="D262" s="11">
        <v>1000</v>
      </c>
      <c r="E262" s="11" t="s">
        <v>116</v>
      </c>
      <c r="F262" s="11" t="s">
        <v>52</v>
      </c>
      <c r="G262" s="278" t="s">
        <v>33</v>
      </c>
      <c r="H262" s="278">
        <v>99000000</v>
      </c>
      <c r="I262" s="278" t="s">
        <v>34</v>
      </c>
      <c r="J262" s="11">
        <v>2010</v>
      </c>
      <c r="K262" s="312"/>
      <c r="L262" s="278"/>
      <c r="M262" s="11" t="s">
        <v>732</v>
      </c>
      <c r="N262" s="278"/>
      <c r="O262" s="278"/>
    </row>
    <row r="263" spans="1:15">
      <c r="A263" s="271" t="s">
        <v>737</v>
      </c>
      <c r="B263" s="271" t="s">
        <v>61</v>
      </c>
      <c r="C263" s="271" t="s">
        <v>62</v>
      </c>
      <c r="D263" s="271">
        <v>1000</v>
      </c>
      <c r="E263" s="271" t="s">
        <v>116</v>
      </c>
      <c r="F263" s="271" t="s">
        <v>52</v>
      </c>
      <c r="G263" s="310" t="s">
        <v>33</v>
      </c>
      <c r="H263" s="310">
        <v>99000000</v>
      </c>
      <c r="I263" s="310" t="s">
        <v>34</v>
      </c>
      <c r="J263" s="271">
        <v>2010</v>
      </c>
      <c r="K263" s="311"/>
      <c r="L263" s="310"/>
      <c r="M263" s="271" t="s">
        <v>732</v>
      </c>
      <c r="N263" s="310"/>
      <c r="O263" s="310"/>
    </row>
    <row r="264" spans="1:15">
      <c r="A264" s="11" t="s">
        <v>736</v>
      </c>
      <c r="B264" s="11" t="s">
        <v>61</v>
      </c>
      <c r="C264" s="11" t="s">
        <v>62</v>
      </c>
      <c r="D264" s="11">
        <v>1000</v>
      </c>
      <c r="E264" s="11" t="s">
        <v>116</v>
      </c>
      <c r="F264" s="11" t="s">
        <v>52</v>
      </c>
      <c r="G264" s="278" t="s">
        <v>33</v>
      </c>
      <c r="H264" s="278">
        <v>99000000</v>
      </c>
      <c r="I264" s="278" t="s">
        <v>34</v>
      </c>
      <c r="J264" s="11">
        <v>2010</v>
      </c>
      <c r="K264" s="312"/>
      <c r="L264" s="278"/>
      <c r="M264" s="11" t="s">
        <v>732</v>
      </c>
      <c r="N264" s="278"/>
      <c r="O264" s="278"/>
    </row>
    <row r="265" spans="1:15">
      <c r="A265" s="271" t="s">
        <v>735</v>
      </c>
      <c r="B265" s="271" t="s">
        <v>61</v>
      </c>
      <c r="C265" s="271" t="s">
        <v>62</v>
      </c>
      <c r="D265" s="271">
        <v>1450</v>
      </c>
      <c r="E265" s="271" t="s">
        <v>116</v>
      </c>
      <c r="F265" s="271" t="s">
        <v>52</v>
      </c>
      <c r="G265" s="310" t="s">
        <v>33</v>
      </c>
      <c r="H265" s="310">
        <v>119000000</v>
      </c>
      <c r="I265" s="310" t="s">
        <v>34</v>
      </c>
      <c r="J265" s="271">
        <v>2010</v>
      </c>
      <c r="K265" s="311"/>
      <c r="L265" s="310"/>
      <c r="M265" s="271" t="s">
        <v>732</v>
      </c>
      <c r="N265" s="310"/>
      <c r="O265" s="310"/>
    </row>
    <row r="266" spans="1:15" hidden="1">
      <c r="A266" s="270" t="s">
        <v>357</v>
      </c>
      <c r="B266" s="271" t="s">
        <v>61</v>
      </c>
      <c r="C266" s="271" t="s">
        <v>62</v>
      </c>
      <c r="D266" s="271">
        <v>1546</v>
      </c>
      <c r="E266" s="271" t="s">
        <v>75</v>
      </c>
      <c r="F266" s="271" t="s">
        <v>52</v>
      </c>
      <c r="G266" s="271" t="s">
        <v>76</v>
      </c>
      <c r="H266" s="271">
        <v>50</v>
      </c>
      <c r="I266" s="271" t="s">
        <v>88</v>
      </c>
      <c r="J266" s="271">
        <v>2004</v>
      </c>
      <c r="K266" s="336" t="s">
        <v>65</v>
      </c>
      <c r="L266" s="271"/>
      <c r="M266" s="271" t="s">
        <v>358</v>
      </c>
      <c r="N266" s="296" t="s">
        <v>38</v>
      </c>
      <c r="O266" s="294" t="s">
        <v>38</v>
      </c>
    </row>
    <row r="267" spans="1:15" hidden="1">
      <c r="A267" s="272" t="s">
        <v>359</v>
      </c>
      <c r="B267" s="11" t="s">
        <v>61</v>
      </c>
      <c r="C267" s="11" t="s">
        <v>62</v>
      </c>
      <c r="D267" s="11">
        <v>1546</v>
      </c>
      <c r="E267" s="11" t="s">
        <v>75</v>
      </c>
      <c r="F267" s="11" t="s">
        <v>32</v>
      </c>
      <c r="G267" s="11" t="s">
        <v>76</v>
      </c>
      <c r="H267" s="11">
        <v>90</v>
      </c>
      <c r="I267" s="11" t="s">
        <v>88</v>
      </c>
      <c r="J267" s="11">
        <v>2004</v>
      </c>
      <c r="K267" s="336" t="s">
        <v>65</v>
      </c>
      <c r="L267" s="11"/>
      <c r="M267" s="11" t="s">
        <v>358</v>
      </c>
      <c r="N267" s="297" t="s">
        <v>38</v>
      </c>
      <c r="O267" s="295" t="s">
        <v>38</v>
      </c>
    </row>
    <row r="268" spans="1:15" ht="51.6">
      <c r="A268" s="272" t="s">
        <v>1102</v>
      </c>
      <c r="B268" s="11" t="s">
        <v>61</v>
      </c>
      <c r="C268" s="11" t="s">
        <v>62</v>
      </c>
      <c r="D268" s="11">
        <v>1164</v>
      </c>
      <c r="E268" s="11" t="s">
        <v>116</v>
      </c>
      <c r="F268" s="11" t="s">
        <v>32</v>
      </c>
      <c r="G268" s="11" t="s">
        <v>33</v>
      </c>
      <c r="H268" s="11">
        <v>54598800</v>
      </c>
      <c r="I268" s="11" t="s">
        <v>34</v>
      </c>
      <c r="J268" s="11">
        <v>1984</v>
      </c>
      <c r="K268" s="304"/>
      <c r="L268" s="11" t="s">
        <v>1235</v>
      </c>
      <c r="M268" s="278" t="s">
        <v>938</v>
      </c>
      <c r="N268" s="304"/>
      <c r="O268" s="295"/>
    </row>
    <row r="269" spans="1:15" ht="51.6">
      <c r="A269" s="271" t="s">
        <v>939</v>
      </c>
      <c r="B269" s="271" t="s">
        <v>61</v>
      </c>
      <c r="C269" s="271" t="s">
        <v>62</v>
      </c>
      <c r="D269" s="271">
        <v>1247</v>
      </c>
      <c r="E269" s="271" t="s">
        <v>116</v>
      </c>
      <c r="F269" s="271" t="s">
        <v>32</v>
      </c>
      <c r="G269" s="271" t="s">
        <v>33</v>
      </c>
      <c r="H269" s="271">
        <v>65360760</v>
      </c>
      <c r="I269" s="271" t="s">
        <v>34</v>
      </c>
      <c r="J269" s="271">
        <v>1984</v>
      </c>
      <c r="K269" s="296" t="s">
        <v>122</v>
      </c>
      <c r="L269" s="271"/>
      <c r="M269" s="310" t="s">
        <v>938</v>
      </c>
      <c r="N269" s="303" t="s">
        <v>38</v>
      </c>
      <c r="O269" s="296"/>
    </row>
    <row r="270" spans="1:15" ht="51.6">
      <c r="A270" s="272" t="s">
        <v>940</v>
      </c>
      <c r="B270" s="11" t="s">
        <v>61</v>
      </c>
      <c r="C270" s="11" t="s">
        <v>62</v>
      </c>
      <c r="D270" s="11">
        <v>1203</v>
      </c>
      <c r="E270" s="11" t="s">
        <v>116</v>
      </c>
      <c r="F270" s="11" t="s">
        <v>32</v>
      </c>
      <c r="G270" s="11" t="s">
        <v>33</v>
      </c>
      <c r="H270" s="11">
        <v>68611440</v>
      </c>
      <c r="I270" s="11" t="s">
        <v>34</v>
      </c>
      <c r="J270" s="11">
        <v>1984</v>
      </c>
      <c r="K270" s="297" t="s">
        <v>122</v>
      </c>
      <c r="L270" s="11"/>
      <c r="M270" s="278" t="s">
        <v>938</v>
      </c>
      <c r="N270" s="304" t="s">
        <v>38</v>
      </c>
      <c r="O270" s="295"/>
    </row>
    <row r="271" spans="1:15" ht="51.6">
      <c r="A271" s="270" t="s">
        <v>941</v>
      </c>
      <c r="B271" s="271" t="s">
        <v>61</v>
      </c>
      <c r="C271" s="271" t="s">
        <v>62</v>
      </c>
      <c r="D271" s="271">
        <v>1209</v>
      </c>
      <c r="E271" s="271" t="s">
        <v>116</v>
      </c>
      <c r="F271" s="271" t="s">
        <v>32</v>
      </c>
      <c r="G271" s="271" t="s">
        <v>33</v>
      </c>
      <c r="H271" s="271">
        <v>56997360</v>
      </c>
      <c r="I271" s="271" t="s">
        <v>34</v>
      </c>
      <c r="J271" s="271">
        <v>1984</v>
      </c>
      <c r="K271" s="296" t="s">
        <v>122</v>
      </c>
      <c r="L271" s="271"/>
      <c r="M271" s="310" t="s">
        <v>938</v>
      </c>
      <c r="N271" s="303" t="s">
        <v>38</v>
      </c>
      <c r="O271" s="294"/>
    </row>
    <row r="272" spans="1:15">
      <c r="A272" s="11" t="s">
        <v>674</v>
      </c>
      <c r="B272" s="11" t="s">
        <v>61</v>
      </c>
      <c r="C272" s="11" t="s">
        <v>62</v>
      </c>
      <c r="D272" s="11">
        <v>1200</v>
      </c>
      <c r="E272" s="11" t="s">
        <v>116</v>
      </c>
      <c r="F272" s="11" t="s">
        <v>57</v>
      </c>
      <c r="G272" s="11" t="s">
        <v>33</v>
      </c>
      <c r="H272" s="11">
        <v>236000000</v>
      </c>
      <c r="I272" s="11" t="s">
        <v>34</v>
      </c>
      <c r="J272" s="11">
        <v>2020</v>
      </c>
      <c r="K272" s="304" t="s">
        <v>38</v>
      </c>
      <c r="L272" s="279"/>
      <c r="M272" s="11" t="s">
        <v>433</v>
      </c>
      <c r="N272" s="304" t="s">
        <v>38</v>
      </c>
      <c r="O272" s="297" t="s">
        <v>38</v>
      </c>
    </row>
    <row r="273" spans="1:15">
      <c r="A273" s="271" t="s">
        <v>81</v>
      </c>
      <c r="B273" s="271" t="s">
        <v>61</v>
      </c>
      <c r="C273" s="271" t="s">
        <v>62</v>
      </c>
      <c r="D273" s="271">
        <v>1000</v>
      </c>
      <c r="E273" s="271" t="s">
        <v>116</v>
      </c>
      <c r="F273" s="271" t="s">
        <v>57</v>
      </c>
      <c r="G273" s="271" t="s">
        <v>76</v>
      </c>
      <c r="H273" s="271">
        <v>14</v>
      </c>
      <c r="I273" s="271" t="s">
        <v>77</v>
      </c>
      <c r="J273" s="271">
        <v>2003</v>
      </c>
      <c r="K273" s="303" t="s">
        <v>38</v>
      </c>
      <c r="L273" s="271" t="s">
        <v>441</v>
      </c>
      <c r="M273" s="271" t="s">
        <v>440</v>
      </c>
      <c r="N273" s="303" t="s">
        <v>38</v>
      </c>
      <c r="O273" s="296" t="s">
        <v>38</v>
      </c>
    </row>
    <row r="274" spans="1:15">
      <c r="A274" s="272" t="s">
        <v>81</v>
      </c>
      <c r="B274" s="11" t="s">
        <v>61</v>
      </c>
      <c r="C274" s="11" t="s">
        <v>62</v>
      </c>
      <c r="D274" s="11">
        <v>1000</v>
      </c>
      <c r="E274" s="11" t="s">
        <v>116</v>
      </c>
      <c r="F274" s="11" t="s">
        <v>32</v>
      </c>
      <c r="G274" s="11" t="s">
        <v>76</v>
      </c>
      <c r="H274" s="11">
        <v>38</v>
      </c>
      <c r="I274" s="11" t="s">
        <v>77</v>
      </c>
      <c r="J274" s="11">
        <v>2003</v>
      </c>
      <c r="K274" s="304" t="s">
        <v>38</v>
      </c>
      <c r="L274" s="11" t="s">
        <v>442</v>
      </c>
      <c r="M274" s="11" t="s">
        <v>440</v>
      </c>
      <c r="N274" s="304" t="s">
        <v>38</v>
      </c>
      <c r="O274" s="295" t="s">
        <v>38</v>
      </c>
    </row>
    <row r="275" spans="1:15">
      <c r="A275" s="309" t="s">
        <v>443</v>
      </c>
      <c r="B275" s="302" t="s">
        <v>61</v>
      </c>
      <c r="C275" s="302" t="s">
        <v>62</v>
      </c>
      <c r="D275" s="302">
        <v>1185</v>
      </c>
      <c r="E275" s="302" t="s">
        <v>116</v>
      </c>
      <c r="F275" s="302" t="s">
        <v>52</v>
      </c>
      <c r="G275" s="302" t="s">
        <v>33</v>
      </c>
      <c r="H275" s="317">
        <v>3226666.6666666665</v>
      </c>
      <c r="I275" s="302" t="s">
        <v>34</v>
      </c>
      <c r="J275" s="302">
        <v>1967</v>
      </c>
      <c r="K275" s="340" t="s">
        <v>709</v>
      </c>
      <c r="L275" s="302" t="s">
        <v>389</v>
      </c>
      <c r="M275" s="302" t="s">
        <v>444</v>
      </c>
      <c r="N275" s="319" t="s">
        <v>38</v>
      </c>
      <c r="O275" s="294" t="s">
        <v>38</v>
      </c>
    </row>
    <row r="276" spans="1:15">
      <c r="A276" s="306" t="s">
        <v>445</v>
      </c>
      <c r="B276" s="162" t="s">
        <v>61</v>
      </c>
      <c r="C276" s="162" t="s">
        <v>62</v>
      </c>
      <c r="D276" s="11" t="s">
        <v>81</v>
      </c>
      <c r="E276" s="11" t="s">
        <v>669</v>
      </c>
      <c r="F276" s="162" t="s">
        <v>57</v>
      </c>
      <c r="G276" s="162" t="s">
        <v>76</v>
      </c>
      <c r="H276" s="157">
        <v>51</v>
      </c>
      <c r="I276" s="162" t="s">
        <v>189</v>
      </c>
      <c r="J276" s="157">
        <v>2000</v>
      </c>
      <c r="K276" s="304" t="s">
        <v>38</v>
      </c>
      <c r="L276" s="11" t="s">
        <v>1274</v>
      </c>
      <c r="M276" s="162" t="s">
        <v>446</v>
      </c>
      <c r="N276" s="304" t="s">
        <v>38</v>
      </c>
      <c r="O276" s="295" t="s">
        <v>38</v>
      </c>
    </row>
    <row r="277" spans="1:15">
      <c r="A277" s="300" t="s">
        <v>445</v>
      </c>
      <c r="B277" s="300" t="s">
        <v>61</v>
      </c>
      <c r="C277" s="300" t="s">
        <v>62</v>
      </c>
      <c r="D277" s="271" t="s">
        <v>81</v>
      </c>
      <c r="E277" s="271" t="s">
        <v>669</v>
      </c>
      <c r="F277" s="300" t="s">
        <v>57</v>
      </c>
      <c r="G277" s="300" t="s">
        <v>76</v>
      </c>
      <c r="H277" s="301">
        <v>77</v>
      </c>
      <c r="I277" s="300" t="s">
        <v>189</v>
      </c>
      <c r="J277" s="301">
        <v>2000</v>
      </c>
      <c r="K277" s="303" t="s">
        <v>38</v>
      </c>
      <c r="L277" s="271" t="s">
        <v>1273</v>
      </c>
      <c r="M277" s="300" t="s">
        <v>446</v>
      </c>
      <c r="N277" s="303" t="s">
        <v>38</v>
      </c>
      <c r="O277" s="296" t="s">
        <v>38</v>
      </c>
    </row>
    <row r="278" spans="1:15">
      <c r="A278" s="300" t="s">
        <v>445</v>
      </c>
      <c r="B278" s="300" t="s">
        <v>61</v>
      </c>
      <c r="C278" s="300" t="s">
        <v>62</v>
      </c>
      <c r="D278" s="271" t="s">
        <v>81</v>
      </c>
      <c r="E278" s="271" t="s">
        <v>670</v>
      </c>
      <c r="F278" s="300" t="s">
        <v>57</v>
      </c>
      <c r="G278" s="300" t="s">
        <v>76</v>
      </c>
      <c r="H278" s="301">
        <v>0.1</v>
      </c>
      <c r="I278" s="300" t="s">
        <v>671</v>
      </c>
      <c r="J278" s="301">
        <v>2000</v>
      </c>
      <c r="K278" s="303" t="s">
        <v>38</v>
      </c>
      <c r="L278" s="271" t="s">
        <v>1274</v>
      </c>
      <c r="M278" s="300" t="s">
        <v>446</v>
      </c>
      <c r="N278" s="303" t="s">
        <v>38</v>
      </c>
      <c r="O278" s="296" t="s">
        <v>38</v>
      </c>
    </row>
    <row r="279" spans="1:15">
      <c r="A279" s="162" t="s">
        <v>445</v>
      </c>
      <c r="B279" s="162" t="s">
        <v>61</v>
      </c>
      <c r="C279" s="162" t="s">
        <v>62</v>
      </c>
      <c r="D279" s="11" t="s">
        <v>81</v>
      </c>
      <c r="E279" s="11" t="s">
        <v>670</v>
      </c>
      <c r="F279" s="162" t="s">
        <v>57</v>
      </c>
      <c r="G279" s="162" t="s">
        <v>76</v>
      </c>
      <c r="H279" s="157">
        <v>0.36</v>
      </c>
      <c r="I279" s="162" t="s">
        <v>671</v>
      </c>
      <c r="J279" s="157">
        <v>2000</v>
      </c>
      <c r="K279" s="304" t="s">
        <v>38</v>
      </c>
      <c r="L279" s="8" t="s">
        <v>673</v>
      </c>
      <c r="M279" s="162" t="s">
        <v>446</v>
      </c>
      <c r="N279" s="304" t="s">
        <v>38</v>
      </c>
      <c r="O279" s="297" t="s">
        <v>38</v>
      </c>
    </row>
    <row r="280" spans="1:15">
      <c r="A280" s="11" t="s">
        <v>795</v>
      </c>
      <c r="B280" s="11" t="s">
        <v>30</v>
      </c>
      <c r="C280" s="11" t="s">
        <v>796</v>
      </c>
      <c r="D280" s="11">
        <v>972</v>
      </c>
      <c r="E280" s="11" t="s">
        <v>116</v>
      </c>
      <c r="F280" s="11" t="s">
        <v>52</v>
      </c>
      <c r="G280" s="11" t="s">
        <v>33</v>
      </c>
      <c r="H280" s="11">
        <v>62030000</v>
      </c>
      <c r="I280" s="11" t="s">
        <v>34</v>
      </c>
      <c r="J280" s="11">
        <v>1991</v>
      </c>
      <c r="K280" s="297" t="s">
        <v>38</v>
      </c>
      <c r="L280" s="11"/>
      <c r="M280" s="11" t="s">
        <v>799</v>
      </c>
      <c r="N280" s="297" t="s">
        <v>38</v>
      </c>
      <c r="O280" s="297" t="s">
        <v>38</v>
      </c>
    </row>
    <row r="281" spans="1:15">
      <c r="A281" s="270" t="s">
        <v>797</v>
      </c>
      <c r="B281" s="271" t="s">
        <v>30</v>
      </c>
      <c r="C281" s="271" t="s">
        <v>798</v>
      </c>
      <c r="D281" s="271">
        <v>999</v>
      </c>
      <c r="E281" s="271" t="s">
        <v>116</v>
      </c>
      <c r="F281" s="271" t="s">
        <v>52</v>
      </c>
      <c r="G281" s="271" t="s">
        <v>33</v>
      </c>
      <c r="H281" s="271">
        <v>62190000</v>
      </c>
      <c r="I281" s="271" t="s">
        <v>34</v>
      </c>
      <c r="J281" s="271">
        <v>1991</v>
      </c>
      <c r="K281" s="296" t="s">
        <v>38</v>
      </c>
      <c r="L281" s="271"/>
      <c r="M281" s="271" t="s">
        <v>799</v>
      </c>
      <c r="N281" s="296" t="s">
        <v>38</v>
      </c>
      <c r="O281" s="294" t="s">
        <v>38</v>
      </c>
    </row>
    <row r="282" spans="1:15" ht="38.700000000000003">
      <c r="A282" s="272" t="s">
        <v>469</v>
      </c>
      <c r="B282" s="11" t="s">
        <v>470</v>
      </c>
      <c r="C282" s="519" t="s">
        <v>1287</v>
      </c>
      <c r="D282" s="11">
        <v>150</v>
      </c>
      <c r="E282" s="11" t="s">
        <v>116</v>
      </c>
      <c r="F282" s="11" t="s">
        <v>52</v>
      </c>
      <c r="G282" s="11" t="s">
        <v>33</v>
      </c>
      <c r="H282" s="11">
        <v>18000000</v>
      </c>
      <c r="I282" s="11" t="s">
        <v>34</v>
      </c>
      <c r="J282" s="11">
        <v>2016</v>
      </c>
      <c r="K282" s="304" t="s">
        <v>38</v>
      </c>
      <c r="L282" s="11" t="s">
        <v>1309</v>
      </c>
      <c r="M282" s="11" t="s">
        <v>472</v>
      </c>
      <c r="N282" s="304" t="s">
        <v>38</v>
      </c>
      <c r="O282" s="295" t="s">
        <v>38</v>
      </c>
    </row>
    <row r="283" spans="1:15" ht="38.700000000000003">
      <c r="A283" s="271" t="s">
        <v>483</v>
      </c>
      <c r="B283" s="271" t="s">
        <v>470</v>
      </c>
      <c r="C283" s="519" t="s">
        <v>1287</v>
      </c>
      <c r="D283" s="271">
        <v>150</v>
      </c>
      <c r="E283" s="271" t="s">
        <v>116</v>
      </c>
      <c r="F283" s="271" t="s">
        <v>52</v>
      </c>
      <c r="G283" s="271" t="s">
        <v>33</v>
      </c>
      <c r="H283" s="271">
        <v>38000000</v>
      </c>
      <c r="I283" s="271" t="s">
        <v>34</v>
      </c>
      <c r="J283" s="271">
        <v>2016</v>
      </c>
      <c r="K283" s="303" t="s">
        <v>38</v>
      </c>
      <c r="L283" s="11" t="s">
        <v>1309</v>
      </c>
      <c r="M283" s="271" t="s">
        <v>472</v>
      </c>
      <c r="N283" s="303" t="s">
        <v>38</v>
      </c>
      <c r="O283" s="296" t="s">
        <v>38</v>
      </c>
    </row>
    <row r="284" spans="1:15">
      <c r="A284" s="306" t="s">
        <v>497</v>
      </c>
      <c r="B284" s="162" t="s">
        <v>61</v>
      </c>
      <c r="C284" s="162" t="s">
        <v>62</v>
      </c>
      <c r="D284" s="157">
        <v>1000</v>
      </c>
      <c r="E284" s="162" t="s">
        <v>116</v>
      </c>
      <c r="F284" s="8" t="s">
        <v>57</v>
      </c>
      <c r="G284" s="162" t="s">
        <v>76</v>
      </c>
      <c r="H284" s="157">
        <v>13</v>
      </c>
      <c r="I284" s="162" t="s">
        <v>77</v>
      </c>
      <c r="J284" s="157">
        <v>2003</v>
      </c>
      <c r="K284" s="297" t="s">
        <v>122</v>
      </c>
      <c r="L284" s="11"/>
      <c r="M284" s="162" t="s">
        <v>503</v>
      </c>
      <c r="N284" s="304" t="s">
        <v>38</v>
      </c>
      <c r="O284" s="295" t="s">
        <v>38</v>
      </c>
    </row>
    <row r="285" spans="1:15">
      <c r="A285" s="305" t="s">
        <v>505</v>
      </c>
      <c r="B285" s="300" t="s">
        <v>61</v>
      </c>
      <c r="C285" s="300" t="s">
        <v>107</v>
      </c>
      <c r="D285" s="301">
        <v>1000</v>
      </c>
      <c r="E285" s="300" t="s">
        <v>116</v>
      </c>
      <c r="F285" s="302" t="s">
        <v>57</v>
      </c>
      <c r="G285" s="300" t="s">
        <v>76</v>
      </c>
      <c r="H285" s="301">
        <v>14.4</v>
      </c>
      <c r="I285" s="300" t="s">
        <v>77</v>
      </c>
      <c r="J285" s="301">
        <v>2003</v>
      </c>
      <c r="K285" s="296" t="s">
        <v>122</v>
      </c>
      <c r="L285" s="271"/>
      <c r="M285" s="300" t="s">
        <v>503</v>
      </c>
      <c r="N285" s="303" t="s">
        <v>38</v>
      </c>
      <c r="O285" s="294" t="s">
        <v>38</v>
      </c>
    </row>
    <row r="286" spans="1:15">
      <c r="A286" s="162" t="s">
        <v>501</v>
      </c>
      <c r="B286" s="162" t="s">
        <v>61</v>
      </c>
      <c r="C286" s="162" t="s">
        <v>278</v>
      </c>
      <c r="D286" s="157">
        <v>1000</v>
      </c>
      <c r="E286" s="162" t="s">
        <v>116</v>
      </c>
      <c r="F286" s="8" t="s">
        <v>57</v>
      </c>
      <c r="G286" s="162" t="s">
        <v>76</v>
      </c>
      <c r="H286" s="157">
        <v>11</v>
      </c>
      <c r="I286" s="162" t="s">
        <v>77</v>
      </c>
      <c r="J286" s="157">
        <v>2003</v>
      </c>
      <c r="K286" s="297" t="s">
        <v>122</v>
      </c>
      <c r="L286" s="11"/>
      <c r="M286" s="162" t="s">
        <v>503</v>
      </c>
      <c r="N286" s="304" t="s">
        <v>38</v>
      </c>
      <c r="O286" s="297" t="s">
        <v>38</v>
      </c>
    </row>
    <row r="287" spans="1:15">
      <c r="A287" s="300" t="s">
        <v>506</v>
      </c>
      <c r="B287" s="300" t="s">
        <v>61</v>
      </c>
      <c r="C287" s="300" t="s">
        <v>62</v>
      </c>
      <c r="D287" s="301">
        <v>1000</v>
      </c>
      <c r="E287" s="300" t="s">
        <v>116</v>
      </c>
      <c r="F287" s="302" t="s">
        <v>57</v>
      </c>
      <c r="G287" s="300" t="s">
        <v>76</v>
      </c>
      <c r="H287" s="301">
        <v>11.7</v>
      </c>
      <c r="I287" s="300" t="s">
        <v>77</v>
      </c>
      <c r="J287" s="301">
        <v>2011</v>
      </c>
      <c r="K287" s="303" t="s">
        <v>38</v>
      </c>
      <c r="L287" s="11"/>
      <c r="M287" s="300" t="s">
        <v>507</v>
      </c>
      <c r="N287" s="303" t="s">
        <v>38</v>
      </c>
      <c r="O287" s="296" t="s">
        <v>38</v>
      </c>
    </row>
    <row r="288" spans="1:15">
      <c r="A288" s="162" t="s">
        <v>508</v>
      </c>
      <c r="B288" s="162" t="s">
        <v>61</v>
      </c>
      <c r="C288" s="162" t="s">
        <v>62</v>
      </c>
      <c r="D288" s="157">
        <v>1000</v>
      </c>
      <c r="E288" s="162" t="s">
        <v>116</v>
      </c>
      <c r="F288" s="8" t="s">
        <v>57</v>
      </c>
      <c r="G288" s="162" t="s">
        <v>76</v>
      </c>
      <c r="H288" s="157">
        <v>11.9</v>
      </c>
      <c r="I288" s="162" t="s">
        <v>77</v>
      </c>
      <c r="J288" s="157">
        <v>2011</v>
      </c>
      <c r="K288" s="304" t="s">
        <v>38</v>
      </c>
      <c r="L288" s="11"/>
      <c r="M288" s="162" t="s">
        <v>507</v>
      </c>
      <c r="N288" s="304" t="s">
        <v>38</v>
      </c>
      <c r="O288" s="297" t="s">
        <v>38</v>
      </c>
    </row>
    <row r="289" spans="1:15" hidden="1">
      <c r="A289" s="271" t="s">
        <v>360</v>
      </c>
      <c r="B289" s="271" t="s">
        <v>61</v>
      </c>
      <c r="C289" s="271" t="s">
        <v>62</v>
      </c>
      <c r="D289" s="271">
        <v>1500</v>
      </c>
      <c r="E289" s="271" t="s">
        <v>75</v>
      </c>
      <c r="F289" s="271" t="s">
        <v>52</v>
      </c>
      <c r="G289" s="271" t="s">
        <v>76</v>
      </c>
      <c r="H289" s="271">
        <v>50</v>
      </c>
      <c r="I289" s="271" t="s">
        <v>88</v>
      </c>
      <c r="J289" s="271">
        <v>2004</v>
      </c>
      <c r="K289" s="336" t="s">
        <v>65</v>
      </c>
      <c r="L289" s="271"/>
      <c r="M289" s="271" t="s">
        <v>358</v>
      </c>
      <c r="N289" s="296" t="s">
        <v>38</v>
      </c>
      <c r="O289" s="296" t="s">
        <v>38</v>
      </c>
    </row>
    <row r="290" spans="1:15" hidden="1">
      <c r="A290" s="11" t="s">
        <v>361</v>
      </c>
      <c r="B290" s="11" t="s">
        <v>61</v>
      </c>
      <c r="C290" s="11" t="s">
        <v>62</v>
      </c>
      <c r="D290" s="11">
        <v>1500</v>
      </c>
      <c r="E290" s="11" t="s">
        <v>75</v>
      </c>
      <c r="F290" s="11" t="s">
        <v>32</v>
      </c>
      <c r="G290" s="11" t="s">
        <v>76</v>
      </c>
      <c r="H290" s="11">
        <v>90</v>
      </c>
      <c r="I290" s="11" t="s">
        <v>88</v>
      </c>
      <c r="J290" s="11">
        <v>2004</v>
      </c>
      <c r="K290" s="336" t="s">
        <v>65</v>
      </c>
      <c r="L290" s="11"/>
      <c r="M290" s="11" t="s">
        <v>358</v>
      </c>
      <c r="N290" s="297" t="s">
        <v>38</v>
      </c>
      <c r="O290" s="297" t="s">
        <v>38</v>
      </c>
    </row>
    <row r="291" spans="1:15" hidden="1">
      <c r="A291" s="271" t="s">
        <v>362</v>
      </c>
      <c r="B291" s="271" t="s">
        <v>61</v>
      </c>
      <c r="C291" s="271" t="s">
        <v>62</v>
      </c>
      <c r="D291" s="271">
        <v>1332</v>
      </c>
      <c r="E291" s="271" t="s">
        <v>75</v>
      </c>
      <c r="F291" s="271" t="s">
        <v>52</v>
      </c>
      <c r="G291" s="271" t="s">
        <v>76</v>
      </c>
      <c r="H291" s="271">
        <v>40</v>
      </c>
      <c r="I291" s="271" t="s">
        <v>88</v>
      </c>
      <c r="J291" s="271">
        <v>2004</v>
      </c>
      <c r="K291" s="336" t="s">
        <v>65</v>
      </c>
      <c r="L291" s="271"/>
      <c r="M291" s="271" t="s">
        <v>358</v>
      </c>
      <c r="N291" s="296" t="s">
        <v>38</v>
      </c>
      <c r="O291" s="296" t="s">
        <v>38</v>
      </c>
    </row>
    <row r="292" spans="1:15" hidden="1">
      <c r="A292" s="11" t="s">
        <v>363</v>
      </c>
      <c r="B292" s="11" t="s">
        <v>61</v>
      </c>
      <c r="C292" s="11" t="s">
        <v>62</v>
      </c>
      <c r="D292" s="11">
        <v>1332</v>
      </c>
      <c r="E292" s="11" t="s">
        <v>75</v>
      </c>
      <c r="F292" s="11" t="s">
        <v>32</v>
      </c>
      <c r="G292" s="11" t="s">
        <v>76</v>
      </c>
      <c r="H292" s="11">
        <v>80</v>
      </c>
      <c r="I292" s="11" t="s">
        <v>88</v>
      </c>
      <c r="J292" s="11">
        <v>2004</v>
      </c>
      <c r="K292" s="336" t="s">
        <v>65</v>
      </c>
      <c r="L292" s="11"/>
      <c r="M292" s="11" t="s">
        <v>358</v>
      </c>
      <c r="N292" s="297" t="s">
        <v>38</v>
      </c>
      <c r="O292" s="297" t="s">
        <v>38</v>
      </c>
    </row>
    <row r="293" spans="1:15" hidden="1">
      <c r="A293" s="271" t="s">
        <v>364</v>
      </c>
      <c r="B293" s="271" t="s">
        <v>61</v>
      </c>
      <c r="C293" s="271" t="s">
        <v>62</v>
      </c>
      <c r="D293" s="271">
        <v>1449</v>
      </c>
      <c r="E293" s="271" t="s">
        <v>75</v>
      </c>
      <c r="F293" s="271" t="s">
        <v>52</v>
      </c>
      <c r="G293" s="271" t="s">
        <v>76</v>
      </c>
      <c r="H293" s="271">
        <v>40</v>
      </c>
      <c r="I293" s="271" t="s">
        <v>88</v>
      </c>
      <c r="J293" s="271">
        <v>2004</v>
      </c>
      <c r="K293" s="336" t="s">
        <v>65</v>
      </c>
      <c r="L293" s="271"/>
      <c r="M293" s="271" t="s">
        <v>358</v>
      </c>
      <c r="N293" s="296" t="s">
        <v>38</v>
      </c>
      <c r="O293" s="296" t="s">
        <v>38</v>
      </c>
    </row>
    <row r="294" spans="1:15" hidden="1">
      <c r="A294" s="11" t="s">
        <v>365</v>
      </c>
      <c r="B294" s="11" t="s">
        <v>61</v>
      </c>
      <c r="C294" s="11" t="s">
        <v>62</v>
      </c>
      <c r="D294" s="11">
        <v>1449</v>
      </c>
      <c r="E294" s="11" t="s">
        <v>75</v>
      </c>
      <c r="F294" s="11" t="s">
        <v>32</v>
      </c>
      <c r="G294" s="11" t="s">
        <v>76</v>
      </c>
      <c r="H294" s="11">
        <v>70</v>
      </c>
      <c r="I294" s="11" t="s">
        <v>88</v>
      </c>
      <c r="J294" s="11">
        <v>2004</v>
      </c>
      <c r="K294" s="336" t="s">
        <v>65</v>
      </c>
      <c r="L294" s="11"/>
      <c r="M294" s="11" t="s">
        <v>358</v>
      </c>
      <c r="N294" s="297" t="s">
        <v>38</v>
      </c>
      <c r="O294" s="297" t="s">
        <v>38</v>
      </c>
    </row>
    <row r="295" spans="1:15" ht="25.8" hidden="1">
      <c r="A295" s="517" t="s">
        <v>286</v>
      </c>
      <c r="B295" s="517" t="s">
        <v>61</v>
      </c>
      <c r="C295" s="527" t="s">
        <v>278</v>
      </c>
      <c r="D295" s="517">
        <v>1604</v>
      </c>
      <c r="E295" s="517" t="s">
        <v>31</v>
      </c>
      <c r="F295" s="517" t="s">
        <v>57</v>
      </c>
      <c r="G295" s="271" t="s">
        <v>33</v>
      </c>
      <c r="H295" s="271">
        <v>7270000000</v>
      </c>
      <c r="I295" s="271" t="s">
        <v>34</v>
      </c>
      <c r="J295" s="271">
        <v>2002</v>
      </c>
      <c r="K295" s="335" t="s">
        <v>1257</v>
      </c>
      <c r="L295" s="517" t="s">
        <v>1276</v>
      </c>
      <c r="M295" s="517" t="s">
        <v>287</v>
      </c>
      <c r="N295" s="271" t="s">
        <v>84</v>
      </c>
      <c r="O295" s="296" t="s">
        <v>38</v>
      </c>
    </row>
    <row r="296" spans="1:15" ht="25.8" hidden="1">
      <c r="A296" s="519" t="s">
        <v>286</v>
      </c>
      <c r="B296" s="519" t="s">
        <v>61</v>
      </c>
      <c r="C296" s="525" t="s">
        <v>278</v>
      </c>
      <c r="D296" s="519">
        <v>1601</v>
      </c>
      <c r="E296" s="519" t="s">
        <v>31</v>
      </c>
      <c r="F296" s="519" t="s">
        <v>57</v>
      </c>
      <c r="G296" s="11" t="s">
        <v>33</v>
      </c>
      <c r="H296" s="11">
        <v>7393000000</v>
      </c>
      <c r="I296" s="11" t="s">
        <v>34</v>
      </c>
      <c r="J296" s="11">
        <v>2002</v>
      </c>
      <c r="K296" s="336" t="s">
        <v>1258</v>
      </c>
      <c r="L296" s="517" t="s">
        <v>1276</v>
      </c>
      <c r="M296" s="519" t="s">
        <v>287</v>
      </c>
      <c r="N296" s="11" t="s">
        <v>84</v>
      </c>
      <c r="O296" s="297" t="s">
        <v>38</v>
      </c>
    </row>
    <row r="297" spans="1:15">
      <c r="A297" s="300" t="s">
        <v>513</v>
      </c>
      <c r="B297" s="300" t="s">
        <v>61</v>
      </c>
      <c r="C297" s="300" t="s">
        <v>62</v>
      </c>
      <c r="D297" s="301">
        <v>1000</v>
      </c>
      <c r="E297" s="300" t="s">
        <v>116</v>
      </c>
      <c r="F297" s="302" t="s">
        <v>57</v>
      </c>
      <c r="G297" s="300" t="s">
        <v>76</v>
      </c>
      <c r="H297" s="301">
        <v>13</v>
      </c>
      <c r="I297" s="300" t="s">
        <v>77</v>
      </c>
      <c r="J297" s="301">
        <v>2011</v>
      </c>
      <c r="K297" s="303" t="s">
        <v>38</v>
      </c>
      <c r="L297" s="271"/>
      <c r="M297" s="300" t="s">
        <v>507</v>
      </c>
      <c r="N297" s="303" t="s">
        <v>38</v>
      </c>
      <c r="O297" s="296" t="s">
        <v>38</v>
      </c>
    </row>
    <row r="298" spans="1:15" ht="13.2" thickBot="1">
      <c r="A298" s="162" t="s">
        <v>514</v>
      </c>
      <c r="B298" s="162" t="s">
        <v>61</v>
      </c>
      <c r="C298" s="162" t="s">
        <v>107</v>
      </c>
      <c r="D298" s="157">
        <v>1000</v>
      </c>
      <c r="E298" s="162" t="s">
        <v>116</v>
      </c>
      <c r="F298" s="8" t="s">
        <v>57</v>
      </c>
      <c r="G298" s="162" t="s">
        <v>76</v>
      </c>
      <c r="H298" s="157">
        <v>14.4</v>
      </c>
      <c r="I298" s="162" t="s">
        <v>77</v>
      </c>
      <c r="J298" s="157">
        <v>2007</v>
      </c>
      <c r="K298" s="304" t="s">
        <v>38</v>
      </c>
      <c r="L298" s="11"/>
      <c r="M298" s="162" t="s">
        <v>507</v>
      </c>
      <c r="N298" s="304" t="s">
        <v>38</v>
      </c>
      <c r="O298" s="297" t="s">
        <v>38</v>
      </c>
    </row>
    <row r="299" spans="1:15" ht="26.1" hidden="1" thickBot="1">
      <c r="A299" s="517" t="s">
        <v>286</v>
      </c>
      <c r="B299" s="517" t="s">
        <v>61</v>
      </c>
      <c r="C299" s="527" t="s">
        <v>278</v>
      </c>
      <c r="D299" s="517">
        <v>1598</v>
      </c>
      <c r="E299" s="517" t="s">
        <v>31</v>
      </c>
      <c r="F299" s="517" t="s">
        <v>57</v>
      </c>
      <c r="G299" s="271" t="s">
        <v>33</v>
      </c>
      <c r="H299" s="271">
        <v>7705000000</v>
      </c>
      <c r="I299" s="271" t="s">
        <v>34</v>
      </c>
      <c r="J299" s="271">
        <v>2002</v>
      </c>
      <c r="K299" s="335" t="s">
        <v>1259</v>
      </c>
      <c r="L299" s="517" t="s">
        <v>1276</v>
      </c>
      <c r="M299" s="517" t="s">
        <v>287</v>
      </c>
      <c r="N299" s="271" t="s">
        <v>84</v>
      </c>
      <c r="O299" s="296" t="s">
        <v>38</v>
      </c>
    </row>
    <row r="300" spans="1:15" ht="26.1" hidden="1" thickBot="1">
      <c r="A300" s="519" t="s">
        <v>286</v>
      </c>
      <c r="B300" s="519" t="s">
        <v>61</v>
      </c>
      <c r="C300" s="525" t="s">
        <v>278</v>
      </c>
      <c r="D300" s="519">
        <v>1598</v>
      </c>
      <c r="E300" s="519" t="s">
        <v>31</v>
      </c>
      <c r="F300" s="519" t="s">
        <v>57</v>
      </c>
      <c r="G300" s="11" t="s">
        <v>33</v>
      </c>
      <c r="H300" s="11">
        <v>6735000000</v>
      </c>
      <c r="I300" s="11" t="s">
        <v>34</v>
      </c>
      <c r="J300" s="11">
        <v>2002</v>
      </c>
      <c r="K300" s="336" t="s">
        <v>1260</v>
      </c>
      <c r="L300" s="517" t="s">
        <v>1276</v>
      </c>
      <c r="M300" s="519" t="s">
        <v>287</v>
      </c>
      <c r="N300" s="11" t="s">
        <v>84</v>
      </c>
      <c r="O300" s="297" t="s">
        <v>38</v>
      </c>
    </row>
    <row r="301" spans="1:15" ht="13.2" hidden="1" thickBot="1">
      <c r="A301" s="517" t="s">
        <v>114</v>
      </c>
      <c r="B301" s="517" t="s">
        <v>61</v>
      </c>
      <c r="C301" s="517" t="s">
        <v>62</v>
      </c>
      <c r="D301" s="517">
        <v>1000</v>
      </c>
      <c r="E301" s="517" t="s">
        <v>31</v>
      </c>
      <c r="F301" s="517" t="s">
        <v>52</v>
      </c>
      <c r="G301" s="271" t="s">
        <v>33</v>
      </c>
      <c r="H301" s="271">
        <v>3289800000</v>
      </c>
      <c r="I301" s="271" t="s">
        <v>34</v>
      </c>
      <c r="J301" s="271">
        <v>1992</v>
      </c>
      <c r="K301" s="336" t="s">
        <v>65</v>
      </c>
      <c r="L301" s="517" t="s">
        <v>1218</v>
      </c>
      <c r="M301" s="517" t="s">
        <v>294</v>
      </c>
      <c r="N301" s="271" t="s">
        <v>84</v>
      </c>
      <c r="O301" s="271">
        <v>482100000</v>
      </c>
    </row>
    <row r="302" spans="1:15" ht="13.2" hidden="1" thickBot="1">
      <c r="A302" s="519" t="s">
        <v>126</v>
      </c>
      <c r="B302" s="519" t="s">
        <v>61</v>
      </c>
      <c r="C302" s="519" t="s">
        <v>62</v>
      </c>
      <c r="D302" s="519">
        <v>1000</v>
      </c>
      <c r="E302" s="519" t="s">
        <v>31</v>
      </c>
      <c r="F302" s="519" t="s">
        <v>52</v>
      </c>
      <c r="G302" s="11" t="s">
        <v>33</v>
      </c>
      <c r="H302" s="11">
        <v>3060900000</v>
      </c>
      <c r="I302" s="11" t="s">
        <v>34</v>
      </c>
      <c r="J302" s="11">
        <v>1992</v>
      </c>
      <c r="K302" s="336" t="s">
        <v>65</v>
      </c>
      <c r="L302" s="519" t="s">
        <v>1218</v>
      </c>
      <c r="M302" s="519" t="s">
        <v>294</v>
      </c>
      <c r="N302" s="11" t="s">
        <v>84</v>
      </c>
      <c r="O302" s="11">
        <v>516500000</v>
      </c>
    </row>
    <row r="303" spans="1:15" ht="13.2" hidden="1" thickBot="1">
      <c r="A303" s="516" t="s">
        <v>301</v>
      </c>
      <c r="B303" s="517" t="s">
        <v>61</v>
      </c>
      <c r="C303" s="517" t="s">
        <v>62</v>
      </c>
      <c r="D303" s="517">
        <v>1000</v>
      </c>
      <c r="E303" s="517" t="s">
        <v>31</v>
      </c>
      <c r="F303" s="517" t="s">
        <v>52</v>
      </c>
      <c r="G303" s="271" t="s">
        <v>33</v>
      </c>
      <c r="H303" s="271">
        <v>3114899999.9999995</v>
      </c>
      <c r="I303" s="271" t="s">
        <v>34</v>
      </c>
      <c r="J303" s="271">
        <v>1992</v>
      </c>
      <c r="K303" s="336" t="s">
        <v>65</v>
      </c>
      <c r="L303" s="517" t="s">
        <v>1218</v>
      </c>
      <c r="M303" s="517" t="s">
        <v>294</v>
      </c>
      <c r="N303" s="271" t="s">
        <v>84</v>
      </c>
      <c r="O303" s="274">
        <v>525600000</v>
      </c>
    </row>
    <row r="304" spans="1:15" ht="13.2" hidden="1" thickBot="1">
      <c r="A304" s="300" t="s">
        <v>232</v>
      </c>
      <c r="B304" s="300" t="s">
        <v>61</v>
      </c>
      <c r="C304" s="300" t="s">
        <v>421</v>
      </c>
      <c r="D304" s="301">
        <v>1000</v>
      </c>
      <c r="E304" s="300" t="s">
        <v>108</v>
      </c>
      <c r="F304" s="271" t="s">
        <v>52</v>
      </c>
      <c r="G304" s="300" t="s">
        <v>76</v>
      </c>
      <c r="H304" s="301">
        <v>47.53</v>
      </c>
      <c r="I304" s="300" t="s">
        <v>77</v>
      </c>
      <c r="J304" s="301">
        <v>1992</v>
      </c>
      <c r="K304" s="335" t="s">
        <v>1268</v>
      </c>
      <c r="L304" s="271"/>
      <c r="M304" s="300" t="s">
        <v>420</v>
      </c>
      <c r="N304" s="296" t="s">
        <v>38</v>
      </c>
      <c r="O304" s="296" t="s">
        <v>38</v>
      </c>
    </row>
    <row r="305" spans="1:15" ht="13.2" hidden="1" thickBot="1">
      <c r="A305" s="519" t="s">
        <v>304</v>
      </c>
      <c r="B305" s="519" t="s">
        <v>61</v>
      </c>
      <c r="C305" s="519" t="s">
        <v>62</v>
      </c>
      <c r="D305" s="519">
        <v>1000</v>
      </c>
      <c r="E305" s="519" t="s">
        <v>31</v>
      </c>
      <c r="F305" s="519" t="s">
        <v>52</v>
      </c>
      <c r="G305" s="11" t="s">
        <v>33</v>
      </c>
      <c r="H305" s="11">
        <v>2746300000</v>
      </c>
      <c r="I305" s="11" t="s">
        <v>34</v>
      </c>
      <c r="J305" s="11">
        <v>1992</v>
      </c>
      <c r="K305" s="336" t="s">
        <v>65</v>
      </c>
      <c r="L305" s="519" t="s">
        <v>1218</v>
      </c>
      <c r="M305" s="519" t="s">
        <v>294</v>
      </c>
      <c r="N305" s="11" t="s">
        <v>84</v>
      </c>
      <c r="O305" s="11">
        <v>402400000</v>
      </c>
    </row>
    <row r="306" spans="1:15" ht="26.1" hidden="1" thickBot="1">
      <c r="A306" s="517" t="s">
        <v>313</v>
      </c>
      <c r="B306" s="517" t="s">
        <v>61</v>
      </c>
      <c r="C306" s="517" t="s">
        <v>62</v>
      </c>
      <c r="D306" s="517">
        <v>1500</v>
      </c>
      <c r="E306" s="517" t="s">
        <v>31</v>
      </c>
      <c r="F306" s="520" t="s">
        <v>754</v>
      </c>
      <c r="G306" s="271" t="s">
        <v>76</v>
      </c>
      <c r="H306" s="271">
        <v>2576</v>
      </c>
      <c r="I306" s="271" t="s">
        <v>82</v>
      </c>
      <c r="J306" s="271">
        <v>1998</v>
      </c>
      <c r="K306" s="303" t="s">
        <v>38</v>
      </c>
      <c r="L306" s="517" t="s">
        <v>1222</v>
      </c>
      <c r="M306" s="517" t="s">
        <v>311</v>
      </c>
      <c r="N306" s="303" t="s">
        <v>38</v>
      </c>
      <c r="O306" s="296" t="s">
        <v>38</v>
      </c>
    </row>
    <row r="307" spans="1:15" ht="26.1" hidden="1" thickBot="1">
      <c r="A307" s="518" t="s">
        <v>313</v>
      </c>
      <c r="B307" s="519" t="s">
        <v>61</v>
      </c>
      <c r="C307" s="519" t="s">
        <v>62</v>
      </c>
      <c r="D307" s="519">
        <v>1500</v>
      </c>
      <c r="E307" s="519" t="s">
        <v>31</v>
      </c>
      <c r="F307" s="521" t="s">
        <v>52</v>
      </c>
      <c r="G307" s="11" t="s">
        <v>76</v>
      </c>
      <c r="H307" s="11">
        <v>2926</v>
      </c>
      <c r="I307" s="11" t="s">
        <v>82</v>
      </c>
      <c r="J307" s="11">
        <v>1998</v>
      </c>
      <c r="K307" s="304" t="s">
        <v>38</v>
      </c>
      <c r="L307" s="519" t="s">
        <v>1223</v>
      </c>
      <c r="M307" s="519" t="s">
        <v>311</v>
      </c>
      <c r="N307" s="304" t="s">
        <v>38</v>
      </c>
      <c r="O307" s="295" t="s">
        <v>38</v>
      </c>
    </row>
    <row r="308" spans="1:15" ht="39" hidden="1" thickBot="1">
      <c r="A308" s="524" t="s">
        <v>506</v>
      </c>
      <c r="B308" s="525" t="s">
        <v>61</v>
      </c>
      <c r="C308" s="525" t="s">
        <v>62</v>
      </c>
      <c r="D308" s="525">
        <v>1000</v>
      </c>
      <c r="E308" s="525" t="s">
        <v>63</v>
      </c>
      <c r="F308" s="521" t="s">
        <v>57</v>
      </c>
      <c r="G308" s="162" t="s">
        <v>76</v>
      </c>
      <c r="H308" s="525">
        <v>0.37</v>
      </c>
      <c r="I308" s="525" t="s">
        <v>77</v>
      </c>
      <c r="J308" s="525">
        <v>2011</v>
      </c>
      <c r="K308" s="304" t="s">
        <v>38</v>
      </c>
      <c r="L308" s="519" t="s">
        <v>389</v>
      </c>
      <c r="M308" s="525" t="s">
        <v>507</v>
      </c>
      <c r="N308" s="304" t="s">
        <v>38</v>
      </c>
      <c r="O308" s="295" t="s">
        <v>38</v>
      </c>
    </row>
    <row r="309" spans="1:15" ht="26.1" hidden="1" thickBot="1">
      <c r="A309" s="517" t="s">
        <v>316</v>
      </c>
      <c r="B309" s="517" t="s">
        <v>61</v>
      </c>
      <c r="C309" s="517" t="s">
        <v>62</v>
      </c>
      <c r="D309" s="517">
        <v>1000</v>
      </c>
      <c r="E309" s="517" t="s">
        <v>31</v>
      </c>
      <c r="F309" s="520" t="s">
        <v>57</v>
      </c>
      <c r="G309" s="271" t="s">
        <v>76</v>
      </c>
      <c r="H309" s="271">
        <v>5220</v>
      </c>
      <c r="I309" s="271" t="s">
        <v>82</v>
      </c>
      <c r="J309" s="271">
        <v>1998</v>
      </c>
      <c r="K309" s="303" t="s">
        <v>38</v>
      </c>
      <c r="L309" s="517" t="s">
        <v>1224</v>
      </c>
      <c r="M309" s="517" t="s">
        <v>311</v>
      </c>
      <c r="N309" s="303" t="s">
        <v>38</v>
      </c>
      <c r="O309" s="296" t="s">
        <v>38</v>
      </c>
    </row>
    <row r="310" spans="1:15" ht="13.2" hidden="1" thickBot="1">
      <c r="A310" s="519" t="s">
        <v>318</v>
      </c>
      <c r="B310" s="519" t="s">
        <v>61</v>
      </c>
      <c r="C310" s="519" t="s">
        <v>62</v>
      </c>
      <c r="D310" s="519">
        <v>1000</v>
      </c>
      <c r="E310" s="519" t="s">
        <v>31</v>
      </c>
      <c r="F310" s="519" t="s">
        <v>32</v>
      </c>
      <c r="G310" s="11" t="s">
        <v>76</v>
      </c>
      <c r="H310" s="11">
        <v>7906</v>
      </c>
      <c r="I310" s="11" t="s">
        <v>82</v>
      </c>
      <c r="J310" s="11">
        <v>1998</v>
      </c>
      <c r="K310" s="304" t="s">
        <v>38</v>
      </c>
      <c r="L310" s="519" t="s">
        <v>1225</v>
      </c>
      <c r="M310" s="519" t="s">
        <v>311</v>
      </c>
      <c r="N310" s="304" t="s">
        <v>38</v>
      </c>
      <c r="O310" s="297" t="s">
        <v>38</v>
      </c>
    </row>
    <row r="311" spans="1:15" ht="26.1" hidden="1" thickBot="1">
      <c r="A311" s="516" t="s">
        <v>325</v>
      </c>
      <c r="B311" s="517" t="s">
        <v>61</v>
      </c>
      <c r="C311" s="517" t="s">
        <v>326</v>
      </c>
      <c r="D311" s="517">
        <v>1100</v>
      </c>
      <c r="E311" s="517" t="s">
        <v>31</v>
      </c>
      <c r="F311" s="517" t="s">
        <v>52</v>
      </c>
      <c r="G311" s="271" t="s">
        <v>33</v>
      </c>
      <c r="H311" s="271">
        <v>3637000000</v>
      </c>
      <c r="I311" s="271" t="s">
        <v>34</v>
      </c>
      <c r="J311" s="271">
        <v>1982</v>
      </c>
      <c r="K311" s="335" t="s">
        <v>710</v>
      </c>
      <c r="L311" s="517" t="s">
        <v>1214</v>
      </c>
      <c r="M311" s="517" t="s">
        <v>327</v>
      </c>
      <c r="N311" s="296" t="s">
        <v>38</v>
      </c>
      <c r="O311" s="294" t="s">
        <v>38</v>
      </c>
    </row>
    <row r="312" spans="1:15" ht="26.1" hidden="1" thickBot="1">
      <c r="A312" s="538" t="s">
        <v>1245</v>
      </c>
      <c r="B312" s="529" t="s">
        <v>61</v>
      </c>
      <c r="C312" s="529" t="s">
        <v>62</v>
      </c>
      <c r="D312" s="529">
        <v>2000</v>
      </c>
      <c r="E312" s="529" t="s">
        <v>31</v>
      </c>
      <c r="F312" s="529" t="s">
        <v>52</v>
      </c>
      <c r="G312" s="11" t="s">
        <v>76</v>
      </c>
      <c r="H312" s="278">
        <v>9000</v>
      </c>
      <c r="I312" s="278" t="s">
        <v>189</v>
      </c>
      <c r="J312" s="278">
        <v>2020</v>
      </c>
      <c r="K312" s="304" t="s">
        <v>38</v>
      </c>
      <c r="L312" s="519" t="s">
        <v>1224</v>
      </c>
      <c r="M312" s="519" t="s">
        <v>1286</v>
      </c>
      <c r="N312" s="304" t="s">
        <v>38</v>
      </c>
      <c r="O312" s="295" t="s">
        <v>38</v>
      </c>
    </row>
    <row r="313" spans="1:15" ht="13.2" hidden="1" thickBot="1">
      <c r="A313" s="519" t="s">
        <v>343</v>
      </c>
      <c r="B313" s="519" t="s">
        <v>61</v>
      </c>
      <c r="C313" s="519" t="s">
        <v>62</v>
      </c>
      <c r="D313" s="519">
        <v>1500</v>
      </c>
      <c r="E313" s="519" t="s">
        <v>31</v>
      </c>
      <c r="F313" s="519" t="s">
        <v>57</v>
      </c>
      <c r="G313" s="11" t="s">
        <v>76</v>
      </c>
      <c r="H313" s="11">
        <v>11580</v>
      </c>
      <c r="I313" s="11" t="s">
        <v>189</v>
      </c>
      <c r="J313" s="11">
        <v>2020</v>
      </c>
      <c r="K313" s="336" t="s">
        <v>712</v>
      </c>
      <c r="L313" s="519"/>
      <c r="M313" s="519" t="s">
        <v>344</v>
      </c>
      <c r="N313" s="11" t="s">
        <v>104</v>
      </c>
      <c r="O313" s="297" t="s">
        <v>38</v>
      </c>
    </row>
    <row r="314" spans="1:15" ht="13.2" hidden="1" thickBot="1">
      <c r="A314" s="517" t="s">
        <v>343</v>
      </c>
      <c r="B314" s="517" t="s">
        <v>61</v>
      </c>
      <c r="C314" s="517" t="s">
        <v>62</v>
      </c>
      <c r="D314" s="517">
        <v>1500</v>
      </c>
      <c r="E314" s="517" t="s">
        <v>31</v>
      </c>
      <c r="F314" s="517" t="s">
        <v>52</v>
      </c>
      <c r="G314" s="271" t="s">
        <v>76</v>
      </c>
      <c r="H314" s="271">
        <v>8168</v>
      </c>
      <c r="I314" s="271" t="s">
        <v>189</v>
      </c>
      <c r="J314" s="271">
        <v>2020</v>
      </c>
      <c r="K314" s="335" t="s">
        <v>712</v>
      </c>
      <c r="L314" s="517"/>
      <c r="M314" s="517" t="s">
        <v>344</v>
      </c>
      <c r="N314" s="271" t="s">
        <v>104</v>
      </c>
      <c r="O314" s="296" t="s">
        <v>38</v>
      </c>
    </row>
    <row r="315" spans="1:15" ht="26.1" hidden="1" thickBot="1">
      <c r="A315" s="519" t="s">
        <v>347</v>
      </c>
      <c r="B315" s="519" t="s">
        <v>61</v>
      </c>
      <c r="C315" s="519" t="s">
        <v>62</v>
      </c>
      <c r="D315" s="519">
        <v>1500</v>
      </c>
      <c r="E315" s="519" t="s">
        <v>31</v>
      </c>
      <c r="F315" s="519" t="s">
        <v>57</v>
      </c>
      <c r="G315" s="11" t="s">
        <v>76</v>
      </c>
      <c r="H315" s="11">
        <v>7733</v>
      </c>
      <c r="I315" s="11" t="s">
        <v>189</v>
      </c>
      <c r="J315" s="11">
        <v>2020</v>
      </c>
      <c r="K315" s="336" t="s">
        <v>708</v>
      </c>
      <c r="L315" s="519"/>
      <c r="M315" s="519" t="s">
        <v>344</v>
      </c>
      <c r="N315" s="11" t="s">
        <v>84</v>
      </c>
      <c r="O315" s="297" t="s">
        <v>38</v>
      </c>
    </row>
    <row r="316" spans="1:15" ht="26.1" hidden="1" thickBot="1">
      <c r="A316" s="517" t="s">
        <v>347</v>
      </c>
      <c r="B316" s="517" t="s">
        <v>61</v>
      </c>
      <c r="C316" s="517" t="s">
        <v>62</v>
      </c>
      <c r="D316" s="517">
        <v>1500</v>
      </c>
      <c r="E316" s="517" t="s">
        <v>31</v>
      </c>
      <c r="F316" s="517" t="s">
        <v>52</v>
      </c>
      <c r="G316" s="271" t="s">
        <v>76</v>
      </c>
      <c r="H316" s="271">
        <v>5747</v>
      </c>
      <c r="I316" s="271" t="s">
        <v>189</v>
      </c>
      <c r="J316" s="271">
        <v>2020</v>
      </c>
      <c r="K316" s="335" t="s">
        <v>708</v>
      </c>
      <c r="L316" s="517"/>
      <c r="M316" s="517" t="s">
        <v>344</v>
      </c>
      <c r="N316" s="271" t="s">
        <v>84</v>
      </c>
      <c r="O316" s="296" t="s">
        <v>38</v>
      </c>
    </row>
    <row r="317" spans="1:15" ht="13.2" hidden="1" thickBot="1">
      <c r="A317" s="519" t="s">
        <v>348</v>
      </c>
      <c r="B317" s="519" t="s">
        <v>61</v>
      </c>
      <c r="C317" s="519" t="s">
        <v>62</v>
      </c>
      <c r="D317" s="519">
        <v>200</v>
      </c>
      <c r="E317" s="519" t="s">
        <v>31</v>
      </c>
      <c r="F317" s="519" t="s">
        <v>57</v>
      </c>
      <c r="G317" s="11" t="s">
        <v>76</v>
      </c>
      <c r="H317" s="11">
        <v>16343</v>
      </c>
      <c r="I317" s="11" t="s">
        <v>189</v>
      </c>
      <c r="J317" s="11">
        <v>2020</v>
      </c>
      <c r="K317" s="304" t="s">
        <v>38</v>
      </c>
      <c r="L317" s="519" t="s">
        <v>1215</v>
      </c>
      <c r="M317" s="519" t="s">
        <v>344</v>
      </c>
      <c r="N317" s="11" t="s">
        <v>104</v>
      </c>
      <c r="O317" s="297" t="s">
        <v>38</v>
      </c>
    </row>
    <row r="318" spans="1:15" ht="26.1" hidden="1" thickBot="1">
      <c r="A318" s="527" t="s">
        <v>508</v>
      </c>
      <c r="B318" s="527" t="s">
        <v>61</v>
      </c>
      <c r="C318" s="527" t="s">
        <v>62</v>
      </c>
      <c r="D318" s="527">
        <v>1000</v>
      </c>
      <c r="E318" s="527" t="s">
        <v>63</v>
      </c>
      <c r="F318" s="520" t="s">
        <v>57</v>
      </c>
      <c r="G318" s="300" t="s">
        <v>76</v>
      </c>
      <c r="H318" s="527">
        <v>5.54</v>
      </c>
      <c r="I318" s="527" t="s">
        <v>77</v>
      </c>
      <c r="J318" s="527">
        <v>2011</v>
      </c>
      <c r="K318" s="303" t="s">
        <v>38</v>
      </c>
      <c r="L318" s="517" t="s">
        <v>389</v>
      </c>
      <c r="M318" s="527" t="s">
        <v>507</v>
      </c>
      <c r="N318" s="303" t="s">
        <v>38</v>
      </c>
      <c r="O318" s="296" t="s">
        <v>38</v>
      </c>
    </row>
    <row r="319" spans="1:15" ht="26.1" hidden="1" thickBot="1">
      <c r="A319" s="525" t="s">
        <v>513</v>
      </c>
      <c r="B319" s="525" t="s">
        <v>61</v>
      </c>
      <c r="C319" s="525" t="s">
        <v>62</v>
      </c>
      <c r="D319" s="525">
        <v>1000</v>
      </c>
      <c r="E319" s="525" t="s">
        <v>63</v>
      </c>
      <c r="F319" s="521" t="s">
        <v>57</v>
      </c>
      <c r="G319" s="162" t="s">
        <v>76</v>
      </c>
      <c r="H319" s="525">
        <v>0.04</v>
      </c>
      <c r="I319" s="525" t="s">
        <v>77</v>
      </c>
      <c r="J319" s="525">
        <v>2011</v>
      </c>
      <c r="K319" s="304" t="s">
        <v>38</v>
      </c>
      <c r="L319" s="519" t="s">
        <v>389</v>
      </c>
      <c r="M319" s="525" t="s">
        <v>507</v>
      </c>
      <c r="N319" s="304" t="s">
        <v>38</v>
      </c>
      <c r="O319" s="297" t="s">
        <v>38</v>
      </c>
    </row>
    <row r="320" spans="1:15" ht="13.2" hidden="1" thickBot="1">
      <c r="A320" s="517" t="s">
        <v>348</v>
      </c>
      <c r="B320" s="517" t="s">
        <v>61</v>
      </c>
      <c r="C320" s="517" t="s">
        <v>62</v>
      </c>
      <c r="D320" s="517">
        <v>200</v>
      </c>
      <c r="E320" s="517" t="s">
        <v>31</v>
      </c>
      <c r="F320" s="517" t="s">
        <v>52</v>
      </c>
      <c r="G320" s="271" t="s">
        <v>76</v>
      </c>
      <c r="H320" s="271">
        <v>12095</v>
      </c>
      <c r="I320" s="271" t="s">
        <v>189</v>
      </c>
      <c r="J320" s="271">
        <v>2020</v>
      </c>
      <c r="K320" s="303" t="s">
        <v>38</v>
      </c>
      <c r="L320" s="517" t="s">
        <v>1215</v>
      </c>
      <c r="M320" s="517" t="s">
        <v>344</v>
      </c>
      <c r="N320" s="296" t="s">
        <v>350</v>
      </c>
      <c r="O320" s="296" t="s">
        <v>38</v>
      </c>
    </row>
    <row r="321" spans="1:15" ht="26.1" hidden="1" thickBot="1">
      <c r="A321" s="519" t="s">
        <v>348</v>
      </c>
      <c r="B321" s="519" t="s">
        <v>61</v>
      </c>
      <c r="C321" s="519" t="s">
        <v>62</v>
      </c>
      <c r="D321" s="519">
        <v>200</v>
      </c>
      <c r="E321" s="519" t="s">
        <v>31</v>
      </c>
      <c r="F321" s="519" t="s">
        <v>754</v>
      </c>
      <c r="G321" s="11" t="s">
        <v>76</v>
      </c>
      <c r="H321" s="11">
        <v>7219</v>
      </c>
      <c r="I321" s="11" t="s">
        <v>189</v>
      </c>
      <c r="J321" s="11">
        <v>2020</v>
      </c>
      <c r="K321" s="304" t="s">
        <v>38</v>
      </c>
      <c r="L321" s="519" t="s">
        <v>1215</v>
      </c>
      <c r="M321" s="519" t="s">
        <v>344</v>
      </c>
      <c r="N321" s="11" t="s">
        <v>350</v>
      </c>
      <c r="O321" s="297" t="s">
        <v>38</v>
      </c>
    </row>
    <row r="322" spans="1:15" ht="51.9" hidden="1" thickBot="1">
      <c r="A322" s="517" t="s">
        <v>187</v>
      </c>
      <c r="B322" s="517" t="s">
        <v>61</v>
      </c>
      <c r="C322" s="517" t="s">
        <v>62</v>
      </c>
      <c r="D322" s="517">
        <v>1200</v>
      </c>
      <c r="E322" s="517" t="s">
        <v>31</v>
      </c>
      <c r="F322" s="517" t="s">
        <v>52</v>
      </c>
      <c r="G322" s="271" t="s">
        <v>76</v>
      </c>
      <c r="H322" s="271">
        <v>2178</v>
      </c>
      <c r="I322" s="271" t="s">
        <v>189</v>
      </c>
      <c r="J322" s="271">
        <v>1986</v>
      </c>
      <c r="K322" s="303"/>
      <c r="L322" s="517" t="s">
        <v>1230</v>
      </c>
      <c r="M322" s="528" t="s">
        <v>1105</v>
      </c>
      <c r="N322" s="303"/>
      <c r="O322" s="296"/>
    </row>
    <row r="323" spans="1:15" ht="51.9" hidden="1" thickBot="1">
      <c r="A323" s="518" t="s">
        <v>165</v>
      </c>
      <c r="B323" s="519" t="s">
        <v>61</v>
      </c>
      <c r="C323" s="519" t="s">
        <v>62</v>
      </c>
      <c r="D323" s="519">
        <v>1200</v>
      </c>
      <c r="E323" s="519" t="s">
        <v>31</v>
      </c>
      <c r="F323" s="519" t="s">
        <v>52</v>
      </c>
      <c r="G323" s="11" t="s">
        <v>76</v>
      </c>
      <c r="H323" s="11">
        <v>2193</v>
      </c>
      <c r="I323" s="11" t="s">
        <v>189</v>
      </c>
      <c r="J323" s="11">
        <v>1986</v>
      </c>
      <c r="K323" s="304"/>
      <c r="L323" s="519" t="s">
        <v>1230</v>
      </c>
      <c r="M323" s="529" t="s">
        <v>1105</v>
      </c>
      <c r="N323" s="304"/>
      <c r="O323" s="295"/>
    </row>
    <row r="324" spans="1:15" ht="51.9" hidden="1" thickBot="1">
      <c r="A324" s="516" t="s">
        <v>170</v>
      </c>
      <c r="B324" s="517" t="s">
        <v>61</v>
      </c>
      <c r="C324" s="517" t="s">
        <v>113</v>
      </c>
      <c r="D324" s="517">
        <v>970</v>
      </c>
      <c r="E324" s="517" t="s">
        <v>31</v>
      </c>
      <c r="F324" s="517" t="s">
        <v>52</v>
      </c>
      <c r="G324" s="271" t="s">
        <v>76</v>
      </c>
      <c r="H324" s="271">
        <v>1501</v>
      </c>
      <c r="I324" s="271" t="s">
        <v>189</v>
      </c>
      <c r="J324" s="271">
        <v>1986</v>
      </c>
      <c r="K324" s="303"/>
      <c r="L324" s="517" t="s">
        <v>1230</v>
      </c>
      <c r="M324" s="528" t="s">
        <v>1105</v>
      </c>
      <c r="N324" s="303"/>
      <c r="O324" s="294"/>
    </row>
    <row r="325" spans="1:15" ht="51.9" hidden="1" thickBot="1">
      <c r="A325" s="519" t="s">
        <v>172</v>
      </c>
      <c r="B325" s="519" t="s">
        <v>61</v>
      </c>
      <c r="C325" s="519" t="s">
        <v>113</v>
      </c>
      <c r="D325" s="519">
        <v>970</v>
      </c>
      <c r="E325" s="519" t="s">
        <v>31</v>
      </c>
      <c r="F325" s="519" t="s">
        <v>52</v>
      </c>
      <c r="G325" s="11" t="s">
        <v>76</v>
      </c>
      <c r="H325" s="11">
        <v>1523</v>
      </c>
      <c r="I325" s="11" t="s">
        <v>189</v>
      </c>
      <c r="J325" s="11">
        <v>1986</v>
      </c>
      <c r="K325" s="304"/>
      <c r="L325" s="519" t="s">
        <v>1230</v>
      </c>
      <c r="M325" s="529" t="s">
        <v>1105</v>
      </c>
      <c r="N325" s="304"/>
      <c r="O325" s="297"/>
    </row>
    <row r="326" spans="1:15" ht="51.9" hidden="1" thickBot="1">
      <c r="A326" s="517" t="s">
        <v>174</v>
      </c>
      <c r="B326" s="517" t="s">
        <v>61</v>
      </c>
      <c r="C326" s="517" t="s">
        <v>62</v>
      </c>
      <c r="D326" s="517">
        <v>1200</v>
      </c>
      <c r="E326" s="517" t="s">
        <v>31</v>
      </c>
      <c r="F326" s="517" t="s">
        <v>52</v>
      </c>
      <c r="G326" s="271" t="s">
        <v>76</v>
      </c>
      <c r="H326" s="271">
        <v>2563</v>
      </c>
      <c r="I326" s="271" t="s">
        <v>189</v>
      </c>
      <c r="J326" s="271">
        <v>1986</v>
      </c>
      <c r="K326" s="303"/>
      <c r="L326" s="517" t="s">
        <v>1230</v>
      </c>
      <c r="M326" s="528" t="s">
        <v>1105</v>
      </c>
      <c r="N326" s="303"/>
      <c r="O326" s="296"/>
    </row>
    <row r="327" spans="1:15" ht="51.9" hidden="1" thickBot="1">
      <c r="A327" s="519" t="s">
        <v>176</v>
      </c>
      <c r="B327" s="519" t="s">
        <v>61</v>
      </c>
      <c r="C327" s="519" t="s">
        <v>62</v>
      </c>
      <c r="D327" s="519">
        <v>1200</v>
      </c>
      <c r="E327" s="519" t="s">
        <v>31</v>
      </c>
      <c r="F327" s="519" t="s">
        <v>52</v>
      </c>
      <c r="G327" s="11" t="s">
        <v>76</v>
      </c>
      <c r="H327" s="11">
        <v>1873</v>
      </c>
      <c r="I327" s="11" t="s">
        <v>189</v>
      </c>
      <c r="J327" s="11">
        <v>1986</v>
      </c>
      <c r="K327" s="304"/>
      <c r="L327" s="519" t="s">
        <v>1230</v>
      </c>
      <c r="M327" s="529" t="s">
        <v>1105</v>
      </c>
      <c r="N327" s="304"/>
      <c r="O327" s="297"/>
    </row>
    <row r="328" spans="1:15" ht="51.9" hidden="1" thickBot="1">
      <c r="A328" s="517" t="s">
        <v>182</v>
      </c>
      <c r="B328" s="517" t="s">
        <v>61</v>
      </c>
      <c r="C328" s="517" t="s">
        <v>62</v>
      </c>
      <c r="D328" s="517">
        <v>1200</v>
      </c>
      <c r="E328" s="517" t="s">
        <v>31</v>
      </c>
      <c r="F328" s="517" t="s">
        <v>52</v>
      </c>
      <c r="G328" s="271" t="s">
        <v>76</v>
      </c>
      <c r="H328" s="271">
        <v>1380</v>
      </c>
      <c r="I328" s="271" t="s">
        <v>189</v>
      </c>
      <c r="J328" s="271">
        <v>1986</v>
      </c>
      <c r="K328" s="303"/>
      <c r="L328" s="517" t="s">
        <v>1230</v>
      </c>
      <c r="M328" s="528" t="s">
        <v>1105</v>
      </c>
      <c r="N328" s="303"/>
      <c r="O328" s="296"/>
    </row>
    <row r="329" spans="1:15" ht="51.9" hidden="1" thickBot="1">
      <c r="A329" s="519" t="s">
        <v>1100</v>
      </c>
      <c r="B329" s="519" t="s">
        <v>61</v>
      </c>
      <c r="C329" s="519" t="s">
        <v>62</v>
      </c>
      <c r="D329" s="519">
        <v>1200</v>
      </c>
      <c r="E329" s="519" t="s">
        <v>31</v>
      </c>
      <c r="F329" s="519" t="s">
        <v>52</v>
      </c>
      <c r="G329" s="11" t="s">
        <v>76</v>
      </c>
      <c r="H329" s="11">
        <v>2787</v>
      </c>
      <c r="I329" s="11" t="s">
        <v>189</v>
      </c>
      <c r="J329" s="11">
        <v>1986</v>
      </c>
      <c r="K329" s="304"/>
      <c r="L329" s="519" t="s">
        <v>1230</v>
      </c>
      <c r="M329" s="529" t="s">
        <v>1105</v>
      </c>
      <c r="N329" s="304"/>
      <c r="O329" s="297"/>
    </row>
    <row r="330" spans="1:15" ht="26.1" hidden="1" thickBot="1">
      <c r="A330" s="279" t="s">
        <v>438</v>
      </c>
      <c r="B330" s="279" t="s">
        <v>61</v>
      </c>
      <c r="C330" s="279" t="s">
        <v>62</v>
      </c>
      <c r="D330" s="279">
        <v>1000</v>
      </c>
      <c r="E330" s="11" t="s">
        <v>75</v>
      </c>
      <c r="F330" s="279" t="s">
        <v>32</v>
      </c>
      <c r="G330" s="11" t="s">
        <v>76</v>
      </c>
      <c r="H330" s="11">
        <v>101</v>
      </c>
      <c r="I330" s="11" t="s">
        <v>77</v>
      </c>
      <c r="J330" s="11">
        <v>2002</v>
      </c>
      <c r="K330" s="336" t="s">
        <v>1255</v>
      </c>
      <c r="L330" s="332" t="s">
        <v>352</v>
      </c>
      <c r="M330" s="279" t="s">
        <v>435</v>
      </c>
      <c r="N330" s="297" t="s">
        <v>38</v>
      </c>
      <c r="O330" s="297" t="s">
        <v>38</v>
      </c>
    </row>
    <row r="331" spans="1:15" ht="26.1" hidden="1" thickBot="1">
      <c r="A331" s="544" t="s">
        <v>437</v>
      </c>
      <c r="B331" s="544" t="s">
        <v>61</v>
      </c>
      <c r="C331" s="544" t="s">
        <v>62</v>
      </c>
      <c r="D331" s="544">
        <v>1000</v>
      </c>
      <c r="E331" s="323" t="s">
        <v>75</v>
      </c>
      <c r="F331" s="307" t="s">
        <v>57</v>
      </c>
      <c r="G331" s="323" t="s">
        <v>76</v>
      </c>
      <c r="H331" s="323">
        <v>55.73</v>
      </c>
      <c r="I331" s="323" t="s">
        <v>77</v>
      </c>
      <c r="J331" s="323">
        <v>2002</v>
      </c>
      <c r="K331" s="335" t="s">
        <v>1263</v>
      </c>
      <c r="L331" s="332" t="s">
        <v>1301</v>
      </c>
      <c r="M331" s="544" t="s">
        <v>435</v>
      </c>
      <c r="N331" s="296" t="s">
        <v>38</v>
      </c>
      <c r="O331" s="296" t="s">
        <v>38</v>
      </c>
    </row>
    <row r="332" spans="1:15" ht="26.1" hidden="1" thickBot="1">
      <c r="A332" s="513" t="s">
        <v>434</v>
      </c>
      <c r="B332" s="513" t="s">
        <v>61</v>
      </c>
      <c r="C332" s="513" t="s">
        <v>62</v>
      </c>
      <c r="D332" s="513">
        <v>1000</v>
      </c>
      <c r="E332" s="324" t="s">
        <v>75</v>
      </c>
      <c r="F332" s="279" t="s">
        <v>57</v>
      </c>
      <c r="G332" s="324" t="s">
        <v>76</v>
      </c>
      <c r="H332" s="324">
        <v>52.35</v>
      </c>
      <c r="I332" s="324" t="s">
        <v>77</v>
      </c>
      <c r="J332" s="324">
        <v>2002</v>
      </c>
      <c r="K332" s="336" t="s">
        <v>1267</v>
      </c>
      <c r="L332" s="332" t="s">
        <v>1302</v>
      </c>
      <c r="M332" s="513" t="s">
        <v>435</v>
      </c>
      <c r="N332" s="297" t="s">
        <v>38</v>
      </c>
      <c r="O332" s="297" t="s">
        <v>38</v>
      </c>
    </row>
    <row r="333" spans="1:15" ht="26.1" hidden="1" thickBot="1">
      <c r="A333" s="541" t="s">
        <v>839</v>
      </c>
      <c r="B333" s="531" t="s">
        <v>30</v>
      </c>
      <c r="C333" s="541" t="s">
        <v>796</v>
      </c>
      <c r="D333" s="541">
        <v>815</v>
      </c>
      <c r="E333" s="541" t="s">
        <v>31</v>
      </c>
      <c r="F333" s="541" t="s">
        <v>52</v>
      </c>
      <c r="G333" s="326" t="s">
        <v>33</v>
      </c>
      <c r="H333" s="326">
        <v>1233000000</v>
      </c>
      <c r="I333" s="326" t="s">
        <v>34</v>
      </c>
      <c r="J333" s="326">
        <v>1985</v>
      </c>
      <c r="K333" s="336" t="s">
        <v>65</v>
      </c>
      <c r="L333" s="520" t="s">
        <v>1216</v>
      </c>
      <c r="M333" s="541" t="s">
        <v>842</v>
      </c>
      <c r="N333" s="303" t="s">
        <v>38</v>
      </c>
      <c r="O333" s="296">
        <v>123300000</v>
      </c>
    </row>
    <row r="334" spans="1:15" ht="13.2" hidden="1" thickBot="1">
      <c r="A334" s="542" t="s">
        <v>125</v>
      </c>
      <c r="B334" s="534" t="s">
        <v>30</v>
      </c>
      <c r="C334" s="542" t="s">
        <v>796</v>
      </c>
      <c r="D334" s="556">
        <v>815</v>
      </c>
      <c r="E334" s="521" t="s">
        <v>31</v>
      </c>
      <c r="F334" s="542" t="s">
        <v>52</v>
      </c>
      <c r="G334" s="327" t="s">
        <v>33</v>
      </c>
      <c r="H334" s="327">
        <v>1559800000</v>
      </c>
      <c r="I334" s="327" t="s">
        <v>34</v>
      </c>
      <c r="J334" s="327">
        <v>1985</v>
      </c>
      <c r="K334" s="336" t="s">
        <v>65</v>
      </c>
      <c r="L334" s="521" t="s">
        <v>1216</v>
      </c>
      <c r="M334" s="542" t="s">
        <v>842</v>
      </c>
      <c r="N334" s="304" t="s">
        <v>38</v>
      </c>
      <c r="O334" s="297">
        <v>210000000</v>
      </c>
    </row>
    <row r="335" spans="1:15" ht="26.1" hidden="1" thickBot="1">
      <c r="A335" s="531" t="s">
        <v>696</v>
      </c>
      <c r="B335" s="531" t="s">
        <v>61</v>
      </c>
      <c r="C335" s="531" t="s">
        <v>62</v>
      </c>
      <c r="D335" s="551">
        <v>1200</v>
      </c>
      <c r="E335" s="517" t="s">
        <v>31</v>
      </c>
      <c r="F335" s="531" t="s">
        <v>32</v>
      </c>
      <c r="G335" s="325" t="s">
        <v>33</v>
      </c>
      <c r="H335" s="325">
        <v>7227000000</v>
      </c>
      <c r="I335" s="325" t="s">
        <v>34</v>
      </c>
      <c r="J335" s="325">
        <v>1990</v>
      </c>
      <c r="K335" s="336" t="s">
        <v>65</v>
      </c>
      <c r="L335" s="517"/>
      <c r="M335" s="531" t="s">
        <v>369</v>
      </c>
      <c r="N335" s="271" t="s">
        <v>371</v>
      </c>
      <c r="O335" s="296" t="s">
        <v>38</v>
      </c>
    </row>
    <row r="336" spans="1:15" ht="26.1" hidden="1" thickBot="1">
      <c r="A336" s="534" t="s">
        <v>695</v>
      </c>
      <c r="B336" s="534" t="s">
        <v>61</v>
      </c>
      <c r="C336" s="534" t="s">
        <v>62</v>
      </c>
      <c r="D336" s="550">
        <v>1200</v>
      </c>
      <c r="E336" s="519" t="s">
        <v>31</v>
      </c>
      <c r="F336" s="534" t="s">
        <v>52</v>
      </c>
      <c r="G336" s="324" t="s">
        <v>33</v>
      </c>
      <c r="H336" s="324">
        <v>3646000000</v>
      </c>
      <c r="I336" s="324" t="s">
        <v>34</v>
      </c>
      <c r="J336" s="324">
        <v>1990</v>
      </c>
      <c r="K336" s="336" t="s">
        <v>65</v>
      </c>
      <c r="L336" s="519" t="s">
        <v>1216</v>
      </c>
      <c r="M336" s="534" t="s">
        <v>369</v>
      </c>
      <c r="N336" s="11" t="s">
        <v>371</v>
      </c>
      <c r="O336" s="11">
        <v>270000000</v>
      </c>
    </row>
    <row r="337" spans="1:15" ht="13.2" thickBot="1">
      <c r="A337" s="545" t="s">
        <v>515</v>
      </c>
      <c r="B337" s="543" t="s">
        <v>61</v>
      </c>
      <c r="C337" s="543" t="s">
        <v>278</v>
      </c>
      <c r="D337" s="546">
        <v>1000</v>
      </c>
      <c r="E337" s="543" t="s">
        <v>116</v>
      </c>
      <c r="F337" s="326" t="s">
        <v>57</v>
      </c>
      <c r="G337" s="543" t="s">
        <v>76</v>
      </c>
      <c r="H337" s="547">
        <v>11</v>
      </c>
      <c r="I337" s="543" t="s">
        <v>77</v>
      </c>
      <c r="J337" s="547">
        <v>2007</v>
      </c>
      <c r="K337" s="303" t="s">
        <v>38</v>
      </c>
      <c r="L337" s="328"/>
      <c r="M337" s="543" t="s">
        <v>507</v>
      </c>
      <c r="N337" s="303" t="s">
        <v>38</v>
      </c>
      <c r="O337" s="294" t="s">
        <v>38</v>
      </c>
    </row>
    <row r="338" spans="1:15" ht="26.1" hidden="1" thickBot="1">
      <c r="A338" s="530" t="s">
        <v>387</v>
      </c>
      <c r="B338" s="531" t="s">
        <v>30</v>
      </c>
      <c r="C338" s="531" t="s">
        <v>815</v>
      </c>
      <c r="D338" s="531">
        <v>1083</v>
      </c>
      <c r="E338" s="531" t="s">
        <v>31</v>
      </c>
      <c r="F338" s="541" t="s">
        <v>52</v>
      </c>
      <c r="G338" s="325" t="s">
        <v>33</v>
      </c>
      <c r="H338" s="325">
        <v>4231500000</v>
      </c>
      <c r="I338" s="325" t="s">
        <v>34</v>
      </c>
      <c r="J338" s="325">
        <v>1988</v>
      </c>
      <c r="K338" s="303" t="s">
        <v>38</v>
      </c>
      <c r="L338" s="532" t="s">
        <v>389</v>
      </c>
      <c r="M338" s="531" t="s">
        <v>386</v>
      </c>
      <c r="N338" s="303" t="s">
        <v>38</v>
      </c>
      <c r="O338" s="274">
        <v>423200000</v>
      </c>
    </row>
    <row r="339" spans="1:15" ht="26.1" hidden="1" thickBot="1">
      <c r="A339" s="536" t="s">
        <v>514</v>
      </c>
      <c r="B339" s="539" t="s">
        <v>61</v>
      </c>
      <c r="C339" s="539" t="s">
        <v>107</v>
      </c>
      <c r="D339" s="539">
        <v>1000</v>
      </c>
      <c r="E339" s="539" t="s">
        <v>63</v>
      </c>
      <c r="F339" s="541" t="s">
        <v>57</v>
      </c>
      <c r="G339" s="543" t="s">
        <v>76</v>
      </c>
      <c r="H339" s="539">
        <v>0.04</v>
      </c>
      <c r="I339" s="539" t="s">
        <v>77</v>
      </c>
      <c r="J339" s="539">
        <v>2008</v>
      </c>
      <c r="K339" s="303" t="s">
        <v>38</v>
      </c>
      <c r="L339" s="532" t="s">
        <v>389</v>
      </c>
      <c r="M339" s="539" t="s">
        <v>507</v>
      </c>
      <c r="N339" s="303" t="s">
        <v>38</v>
      </c>
      <c r="O339" s="294" t="s">
        <v>38</v>
      </c>
    </row>
    <row r="340" spans="1:15" ht="13.2" hidden="1" thickBot="1">
      <c r="A340" s="533" t="s">
        <v>114</v>
      </c>
      <c r="B340" s="534" t="s">
        <v>61</v>
      </c>
      <c r="C340" s="534" t="s">
        <v>62</v>
      </c>
      <c r="D340" s="534">
        <v>1000</v>
      </c>
      <c r="E340" s="534" t="s">
        <v>31</v>
      </c>
      <c r="F340" s="534" t="s">
        <v>52</v>
      </c>
      <c r="G340" s="324" t="s">
        <v>33</v>
      </c>
      <c r="H340" s="324">
        <v>2890000000.0000005</v>
      </c>
      <c r="I340" s="324" t="s">
        <v>34</v>
      </c>
      <c r="J340" s="324">
        <v>1988</v>
      </c>
      <c r="K340" s="336" t="s">
        <v>1262</v>
      </c>
      <c r="L340" s="535"/>
      <c r="M340" s="534" t="s">
        <v>597</v>
      </c>
      <c r="N340" s="11" t="s">
        <v>84</v>
      </c>
      <c r="O340" s="295">
        <v>214100000</v>
      </c>
    </row>
    <row r="341" spans="1:15" ht="26.1" hidden="1" thickBot="1">
      <c r="A341" s="537" t="s">
        <v>515</v>
      </c>
      <c r="B341" s="540" t="s">
        <v>61</v>
      </c>
      <c r="C341" s="540" t="s">
        <v>278</v>
      </c>
      <c r="D341" s="540">
        <v>1000</v>
      </c>
      <c r="E341" s="540" t="s">
        <v>63</v>
      </c>
      <c r="F341" s="542" t="s">
        <v>57</v>
      </c>
      <c r="G341" s="162" t="s">
        <v>76</v>
      </c>
      <c r="H341" s="540">
        <v>0.04</v>
      </c>
      <c r="I341" s="540" t="s">
        <v>77</v>
      </c>
      <c r="J341" s="540">
        <v>2008</v>
      </c>
      <c r="K341" s="304" t="s">
        <v>38</v>
      </c>
      <c r="L341" s="535" t="s">
        <v>389</v>
      </c>
      <c r="M341" s="540" t="s">
        <v>507</v>
      </c>
      <c r="N341" s="304" t="s">
        <v>38</v>
      </c>
      <c r="O341" s="295" t="s">
        <v>38</v>
      </c>
    </row>
    <row r="342" spans="1:15" ht="13.2" hidden="1" thickBot="1">
      <c r="A342" s="530" t="s">
        <v>232</v>
      </c>
      <c r="B342" s="531" t="s">
        <v>61</v>
      </c>
      <c r="C342" s="531" t="s">
        <v>62</v>
      </c>
      <c r="D342" s="531">
        <v>1000</v>
      </c>
      <c r="E342" s="531" t="s">
        <v>31</v>
      </c>
      <c r="F342" s="531" t="s">
        <v>52</v>
      </c>
      <c r="G342" s="325" t="s">
        <v>33</v>
      </c>
      <c r="H342" s="325">
        <v>2129000000</v>
      </c>
      <c r="I342" s="325" t="s">
        <v>34</v>
      </c>
      <c r="J342" s="325">
        <v>1992</v>
      </c>
      <c r="K342" s="335" t="s">
        <v>1269</v>
      </c>
      <c r="L342" s="532" t="s">
        <v>1218</v>
      </c>
      <c r="M342" s="531" t="s">
        <v>420</v>
      </c>
      <c r="N342" s="296" t="s">
        <v>38</v>
      </c>
      <c r="O342" s="274">
        <v>311800000</v>
      </c>
    </row>
    <row r="343" spans="1:15" ht="26.1" hidden="1" thickBot="1">
      <c r="A343" s="554" t="s">
        <v>426</v>
      </c>
      <c r="B343" s="552" t="s">
        <v>61</v>
      </c>
      <c r="C343" s="552" t="s">
        <v>62</v>
      </c>
      <c r="D343" s="552">
        <v>1080</v>
      </c>
      <c r="E343" s="552" t="s">
        <v>31</v>
      </c>
      <c r="F343" s="552" t="s">
        <v>32</v>
      </c>
      <c r="G343" s="557" t="s">
        <v>33</v>
      </c>
      <c r="H343" s="557">
        <v>4228700000</v>
      </c>
      <c r="I343" s="557" t="s">
        <v>34</v>
      </c>
      <c r="J343" s="557">
        <v>2003</v>
      </c>
      <c r="K343" s="336" t="s">
        <v>65</v>
      </c>
      <c r="L343" s="563" t="s">
        <v>389</v>
      </c>
      <c r="M343" s="529" t="s">
        <v>427</v>
      </c>
      <c r="N343" s="278" t="s">
        <v>84</v>
      </c>
      <c r="O343" s="314">
        <v>731600000</v>
      </c>
    </row>
    <row r="344" spans="1:15" ht="13.2" hidden="1" thickBot="1">
      <c r="A344" s="553" t="s">
        <v>211</v>
      </c>
      <c r="B344" s="555" t="s">
        <v>61</v>
      </c>
      <c r="C344" s="555" t="s">
        <v>62</v>
      </c>
      <c r="D344" s="555">
        <v>500</v>
      </c>
      <c r="E344" s="555" t="s">
        <v>31</v>
      </c>
      <c r="F344" s="555" t="s">
        <v>32</v>
      </c>
      <c r="G344" s="325" t="s">
        <v>76</v>
      </c>
      <c r="H344" s="560">
        <v>30000</v>
      </c>
      <c r="I344" s="560" t="s">
        <v>189</v>
      </c>
      <c r="J344" s="560">
        <v>2020</v>
      </c>
      <c r="K344" s="303" t="s">
        <v>38</v>
      </c>
      <c r="L344" s="532"/>
      <c r="M344" s="517" t="s">
        <v>603</v>
      </c>
      <c r="N344" s="303" t="s">
        <v>38</v>
      </c>
      <c r="O344" s="294" t="s">
        <v>38</v>
      </c>
    </row>
    <row r="345" spans="1:15" ht="13.2" hidden="1" thickBot="1">
      <c r="A345" s="552" t="s">
        <v>447</v>
      </c>
      <c r="B345" s="552" t="s">
        <v>61</v>
      </c>
      <c r="C345" s="552" t="s">
        <v>62</v>
      </c>
      <c r="D345" s="552">
        <v>2000</v>
      </c>
      <c r="E345" s="552" t="s">
        <v>31</v>
      </c>
      <c r="F345" s="552" t="s">
        <v>32</v>
      </c>
      <c r="G345" s="324" t="s">
        <v>76</v>
      </c>
      <c r="H345" s="557">
        <v>12000</v>
      </c>
      <c r="I345" s="557" t="s">
        <v>189</v>
      </c>
      <c r="J345" s="557">
        <v>2020</v>
      </c>
      <c r="K345" s="304" t="s">
        <v>38</v>
      </c>
      <c r="L345" s="535"/>
      <c r="M345" s="519" t="s">
        <v>603</v>
      </c>
      <c r="N345" s="304" t="s">
        <v>38</v>
      </c>
      <c r="O345" s="297" t="s">
        <v>38</v>
      </c>
    </row>
    <row r="346" spans="1:15" ht="39" hidden="1" thickBot="1">
      <c r="A346" s="534" t="s">
        <v>735</v>
      </c>
      <c r="B346" s="534" t="s">
        <v>61</v>
      </c>
      <c r="C346" s="534" t="s">
        <v>62</v>
      </c>
      <c r="D346" s="534">
        <v>1450</v>
      </c>
      <c r="E346" s="534" t="s">
        <v>31</v>
      </c>
      <c r="F346" s="534" t="s">
        <v>52</v>
      </c>
      <c r="G346" s="324" t="s">
        <v>76</v>
      </c>
      <c r="H346" s="558">
        <v>6093.04347826087</v>
      </c>
      <c r="I346" s="324" t="s">
        <v>189</v>
      </c>
      <c r="J346" s="324">
        <v>2010</v>
      </c>
      <c r="K346" s="336" t="s">
        <v>65</v>
      </c>
      <c r="L346" s="535" t="s">
        <v>1234</v>
      </c>
      <c r="M346" s="519" t="s">
        <v>732</v>
      </c>
      <c r="N346" s="11" t="s">
        <v>84</v>
      </c>
      <c r="O346" s="297">
        <v>963260000.00000024</v>
      </c>
    </row>
    <row r="347" spans="1:15" ht="309.89999999999998" hidden="1" thickBot="1">
      <c r="A347" s="531" t="s">
        <v>741</v>
      </c>
      <c r="B347" s="531" t="s">
        <v>61</v>
      </c>
      <c r="C347" s="531" t="s">
        <v>62</v>
      </c>
      <c r="D347" s="531">
        <v>1000</v>
      </c>
      <c r="E347" s="517" t="s">
        <v>31</v>
      </c>
      <c r="F347" s="531" t="s">
        <v>52</v>
      </c>
      <c r="G347" s="325" t="s">
        <v>76</v>
      </c>
      <c r="H347" s="559">
        <v>6252.0652173913049</v>
      </c>
      <c r="I347" s="325" t="s">
        <v>189</v>
      </c>
      <c r="J347" s="325">
        <v>2010</v>
      </c>
      <c r="K347" s="335" t="s">
        <v>1268</v>
      </c>
      <c r="L347" s="532" t="s">
        <v>1216</v>
      </c>
      <c r="M347" s="517" t="s">
        <v>732</v>
      </c>
      <c r="N347" s="310" t="s">
        <v>740</v>
      </c>
      <c r="O347" s="296">
        <v>682040000</v>
      </c>
    </row>
    <row r="348" spans="1:15" ht="26.1" hidden="1" thickBot="1">
      <c r="A348" s="531" t="s">
        <v>200</v>
      </c>
      <c r="B348" s="531" t="s">
        <v>61</v>
      </c>
      <c r="C348" s="531" t="s">
        <v>62</v>
      </c>
      <c r="D348" s="531">
        <v>1000</v>
      </c>
      <c r="E348" s="517" t="s">
        <v>31</v>
      </c>
      <c r="F348" s="531" t="s">
        <v>52</v>
      </c>
      <c r="G348" s="325" t="s">
        <v>76</v>
      </c>
      <c r="H348" s="559">
        <v>4897.2521739130434</v>
      </c>
      <c r="I348" s="325" t="s">
        <v>189</v>
      </c>
      <c r="J348" s="325">
        <v>2010</v>
      </c>
      <c r="K348" s="335" t="s">
        <v>1268</v>
      </c>
      <c r="L348" s="532" t="s">
        <v>1232</v>
      </c>
      <c r="M348" s="517" t="s">
        <v>732</v>
      </c>
      <c r="N348" s="271" t="s">
        <v>84</v>
      </c>
      <c r="O348" s="296">
        <v>510130000.00000012</v>
      </c>
    </row>
    <row r="349" spans="1:15" ht="26.1" hidden="1" thickBot="1">
      <c r="A349" s="533" t="s">
        <v>737</v>
      </c>
      <c r="B349" s="534" t="s">
        <v>61</v>
      </c>
      <c r="C349" s="534" t="s">
        <v>62</v>
      </c>
      <c r="D349" s="534">
        <v>1000</v>
      </c>
      <c r="E349" s="534" t="s">
        <v>31</v>
      </c>
      <c r="F349" s="534" t="s">
        <v>52</v>
      </c>
      <c r="G349" s="324" t="s">
        <v>76</v>
      </c>
      <c r="H349" s="558">
        <v>3045.326086956522</v>
      </c>
      <c r="I349" s="324" t="s">
        <v>189</v>
      </c>
      <c r="J349" s="324">
        <v>2010</v>
      </c>
      <c r="K349" s="335" t="s">
        <v>1268</v>
      </c>
      <c r="L349" s="535" t="s">
        <v>1233</v>
      </c>
      <c r="M349" s="519" t="s">
        <v>732</v>
      </c>
      <c r="N349" s="11" t="s">
        <v>84</v>
      </c>
      <c r="O349" s="295">
        <v>430829999.99999994</v>
      </c>
    </row>
    <row r="350" spans="1:15" ht="26.1" hidden="1" thickBot="1">
      <c r="A350" s="530" t="s">
        <v>736</v>
      </c>
      <c r="B350" s="531" t="s">
        <v>61</v>
      </c>
      <c r="C350" s="531" t="s">
        <v>62</v>
      </c>
      <c r="D350" s="531">
        <v>1000</v>
      </c>
      <c r="E350" s="531" t="s">
        <v>31</v>
      </c>
      <c r="F350" s="531" t="s">
        <v>52</v>
      </c>
      <c r="G350" s="325" t="s">
        <v>76</v>
      </c>
      <c r="H350" s="559">
        <v>3949.239130434783</v>
      </c>
      <c r="I350" s="325" t="s">
        <v>189</v>
      </c>
      <c r="J350" s="325">
        <v>2010</v>
      </c>
      <c r="K350" s="335" t="s">
        <v>1268</v>
      </c>
      <c r="L350" s="532" t="s">
        <v>1233</v>
      </c>
      <c r="M350" s="517" t="s">
        <v>732</v>
      </c>
      <c r="N350" s="271" t="s">
        <v>84</v>
      </c>
      <c r="O350" s="294">
        <v>332219999.99999982</v>
      </c>
    </row>
    <row r="351" spans="1:15" ht="26.1" hidden="1" thickBot="1">
      <c r="A351" s="534" t="s">
        <v>738</v>
      </c>
      <c r="B351" s="534" t="s">
        <v>61</v>
      </c>
      <c r="C351" s="534" t="s">
        <v>62</v>
      </c>
      <c r="D351" s="534">
        <v>1000</v>
      </c>
      <c r="E351" s="534" t="s">
        <v>31</v>
      </c>
      <c r="F351" s="534" t="s">
        <v>32</v>
      </c>
      <c r="G351" s="324" t="s">
        <v>76</v>
      </c>
      <c r="H351" s="558">
        <v>5324.347826086957</v>
      </c>
      <c r="I351" s="324" t="s">
        <v>189</v>
      </c>
      <c r="J351" s="324">
        <v>2010</v>
      </c>
      <c r="K351" s="304" t="s">
        <v>38</v>
      </c>
      <c r="L351" s="535" t="s">
        <v>1231</v>
      </c>
      <c r="M351" s="519" t="s">
        <v>732</v>
      </c>
      <c r="N351" s="278" t="s">
        <v>104</v>
      </c>
      <c r="O351" s="297">
        <v>491480000</v>
      </c>
    </row>
    <row r="352" spans="1:15" ht="13.2" hidden="1" thickBot="1">
      <c r="A352" s="528" t="s">
        <v>60</v>
      </c>
      <c r="B352" s="528" t="s">
        <v>61</v>
      </c>
      <c r="C352" s="528" t="s">
        <v>62</v>
      </c>
      <c r="D352" s="528">
        <v>1200</v>
      </c>
      <c r="E352" s="555" t="s">
        <v>31</v>
      </c>
      <c r="F352" s="555" t="s">
        <v>52</v>
      </c>
      <c r="G352" s="310" t="s">
        <v>33</v>
      </c>
      <c r="H352" s="310">
        <v>2307000000</v>
      </c>
      <c r="I352" s="310" t="s">
        <v>34</v>
      </c>
      <c r="J352" s="310">
        <v>1983</v>
      </c>
      <c r="K352" s="337" t="s">
        <v>1256</v>
      </c>
      <c r="L352" s="561" t="s">
        <v>389</v>
      </c>
      <c r="M352" s="528" t="s">
        <v>428</v>
      </c>
      <c r="N352" s="310" t="s">
        <v>430</v>
      </c>
      <c r="O352" s="310">
        <v>274000000</v>
      </c>
    </row>
    <row r="353" spans="1:24" ht="51.9" hidden="1" thickBot="1">
      <c r="A353" s="517" t="s">
        <v>939</v>
      </c>
      <c r="B353" s="517" t="s">
        <v>61</v>
      </c>
      <c r="C353" s="517" t="s">
        <v>62</v>
      </c>
      <c r="D353" s="517">
        <v>1247</v>
      </c>
      <c r="E353" s="531" t="s">
        <v>31</v>
      </c>
      <c r="F353" s="531" t="s">
        <v>32</v>
      </c>
      <c r="G353" s="271" t="s">
        <v>33</v>
      </c>
      <c r="H353" s="271">
        <v>6121062000</v>
      </c>
      <c r="I353" s="271" t="s">
        <v>34</v>
      </c>
      <c r="J353" s="271">
        <v>1984</v>
      </c>
      <c r="K353" s="339" t="s">
        <v>1261</v>
      </c>
      <c r="L353" s="562" t="s">
        <v>1236</v>
      </c>
      <c r="M353" s="528" t="s">
        <v>938</v>
      </c>
      <c r="N353" s="303" t="s">
        <v>934</v>
      </c>
      <c r="O353" s="296">
        <v>574000000</v>
      </c>
    </row>
    <row r="354" spans="1:24" ht="51.6" hidden="1">
      <c r="A354" s="519" t="s">
        <v>940</v>
      </c>
      <c r="B354" s="519" t="s">
        <v>61</v>
      </c>
      <c r="C354" s="519" t="s">
        <v>62</v>
      </c>
      <c r="D354" s="519">
        <v>1203</v>
      </c>
      <c r="E354" s="519" t="s">
        <v>31</v>
      </c>
      <c r="F354" s="519" t="s">
        <v>32</v>
      </c>
      <c r="G354" s="11" t="s">
        <v>33</v>
      </c>
      <c r="H354" s="11">
        <v>5801517000</v>
      </c>
      <c r="I354" s="11" t="s">
        <v>34</v>
      </c>
      <c r="J354" s="11">
        <v>1984</v>
      </c>
      <c r="K354" s="336" t="s">
        <v>65</v>
      </c>
      <c r="L354" s="519" t="s">
        <v>1236</v>
      </c>
      <c r="M354" s="529" t="s">
        <v>938</v>
      </c>
      <c r="N354" s="304" t="s">
        <v>84</v>
      </c>
      <c r="O354" s="297">
        <v>576000000</v>
      </c>
    </row>
    <row r="355" spans="1:24" ht="25.8" hidden="1">
      <c r="A355" s="279" t="s">
        <v>497</v>
      </c>
      <c r="B355" s="508" t="s">
        <v>61</v>
      </c>
      <c r="C355" s="508" t="s">
        <v>62</v>
      </c>
      <c r="D355" s="279">
        <v>1000</v>
      </c>
      <c r="E355" s="11" t="s">
        <v>108</v>
      </c>
      <c r="F355" s="316" t="s">
        <v>57</v>
      </c>
      <c r="G355" s="11" t="s">
        <v>76</v>
      </c>
      <c r="H355" s="11">
        <v>56.269080000000002</v>
      </c>
      <c r="I355" s="11" t="s">
        <v>77</v>
      </c>
      <c r="J355" s="11">
        <v>2003</v>
      </c>
      <c r="K355" s="336" t="s">
        <v>65</v>
      </c>
      <c r="L355" s="279" t="s">
        <v>499</v>
      </c>
      <c r="M355" s="508" t="s">
        <v>498</v>
      </c>
      <c r="N355" s="297" t="s">
        <v>38</v>
      </c>
      <c r="O355" s="297" t="s">
        <v>38</v>
      </c>
    </row>
    <row r="356" spans="1:24" ht="26.1" hidden="1" customHeight="1" thickBot="1">
      <c r="A356" s="505" t="s">
        <v>500</v>
      </c>
      <c r="B356" s="511" t="s">
        <v>61</v>
      </c>
      <c r="C356" s="511" t="s">
        <v>62</v>
      </c>
      <c r="D356" s="307">
        <v>2000</v>
      </c>
      <c r="E356" s="271" t="s">
        <v>108</v>
      </c>
      <c r="F356" s="315" t="s">
        <v>57</v>
      </c>
      <c r="G356" s="271" t="s">
        <v>76</v>
      </c>
      <c r="H356" s="271">
        <v>49.87332</v>
      </c>
      <c r="I356" s="271" t="s">
        <v>77</v>
      </c>
      <c r="J356" s="271">
        <v>2003</v>
      </c>
      <c r="K356" s="336" t="s">
        <v>65</v>
      </c>
      <c r="L356" s="307" t="s">
        <v>499</v>
      </c>
      <c r="M356" s="511" t="s">
        <v>498</v>
      </c>
      <c r="N356" s="296" t="s">
        <v>38</v>
      </c>
      <c r="O356" s="294" t="s">
        <v>38</v>
      </c>
      <c r="R356" s="264"/>
      <c r="S356" s="264"/>
      <c r="T356" s="264"/>
      <c r="U356" s="264"/>
      <c r="V356" s="264"/>
      <c r="W356" s="264"/>
      <c r="X356" s="264"/>
    </row>
    <row r="357" spans="1:24" ht="39" hidden="1" thickBot="1">
      <c r="A357" s="506" t="s">
        <v>501</v>
      </c>
      <c r="B357" s="508" t="s">
        <v>61</v>
      </c>
      <c r="C357" s="508" t="s">
        <v>278</v>
      </c>
      <c r="D357" s="279">
        <v>1000</v>
      </c>
      <c r="E357" s="11" t="s">
        <v>108</v>
      </c>
      <c r="F357" s="316" t="s">
        <v>57</v>
      </c>
      <c r="G357" s="11" t="s">
        <v>76</v>
      </c>
      <c r="H357" s="11">
        <v>64.774079999999998</v>
      </c>
      <c r="I357" s="11" t="s">
        <v>77</v>
      </c>
      <c r="J357" s="11">
        <v>2003</v>
      </c>
      <c r="K357" s="336" t="s">
        <v>65</v>
      </c>
      <c r="L357" s="279" t="s">
        <v>499</v>
      </c>
      <c r="M357" s="508" t="s">
        <v>498</v>
      </c>
      <c r="N357" s="11" t="s">
        <v>430</v>
      </c>
      <c r="O357" s="295" t="s">
        <v>38</v>
      </c>
      <c r="R357" s="388" t="s">
        <v>3</v>
      </c>
      <c r="S357" s="388" t="s">
        <v>4</v>
      </c>
      <c r="T357" s="388" t="s">
        <v>5</v>
      </c>
      <c r="U357" s="388" t="s">
        <v>6</v>
      </c>
      <c r="V357" s="388" t="s">
        <v>8</v>
      </c>
      <c r="W357" s="389" t="s">
        <v>1283</v>
      </c>
      <c r="X357" s="388" t="s">
        <v>13</v>
      </c>
    </row>
    <row r="358" spans="1:24" ht="51.6" hidden="1">
      <c r="A358" s="517" t="s">
        <v>941</v>
      </c>
      <c r="B358" s="517" t="s">
        <v>61</v>
      </c>
      <c r="C358" s="517" t="s">
        <v>62</v>
      </c>
      <c r="D358" s="517">
        <v>1209</v>
      </c>
      <c r="E358" s="517" t="s">
        <v>31</v>
      </c>
      <c r="F358" s="517" t="s">
        <v>32</v>
      </c>
      <c r="G358" s="271" t="s">
        <v>33</v>
      </c>
      <c r="H358" s="271">
        <v>4251921000</v>
      </c>
      <c r="I358" s="271" t="s">
        <v>34</v>
      </c>
      <c r="J358" s="271">
        <v>1984</v>
      </c>
      <c r="K358" s="339" t="s">
        <v>65</v>
      </c>
      <c r="L358" s="517" t="s">
        <v>1236</v>
      </c>
      <c r="M358" s="528" t="s">
        <v>938</v>
      </c>
      <c r="N358" s="303" t="s">
        <v>84</v>
      </c>
      <c r="O358" s="296">
        <v>399000000</v>
      </c>
      <c r="R358" s="372" t="s">
        <v>29</v>
      </c>
      <c r="S358" s="373" t="s">
        <v>30</v>
      </c>
      <c r="T358" s="373" t="s">
        <v>798</v>
      </c>
      <c r="U358" s="373">
        <v>400</v>
      </c>
      <c r="V358" s="373" t="s">
        <v>32</v>
      </c>
      <c r="W358" s="374" t="s">
        <v>1254</v>
      </c>
      <c r="X358" s="373" t="s">
        <v>35</v>
      </c>
    </row>
    <row r="359" spans="1:24" ht="25.8" hidden="1">
      <c r="A359" s="307" t="s">
        <v>502</v>
      </c>
      <c r="B359" s="511" t="s">
        <v>61</v>
      </c>
      <c r="C359" s="511" t="s">
        <v>278</v>
      </c>
      <c r="D359" s="307">
        <v>2000</v>
      </c>
      <c r="E359" s="271" t="s">
        <v>108</v>
      </c>
      <c r="F359" s="315" t="s">
        <v>57</v>
      </c>
      <c r="G359" s="271" t="s">
        <v>76</v>
      </c>
      <c r="H359" s="271">
        <v>50.893920000000001</v>
      </c>
      <c r="I359" s="271" t="s">
        <v>77</v>
      </c>
      <c r="J359" s="271">
        <v>2003</v>
      </c>
      <c r="K359" s="336" t="s">
        <v>65</v>
      </c>
      <c r="L359" s="307" t="s">
        <v>499</v>
      </c>
      <c r="M359" s="511" t="s">
        <v>498</v>
      </c>
      <c r="N359" s="271" t="s">
        <v>430</v>
      </c>
      <c r="O359" s="296" t="s">
        <v>38</v>
      </c>
      <c r="R359" s="379" t="s">
        <v>51</v>
      </c>
      <c r="S359" s="379" t="s">
        <v>30</v>
      </c>
      <c r="T359" s="379" t="s">
        <v>798</v>
      </c>
      <c r="U359" s="379">
        <v>2200</v>
      </c>
      <c r="V359" s="379" t="s">
        <v>57</v>
      </c>
      <c r="W359" s="380" t="s">
        <v>1270</v>
      </c>
      <c r="X359" s="379" t="s">
        <v>35</v>
      </c>
    </row>
    <row r="360" spans="1:24" ht="25.8" hidden="1">
      <c r="A360" s="508" t="s">
        <v>497</v>
      </c>
      <c r="B360" s="508" t="s">
        <v>61</v>
      </c>
      <c r="C360" s="508" t="s">
        <v>62</v>
      </c>
      <c r="D360" s="509">
        <v>1000</v>
      </c>
      <c r="E360" s="162" t="s">
        <v>108</v>
      </c>
      <c r="F360" s="316" t="s">
        <v>57</v>
      </c>
      <c r="G360" s="162" t="s">
        <v>76</v>
      </c>
      <c r="H360" s="157">
        <v>98</v>
      </c>
      <c r="I360" s="162" t="s">
        <v>77</v>
      </c>
      <c r="J360" s="157">
        <v>2003</v>
      </c>
      <c r="K360" s="336" t="s">
        <v>65</v>
      </c>
      <c r="L360" s="279" t="s">
        <v>389</v>
      </c>
      <c r="M360" s="508" t="s">
        <v>503</v>
      </c>
      <c r="N360" s="11" t="s">
        <v>430</v>
      </c>
      <c r="O360" s="297" t="s">
        <v>38</v>
      </c>
      <c r="R360" s="379" t="s">
        <v>56</v>
      </c>
      <c r="S360" s="379" t="s">
        <v>30</v>
      </c>
      <c r="T360" s="379" t="s">
        <v>798</v>
      </c>
      <c r="U360" s="379">
        <v>2660</v>
      </c>
      <c r="V360" s="379" t="s">
        <v>52</v>
      </c>
      <c r="W360" s="380" t="s">
        <v>1270</v>
      </c>
      <c r="X360" s="379" t="s">
        <v>35</v>
      </c>
    </row>
    <row r="361" spans="1:24" ht="25.8" hidden="1">
      <c r="A361" s="511" t="s">
        <v>505</v>
      </c>
      <c r="B361" s="511" t="s">
        <v>61</v>
      </c>
      <c r="C361" s="511" t="s">
        <v>107</v>
      </c>
      <c r="D361" s="512">
        <v>1000</v>
      </c>
      <c r="E361" s="300" t="s">
        <v>108</v>
      </c>
      <c r="F361" s="315" t="s">
        <v>57</v>
      </c>
      <c r="G361" s="300" t="s">
        <v>76</v>
      </c>
      <c r="H361" s="301">
        <v>104</v>
      </c>
      <c r="I361" s="300" t="s">
        <v>77</v>
      </c>
      <c r="J361" s="301">
        <v>2003</v>
      </c>
      <c r="K361" s="336" t="s">
        <v>65</v>
      </c>
      <c r="L361" s="279" t="s">
        <v>389</v>
      </c>
      <c r="M361" s="511" t="s">
        <v>503</v>
      </c>
      <c r="N361" s="271" t="s">
        <v>430</v>
      </c>
      <c r="O361" s="296" t="s">
        <v>38</v>
      </c>
      <c r="R361" s="379" t="s">
        <v>443</v>
      </c>
      <c r="S361" s="379" t="s">
        <v>61</v>
      </c>
      <c r="T361" s="379" t="s">
        <v>62</v>
      </c>
      <c r="U361" s="379">
        <v>1985</v>
      </c>
      <c r="V361" s="379" t="s">
        <v>52</v>
      </c>
      <c r="W361" s="381" t="s">
        <v>1077</v>
      </c>
      <c r="X361" s="379" t="s">
        <v>1075</v>
      </c>
    </row>
    <row r="362" spans="1:24" ht="38.700000000000003" hidden="1">
      <c r="A362" s="507" t="s">
        <v>501</v>
      </c>
      <c r="B362" s="508" t="s">
        <v>61</v>
      </c>
      <c r="C362" s="508" t="s">
        <v>278</v>
      </c>
      <c r="D362" s="509">
        <v>1000</v>
      </c>
      <c r="E362" s="162" t="s">
        <v>108</v>
      </c>
      <c r="F362" s="316" t="s">
        <v>57</v>
      </c>
      <c r="G362" s="162" t="s">
        <v>76</v>
      </c>
      <c r="H362" s="157">
        <v>111</v>
      </c>
      <c r="I362" s="162" t="s">
        <v>77</v>
      </c>
      <c r="J362" s="157">
        <v>2003</v>
      </c>
      <c r="K362" s="336" t="s">
        <v>65</v>
      </c>
      <c r="L362" s="279" t="s">
        <v>389</v>
      </c>
      <c r="M362" s="508" t="s">
        <v>503</v>
      </c>
      <c r="N362" s="11" t="s">
        <v>430</v>
      </c>
      <c r="O362" s="295" t="s">
        <v>38</v>
      </c>
      <c r="R362" s="379" t="s">
        <v>81</v>
      </c>
      <c r="S362" s="379" t="s">
        <v>61</v>
      </c>
      <c r="T362" s="379" t="s">
        <v>62</v>
      </c>
      <c r="U362" s="379">
        <v>1500</v>
      </c>
      <c r="V362" s="379" t="s">
        <v>57</v>
      </c>
      <c r="W362" s="380" t="s">
        <v>1265</v>
      </c>
      <c r="X362" s="379" t="s">
        <v>83</v>
      </c>
    </row>
    <row r="363" spans="1:24" ht="51.6" hidden="1">
      <c r="A363" s="519" t="s">
        <v>1102</v>
      </c>
      <c r="B363" s="519" t="s">
        <v>61</v>
      </c>
      <c r="C363" s="519" t="s">
        <v>62</v>
      </c>
      <c r="D363" s="519">
        <v>1164</v>
      </c>
      <c r="E363" s="519" t="s">
        <v>31</v>
      </c>
      <c r="F363" s="519" t="s">
        <v>32</v>
      </c>
      <c r="G363" s="11" t="s">
        <v>33</v>
      </c>
      <c r="H363" s="11">
        <v>3948156000</v>
      </c>
      <c r="I363" s="11" t="s">
        <v>34</v>
      </c>
      <c r="J363" s="11">
        <v>1984</v>
      </c>
      <c r="K363" s="304"/>
      <c r="L363" s="519" t="s">
        <v>1235</v>
      </c>
      <c r="M363" s="529" t="s">
        <v>938</v>
      </c>
      <c r="N363" s="304"/>
      <c r="O363" s="297"/>
      <c r="R363" t="s">
        <v>81</v>
      </c>
      <c r="S363" t="s">
        <v>61</v>
      </c>
      <c r="T363" t="s">
        <v>62</v>
      </c>
      <c r="U363">
        <v>1500</v>
      </c>
      <c r="V363" t="s">
        <v>52</v>
      </c>
      <c r="W363" s="375" t="s">
        <v>706</v>
      </c>
      <c r="X363" t="s">
        <v>83</v>
      </c>
    </row>
    <row r="364" spans="1:24" ht="25.8" hidden="1">
      <c r="A364" s="518" t="s">
        <v>1246</v>
      </c>
      <c r="B364" s="519" t="s">
        <v>61</v>
      </c>
      <c r="C364" s="519" t="s">
        <v>62</v>
      </c>
      <c r="D364" s="519">
        <v>1200</v>
      </c>
      <c r="E364" s="519" t="s">
        <v>31</v>
      </c>
      <c r="F364" s="519" t="s">
        <v>57</v>
      </c>
      <c r="G364" s="11" t="s">
        <v>33</v>
      </c>
      <c r="H364" s="11">
        <v>3116000000</v>
      </c>
      <c r="I364" s="11" t="s">
        <v>34</v>
      </c>
      <c r="J364" s="11">
        <v>2020</v>
      </c>
      <c r="K364" s="304" t="s">
        <v>38</v>
      </c>
      <c r="L364" s="519" t="s">
        <v>1238</v>
      </c>
      <c r="M364" s="519" t="s">
        <v>433</v>
      </c>
      <c r="N364" s="11" t="s">
        <v>84</v>
      </c>
      <c r="O364" s="295" t="s">
        <v>38</v>
      </c>
      <c r="R364" s="356" t="s">
        <v>81</v>
      </c>
      <c r="S364" s="356" t="s">
        <v>61</v>
      </c>
      <c r="T364" s="356" t="s">
        <v>62</v>
      </c>
      <c r="U364" s="356">
        <v>1500</v>
      </c>
      <c r="V364" s="356" t="s">
        <v>52</v>
      </c>
      <c r="W364" s="376" t="s">
        <v>706</v>
      </c>
      <c r="X364" s="356" t="s">
        <v>83</v>
      </c>
    </row>
    <row r="365" spans="1:24" ht="25.8" hidden="1">
      <c r="A365" s="516" t="s">
        <v>81</v>
      </c>
      <c r="B365" s="517" t="s">
        <v>61</v>
      </c>
      <c r="C365" s="517" t="s">
        <v>62</v>
      </c>
      <c r="D365" s="517">
        <v>1000</v>
      </c>
      <c r="E365" s="517" t="s">
        <v>31</v>
      </c>
      <c r="F365" s="517" t="s">
        <v>57</v>
      </c>
      <c r="G365" s="271" t="s">
        <v>76</v>
      </c>
      <c r="H365" s="271">
        <v>2400</v>
      </c>
      <c r="I365" s="271" t="s">
        <v>189</v>
      </c>
      <c r="J365" s="271">
        <v>2003</v>
      </c>
      <c r="K365" s="303" t="s">
        <v>38</v>
      </c>
      <c r="L365" s="517" t="s">
        <v>1217</v>
      </c>
      <c r="M365" s="517" t="s">
        <v>440</v>
      </c>
      <c r="N365" s="303" t="s">
        <v>38</v>
      </c>
      <c r="O365" s="294" t="s">
        <v>38</v>
      </c>
      <c r="R365" s="11" t="s">
        <v>81</v>
      </c>
      <c r="S365" s="11" t="s">
        <v>61</v>
      </c>
      <c r="T365" s="11" t="s">
        <v>62</v>
      </c>
      <c r="U365" s="11">
        <v>1500</v>
      </c>
      <c r="V365" s="11" t="s">
        <v>754</v>
      </c>
      <c r="W365" s="336" t="s">
        <v>706</v>
      </c>
      <c r="X365" s="11" t="s">
        <v>83</v>
      </c>
    </row>
    <row r="366" spans="1:24" ht="25.8" hidden="1">
      <c r="A366" s="519" t="s">
        <v>81</v>
      </c>
      <c r="B366" s="519" t="s">
        <v>61</v>
      </c>
      <c r="C366" s="519" t="s">
        <v>62</v>
      </c>
      <c r="D366" s="519">
        <v>1000</v>
      </c>
      <c r="E366" s="519" t="s">
        <v>31</v>
      </c>
      <c r="F366" s="519" t="s">
        <v>32</v>
      </c>
      <c r="G366" s="11" t="s">
        <v>76</v>
      </c>
      <c r="H366" s="11">
        <v>4480</v>
      </c>
      <c r="I366" s="11" t="s">
        <v>189</v>
      </c>
      <c r="J366" s="11">
        <v>2003</v>
      </c>
      <c r="K366" s="304" t="s">
        <v>38</v>
      </c>
      <c r="L366" s="519" t="s">
        <v>1217</v>
      </c>
      <c r="M366" s="519" t="s">
        <v>440</v>
      </c>
      <c r="N366" s="304" t="s">
        <v>38</v>
      </c>
      <c r="O366" s="297" t="s">
        <v>38</v>
      </c>
      <c r="R366" s="347" t="s">
        <v>81</v>
      </c>
      <c r="S366" s="347" t="s">
        <v>61</v>
      </c>
      <c r="T366" s="347" t="s">
        <v>62</v>
      </c>
      <c r="U366" s="347">
        <v>1500</v>
      </c>
      <c r="V366" s="347" t="s">
        <v>755</v>
      </c>
      <c r="W366" s="370" t="s">
        <v>706</v>
      </c>
      <c r="X366" s="347" t="s">
        <v>83</v>
      </c>
    </row>
    <row r="367" spans="1:24" hidden="1">
      <c r="A367" s="523" t="s">
        <v>443</v>
      </c>
      <c r="B367" s="520" t="s">
        <v>61</v>
      </c>
      <c r="C367" s="520" t="s">
        <v>62</v>
      </c>
      <c r="D367" s="520">
        <v>1185</v>
      </c>
      <c r="E367" s="520" t="s">
        <v>31</v>
      </c>
      <c r="F367" s="520" t="s">
        <v>52</v>
      </c>
      <c r="G367" s="302" t="s">
        <v>33</v>
      </c>
      <c r="H367" s="302">
        <v>3609000000</v>
      </c>
      <c r="I367" s="302" t="s">
        <v>34</v>
      </c>
      <c r="J367" s="302">
        <v>1976</v>
      </c>
      <c r="K367" s="335" t="s">
        <v>709</v>
      </c>
      <c r="L367" s="520" t="s">
        <v>389</v>
      </c>
      <c r="M367" s="520" t="s">
        <v>444</v>
      </c>
      <c r="N367" s="319" t="s">
        <v>38</v>
      </c>
      <c r="O367" s="294" t="s">
        <v>38</v>
      </c>
      <c r="R367" s="353" t="s">
        <v>81</v>
      </c>
      <c r="S367" s="353" t="s">
        <v>61</v>
      </c>
      <c r="T367" s="353" t="s">
        <v>62</v>
      </c>
      <c r="U367" s="353">
        <v>1500</v>
      </c>
      <c r="V367" s="353" t="s">
        <v>755</v>
      </c>
      <c r="W367" s="377" t="s">
        <v>706</v>
      </c>
      <c r="X367" s="353" t="s">
        <v>83</v>
      </c>
    </row>
    <row r="368" spans="1:24" hidden="1">
      <c r="A368" s="516" t="s">
        <v>795</v>
      </c>
      <c r="B368" s="517" t="s">
        <v>30</v>
      </c>
      <c r="C368" s="517" t="s">
        <v>796</v>
      </c>
      <c r="D368" s="517">
        <v>972</v>
      </c>
      <c r="E368" s="517" t="s">
        <v>31</v>
      </c>
      <c r="F368" s="517" t="s">
        <v>52</v>
      </c>
      <c r="G368" s="271" t="s">
        <v>33</v>
      </c>
      <c r="H368" s="271">
        <v>3929900000</v>
      </c>
      <c r="I368" s="271" t="s">
        <v>34</v>
      </c>
      <c r="J368" s="271">
        <v>1991</v>
      </c>
      <c r="K368" s="335" t="s">
        <v>1264</v>
      </c>
      <c r="L368" s="517" t="s">
        <v>93</v>
      </c>
      <c r="M368" s="517" t="s">
        <v>799</v>
      </c>
      <c r="N368" s="271" t="s">
        <v>37</v>
      </c>
      <c r="O368" s="274">
        <v>445270000</v>
      </c>
      <c r="R368" s="11" t="s">
        <v>81</v>
      </c>
      <c r="S368" s="11" t="s">
        <v>61</v>
      </c>
      <c r="T368" s="11" t="s">
        <v>62</v>
      </c>
      <c r="U368" s="11">
        <v>1500</v>
      </c>
      <c r="V368" s="11" t="s">
        <v>32</v>
      </c>
      <c r="W368" s="336" t="s">
        <v>706</v>
      </c>
      <c r="X368" s="11" t="s">
        <v>83</v>
      </c>
    </row>
    <row r="369" spans="1:24" hidden="1">
      <c r="A369" s="518" t="s">
        <v>797</v>
      </c>
      <c r="B369" s="519" t="s">
        <v>30</v>
      </c>
      <c r="C369" s="519" t="s">
        <v>798</v>
      </c>
      <c r="D369" s="519">
        <v>999</v>
      </c>
      <c r="E369" s="519" t="s">
        <v>31</v>
      </c>
      <c r="F369" s="519" t="s">
        <v>52</v>
      </c>
      <c r="G369" s="11" t="s">
        <v>33</v>
      </c>
      <c r="H369" s="11">
        <v>2716020000</v>
      </c>
      <c r="I369" s="11" t="s">
        <v>34</v>
      </c>
      <c r="J369" s="11">
        <v>1991</v>
      </c>
      <c r="K369" s="336" t="s">
        <v>1266</v>
      </c>
      <c r="L369" s="519" t="s">
        <v>93</v>
      </c>
      <c r="M369" s="519" t="s">
        <v>799</v>
      </c>
      <c r="N369" s="11" t="s">
        <v>37</v>
      </c>
      <c r="O369" s="275">
        <v>397900000</v>
      </c>
      <c r="R369" s="347" t="s">
        <v>90</v>
      </c>
      <c r="S369" s="347" t="s">
        <v>61</v>
      </c>
      <c r="T369" s="347" t="s">
        <v>91</v>
      </c>
      <c r="U369" s="347">
        <v>1198</v>
      </c>
      <c r="V369" s="347" t="s">
        <v>52</v>
      </c>
      <c r="W369" s="370" t="s">
        <v>94</v>
      </c>
      <c r="X369" s="347" t="s">
        <v>92</v>
      </c>
    </row>
    <row r="370" spans="1:24" ht="64.5" hidden="1">
      <c r="A370" s="516" t="s">
        <v>469</v>
      </c>
      <c r="B370" s="517" t="s">
        <v>470</v>
      </c>
      <c r="C370" s="519" t="s">
        <v>1287</v>
      </c>
      <c r="D370" s="517">
        <v>150</v>
      </c>
      <c r="E370" s="517" t="s">
        <v>31</v>
      </c>
      <c r="F370" s="517" t="s">
        <v>52</v>
      </c>
      <c r="G370" s="271" t="s">
        <v>33</v>
      </c>
      <c r="H370" s="271">
        <v>603000000</v>
      </c>
      <c r="I370" s="271" t="s">
        <v>34</v>
      </c>
      <c r="J370" s="271">
        <v>2016</v>
      </c>
      <c r="K370" s="303" t="s">
        <v>38</v>
      </c>
      <c r="L370" s="517" t="s">
        <v>1278</v>
      </c>
      <c r="M370" s="517" t="s">
        <v>472</v>
      </c>
      <c r="N370" s="271" t="s">
        <v>474</v>
      </c>
      <c r="O370" s="274">
        <v>98000000</v>
      </c>
      <c r="R370" s="378" t="s">
        <v>60</v>
      </c>
      <c r="S370" s="356" t="s">
        <v>61</v>
      </c>
      <c r="T370" s="356" t="s">
        <v>62</v>
      </c>
      <c r="U370" s="356">
        <v>1200</v>
      </c>
      <c r="V370" s="356" t="s">
        <v>52</v>
      </c>
      <c r="W370" s="376" t="s">
        <v>65</v>
      </c>
      <c r="X370" s="356" t="s">
        <v>975</v>
      </c>
    </row>
    <row r="371" spans="1:24" ht="51.6" hidden="1">
      <c r="A371" s="519" t="s">
        <v>481</v>
      </c>
      <c r="B371" s="519" t="s">
        <v>470</v>
      </c>
      <c r="C371" s="519" t="s">
        <v>1287</v>
      </c>
      <c r="D371" s="519">
        <v>150</v>
      </c>
      <c r="E371" s="519" t="s">
        <v>31</v>
      </c>
      <c r="F371" s="519" t="s">
        <v>52</v>
      </c>
      <c r="G371" s="11" t="s">
        <v>33</v>
      </c>
      <c r="H371" s="11">
        <v>1313000000</v>
      </c>
      <c r="I371" s="11" t="s">
        <v>34</v>
      </c>
      <c r="J371" s="11">
        <v>2016</v>
      </c>
      <c r="K371" s="304" t="s">
        <v>38</v>
      </c>
      <c r="L371" s="519" t="s">
        <v>482</v>
      </c>
      <c r="M371" s="519" t="s">
        <v>472</v>
      </c>
      <c r="N371" s="11" t="s">
        <v>474</v>
      </c>
      <c r="O371" s="11">
        <v>98000000</v>
      </c>
      <c r="R371" s="270" t="s">
        <v>85</v>
      </c>
      <c r="S371" s="271" t="s">
        <v>61</v>
      </c>
      <c r="T371" s="271" t="s">
        <v>107</v>
      </c>
      <c r="U371" s="271">
        <v>735.77</v>
      </c>
      <c r="V371" s="271" t="s">
        <v>32</v>
      </c>
      <c r="W371" s="335" t="s">
        <v>707</v>
      </c>
      <c r="X371" s="271" t="s">
        <v>86</v>
      </c>
    </row>
    <row r="372" spans="1:24" ht="51.6" hidden="1">
      <c r="A372" s="517" t="s">
        <v>483</v>
      </c>
      <c r="B372" s="517" t="s">
        <v>470</v>
      </c>
      <c r="C372" s="519" t="s">
        <v>1287</v>
      </c>
      <c r="D372" s="517">
        <v>150</v>
      </c>
      <c r="E372" s="517" t="s">
        <v>31</v>
      </c>
      <c r="F372" s="517" t="s">
        <v>52</v>
      </c>
      <c r="G372" s="271" t="s">
        <v>33</v>
      </c>
      <c r="H372" s="271">
        <v>1714000000</v>
      </c>
      <c r="I372" s="271" t="s">
        <v>34</v>
      </c>
      <c r="J372" s="271">
        <v>2016</v>
      </c>
      <c r="K372" s="303" t="s">
        <v>38</v>
      </c>
      <c r="L372" s="517" t="s">
        <v>482</v>
      </c>
      <c r="M372" s="517" t="s">
        <v>472</v>
      </c>
      <c r="N372" s="271" t="s">
        <v>474</v>
      </c>
      <c r="O372" s="271">
        <v>211000000</v>
      </c>
      <c r="R372" s="344" t="s">
        <v>124</v>
      </c>
      <c r="S372" s="345" t="s">
        <v>30</v>
      </c>
      <c r="T372" s="345" t="s">
        <v>796</v>
      </c>
      <c r="U372" s="345">
        <v>1010</v>
      </c>
      <c r="V372" s="345" t="s">
        <v>52</v>
      </c>
      <c r="W372" s="371" t="s">
        <v>1262</v>
      </c>
      <c r="X372" s="345" t="s">
        <v>120</v>
      </c>
    </row>
    <row r="373" spans="1:24" ht="25.8" hidden="1">
      <c r="A373" s="510" t="s">
        <v>512</v>
      </c>
      <c r="B373" s="511" t="s">
        <v>30</v>
      </c>
      <c r="C373" s="511" t="s">
        <v>803</v>
      </c>
      <c r="D373" s="512">
        <v>1000</v>
      </c>
      <c r="E373" s="300" t="s">
        <v>108</v>
      </c>
      <c r="F373" s="315" t="s">
        <v>57</v>
      </c>
      <c r="G373" s="300" t="s">
        <v>76</v>
      </c>
      <c r="H373" s="301">
        <v>107</v>
      </c>
      <c r="I373" s="300" t="s">
        <v>77</v>
      </c>
      <c r="J373" s="301">
        <v>2011</v>
      </c>
      <c r="K373" s="335" t="s">
        <v>1271</v>
      </c>
      <c r="L373" s="307" t="s">
        <v>1272</v>
      </c>
      <c r="M373" s="511" t="s">
        <v>507</v>
      </c>
      <c r="N373" s="296" t="s">
        <v>38</v>
      </c>
      <c r="O373" s="294" t="s">
        <v>38</v>
      </c>
      <c r="R373" s="379" t="s">
        <v>119</v>
      </c>
      <c r="S373" s="379" t="s">
        <v>61</v>
      </c>
      <c r="T373" s="379" t="s">
        <v>113</v>
      </c>
      <c r="U373" s="379">
        <v>1200</v>
      </c>
      <c r="V373" s="379" t="s">
        <v>52</v>
      </c>
      <c r="W373" s="380" t="s">
        <v>1262</v>
      </c>
      <c r="X373" s="379" t="s">
        <v>120</v>
      </c>
    </row>
    <row r="374" spans="1:24" ht="25.8">
      <c r="R374" s="379" t="s">
        <v>114</v>
      </c>
      <c r="S374" s="379" t="s">
        <v>61</v>
      </c>
      <c r="T374" s="379" t="s">
        <v>62</v>
      </c>
      <c r="U374" s="379">
        <v>1000</v>
      </c>
      <c r="V374" s="379" t="s">
        <v>52</v>
      </c>
      <c r="W374" s="380" t="s">
        <v>1262</v>
      </c>
      <c r="X374" s="379" t="s">
        <v>120</v>
      </c>
    </row>
    <row r="375" spans="1:24" ht="25.8">
      <c r="R375" s="379" t="s">
        <v>139</v>
      </c>
      <c r="S375" s="379" t="s">
        <v>61</v>
      </c>
      <c r="T375" s="379" t="s">
        <v>62</v>
      </c>
      <c r="U375" s="379">
        <v>1200</v>
      </c>
      <c r="V375" s="379" t="s">
        <v>52</v>
      </c>
      <c r="W375" s="380" t="s">
        <v>708</v>
      </c>
      <c r="X375" s="379" t="s">
        <v>140</v>
      </c>
    </row>
    <row r="376" spans="1:24" ht="25.8">
      <c r="R376" s="379" t="s">
        <v>143</v>
      </c>
      <c r="S376" s="379" t="s">
        <v>61</v>
      </c>
      <c r="T376" s="379" t="s">
        <v>62</v>
      </c>
      <c r="U376" s="379">
        <v>1200</v>
      </c>
      <c r="V376" s="379" t="s">
        <v>52</v>
      </c>
      <c r="W376" s="380" t="s">
        <v>708</v>
      </c>
      <c r="X376" s="379" t="s">
        <v>140</v>
      </c>
    </row>
    <row r="377" spans="1:24">
      <c r="R377" s="379" t="s">
        <v>114</v>
      </c>
      <c r="S377" s="379" t="s">
        <v>61</v>
      </c>
      <c r="T377" s="379" t="s">
        <v>62</v>
      </c>
      <c r="U377" s="379">
        <v>1200</v>
      </c>
      <c r="V377" s="379" t="s">
        <v>52</v>
      </c>
      <c r="W377" s="380" t="s">
        <v>708</v>
      </c>
      <c r="X377" s="379" t="s">
        <v>140</v>
      </c>
    </row>
    <row r="378" spans="1:24" ht="25.8">
      <c r="R378" s="382" t="s">
        <v>170</v>
      </c>
      <c r="S378" s="379" t="s">
        <v>61</v>
      </c>
      <c r="T378" s="379" t="s">
        <v>113</v>
      </c>
      <c r="U378" s="379">
        <v>1200</v>
      </c>
      <c r="V378" s="379" t="s">
        <v>52</v>
      </c>
      <c r="W378" s="383" t="s">
        <v>709</v>
      </c>
      <c r="X378" s="379" t="s">
        <v>147</v>
      </c>
    </row>
    <row r="379" spans="1:24" ht="25.8">
      <c r="R379" s="382" t="s">
        <v>172</v>
      </c>
      <c r="S379" s="379" t="s">
        <v>61</v>
      </c>
      <c r="T379" s="379" t="s">
        <v>113</v>
      </c>
      <c r="U379" s="379">
        <v>1200</v>
      </c>
      <c r="V379" s="379" t="s">
        <v>52</v>
      </c>
      <c r="W379" s="383" t="s">
        <v>709</v>
      </c>
      <c r="X379" s="379" t="s">
        <v>147</v>
      </c>
    </row>
    <row r="380" spans="1:24" ht="25.8">
      <c r="R380" s="379" t="s">
        <v>146</v>
      </c>
      <c r="S380" s="379" t="s">
        <v>61</v>
      </c>
      <c r="T380" s="379" t="s">
        <v>62</v>
      </c>
      <c r="U380" s="379">
        <v>1200</v>
      </c>
      <c r="V380" s="379" t="s">
        <v>52</v>
      </c>
      <c r="W380" s="383" t="s">
        <v>709</v>
      </c>
      <c r="X380" s="379" t="s">
        <v>147</v>
      </c>
    </row>
    <row r="381" spans="1:24" ht="25.8">
      <c r="R381" s="382" t="s">
        <v>165</v>
      </c>
      <c r="S381" s="379" t="s">
        <v>61</v>
      </c>
      <c r="T381" s="379" t="s">
        <v>62</v>
      </c>
      <c r="U381" s="379">
        <v>1200</v>
      </c>
      <c r="V381" s="379" t="s">
        <v>52</v>
      </c>
      <c r="W381" s="383" t="s">
        <v>709</v>
      </c>
      <c r="X381" s="379" t="s">
        <v>147</v>
      </c>
    </row>
    <row r="382" spans="1:24" ht="25.8">
      <c r="R382" s="382" t="s">
        <v>174</v>
      </c>
      <c r="S382" s="379" t="s">
        <v>61</v>
      </c>
      <c r="T382" s="379" t="s">
        <v>62</v>
      </c>
      <c r="U382" s="379">
        <v>1200</v>
      </c>
      <c r="V382" s="379" t="s">
        <v>52</v>
      </c>
      <c r="W382" s="383" t="s">
        <v>709</v>
      </c>
      <c r="X382" s="379" t="s">
        <v>147</v>
      </c>
    </row>
    <row r="383" spans="1:24" ht="25.8">
      <c r="R383" s="382" t="s">
        <v>176</v>
      </c>
      <c r="S383" s="379" t="s">
        <v>61</v>
      </c>
      <c r="T383" s="379" t="s">
        <v>62</v>
      </c>
      <c r="U383" s="379">
        <v>1200</v>
      </c>
      <c r="V383" s="379" t="s">
        <v>52</v>
      </c>
      <c r="W383" s="383" t="s">
        <v>709</v>
      </c>
      <c r="X383" s="379" t="s">
        <v>147</v>
      </c>
    </row>
    <row r="384" spans="1:24" ht="25.8">
      <c r="K384"/>
      <c r="R384" s="382" t="s">
        <v>178</v>
      </c>
      <c r="S384" s="379" t="s">
        <v>61</v>
      </c>
      <c r="T384" s="379" t="s">
        <v>62</v>
      </c>
      <c r="U384" s="379">
        <v>1200</v>
      </c>
      <c r="V384" s="379" t="s">
        <v>52</v>
      </c>
      <c r="W384" s="380" t="s">
        <v>708</v>
      </c>
      <c r="X384" s="379" t="s">
        <v>147</v>
      </c>
    </row>
    <row r="385" spans="11:24" ht="25.8">
      <c r="K385"/>
      <c r="R385" s="382" t="s">
        <v>180</v>
      </c>
      <c r="S385" s="379" t="s">
        <v>61</v>
      </c>
      <c r="T385" s="379" t="s">
        <v>62</v>
      </c>
      <c r="U385" s="379">
        <v>1200</v>
      </c>
      <c r="V385" s="379" t="s">
        <v>52</v>
      </c>
      <c r="W385" s="380" t="s">
        <v>708</v>
      </c>
      <c r="X385" s="379" t="s">
        <v>147</v>
      </c>
    </row>
    <row r="386" spans="11:24" ht="25.8">
      <c r="K386"/>
      <c r="R386" s="379" t="s">
        <v>201</v>
      </c>
      <c r="S386" s="379" t="s">
        <v>61</v>
      </c>
      <c r="T386" s="379" t="s">
        <v>62</v>
      </c>
      <c r="U386" s="379">
        <v>1000</v>
      </c>
      <c r="V386" s="379" t="s">
        <v>52</v>
      </c>
      <c r="W386" s="380" t="s">
        <v>710</v>
      </c>
      <c r="X386" s="379" t="s">
        <v>1123</v>
      </c>
    </row>
    <row r="387" spans="11:24" ht="25.8">
      <c r="K387"/>
      <c r="R387" s="379" t="s">
        <v>204</v>
      </c>
      <c r="S387" s="379" t="s">
        <v>61</v>
      </c>
      <c r="T387" s="379" t="s">
        <v>62</v>
      </c>
      <c r="U387" s="379">
        <v>1000</v>
      </c>
      <c r="V387" s="379" t="s">
        <v>52</v>
      </c>
      <c r="W387" s="380" t="s">
        <v>710</v>
      </c>
      <c r="X387" s="379" t="s">
        <v>1123</v>
      </c>
    </row>
    <row r="388" spans="11:24" ht="25.8">
      <c r="K388"/>
      <c r="R388" s="379" t="s">
        <v>200</v>
      </c>
      <c r="S388" s="379" t="s">
        <v>61</v>
      </c>
      <c r="T388" s="379" t="s">
        <v>62</v>
      </c>
      <c r="U388" s="379">
        <v>1300</v>
      </c>
      <c r="V388" s="379" t="s">
        <v>52</v>
      </c>
      <c r="W388" s="380" t="s">
        <v>706</v>
      </c>
      <c r="X388" s="379" t="s">
        <v>1123</v>
      </c>
    </row>
    <row r="389" spans="11:24" ht="25.8">
      <c r="K389"/>
      <c r="R389" s="379" t="s">
        <v>200</v>
      </c>
      <c r="S389" s="379" t="s">
        <v>61</v>
      </c>
      <c r="T389" s="379" t="s">
        <v>62</v>
      </c>
      <c r="U389" s="379">
        <v>1000</v>
      </c>
      <c r="V389" s="379" t="s">
        <v>52</v>
      </c>
      <c r="W389" s="380" t="s">
        <v>706</v>
      </c>
      <c r="X389" s="379" t="s">
        <v>1123</v>
      </c>
    </row>
    <row r="390" spans="11:24" ht="25.8">
      <c r="K390"/>
      <c r="R390" s="379" t="s">
        <v>188</v>
      </c>
      <c r="S390" s="379" t="s">
        <v>61</v>
      </c>
      <c r="T390" s="379" t="s">
        <v>62</v>
      </c>
      <c r="U390" s="379">
        <v>1300</v>
      </c>
      <c r="V390" s="379" t="s">
        <v>52</v>
      </c>
      <c r="W390" s="380" t="s">
        <v>706</v>
      </c>
      <c r="X390" s="379" t="s">
        <v>1123</v>
      </c>
    </row>
    <row r="391" spans="11:24" ht="25.8">
      <c r="K391"/>
      <c r="R391" s="379" t="s">
        <v>188</v>
      </c>
      <c r="S391" s="379" t="s">
        <v>61</v>
      </c>
      <c r="T391" s="379" t="s">
        <v>62</v>
      </c>
      <c r="U391" s="379">
        <v>1000</v>
      </c>
      <c r="V391" s="379" t="s">
        <v>52</v>
      </c>
      <c r="W391" s="380" t="s">
        <v>706</v>
      </c>
      <c r="X391" s="379" t="s">
        <v>1123</v>
      </c>
    </row>
    <row r="392" spans="11:24" ht="25.8">
      <c r="K392"/>
      <c r="R392" s="379" t="s">
        <v>200</v>
      </c>
      <c r="S392" s="379" t="s">
        <v>61</v>
      </c>
      <c r="T392" s="379" t="s">
        <v>62</v>
      </c>
      <c r="U392" s="379">
        <v>1000</v>
      </c>
      <c r="V392" s="379" t="s">
        <v>52</v>
      </c>
      <c r="W392" s="380" t="s">
        <v>706</v>
      </c>
      <c r="X392" s="379" t="s">
        <v>1123</v>
      </c>
    </row>
    <row r="393" spans="11:24" ht="25.8">
      <c r="K393"/>
      <c r="R393" s="379" t="s">
        <v>188</v>
      </c>
      <c r="S393" s="379" t="s">
        <v>61</v>
      </c>
      <c r="T393" s="379" t="s">
        <v>62</v>
      </c>
      <c r="U393" s="379">
        <v>1000</v>
      </c>
      <c r="V393" s="379" t="s">
        <v>52</v>
      </c>
      <c r="W393" s="380" t="s">
        <v>706</v>
      </c>
      <c r="X393" s="379" t="s">
        <v>1123</v>
      </c>
    </row>
    <row r="394" spans="11:24" ht="25.8">
      <c r="K394"/>
      <c r="R394" s="379" t="s">
        <v>203</v>
      </c>
      <c r="S394" s="379" t="s">
        <v>61</v>
      </c>
      <c r="T394" s="379" t="s">
        <v>62</v>
      </c>
      <c r="U394" s="379">
        <v>1300</v>
      </c>
      <c r="V394" s="379" t="s">
        <v>52</v>
      </c>
      <c r="W394" s="380" t="s">
        <v>715</v>
      </c>
      <c r="X394" s="379" t="s">
        <v>1123</v>
      </c>
    </row>
    <row r="395" spans="11:24" ht="25.8">
      <c r="K395"/>
      <c r="R395" s="379" t="s">
        <v>205</v>
      </c>
      <c r="S395" s="379" t="s">
        <v>61</v>
      </c>
      <c r="T395" s="379" t="s">
        <v>62</v>
      </c>
      <c r="U395" s="379">
        <v>1300</v>
      </c>
      <c r="V395" s="379" t="s">
        <v>52</v>
      </c>
      <c r="W395" s="380" t="s">
        <v>715</v>
      </c>
      <c r="X395" s="379" t="s">
        <v>1123</v>
      </c>
    </row>
    <row r="396" spans="11:24" ht="25.8">
      <c r="K396"/>
      <c r="R396" s="379" t="s">
        <v>277</v>
      </c>
      <c r="S396" s="379" t="s">
        <v>61</v>
      </c>
      <c r="T396" s="384" t="s">
        <v>278</v>
      </c>
      <c r="U396" s="379">
        <v>1000</v>
      </c>
      <c r="V396" s="379" t="s">
        <v>57</v>
      </c>
      <c r="W396" s="380" t="s">
        <v>65</v>
      </c>
      <c r="X396" s="385" t="s">
        <v>279</v>
      </c>
    </row>
    <row r="397" spans="11:24" ht="25.8">
      <c r="K397"/>
      <c r="R397" s="379" t="s">
        <v>283</v>
      </c>
      <c r="S397" s="379" t="s">
        <v>61</v>
      </c>
      <c r="T397" s="379" t="s">
        <v>251</v>
      </c>
      <c r="U397" s="379">
        <v>1000</v>
      </c>
      <c r="V397" s="379" t="s">
        <v>52</v>
      </c>
      <c r="W397" s="380" t="s">
        <v>65</v>
      </c>
      <c r="X397" s="385" t="s">
        <v>279</v>
      </c>
    </row>
    <row r="398" spans="11:24" ht="25.8">
      <c r="K398"/>
      <c r="R398" s="379" t="s">
        <v>281</v>
      </c>
      <c r="S398" s="379" t="s">
        <v>61</v>
      </c>
      <c r="T398" s="384" t="s">
        <v>278</v>
      </c>
      <c r="U398" s="379">
        <v>1940</v>
      </c>
      <c r="V398" s="379" t="s">
        <v>57</v>
      </c>
      <c r="W398" s="380" t="s">
        <v>65</v>
      </c>
      <c r="X398" s="385" t="s">
        <v>279</v>
      </c>
    </row>
    <row r="399" spans="11:24" ht="25.8">
      <c r="K399"/>
      <c r="R399" s="379" t="s">
        <v>207</v>
      </c>
      <c r="S399" s="379" t="s">
        <v>61</v>
      </c>
      <c r="T399" s="379" t="s">
        <v>62</v>
      </c>
      <c r="U399" s="379">
        <v>1000</v>
      </c>
      <c r="V399" s="379" t="s">
        <v>52</v>
      </c>
      <c r="W399" s="380" t="s">
        <v>713</v>
      </c>
      <c r="X399" s="379" t="s">
        <v>1206</v>
      </c>
    </row>
    <row r="400" spans="11:24" ht="25.8">
      <c r="K400"/>
      <c r="R400" s="379" t="s">
        <v>207</v>
      </c>
      <c r="S400" s="379" t="s">
        <v>61</v>
      </c>
      <c r="T400" s="379" t="s">
        <v>62</v>
      </c>
      <c r="U400" s="379">
        <v>1000</v>
      </c>
      <c r="V400" s="379" t="s">
        <v>52</v>
      </c>
      <c r="W400" s="380" t="s">
        <v>713</v>
      </c>
      <c r="X400" s="379" t="s">
        <v>1206</v>
      </c>
    </row>
    <row r="401" spans="11:24" ht="25.8">
      <c r="K401"/>
      <c r="R401" s="379" t="s">
        <v>222</v>
      </c>
      <c r="S401" s="379" t="s">
        <v>61</v>
      </c>
      <c r="T401" s="379" t="s">
        <v>62</v>
      </c>
      <c r="U401" s="379">
        <v>953</v>
      </c>
      <c r="V401" s="379" t="s">
        <v>32</v>
      </c>
      <c r="W401" s="380" t="s">
        <v>65</v>
      </c>
      <c r="X401" s="379" t="s">
        <v>223</v>
      </c>
    </row>
    <row r="402" spans="11:24" ht="25.8">
      <c r="K402"/>
      <c r="R402" s="379" t="s">
        <v>398</v>
      </c>
      <c r="S402" s="379" t="s">
        <v>61</v>
      </c>
      <c r="T402" s="379" t="s">
        <v>251</v>
      </c>
      <c r="U402" s="379">
        <v>1204</v>
      </c>
      <c r="V402" s="379" t="s">
        <v>32</v>
      </c>
      <c r="W402" s="380" t="s">
        <v>713</v>
      </c>
      <c r="X402" s="379" t="s">
        <v>399</v>
      </c>
    </row>
    <row r="403" spans="11:24" ht="25.8">
      <c r="K403"/>
      <c r="R403" s="379" t="s">
        <v>398</v>
      </c>
      <c r="S403" s="379" t="s">
        <v>61</v>
      </c>
      <c r="T403" s="379" t="s">
        <v>251</v>
      </c>
      <c r="U403" s="379">
        <v>1204</v>
      </c>
      <c r="V403" s="379" t="s">
        <v>32</v>
      </c>
      <c r="W403" s="380" t="s">
        <v>713</v>
      </c>
      <c r="X403" s="379" t="s">
        <v>399</v>
      </c>
    </row>
    <row r="404" spans="11:24" ht="25.8">
      <c r="K404"/>
      <c r="R404" s="379" t="s">
        <v>401</v>
      </c>
      <c r="S404" s="379" t="s">
        <v>61</v>
      </c>
      <c r="T404" s="379" t="s">
        <v>251</v>
      </c>
      <c r="U404" s="379">
        <v>1313</v>
      </c>
      <c r="V404" s="379" t="s">
        <v>32</v>
      </c>
      <c r="W404" s="380" t="s">
        <v>713</v>
      </c>
      <c r="X404" s="379" t="s">
        <v>399</v>
      </c>
    </row>
    <row r="405" spans="11:24" ht="25.8">
      <c r="K405"/>
      <c r="R405" s="379" t="s">
        <v>401</v>
      </c>
      <c r="S405" s="379" t="s">
        <v>61</v>
      </c>
      <c r="T405" s="379" t="s">
        <v>251</v>
      </c>
      <c r="U405" s="379">
        <v>1313</v>
      </c>
      <c r="V405" s="379" t="s">
        <v>32</v>
      </c>
      <c r="W405" s="380" t="s">
        <v>713</v>
      </c>
      <c r="X405" s="379" t="s">
        <v>399</v>
      </c>
    </row>
    <row r="406" spans="11:24" ht="25.8">
      <c r="K406"/>
      <c r="R406" s="379" t="s">
        <v>402</v>
      </c>
      <c r="S406" s="379" t="s">
        <v>61</v>
      </c>
      <c r="T406" s="379" t="s">
        <v>251</v>
      </c>
      <c r="U406" s="379">
        <v>2272</v>
      </c>
      <c r="V406" s="379" t="s">
        <v>32</v>
      </c>
      <c r="W406" s="380" t="s">
        <v>713</v>
      </c>
      <c r="X406" s="379" t="s">
        <v>399</v>
      </c>
    </row>
    <row r="407" spans="11:24" ht="25.8">
      <c r="K407"/>
      <c r="R407" s="379" t="s">
        <v>403</v>
      </c>
      <c r="S407" s="379" t="s">
        <v>61</v>
      </c>
      <c r="T407" s="379" t="s">
        <v>251</v>
      </c>
      <c r="U407" s="379">
        <v>1368</v>
      </c>
      <c r="V407" s="379" t="s">
        <v>32</v>
      </c>
      <c r="W407" s="380" t="s">
        <v>713</v>
      </c>
      <c r="X407" s="379" t="s">
        <v>399</v>
      </c>
    </row>
    <row r="408" spans="11:24" ht="25.8">
      <c r="K408"/>
      <c r="R408" s="379" t="s">
        <v>402</v>
      </c>
      <c r="S408" s="379" t="s">
        <v>61</v>
      </c>
      <c r="T408" s="379" t="s">
        <v>251</v>
      </c>
      <c r="U408" s="379">
        <v>2272</v>
      </c>
      <c r="V408" s="379" t="s">
        <v>32</v>
      </c>
      <c r="W408" s="380" t="s">
        <v>713</v>
      </c>
      <c r="X408" s="379" t="s">
        <v>399</v>
      </c>
    </row>
    <row r="409" spans="11:24" ht="25.8">
      <c r="K409"/>
      <c r="R409" s="379" t="s">
        <v>403</v>
      </c>
      <c r="S409" s="379" t="s">
        <v>61</v>
      </c>
      <c r="T409" s="379" t="s">
        <v>251</v>
      </c>
      <c r="U409" s="379">
        <v>1368</v>
      </c>
      <c r="V409" s="379" t="s">
        <v>32</v>
      </c>
      <c r="W409" s="380" t="s">
        <v>713</v>
      </c>
      <c r="X409" s="379" t="s">
        <v>399</v>
      </c>
    </row>
    <row r="410" spans="11:24" ht="25.8">
      <c r="K410"/>
      <c r="R410" s="379" t="s">
        <v>404</v>
      </c>
      <c r="S410" s="379" t="s">
        <v>61</v>
      </c>
      <c r="T410" s="379" t="s">
        <v>251</v>
      </c>
      <c r="U410" s="379">
        <v>914</v>
      </c>
      <c r="V410" s="379" t="s">
        <v>32</v>
      </c>
      <c r="W410" s="380" t="s">
        <v>713</v>
      </c>
      <c r="X410" s="379" t="s">
        <v>399</v>
      </c>
    </row>
    <row r="411" spans="11:24" ht="25.8">
      <c r="K411"/>
      <c r="R411" s="379" t="s">
        <v>404</v>
      </c>
      <c r="S411" s="379" t="s">
        <v>61</v>
      </c>
      <c r="T411" s="379" t="s">
        <v>251</v>
      </c>
      <c r="U411" s="379">
        <v>914</v>
      </c>
      <c r="V411" s="379" t="s">
        <v>32</v>
      </c>
      <c r="W411" s="380" t="s">
        <v>713</v>
      </c>
      <c r="X411" s="379" t="s">
        <v>399</v>
      </c>
    </row>
    <row r="412" spans="11:24" ht="25.8">
      <c r="K412"/>
      <c r="R412" s="379" t="s">
        <v>405</v>
      </c>
      <c r="S412" s="379" t="s">
        <v>61</v>
      </c>
      <c r="T412" s="379" t="s">
        <v>251</v>
      </c>
      <c r="U412" s="379">
        <v>774</v>
      </c>
      <c r="V412" s="379" t="s">
        <v>32</v>
      </c>
      <c r="W412" s="380" t="s">
        <v>713</v>
      </c>
      <c r="X412" s="379" t="s">
        <v>399</v>
      </c>
    </row>
    <row r="413" spans="11:24" ht="25.8">
      <c r="K413"/>
      <c r="R413" s="379" t="s">
        <v>405</v>
      </c>
      <c r="S413" s="379" t="s">
        <v>61</v>
      </c>
      <c r="T413" s="379" t="s">
        <v>251</v>
      </c>
      <c r="U413" s="379">
        <v>774</v>
      </c>
      <c r="V413" s="379" t="s">
        <v>32</v>
      </c>
      <c r="W413" s="380" t="s">
        <v>713</v>
      </c>
      <c r="X413" s="379" t="s">
        <v>399</v>
      </c>
    </row>
    <row r="414" spans="11:24" ht="25.8">
      <c r="K414"/>
      <c r="R414" s="379" t="s">
        <v>406</v>
      </c>
      <c r="S414" s="379" t="s">
        <v>61</v>
      </c>
      <c r="T414" s="379" t="s">
        <v>251</v>
      </c>
      <c r="U414" s="379">
        <v>1945</v>
      </c>
      <c r="V414" s="379" t="s">
        <v>32</v>
      </c>
      <c r="W414" s="380" t="s">
        <v>713</v>
      </c>
      <c r="X414" s="379" t="s">
        <v>399</v>
      </c>
    </row>
    <row r="415" spans="11:24" ht="25.8">
      <c r="K415"/>
      <c r="R415" s="379" t="s">
        <v>407</v>
      </c>
      <c r="S415" s="379" t="s">
        <v>61</v>
      </c>
      <c r="T415" s="379" t="s">
        <v>251</v>
      </c>
      <c r="U415" s="379">
        <v>1165</v>
      </c>
      <c r="V415" s="379" t="s">
        <v>32</v>
      </c>
      <c r="W415" s="380" t="s">
        <v>713</v>
      </c>
      <c r="X415" s="379" t="s">
        <v>399</v>
      </c>
    </row>
    <row r="416" spans="11:24" ht="25.8">
      <c r="K416"/>
      <c r="R416" s="379" t="s">
        <v>406</v>
      </c>
      <c r="S416" s="379" t="s">
        <v>61</v>
      </c>
      <c r="T416" s="379" t="s">
        <v>251</v>
      </c>
      <c r="U416" s="379">
        <v>1945</v>
      </c>
      <c r="V416" s="379" t="s">
        <v>32</v>
      </c>
      <c r="W416" s="380" t="s">
        <v>713</v>
      </c>
      <c r="X416" s="379" t="s">
        <v>399</v>
      </c>
    </row>
    <row r="417" spans="11:24" ht="25.8">
      <c r="K417"/>
      <c r="R417" s="379" t="s">
        <v>407</v>
      </c>
      <c r="S417" s="379" t="s">
        <v>61</v>
      </c>
      <c r="T417" s="379" t="s">
        <v>251</v>
      </c>
      <c r="U417" s="379">
        <v>1165</v>
      </c>
      <c r="V417" s="379" t="s">
        <v>32</v>
      </c>
      <c r="W417" s="380" t="s">
        <v>713</v>
      </c>
      <c r="X417" s="379" t="s">
        <v>399</v>
      </c>
    </row>
    <row r="418" spans="11:24">
      <c r="K418"/>
      <c r="R418" s="384" t="s">
        <v>226</v>
      </c>
      <c r="S418" s="384" t="s">
        <v>61</v>
      </c>
      <c r="T418" s="384" t="s">
        <v>62</v>
      </c>
      <c r="U418" s="384">
        <v>1000</v>
      </c>
      <c r="V418" s="384" t="s">
        <v>52</v>
      </c>
      <c r="W418" s="380" t="s">
        <v>1269</v>
      </c>
      <c r="X418" s="384" t="s">
        <v>227</v>
      </c>
    </row>
    <row r="419" spans="11:24">
      <c r="K419"/>
      <c r="R419" s="384" t="s">
        <v>229</v>
      </c>
      <c r="S419" s="384" t="s">
        <v>61</v>
      </c>
      <c r="T419" s="384" t="s">
        <v>62</v>
      </c>
      <c r="U419" s="384">
        <v>1000</v>
      </c>
      <c r="V419" s="384" t="s">
        <v>52</v>
      </c>
      <c r="W419" s="380" t="s">
        <v>1269</v>
      </c>
      <c r="X419" s="384" t="s">
        <v>227</v>
      </c>
    </row>
    <row r="420" spans="11:24" ht="38.700000000000003">
      <c r="K420"/>
      <c r="R420" s="379" t="s">
        <v>818</v>
      </c>
      <c r="S420" s="379" t="s">
        <v>30</v>
      </c>
      <c r="T420" s="379" t="s">
        <v>815</v>
      </c>
      <c r="U420" s="379">
        <v>38000</v>
      </c>
      <c r="V420" s="379" t="s">
        <v>57</v>
      </c>
      <c r="W420" s="380" t="s">
        <v>706</v>
      </c>
      <c r="X420" s="379" t="s">
        <v>248</v>
      </c>
    </row>
    <row r="421" spans="11:24" ht="25.8">
      <c r="K421"/>
      <c r="R421" s="379" t="s">
        <v>81</v>
      </c>
      <c r="S421" s="379" t="s">
        <v>61</v>
      </c>
      <c r="T421" s="379" t="s">
        <v>62</v>
      </c>
      <c r="U421" s="379" t="s">
        <v>81</v>
      </c>
      <c r="V421" s="379" t="s">
        <v>52</v>
      </c>
      <c r="W421" s="380" t="s">
        <v>65</v>
      </c>
      <c r="X421" s="379" t="s">
        <v>249</v>
      </c>
    </row>
    <row r="422" spans="11:24" ht="25.8">
      <c r="K422"/>
      <c r="R422" s="379" t="s">
        <v>81</v>
      </c>
      <c r="S422" s="379" t="s">
        <v>61</v>
      </c>
      <c r="T422" s="379" t="s">
        <v>251</v>
      </c>
      <c r="U422" s="379" t="s">
        <v>81</v>
      </c>
      <c r="V422" s="379" t="s">
        <v>52</v>
      </c>
      <c r="W422" s="380" t="s">
        <v>65</v>
      </c>
      <c r="X422" s="379" t="s">
        <v>249</v>
      </c>
    </row>
    <row r="423" spans="11:24" ht="25.8">
      <c r="K423"/>
      <c r="R423" s="379" t="s">
        <v>81</v>
      </c>
      <c r="S423" s="379" t="s">
        <v>61</v>
      </c>
      <c r="T423" s="379" t="s">
        <v>107</v>
      </c>
      <c r="U423" s="379" t="s">
        <v>81</v>
      </c>
      <c r="V423" s="379" t="s">
        <v>52</v>
      </c>
      <c r="W423" s="380" t="s">
        <v>65</v>
      </c>
      <c r="X423" s="379" t="s">
        <v>249</v>
      </c>
    </row>
    <row r="424" spans="11:24" ht="25.8">
      <c r="K424"/>
      <c r="R424" s="379" t="s">
        <v>253</v>
      </c>
      <c r="S424" s="379" t="s">
        <v>61</v>
      </c>
      <c r="T424" s="379" t="s">
        <v>62</v>
      </c>
      <c r="U424" s="379">
        <v>1160</v>
      </c>
      <c r="V424" s="379" t="s">
        <v>32</v>
      </c>
      <c r="W424" s="380" t="s">
        <v>1269</v>
      </c>
      <c r="X424" s="379" t="s">
        <v>1126</v>
      </c>
    </row>
    <row r="425" spans="11:24" ht="25.8">
      <c r="K425"/>
      <c r="R425" s="379" t="s">
        <v>253</v>
      </c>
      <c r="S425" s="379" t="s">
        <v>61</v>
      </c>
      <c r="T425" s="379" t="s">
        <v>62</v>
      </c>
      <c r="U425" s="379">
        <v>1160</v>
      </c>
      <c r="V425" s="379" t="s">
        <v>52</v>
      </c>
      <c r="W425" s="380" t="s">
        <v>1269</v>
      </c>
      <c r="X425" s="379" t="s">
        <v>1126</v>
      </c>
    </row>
    <row r="426" spans="11:24" ht="51.6">
      <c r="K426"/>
      <c r="R426" s="379" t="s">
        <v>488</v>
      </c>
      <c r="S426" s="379" t="s">
        <v>470</v>
      </c>
      <c r="T426" s="379" t="s">
        <v>1285</v>
      </c>
      <c r="U426" s="379">
        <v>383.1</v>
      </c>
      <c r="V426" s="379" t="s">
        <v>754</v>
      </c>
      <c r="W426" s="380" t="s">
        <v>1269</v>
      </c>
      <c r="X426" s="379" t="s">
        <v>486</v>
      </c>
    </row>
    <row r="427" spans="11:24" ht="51.6">
      <c r="K427"/>
      <c r="R427" s="379" t="s">
        <v>492</v>
      </c>
      <c r="S427" s="379" t="s">
        <v>470</v>
      </c>
      <c r="T427" s="379" t="s">
        <v>1285</v>
      </c>
      <c r="U427" s="379">
        <v>814.4</v>
      </c>
      <c r="V427" s="379" t="s">
        <v>754</v>
      </c>
      <c r="W427" s="380" t="s">
        <v>1269</v>
      </c>
      <c r="X427" s="379" t="s">
        <v>486</v>
      </c>
    </row>
    <row r="428" spans="11:24" ht="51.6">
      <c r="K428"/>
      <c r="R428" s="379" t="s">
        <v>492</v>
      </c>
      <c r="S428" s="379" t="s">
        <v>470</v>
      </c>
      <c r="T428" s="379" t="s">
        <v>1285</v>
      </c>
      <c r="U428" s="379">
        <v>814.4</v>
      </c>
      <c r="V428" s="379" t="s">
        <v>754</v>
      </c>
      <c r="W428" s="380" t="s">
        <v>1269</v>
      </c>
      <c r="X428" s="379" t="s">
        <v>486</v>
      </c>
    </row>
    <row r="429" spans="11:24" ht="51.6">
      <c r="K429"/>
      <c r="R429" s="379" t="s">
        <v>488</v>
      </c>
      <c r="S429" s="379" t="s">
        <v>470</v>
      </c>
      <c r="T429" s="379" t="s">
        <v>1285</v>
      </c>
      <c r="U429" s="379">
        <v>383.1</v>
      </c>
      <c r="V429" s="379" t="s">
        <v>754</v>
      </c>
      <c r="W429" s="380" t="s">
        <v>1269</v>
      </c>
      <c r="X429" s="379" t="s">
        <v>486</v>
      </c>
    </row>
    <row r="430" spans="11:24" ht="51.6">
      <c r="K430"/>
      <c r="R430" s="379" t="s">
        <v>488</v>
      </c>
      <c r="S430" s="379" t="s">
        <v>470</v>
      </c>
      <c r="T430" s="379" t="s">
        <v>1285</v>
      </c>
      <c r="U430" s="379">
        <v>383.1</v>
      </c>
      <c r="V430" s="379" t="s">
        <v>754</v>
      </c>
      <c r="W430" s="380" t="s">
        <v>1269</v>
      </c>
      <c r="X430" s="379" t="s">
        <v>486</v>
      </c>
    </row>
    <row r="431" spans="11:24" ht="51.6">
      <c r="K431"/>
      <c r="R431" s="379" t="s">
        <v>492</v>
      </c>
      <c r="S431" s="379" t="s">
        <v>470</v>
      </c>
      <c r="T431" s="379" t="s">
        <v>1285</v>
      </c>
      <c r="U431" s="379">
        <v>814.4</v>
      </c>
      <c r="V431" s="379" t="s">
        <v>754</v>
      </c>
      <c r="W431" s="380" t="s">
        <v>1269</v>
      </c>
      <c r="X431" s="379" t="s">
        <v>486</v>
      </c>
    </row>
    <row r="432" spans="11:24">
      <c r="K432"/>
      <c r="R432" s="379" t="s">
        <v>264</v>
      </c>
      <c r="S432" s="379" t="s">
        <v>61</v>
      </c>
      <c r="T432" s="379" t="s">
        <v>62</v>
      </c>
      <c r="U432" s="379">
        <v>1000</v>
      </c>
      <c r="V432" s="379" t="s">
        <v>57</v>
      </c>
      <c r="W432" s="380" t="s">
        <v>65</v>
      </c>
      <c r="X432" s="379" t="s">
        <v>262</v>
      </c>
    </row>
    <row r="433" spans="11:24">
      <c r="K433"/>
      <c r="R433" s="379" t="s">
        <v>265</v>
      </c>
      <c r="S433" s="379" t="s">
        <v>61</v>
      </c>
      <c r="T433" s="379" t="s">
        <v>62</v>
      </c>
      <c r="U433" s="379">
        <v>1600</v>
      </c>
      <c r="V433" s="379" t="s">
        <v>57</v>
      </c>
      <c r="W433" s="380" t="s">
        <v>65</v>
      </c>
      <c r="X433" s="379" t="s">
        <v>262</v>
      </c>
    </row>
    <row r="434" spans="11:24">
      <c r="K434"/>
      <c r="R434" s="379" t="s">
        <v>686</v>
      </c>
      <c r="S434" s="379" t="s">
        <v>61</v>
      </c>
      <c r="T434" s="379" t="s">
        <v>62</v>
      </c>
      <c r="U434" s="379">
        <v>1000</v>
      </c>
      <c r="V434" s="379" t="s">
        <v>57</v>
      </c>
      <c r="W434" s="380" t="s">
        <v>65</v>
      </c>
      <c r="X434" s="379" t="s">
        <v>262</v>
      </c>
    </row>
    <row r="435" spans="11:24">
      <c r="K435"/>
      <c r="R435" s="379" t="s">
        <v>687</v>
      </c>
      <c r="S435" s="379" t="s">
        <v>61</v>
      </c>
      <c r="T435" s="379" t="s">
        <v>62</v>
      </c>
      <c r="U435" s="379">
        <v>1420</v>
      </c>
      <c r="V435" s="379" t="s">
        <v>57</v>
      </c>
      <c r="W435" s="380" t="s">
        <v>65</v>
      </c>
      <c r="X435" s="379" t="s">
        <v>262</v>
      </c>
    </row>
    <row r="436" spans="11:24" ht="25.8">
      <c r="K436"/>
      <c r="R436" s="379" t="s">
        <v>286</v>
      </c>
      <c r="S436" s="379" t="s">
        <v>61</v>
      </c>
      <c r="T436" s="384" t="s">
        <v>278</v>
      </c>
      <c r="U436" s="379">
        <v>1604</v>
      </c>
      <c r="V436" s="379" t="s">
        <v>57</v>
      </c>
      <c r="W436" s="380" t="s">
        <v>1257</v>
      </c>
      <c r="X436" s="379" t="s">
        <v>287</v>
      </c>
    </row>
    <row r="437" spans="11:24" ht="25.8">
      <c r="K437"/>
      <c r="R437" s="379" t="s">
        <v>286</v>
      </c>
      <c r="S437" s="379" t="s">
        <v>61</v>
      </c>
      <c r="T437" s="384" t="s">
        <v>278</v>
      </c>
      <c r="U437" s="379">
        <v>1601</v>
      </c>
      <c r="V437" s="379" t="s">
        <v>57</v>
      </c>
      <c r="W437" s="380" t="s">
        <v>1258</v>
      </c>
      <c r="X437" s="379" t="s">
        <v>287</v>
      </c>
    </row>
    <row r="438" spans="11:24" ht="25.8">
      <c r="K438"/>
      <c r="R438" s="379" t="s">
        <v>286</v>
      </c>
      <c r="S438" s="379" t="s">
        <v>61</v>
      </c>
      <c r="T438" s="384" t="s">
        <v>278</v>
      </c>
      <c r="U438" s="379">
        <v>1598</v>
      </c>
      <c r="V438" s="379" t="s">
        <v>57</v>
      </c>
      <c r="W438" s="380" t="s">
        <v>1259</v>
      </c>
      <c r="X438" s="379" t="s">
        <v>287</v>
      </c>
    </row>
    <row r="439" spans="11:24" ht="25.8">
      <c r="K439"/>
      <c r="R439" s="379" t="s">
        <v>286</v>
      </c>
      <c r="S439" s="379" t="s">
        <v>61</v>
      </c>
      <c r="T439" s="384" t="s">
        <v>278</v>
      </c>
      <c r="U439" s="379">
        <v>1598</v>
      </c>
      <c r="V439" s="379" t="s">
        <v>57</v>
      </c>
      <c r="W439" s="380" t="s">
        <v>1260</v>
      </c>
      <c r="X439" s="379" t="s">
        <v>287</v>
      </c>
    </row>
    <row r="440" spans="11:24" ht="25.8">
      <c r="K440"/>
      <c r="R440" s="379" t="s">
        <v>293</v>
      </c>
      <c r="S440" s="379" t="s">
        <v>61</v>
      </c>
      <c r="T440" s="379" t="s">
        <v>62</v>
      </c>
      <c r="U440" s="379">
        <v>1000</v>
      </c>
      <c r="V440" s="379" t="s">
        <v>52</v>
      </c>
      <c r="W440" s="380" t="s">
        <v>65</v>
      </c>
      <c r="X440" s="379" t="s">
        <v>294</v>
      </c>
    </row>
    <row r="441" spans="11:24" ht="25.8">
      <c r="K441"/>
      <c r="R441" s="379" t="s">
        <v>296</v>
      </c>
      <c r="S441" s="379" t="s">
        <v>61</v>
      </c>
      <c r="T441" s="379" t="s">
        <v>297</v>
      </c>
      <c r="U441" s="379">
        <v>1000</v>
      </c>
      <c r="V441" s="379" t="s">
        <v>52</v>
      </c>
      <c r="W441" s="380" t="s">
        <v>65</v>
      </c>
      <c r="X441" s="379" t="s">
        <v>294</v>
      </c>
    </row>
    <row r="442" spans="11:24" ht="25.8">
      <c r="K442"/>
      <c r="R442" s="379" t="s">
        <v>298</v>
      </c>
      <c r="S442" s="379" t="s">
        <v>61</v>
      </c>
      <c r="T442" s="379" t="s">
        <v>251</v>
      </c>
      <c r="U442" s="379">
        <v>1000</v>
      </c>
      <c r="V442" s="379" t="s">
        <v>52</v>
      </c>
      <c r="W442" s="380" t="s">
        <v>65</v>
      </c>
      <c r="X442" s="379" t="s">
        <v>294</v>
      </c>
    </row>
    <row r="443" spans="11:24" ht="25.8">
      <c r="K443"/>
      <c r="R443" s="379" t="s">
        <v>299</v>
      </c>
      <c r="S443" s="379" t="s">
        <v>61</v>
      </c>
      <c r="T443" s="379" t="s">
        <v>251</v>
      </c>
      <c r="U443" s="379">
        <v>1000</v>
      </c>
      <c r="V443" s="379" t="s">
        <v>52</v>
      </c>
      <c r="W443" s="380" t="s">
        <v>65</v>
      </c>
      <c r="X443" s="379" t="s">
        <v>294</v>
      </c>
    </row>
    <row r="444" spans="11:24" ht="25.8">
      <c r="K444"/>
      <c r="R444" s="379" t="s">
        <v>112</v>
      </c>
      <c r="S444" s="379" t="s">
        <v>61</v>
      </c>
      <c r="T444" s="379" t="s">
        <v>113</v>
      </c>
      <c r="U444" s="379">
        <v>1000</v>
      </c>
      <c r="V444" s="379" t="s">
        <v>52</v>
      </c>
      <c r="W444" s="380" t="s">
        <v>65</v>
      </c>
      <c r="X444" s="379" t="s">
        <v>294</v>
      </c>
    </row>
    <row r="445" spans="11:24" ht="25.8">
      <c r="K445"/>
      <c r="R445" s="379" t="s">
        <v>300</v>
      </c>
      <c r="S445" s="379" t="s">
        <v>61</v>
      </c>
      <c r="T445" s="379" t="s">
        <v>113</v>
      </c>
      <c r="U445" s="379">
        <v>1000</v>
      </c>
      <c r="V445" s="379" t="s">
        <v>52</v>
      </c>
      <c r="W445" s="380" t="s">
        <v>65</v>
      </c>
      <c r="X445" s="379" t="s">
        <v>294</v>
      </c>
    </row>
    <row r="446" spans="11:24" ht="25.8">
      <c r="K446"/>
      <c r="R446" s="379" t="s">
        <v>114</v>
      </c>
      <c r="S446" s="379" t="s">
        <v>61</v>
      </c>
      <c r="T446" s="379" t="s">
        <v>62</v>
      </c>
      <c r="U446" s="379">
        <v>1000</v>
      </c>
      <c r="V446" s="379" t="s">
        <v>52</v>
      </c>
      <c r="W446" s="380" t="s">
        <v>65</v>
      </c>
      <c r="X446" s="379" t="s">
        <v>294</v>
      </c>
    </row>
    <row r="447" spans="11:24" ht="25.8">
      <c r="K447"/>
      <c r="R447" s="379" t="s">
        <v>126</v>
      </c>
      <c r="S447" s="379" t="s">
        <v>61</v>
      </c>
      <c r="T447" s="379" t="s">
        <v>62</v>
      </c>
      <c r="U447" s="379">
        <v>1000</v>
      </c>
      <c r="V447" s="379" t="s">
        <v>52</v>
      </c>
      <c r="W447" s="380" t="s">
        <v>65</v>
      </c>
      <c r="X447" s="379" t="s">
        <v>294</v>
      </c>
    </row>
    <row r="448" spans="11:24" ht="25.8">
      <c r="K448"/>
      <c r="R448" s="379" t="s">
        <v>301</v>
      </c>
      <c r="S448" s="379" t="s">
        <v>61</v>
      </c>
      <c r="T448" s="379" t="s">
        <v>62</v>
      </c>
      <c r="U448" s="379">
        <v>1000</v>
      </c>
      <c r="V448" s="379" t="s">
        <v>52</v>
      </c>
      <c r="W448" s="380" t="s">
        <v>65</v>
      </c>
      <c r="X448" s="379" t="s">
        <v>294</v>
      </c>
    </row>
    <row r="449" spans="11:24" ht="25.8">
      <c r="K449"/>
      <c r="R449" s="379" t="s">
        <v>304</v>
      </c>
      <c r="S449" s="379" t="s">
        <v>61</v>
      </c>
      <c r="T449" s="379" t="s">
        <v>62</v>
      </c>
      <c r="U449" s="379">
        <v>1000</v>
      </c>
      <c r="V449" s="379" t="s">
        <v>52</v>
      </c>
      <c r="W449" s="380" t="s">
        <v>65</v>
      </c>
      <c r="X449" s="379" t="s">
        <v>294</v>
      </c>
    </row>
    <row r="450" spans="11:24" ht="38.700000000000003">
      <c r="K450"/>
      <c r="R450" s="379" t="s">
        <v>81</v>
      </c>
      <c r="S450" s="379" t="s">
        <v>61</v>
      </c>
      <c r="T450" s="379" t="s">
        <v>62</v>
      </c>
      <c r="U450" s="379">
        <v>1000</v>
      </c>
      <c r="V450" s="379" t="s">
        <v>32</v>
      </c>
      <c r="W450" s="380" t="s">
        <v>716</v>
      </c>
      <c r="X450" s="379" t="s">
        <v>311</v>
      </c>
    </row>
    <row r="451" spans="11:24" ht="25.8">
      <c r="K451"/>
      <c r="R451" s="379" t="s">
        <v>325</v>
      </c>
      <c r="S451" s="379" t="s">
        <v>61</v>
      </c>
      <c r="T451" s="379" t="s">
        <v>326</v>
      </c>
      <c r="U451" s="379">
        <v>1100</v>
      </c>
      <c r="V451" s="379" t="s">
        <v>52</v>
      </c>
      <c r="W451" s="380" t="s">
        <v>710</v>
      </c>
      <c r="X451" s="379" t="s">
        <v>327</v>
      </c>
    </row>
    <row r="452" spans="11:24" ht="25.8">
      <c r="K452"/>
      <c r="R452" s="379" t="s">
        <v>330</v>
      </c>
      <c r="S452" s="379" t="s">
        <v>61</v>
      </c>
      <c r="T452" s="379" t="s">
        <v>62</v>
      </c>
      <c r="U452" s="379">
        <v>190</v>
      </c>
      <c r="V452" s="379" t="s">
        <v>32</v>
      </c>
      <c r="W452" s="380" t="s">
        <v>711</v>
      </c>
      <c r="X452" s="379" t="s">
        <v>331</v>
      </c>
    </row>
    <row r="453" spans="11:24" ht="25.8">
      <c r="K453"/>
      <c r="R453" s="379" t="s">
        <v>335</v>
      </c>
      <c r="S453" s="379" t="s">
        <v>61</v>
      </c>
      <c r="T453" s="379" t="s">
        <v>62</v>
      </c>
      <c r="U453" s="379">
        <v>250</v>
      </c>
      <c r="V453" s="382" t="s">
        <v>57</v>
      </c>
      <c r="W453" s="380" t="s">
        <v>711</v>
      </c>
      <c r="X453" s="379" t="s">
        <v>331</v>
      </c>
    </row>
    <row r="454" spans="11:24" ht="25.8">
      <c r="K454"/>
      <c r="R454" s="379" t="s">
        <v>337</v>
      </c>
      <c r="S454" s="379" t="s">
        <v>61</v>
      </c>
      <c r="T454" s="379" t="s">
        <v>62</v>
      </c>
      <c r="U454" s="379">
        <v>500</v>
      </c>
      <c r="V454" s="379" t="s">
        <v>32</v>
      </c>
      <c r="W454" s="380" t="s">
        <v>711</v>
      </c>
      <c r="X454" s="379" t="s">
        <v>331</v>
      </c>
    </row>
    <row r="455" spans="11:24" ht="25.8">
      <c r="K455"/>
      <c r="R455" s="379" t="s">
        <v>340</v>
      </c>
      <c r="S455" s="379" t="s">
        <v>61</v>
      </c>
      <c r="T455" s="379" t="s">
        <v>62</v>
      </c>
      <c r="U455" s="379">
        <v>500</v>
      </c>
      <c r="V455" s="382" t="s">
        <v>57</v>
      </c>
      <c r="W455" s="380" t="s">
        <v>711</v>
      </c>
      <c r="X455" s="379" t="s">
        <v>331</v>
      </c>
    </row>
    <row r="456" spans="11:24" ht="25.8">
      <c r="K456"/>
      <c r="R456" s="379" t="s">
        <v>342</v>
      </c>
      <c r="S456" s="379" t="s">
        <v>61</v>
      </c>
      <c r="T456" s="379" t="s">
        <v>62</v>
      </c>
      <c r="U456" s="379">
        <v>500</v>
      </c>
      <c r="V456" s="379" t="s">
        <v>32</v>
      </c>
      <c r="W456" s="380" t="s">
        <v>711</v>
      </c>
      <c r="X456" s="379" t="s">
        <v>331</v>
      </c>
    </row>
    <row r="457" spans="11:24" ht="25.8">
      <c r="K457"/>
      <c r="R457" s="379" t="s">
        <v>343</v>
      </c>
      <c r="S457" s="379" t="s">
        <v>61</v>
      </c>
      <c r="T457" s="379" t="s">
        <v>62</v>
      </c>
      <c r="U457" s="379">
        <v>1500</v>
      </c>
      <c r="V457" s="379" t="s">
        <v>57</v>
      </c>
      <c r="W457" s="380" t="s">
        <v>712</v>
      </c>
      <c r="X457" s="379" t="s">
        <v>344</v>
      </c>
    </row>
    <row r="458" spans="11:24" ht="25.8">
      <c r="K458"/>
      <c r="R458" s="379" t="s">
        <v>343</v>
      </c>
      <c r="S458" s="379" t="s">
        <v>61</v>
      </c>
      <c r="T458" s="379" t="s">
        <v>62</v>
      </c>
      <c r="U458" s="379">
        <v>1500</v>
      </c>
      <c r="V458" s="379" t="s">
        <v>52</v>
      </c>
      <c r="W458" s="380" t="s">
        <v>712</v>
      </c>
      <c r="X458" s="379" t="s">
        <v>344</v>
      </c>
    </row>
    <row r="459" spans="11:24" ht="25.8">
      <c r="K459"/>
      <c r="R459" s="379" t="s">
        <v>347</v>
      </c>
      <c r="S459" s="379" t="s">
        <v>61</v>
      </c>
      <c r="T459" s="379" t="s">
        <v>62</v>
      </c>
      <c r="U459" s="379">
        <v>1500</v>
      </c>
      <c r="V459" s="379" t="s">
        <v>57</v>
      </c>
      <c r="W459" s="380" t="s">
        <v>708</v>
      </c>
      <c r="X459" s="379" t="s">
        <v>344</v>
      </c>
    </row>
    <row r="460" spans="11:24" ht="25.8">
      <c r="K460"/>
      <c r="R460" s="379" t="s">
        <v>347</v>
      </c>
      <c r="S460" s="379" t="s">
        <v>61</v>
      </c>
      <c r="T460" s="379" t="s">
        <v>62</v>
      </c>
      <c r="U460" s="379">
        <v>1500</v>
      </c>
      <c r="V460" s="379" t="s">
        <v>52</v>
      </c>
      <c r="W460" s="380" t="s">
        <v>708</v>
      </c>
      <c r="X460" s="379" t="s">
        <v>344</v>
      </c>
    </row>
    <row r="461" spans="11:24" ht="25.8">
      <c r="K461"/>
      <c r="R461" s="379" t="s">
        <v>357</v>
      </c>
      <c r="S461" s="379" t="s">
        <v>61</v>
      </c>
      <c r="T461" s="379" t="s">
        <v>62</v>
      </c>
      <c r="U461" s="379">
        <v>1546</v>
      </c>
      <c r="V461" s="379" t="s">
        <v>52</v>
      </c>
      <c r="W461" s="380" t="s">
        <v>65</v>
      </c>
      <c r="X461" s="379" t="s">
        <v>358</v>
      </c>
    </row>
    <row r="462" spans="11:24" ht="25.8">
      <c r="K462"/>
      <c r="R462" s="379" t="s">
        <v>359</v>
      </c>
      <c r="S462" s="379" t="s">
        <v>61</v>
      </c>
      <c r="T462" s="379" t="s">
        <v>62</v>
      </c>
      <c r="U462" s="379">
        <v>1546</v>
      </c>
      <c r="V462" s="379" t="s">
        <v>32</v>
      </c>
      <c r="W462" s="380" t="s">
        <v>65</v>
      </c>
      <c r="X462" s="379" t="s">
        <v>358</v>
      </c>
    </row>
    <row r="463" spans="11:24" ht="25.8">
      <c r="K463"/>
      <c r="R463" s="379" t="s">
        <v>360</v>
      </c>
      <c r="S463" s="379" t="s">
        <v>61</v>
      </c>
      <c r="T463" s="379" t="s">
        <v>62</v>
      </c>
      <c r="U463" s="379">
        <v>1500</v>
      </c>
      <c r="V463" s="379" t="s">
        <v>52</v>
      </c>
      <c r="W463" s="380" t="s">
        <v>65</v>
      </c>
      <c r="X463" s="379" t="s">
        <v>358</v>
      </c>
    </row>
    <row r="464" spans="11:24" ht="25.8">
      <c r="K464"/>
      <c r="R464" s="379" t="s">
        <v>361</v>
      </c>
      <c r="S464" s="379" t="s">
        <v>61</v>
      </c>
      <c r="T464" s="379" t="s">
        <v>62</v>
      </c>
      <c r="U464" s="379">
        <v>1500</v>
      </c>
      <c r="V464" s="379" t="s">
        <v>32</v>
      </c>
      <c r="W464" s="380" t="s">
        <v>65</v>
      </c>
      <c r="X464" s="379" t="s">
        <v>358</v>
      </c>
    </row>
    <row r="465" spans="11:24" ht="25.8">
      <c r="K465"/>
      <c r="R465" s="379" t="s">
        <v>362</v>
      </c>
      <c r="S465" s="379" t="s">
        <v>61</v>
      </c>
      <c r="T465" s="379" t="s">
        <v>62</v>
      </c>
      <c r="U465" s="379">
        <v>1332</v>
      </c>
      <c r="V465" s="379" t="s">
        <v>52</v>
      </c>
      <c r="W465" s="380" t="s">
        <v>65</v>
      </c>
      <c r="X465" s="379" t="s">
        <v>358</v>
      </c>
    </row>
    <row r="466" spans="11:24" ht="25.8">
      <c r="K466"/>
      <c r="R466" s="379" t="s">
        <v>363</v>
      </c>
      <c r="S466" s="379" t="s">
        <v>61</v>
      </c>
      <c r="T466" s="379" t="s">
        <v>62</v>
      </c>
      <c r="U466" s="379">
        <v>1332</v>
      </c>
      <c r="V466" s="379" t="s">
        <v>32</v>
      </c>
      <c r="W466" s="380" t="s">
        <v>65</v>
      </c>
      <c r="X466" s="379" t="s">
        <v>358</v>
      </c>
    </row>
    <row r="467" spans="11:24" ht="25.8">
      <c r="K467"/>
      <c r="R467" s="379" t="s">
        <v>364</v>
      </c>
      <c r="S467" s="379" t="s">
        <v>61</v>
      </c>
      <c r="T467" s="379" t="s">
        <v>62</v>
      </c>
      <c r="U467" s="379">
        <v>1449</v>
      </c>
      <c r="V467" s="379" t="s">
        <v>52</v>
      </c>
      <c r="W467" s="380" t="s">
        <v>65</v>
      </c>
      <c r="X467" s="379" t="s">
        <v>358</v>
      </c>
    </row>
    <row r="468" spans="11:24" ht="25.8">
      <c r="K468"/>
      <c r="R468" s="379" t="s">
        <v>365</v>
      </c>
      <c r="S468" s="379" t="s">
        <v>61</v>
      </c>
      <c r="T468" s="379" t="s">
        <v>62</v>
      </c>
      <c r="U468" s="379">
        <v>1449</v>
      </c>
      <c r="V468" s="379" t="s">
        <v>32</v>
      </c>
      <c r="W468" s="380" t="s">
        <v>65</v>
      </c>
      <c r="X468" s="379" t="s">
        <v>358</v>
      </c>
    </row>
    <row r="469" spans="11:24" ht="25.8">
      <c r="K469"/>
      <c r="R469" s="379" t="s">
        <v>366</v>
      </c>
      <c r="S469" s="379" t="s">
        <v>61</v>
      </c>
      <c r="T469" s="379" t="s">
        <v>62</v>
      </c>
      <c r="U469" s="379">
        <v>1527</v>
      </c>
      <c r="V469" s="379" t="s">
        <v>52</v>
      </c>
      <c r="W469" s="380" t="s">
        <v>65</v>
      </c>
      <c r="X469" s="379" t="s">
        <v>358</v>
      </c>
    </row>
    <row r="470" spans="11:24" ht="25.8">
      <c r="K470"/>
      <c r="R470" s="379" t="s">
        <v>368</v>
      </c>
      <c r="S470" s="379" t="s">
        <v>61</v>
      </c>
      <c r="T470" s="379" t="s">
        <v>62</v>
      </c>
      <c r="U470" s="379">
        <v>1527</v>
      </c>
      <c r="V470" s="379" t="s">
        <v>32</v>
      </c>
      <c r="W470" s="380" t="s">
        <v>65</v>
      </c>
      <c r="X470" s="379" t="s">
        <v>358</v>
      </c>
    </row>
    <row r="471" spans="11:24" ht="25.8">
      <c r="K471"/>
      <c r="R471" s="382" t="s">
        <v>1284</v>
      </c>
      <c r="S471" s="379" t="s">
        <v>30</v>
      </c>
      <c r="T471" s="382" t="s">
        <v>796</v>
      </c>
      <c r="U471" s="382">
        <v>815</v>
      </c>
      <c r="V471" s="382" t="s">
        <v>52</v>
      </c>
      <c r="W471" s="380" t="s">
        <v>65</v>
      </c>
      <c r="X471" s="382" t="s">
        <v>842</v>
      </c>
    </row>
    <row r="472" spans="11:24" ht="25.8">
      <c r="K472"/>
      <c r="R472" s="382" t="s">
        <v>125</v>
      </c>
      <c r="S472" s="379" t="s">
        <v>30</v>
      </c>
      <c r="T472" s="382" t="s">
        <v>796</v>
      </c>
      <c r="U472" s="382">
        <v>815</v>
      </c>
      <c r="V472" s="382" t="s">
        <v>52</v>
      </c>
      <c r="W472" s="380" t="s">
        <v>65</v>
      </c>
      <c r="X472" s="382" t="s">
        <v>842</v>
      </c>
    </row>
    <row r="473" spans="11:24" ht="25.8">
      <c r="K473"/>
      <c r="R473" s="382" t="s">
        <v>1284</v>
      </c>
      <c r="S473" s="379" t="s">
        <v>30</v>
      </c>
      <c r="T473" s="382" t="s">
        <v>796</v>
      </c>
      <c r="U473" s="382">
        <v>815</v>
      </c>
      <c r="V473" s="382" t="s">
        <v>52</v>
      </c>
      <c r="W473" s="380" t="s">
        <v>65</v>
      </c>
      <c r="X473" s="382" t="s">
        <v>842</v>
      </c>
    </row>
    <row r="474" spans="11:24" ht="25.8">
      <c r="K474"/>
      <c r="R474" s="382" t="s">
        <v>125</v>
      </c>
      <c r="S474" s="379" t="s">
        <v>30</v>
      </c>
      <c r="T474" s="382" t="s">
        <v>796</v>
      </c>
      <c r="U474" s="382">
        <v>815</v>
      </c>
      <c r="V474" s="382" t="s">
        <v>52</v>
      </c>
      <c r="W474" s="380" t="s">
        <v>65</v>
      </c>
      <c r="X474" s="382" t="s">
        <v>842</v>
      </c>
    </row>
    <row r="475" spans="11:24" ht="25.8">
      <c r="K475"/>
      <c r="R475" s="379" t="s">
        <v>696</v>
      </c>
      <c r="S475" s="379" t="s">
        <v>61</v>
      </c>
      <c r="T475" s="379" t="s">
        <v>62</v>
      </c>
      <c r="U475" s="379">
        <v>1200</v>
      </c>
      <c r="V475" s="379" t="s">
        <v>32</v>
      </c>
      <c r="W475" s="380" t="s">
        <v>65</v>
      </c>
      <c r="X475" s="379" t="s">
        <v>369</v>
      </c>
    </row>
    <row r="476" spans="11:24" ht="25.8">
      <c r="K476"/>
      <c r="R476" s="379" t="s">
        <v>695</v>
      </c>
      <c r="S476" s="379" t="s">
        <v>61</v>
      </c>
      <c r="T476" s="379" t="s">
        <v>62</v>
      </c>
      <c r="U476" s="379">
        <v>1200</v>
      </c>
      <c r="V476" s="379" t="s">
        <v>52</v>
      </c>
      <c r="W476" s="380" t="s">
        <v>65</v>
      </c>
      <c r="X476" s="379" t="s">
        <v>369</v>
      </c>
    </row>
    <row r="477" spans="11:24" ht="25.8">
      <c r="K477"/>
      <c r="R477" s="379" t="s">
        <v>114</v>
      </c>
      <c r="S477" s="379" t="s">
        <v>61</v>
      </c>
      <c r="T477" s="379" t="s">
        <v>62</v>
      </c>
      <c r="U477" s="379">
        <v>1000</v>
      </c>
      <c r="V477" s="379" t="s">
        <v>52</v>
      </c>
      <c r="W477" s="380" t="s">
        <v>1262</v>
      </c>
      <c r="X477" s="379" t="s">
        <v>597</v>
      </c>
    </row>
    <row r="478" spans="11:24" ht="25.8">
      <c r="K478"/>
      <c r="R478" s="379" t="s">
        <v>114</v>
      </c>
      <c r="S478" s="379" t="s">
        <v>61</v>
      </c>
      <c r="T478" s="379" t="s">
        <v>62</v>
      </c>
      <c r="U478" s="379">
        <v>1000</v>
      </c>
      <c r="V478" s="379" t="s">
        <v>52</v>
      </c>
      <c r="W478" s="380" t="s">
        <v>1262</v>
      </c>
      <c r="X478" s="379" t="s">
        <v>597</v>
      </c>
    </row>
    <row r="479" spans="11:24" ht="25.8">
      <c r="K479"/>
      <c r="R479" s="384" t="s">
        <v>232</v>
      </c>
      <c r="S479" s="384" t="s">
        <v>61</v>
      </c>
      <c r="T479" s="384" t="s">
        <v>421</v>
      </c>
      <c r="U479" s="384">
        <v>1000</v>
      </c>
      <c r="V479" s="379" t="s">
        <v>52</v>
      </c>
      <c r="W479" s="380" t="s">
        <v>1268</v>
      </c>
      <c r="X479" s="384" t="s">
        <v>420</v>
      </c>
    </row>
    <row r="480" spans="11:24" ht="25.8">
      <c r="K480"/>
      <c r="R480" s="379" t="s">
        <v>232</v>
      </c>
      <c r="S480" s="379" t="s">
        <v>61</v>
      </c>
      <c r="T480" s="379" t="s">
        <v>62</v>
      </c>
      <c r="U480" s="379">
        <v>1000</v>
      </c>
      <c r="V480" s="379" t="s">
        <v>52</v>
      </c>
      <c r="W480" s="380" t="s">
        <v>1269</v>
      </c>
      <c r="X480" s="379" t="s">
        <v>420</v>
      </c>
    </row>
    <row r="481" spans="11:24" ht="25.8">
      <c r="K481"/>
      <c r="R481" s="385" t="s">
        <v>423</v>
      </c>
      <c r="S481" s="385" t="s">
        <v>61</v>
      </c>
      <c r="T481" s="385" t="s">
        <v>251</v>
      </c>
      <c r="U481" s="385">
        <v>1000</v>
      </c>
      <c r="V481" s="385" t="s">
        <v>52</v>
      </c>
      <c r="W481" s="380" t="s">
        <v>1268</v>
      </c>
      <c r="X481" s="385" t="s">
        <v>424</v>
      </c>
    </row>
    <row r="482" spans="11:24" ht="25.8">
      <c r="K482"/>
      <c r="R482" s="385" t="s">
        <v>426</v>
      </c>
      <c r="S482" s="385" t="s">
        <v>61</v>
      </c>
      <c r="T482" s="385" t="s">
        <v>62</v>
      </c>
      <c r="U482" s="385">
        <v>1080</v>
      </c>
      <c r="V482" s="385" t="s">
        <v>32</v>
      </c>
      <c r="W482" s="380" t="s">
        <v>65</v>
      </c>
      <c r="X482" s="385" t="s">
        <v>427</v>
      </c>
    </row>
    <row r="483" spans="11:24" ht="25.8">
      <c r="K483"/>
      <c r="R483" s="379" t="s">
        <v>735</v>
      </c>
      <c r="S483" s="379" t="s">
        <v>61</v>
      </c>
      <c r="T483" s="379" t="s">
        <v>62</v>
      </c>
      <c r="U483" s="379">
        <v>1450</v>
      </c>
      <c r="V483" s="379" t="s">
        <v>52</v>
      </c>
      <c r="W483" s="380" t="s">
        <v>65</v>
      </c>
      <c r="X483" s="379" t="s">
        <v>732</v>
      </c>
    </row>
    <row r="484" spans="11:24" ht="25.8">
      <c r="K484"/>
      <c r="R484" s="379" t="s">
        <v>200</v>
      </c>
      <c r="S484" s="379" t="s">
        <v>61</v>
      </c>
      <c r="T484" s="379" t="s">
        <v>62</v>
      </c>
      <c r="U484" s="379">
        <v>1000</v>
      </c>
      <c r="V484" s="379" t="s">
        <v>52</v>
      </c>
      <c r="W484" s="380" t="s">
        <v>1268</v>
      </c>
      <c r="X484" s="379" t="s">
        <v>732</v>
      </c>
    </row>
    <row r="485" spans="11:24" ht="25.8">
      <c r="K485"/>
      <c r="R485" s="379" t="s">
        <v>737</v>
      </c>
      <c r="S485" s="379" t="s">
        <v>61</v>
      </c>
      <c r="T485" s="379" t="s">
        <v>62</v>
      </c>
      <c r="U485" s="379">
        <v>1000</v>
      </c>
      <c r="V485" s="379" t="s">
        <v>52</v>
      </c>
      <c r="W485" s="380" t="s">
        <v>1268</v>
      </c>
      <c r="X485" s="379" t="s">
        <v>732</v>
      </c>
    </row>
    <row r="486" spans="11:24" ht="25.8">
      <c r="K486"/>
      <c r="R486" s="379" t="s">
        <v>736</v>
      </c>
      <c r="S486" s="379" t="s">
        <v>61</v>
      </c>
      <c r="T486" s="379" t="s">
        <v>62</v>
      </c>
      <c r="U486" s="379">
        <v>1000</v>
      </c>
      <c r="V486" s="379" t="s">
        <v>52</v>
      </c>
      <c r="W486" s="380" t="s">
        <v>1268</v>
      </c>
      <c r="X486" s="379" t="s">
        <v>732</v>
      </c>
    </row>
    <row r="487" spans="11:24" ht="25.8">
      <c r="K487"/>
      <c r="R487" s="379" t="s">
        <v>741</v>
      </c>
      <c r="S487" s="379" t="s">
        <v>61</v>
      </c>
      <c r="T487" s="379" t="s">
        <v>62</v>
      </c>
      <c r="U487" s="379">
        <v>1000</v>
      </c>
      <c r="V487" s="379" t="s">
        <v>52</v>
      </c>
      <c r="W487" s="380" t="s">
        <v>1268</v>
      </c>
      <c r="X487" s="379" t="s">
        <v>732</v>
      </c>
    </row>
    <row r="488" spans="11:24" ht="25.8">
      <c r="K488"/>
      <c r="R488" s="379" t="s">
        <v>200</v>
      </c>
      <c r="S488" s="379" t="s">
        <v>61</v>
      </c>
      <c r="T488" s="379" t="s">
        <v>62</v>
      </c>
      <c r="U488" s="379">
        <v>1000</v>
      </c>
      <c r="V488" s="379" t="s">
        <v>52</v>
      </c>
      <c r="W488" s="380" t="s">
        <v>1268</v>
      </c>
      <c r="X488" s="379" t="s">
        <v>732</v>
      </c>
    </row>
    <row r="489" spans="11:24" ht="25.8">
      <c r="K489"/>
      <c r="R489" s="379" t="s">
        <v>737</v>
      </c>
      <c r="S489" s="379" t="s">
        <v>61</v>
      </c>
      <c r="T489" s="379" t="s">
        <v>62</v>
      </c>
      <c r="U489" s="379">
        <v>1000</v>
      </c>
      <c r="V489" s="379" t="s">
        <v>52</v>
      </c>
      <c r="W489" s="380" t="s">
        <v>1268</v>
      </c>
      <c r="X489" s="379" t="s">
        <v>732</v>
      </c>
    </row>
    <row r="490" spans="11:24" ht="25.8">
      <c r="K490"/>
      <c r="R490" s="379" t="s">
        <v>736</v>
      </c>
      <c r="S490" s="379" t="s">
        <v>61</v>
      </c>
      <c r="T490" s="379" t="s">
        <v>62</v>
      </c>
      <c r="U490" s="379">
        <v>1000</v>
      </c>
      <c r="V490" s="379" t="s">
        <v>52</v>
      </c>
      <c r="W490" s="380" t="s">
        <v>1268</v>
      </c>
      <c r="X490" s="379" t="s">
        <v>732</v>
      </c>
    </row>
    <row r="491" spans="11:24" ht="25.8">
      <c r="K491"/>
      <c r="R491" s="385" t="s">
        <v>60</v>
      </c>
      <c r="S491" s="385" t="s">
        <v>61</v>
      </c>
      <c r="T491" s="385" t="s">
        <v>62</v>
      </c>
      <c r="U491" s="385">
        <v>1200</v>
      </c>
      <c r="V491" s="385" t="s">
        <v>52</v>
      </c>
      <c r="W491" s="386" t="s">
        <v>1256</v>
      </c>
      <c r="X491" s="385" t="s">
        <v>428</v>
      </c>
    </row>
    <row r="492" spans="11:24" ht="103.2">
      <c r="K492"/>
      <c r="R492" s="379" t="s">
        <v>939</v>
      </c>
      <c r="S492" s="379" t="s">
        <v>61</v>
      </c>
      <c r="T492" s="379" t="s">
        <v>62</v>
      </c>
      <c r="U492" s="379">
        <v>1247</v>
      </c>
      <c r="V492" s="379" t="s">
        <v>32</v>
      </c>
      <c r="W492" s="381" t="s">
        <v>1261</v>
      </c>
      <c r="X492" s="385" t="s">
        <v>938</v>
      </c>
    </row>
    <row r="493" spans="11:24" ht="103.2">
      <c r="K493"/>
      <c r="R493" s="379" t="s">
        <v>940</v>
      </c>
      <c r="S493" s="379" t="s">
        <v>61</v>
      </c>
      <c r="T493" s="379" t="s">
        <v>62</v>
      </c>
      <c r="U493" s="379">
        <v>1203</v>
      </c>
      <c r="V493" s="379" t="s">
        <v>32</v>
      </c>
      <c r="W493" s="380" t="s">
        <v>65</v>
      </c>
      <c r="X493" s="385" t="s">
        <v>938</v>
      </c>
    </row>
    <row r="494" spans="11:24" ht="103.2">
      <c r="K494"/>
      <c r="R494" s="379" t="s">
        <v>941</v>
      </c>
      <c r="S494" s="379" t="s">
        <v>61</v>
      </c>
      <c r="T494" s="379" t="s">
        <v>62</v>
      </c>
      <c r="U494" s="379">
        <v>1209</v>
      </c>
      <c r="V494" s="379" t="s">
        <v>32</v>
      </c>
      <c r="W494" s="381" t="s">
        <v>65</v>
      </c>
      <c r="X494" s="385" t="s">
        <v>938</v>
      </c>
    </row>
    <row r="495" spans="11:24" ht="25.8">
      <c r="K495"/>
      <c r="R495" s="379" t="s">
        <v>438</v>
      </c>
      <c r="S495" s="379" t="s">
        <v>61</v>
      </c>
      <c r="T495" s="379" t="s">
        <v>62</v>
      </c>
      <c r="U495" s="379">
        <v>1000</v>
      </c>
      <c r="V495" s="379" t="s">
        <v>32</v>
      </c>
      <c r="W495" s="380" t="s">
        <v>1255</v>
      </c>
      <c r="X495" s="379" t="s">
        <v>435</v>
      </c>
    </row>
    <row r="496" spans="11:24" ht="25.8">
      <c r="K496"/>
      <c r="R496" s="379" t="s">
        <v>437</v>
      </c>
      <c r="S496" s="379" t="s">
        <v>61</v>
      </c>
      <c r="T496" s="379" t="s">
        <v>62</v>
      </c>
      <c r="U496" s="379">
        <v>1000</v>
      </c>
      <c r="V496" s="379" t="s">
        <v>57</v>
      </c>
      <c r="W496" s="380" t="s">
        <v>1263</v>
      </c>
      <c r="X496" s="379" t="s">
        <v>435</v>
      </c>
    </row>
    <row r="497" spans="11:24" ht="25.8">
      <c r="K497"/>
      <c r="R497" s="379" t="s">
        <v>434</v>
      </c>
      <c r="S497" s="379" t="s">
        <v>61</v>
      </c>
      <c r="T497" s="379" t="s">
        <v>62</v>
      </c>
      <c r="U497" s="379">
        <v>1000</v>
      </c>
      <c r="V497" s="379" t="s">
        <v>57</v>
      </c>
      <c r="W497" s="380" t="s">
        <v>1267</v>
      </c>
      <c r="X497" s="379" t="s">
        <v>435</v>
      </c>
    </row>
    <row r="498" spans="11:24" ht="25.8">
      <c r="K498"/>
      <c r="R498" s="382" t="s">
        <v>443</v>
      </c>
      <c r="S498" s="382" t="s">
        <v>61</v>
      </c>
      <c r="T498" s="382" t="s">
        <v>62</v>
      </c>
      <c r="U498" s="382">
        <v>1185</v>
      </c>
      <c r="V498" s="382" t="s">
        <v>52</v>
      </c>
      <c r="W498" s="383" t="s">
        <v>709</v>
      </c>
      <c r="X498" s="382" t="s">
        <v>444</v>
      </c>
    </row>
    <row r="499" spans="11:24" ht="25.8">
      <c r="K499"/>
      <c r="R499" s="382" t="s">
        <v>443</v>
      </c>
      <c r="S499" s="382" t="s">
        <v>61</v>
      </c>
      <c r="T499" s="382" t="s">
        <v>62</v>
      </c>
      <c r="U499" s="382">
        <v>1185</v>
      </c>
      <c r="V499" s="382" t="s">
        <v>52</v>
      </c>
      <c r="W499" s="380" t="s">
        <v>709</v>
      </c>
      <c r="X499" s="382" t="s">
        <v>444</v>
      </c>
    </row>
    <row r="500" spans="11:24" ht="25.8">
      <c r="K500"/>
      <c r="R500" s="379" t="s">
        <v>795</v>
      </c>
      <c r="S500" s="379" t="s">
        <v>30</v>
      </c>
      <c r="T500" s="379" t="s">
        <v>796</v>
      </c>
      <c r="U500" s="379">
        <v>972</v>
      </c>
      <c r="V500" s="379" t="s">
        <v>52</v>
      </c>
      <c r="W500" s="380" t="s">
        <v>1264</v>
      </c>
      <c r="X500" s="379" t="s">
        <v>799</v>
      </c>
    </row>
    <row r="501" spans="11:24" ht="25.8">
      <c r="K501"/>
      <c r="R501" s="379" t="s">
        <v>795</v>
      </c>
      <c r="S501" s="379" t="s">
        <v>30</v>
      </c>
      <c r="T501" s="379" t="s">
        <v>796</v>
      </c>
      <c r="U501" s="379">
        <v>972</v>
      </c>
      <c r="V501" s="379" t="s">
        <v>52</v>
      </c>
      <c r="W501" s="380" t="s">
        <v>1264</v>
      </c>
      <c r="X501" s="379" t="s">
        <v>799</v>
      </c>
    </row>
    <row r="502" spans="11:24" ht="25.8">
      <c r="K502"/>
      <c r="R502" s="379" t="s">
        <v>797</v>
      </c>
      <c r="S502" s="379" t="s">
        <v>30</v>
      </c>
      <c r="T502" s="379" t="s">
        <v>798</v>
      </c>
      <c r="U502" s="379">
        <v>999</v>
      </c>
      <c r="V502" s="379" t="s">
        <v>52</v>
      </c>
      <c r="W502" s="380" t="s">
        <v>1266</v>
      </c>
      <c r="X502" s="379" t="s">
        <v>799</v>
      </c>
    </row>
    <row r="503" spans="11:24" ht="25.8">
      <c r="K503"/>
      <c r="R503" s="379" t="s">
        <v>797</v>
      </c>
      <c r="S503" s="379" t="s">
        <v>30</v>
      </c>
      <c r="T503" s="379" t="s">
        <v>798</v>
      </c>
      <c r="U503" s="379">
        <v>999</v>
      </c>
      <c r="V503" s="379" t="s">
        <v>52</v>
      </c>
      <c r="W503" s="380" t="s">
        <v>1266</v>
      </c>
      <c r="X503" s="379" t="s">
        <v>799</v>
      </c>
    </row>
    <row r="504" spans="11:24" ht="38.700000000000003">
      <c r="K504"/>
      <c r="R504" s="387" t="s">
        <v>211</v>
      </c>
      <c r="S504" s="379" t="s">
        <v>61</v>
      </c>
      <c r="T504" s="387" t="s">
        <v>62</v>
      </c>
      <c r="U504" s="387">
        <v>1546</v>
      </c>
      <c r="V504" s="387" t="s">
        <v>52</v>
      </c>
      <c r="W504" s="380" t="s">
        <v>65</v>
      </c>
      <c r="X504" s="387" t="s">
        <v>1110</v>
      </c>
    </row>
    <row r="505" spans="11:24" ht="38.700000000000003">
      <c r="K505"/>
      <c r="R505" s="387" t="s">
        <v>213</v>
      </c>
      <c r="S505" s="379" t="s">
        <v>61</v>
      </c>
      <c r="T505" s="387" t="s">
        <v>62</v>
      </c>
      <c r="U505" s="387">
        <v>1332</v>
      </c>
      <c r="V505" s="387" t="s">
        <v>52</v>
      </c>
      <c r="W505" s="380" t="s">
        <v>65</v>
      </c>
      <c r="X505" s="387" t="s">
        <v>1110</v>
      </c>
    </row>
    <row r="506" spans="11:24" ht="38.700000000000003">
      <c r="K506"/>
      <c r="R506" s="387" t="s">
        <v>214</v>
      </c>
      <c r="S506" s="379" t="s">
        <v>61</v>
      </c>
      <c r="T506" s="387" t="s">
        <v>62</v>
      </c>
      <c r="U506" s="387">
        <v>1449</v>
      </c>
      <c r="V506" s="387" t="s">
        <v>52</v>
      </c>
      <c r="W506" s="380" t="s">
        <v>65</v>
      </c>
      <c r="X506" s="387" t="s">
        <v>1110</v>
      </c>
    </row>
    <row r="507" spans="11:24" ht="38.700000000000003">
      <c r="K507"/>
      <c r="R507" s="387" t="s">
        <v>215</v>
      </c>
      <c r="S507" s="379" t="s">
        <v>61</v>
      </c>
      <c r="T507" s="387" t="s">
        <v>62</v>
      </c>
      <c r="U507" s="387">
        <v>1527</v>
      </c>
      <c r="V507" s="387" t="s">
        <v>52</v>
      </c>
      <c r="W507" s="380" t="s">
        <v>65</v>
      </c>
      <c r="X507" s="387" t="s">
        <v>1110</v>
      </c>
    </row>
    <row r="508" spans="11:24" ht="25.8">
      <c r="K508"/>
      <c r="R508" s="379" t="s">
        <v>497</v>
      </c>
      <c r="S508" s="384" t="s">
        <v>61</v>
      </c>
      <c r="T508" s="384" t="s">
        <v>62</v>
      </c>
      <c r="U508" s="379">
        <v>1000</v>
      </c>
      <c r="V508" s="382" t="s">
        <v>57</v>
      </c>
      <c r="W508" s="380" t="s">
        <v>65</v>
      </c>
      <c r="X508" s="384" t="s">
        <v>498</v>
      </c>
    </row>
    <row r="509" spans="11:24" ht="25.8">
      <c r="K509"/>
      <c r="R509" s="379" t="s">
        <v>500</v>
      </c>
      <c r="S509" s="384" t="s">
        <v>61</v>
      </c>
      <c r="T509" s="384" t="s">
        <v>62</v>
      </c>
      <c r="U509" s="379">
        <v>2000</v>
      </c>
      <c r="V509" s="382" t="s">
        <v>57</v>
      </c>
      <c r="W509" s="380" t="s">
        <v>65</v>
      </c>
      <c r="X509" s="384" t="s">
        <v>498</v>
      </c>
    </row>
    <row r="510" spans="11:24" ht="25.8">
      <c r="K510"/>
      <c r="R510" s="379" t="s">
        <v>501</v>
      </c>
      <c r="S510" s="384" t="s">
        <v>61</v>
      </c>
      <c r="T510" s="384" t="s">
        <v>278</v>
      </c>
      <c r="U510" s="379">
        <v>1000</v>
      </c>
      <c r="V510" s="382" t="s">
        <v>57</v>
      </c>
      <c r="W510" s="380" t="s">
        <v>65</v>
      </c>
      <c r="X510" s="384" t="s">
        <v>498</v>
      </c>
    </row>
    <row r="511" spans="11:24" ht="25.8">
      <c r="K511"/>
      <c r="R511" s="379" t="s">
        <v>502</v>
      </c>
      <c r="S511" s="384" t="s">
        <v>61</v>
      </c>
      <c r="T511" s="384" t="s">
        <v>278</v>
      </c>
      <c r="U511" s="379">
        <v>2000</v>
      </c>
      <c r="V511" s="382" t="s">
        <v>57</v>
      </c>
      <c r="W511" s="380" t="s">
        <v>65</v>
      </c>
      <c r="X511" s="384" t="s">
        <v>498</v>
      </c>
    </row>
    <row r="512" spans="11:24" ht="25.8">
      <c r="K512"/>
      <c r="R512" s="384" t="s">
        <v>497</v>
      </c>
      <c r="S512" s="384" t="s">
        <v>61</v>
      </c>
      <c r="T512" s="384" t="s">
        <v>62</v>
      </c>
      <c r="U512" s="384">
        <v>1000</v>
      </c>
      <c r="V512" s="382" t="s">
        <v>57</v>
      </c>
      <c r="W512" s="380" t="s">
        <v>65</v>
      </c>
      <c r="X512" s="384" t="s">
        <v>503</v>
      </c>
    </row>
    <row r="513" spans="11:24" ht="25.8">
      <c r="K513"/>
      <c r="R513" s="384" t="s">
        <v>505</v>
      </c>
      <c r="S513" s="384" t="s">
        <v>61</v>
      </c>
      <c r="T513" s="384" t="s">
        <v>107</v>
      </c>
      <c r="U513" s="384">
        <v>1000</v>
      </c>
      <c r="V513" s="382" t="s">
        <v>57</v>
      </c>
      <c r="W513" s="380" t="s">
        <v>65</v>
      </c>
      <c r="X513" s="384" t="s">
        <v>503</v>
      </c>
    </row>
    <row r="514" spans="11:24" ht="25.8">
      <c r="K514"/>
      <c r="R514" s="384" t="s">
        <v>501</v>
      </c>
      <c r="S514" s="384" t="s">
        <v>61</v>
      </c>
      <c r="T514" s="384" t="s">
        <v>278</v>
      </c>
      <c r="U514" s="384">
        <v>1000</v>
      </c>
      <c r="V514" s="382" t="s">
        <v>57</v>
      </c>
      <c r="W514" s="380" t="s">
        <v>65</v>
      </c>
      <c r="X514" s="384" t="s">
        <v>503</v>
      </c>
    </row>
    <row r="515" spans="11:24" ht="25.8">
      <c r="K515"/>
      <c r="R515" s="384" t="s">
        <v>506</v>
      </c>
      <c r="S515" s="384" t="s">
        <v>61</v>
      </c>
      <c r="T515" s="384" t="s">
        <v>62</v>
      </c>
      <c r="U515" s="384">
        <v>1000</v>
      </c>
      <c r="V515" s="382" t="s">
        <v>57</v>
      </c>
      <c r="W515" s="380" t="s">
        <v>65</v>
      </c>
      <c r="X515" s="384" t="s">
        <v>507</v>
      </c>
    </row>
    <row r="516" spans="11:24" ht="25.8">
      <c r="K516"/>
      <c r="R516" s="384" t="s">
        <v>508</v>
      </c>
      <c r="S516" s="384" t="s">
        <v>61</v>
      </c>
      <c r="T516" s="384" t="s">
        <v>62</v>
      </c>
      <c r="U516" s="384">
        <v>1000</v>
      </c>
      <c r="V516" s="382" t="s">
        <v>57</v>
      </c>
      <c r="W516" s="380" t="s">
        <v>65</v>
      </c>
      <c r="X516" s="384" t="s">
        <v>507</v>
      </c>
    </row>
    <row r="517" spans="11:24" ht="25.8">
      <c r="K517"/>
      <c r="R517" s="384" t="s">
        <v>513</v>
      </c>
      <c r="S517" s="384" t="s">
        <v>61</v>
      </c>
      <c r="T517" s="384" t="s">
        <v>62</v>
      </c>
      <c r="U517" s="384">
        <v>1000</v>
      </c>
      <c r="V517" s="382" t="s">
        <v>57</v>
      </c>
      <c r="W517" s="380" t="s">
        <v>65</v>
      </c>
      <c r="X517" s="384" t="s">
        <v>507</v>
      </c>
    </row>
    <row r="518" spans="11:24" ht="25.8">
      <c r="K518"/>
      <c r="R518" s="384" t="s">
        <v>506</v>
      </c>
      <c r="S518" s="384" t="s">
        <v>61</v>
      </c>
      <c r="T518" s="384" t="s">
        <v>62</v>
      </c>
      <c r="U518" s="384">
        <v>1000</v>
      </c>
      <c r="V518" s="382" t="s">
        <v>57</v>
      </c>
      <c r="W518" s="380" t="s">
        <v>65</v>
      </c>
      <c r="X518" s="384" t="s">
        <v>507</v>
      </c>
    </row>
    <row r="519" spans="11:24" ht="25.8">
      <c r="K519"/>
      <c r="R519" s="384" t="s">
        <v>508</v>
      </c>
      <c r="S519" s="384" t="s">
        <v>61</v>
      </c>
      <c r="T519" s="384" t="s">
        <v>62</v>
      </c>
      <c r="U519" s="384">
        <v>1000</v>
      </c>
      <c r="V519" s="382" t="s">
        <v>57</v>
      </c>
      <c r="W519" s="380" t="s">
        <v>65</v>
      </c>
      <c r="X519" s="384" t="s">
        <v>507</v>
      </c>
    </row>
    <row r="520" spans="11:24" ht="25.8">
      <c r="K520"/>
      <c r="R520" s="384" t="s">
        <v>513</v>
      </c>
      <c r="S520" s="384" t="s">
        <v>61</v>
      </c>
      <c r="T520" s="384" t="s">
        <v>62</v>
      </c>
      <c r="U520" s="384">
        <v>1000</v>
      </c>
      <c r="V520" s="382" t="s">
        <v>57</v>
      </c>
      <c r="W520" s="380" t="s">
        <v>65</v>
      </c>
      <c r="X520" s="384" t="s">
        <v>507</v>
      </c>
    </row>
    <row r="521" spans="11:24" ht="25.8">
      <c r="K521"/>
      <c r="R521" s="384" t="s">
        <v>514</v>
      </c>
      <c r="S521" s="384" t="s">
        <v>61</v>
      </c>
      <c r="T521" s="384" t="s">
        <v>107</v>
      </c>
      <c r="U521" s="384">
        <v>1000</v>
      </c>
      <c r="V521" s="382" t="s">
        <v>57</v>
      </c>
      <c r="W521" s="380" t="s">
        <v>65</v>
      </c>
      <c r="X521" s="384" t="s">
        <v>507</v>
      </c>
    </row>
    <row r="522" spans="11:24" ht="25.8">
      <c r="K522"/>
      <c r="R522" s="384" t="s">
        <v>515</v>
      </c>
      <c r="S522" s="384" t="s">
        <v>61</v>
      </c>
      <c r="T522" s="384" t="s">
        <v>278</v>
      </c>
      <c r="U522" s="384">
        <v>1000</v>
      </c>
      <c r="V522" s="382" t="s">
        <v>57</v>
      </c>
      <c r="W522" s="380" t="s">
        <v>65</v>
      </c>
      <c r="X522" s="384" t="s">
        <v>507</v>
      </c>
    </row>
    <row r="523" spans="11:24" ht="25.8">
      <c r="K523"/>
      <c r="R523" s="384" t="s">
        <v>512</v>
      </c>
      <c r="S523" s="384" t="s">
        <v>30</v>
      </c>
      <c r="T523" s="384" t="s">
        <v>803</v>
      </c>
      <c r="U523" s="384">
        <v>1000</v>
      </c>
      <c r="V523" s="382" t="s">
        <v>57</v>
      </c>
      <c r="W523" s="380" t="s">
        <v>1271</v>
      </c>
      <c r="X523" s="384" t="s">
        <v>507</v>
      </c>
    </row>
    <row r="524" spans="11:24" ht="13.2" thickBot="1">
      <c r="K524"/>
      <c r="R524" s="390"/>
      <c r="S524" s="390"/>
      <c r="T524" s="390"/>
      <c r="U524" s="390"/>
      <c r="V524" s="390"/>
      <c r="W524" s="390"/>
      <c r="X524" s="390"/>
    </row>
  </sheetData>
  <autoFilter ref="A2:O373" xr:uid="{28AE7C6F-BC54-4222-9A2B-1BD7AD17137E}">
    <filterColumn colId="4">
      <filters>
        <filter val="O&amp;M Cost"/>
        <filter val="O&amp;M Fixed"/>
        <filter val="O&amp;M Variable"/>
      </filters>
    </filterColumn>
    <sortState xmlns:xlrd2="http://schemas.microsoft.com/office/spreadsheetml/2017/richdata2" ref="A159:O337">
      <sortCondition ref="M2:M373"/>
    </sortState>
  </autoFilter>
  <phoneticPr fontId="10" type="noConversion"/>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3B6F-8EC7-49F2-B447-991341C7B6D2}">
  <sheetPr>
    <tabColor theme="9" tint="0.79998168889431442"/>
  </sheetPr>
  <dimension ref="A2:AY755"/>
  <sheetViews>
    <sheetView topLeftCell="B615" zoomScale="70" zoomScaleNormal="70" zoomScaleSheetLayoutView="40" workbookViewId="0">
      <selection activeCell="B3" sqref="A3:T708"/>
    </sheetView>
  </sheetViews>
  <sheetFormatPr baseColWidth="10" defaultColWidth="11.41015625" defaultRowHeight="12.9"/>
  <cols>
    <col min="1" max="1" width="0" hidden="1" customWidth="1"/>
    <col min="2" max="2" width="47.29296875" customWidth="1"/>
    <col min="3" max="3" width="11" customWidth="1"/>
    <col min="4" max="4" width="29.5859375" customWidth="1"/>
    <col min="5" max="5" width="12" customWidth="1"/>
    <col min="6" max="6" width="17.1171875" customWidth="1"/>
    <col min="8" max="8" width="9.1171875" customWidth="1"/>
    <col min="9" max="9" width="13.41015625" customWidth="1"/>
    <col min="11" max="11" width="5.41015625" customWidth="1"/>
    <col min="12" max="12" width="38" customWidth="1"/>
    <col min="13" max="13" width="10.9375" hidden="1" customWidth="1"/>
    <col min="14" max="14" width="10.703125" customWidth="1"/>
    <col min="15" max="15" width="45.52734375" customWidth="1"/>
    <col min="16" max="16" width="10.29296875" style="2" customWidth="1"/>
    <col min="17" max="17" width="22.05859375" customWidth="1"/>
    <col min="18" max="18" width="15.41015625" hidden="1" customWidth="1"/>
    <col min="19" max="19" width="16.41015625" customWidth="1"/>
    <col min="20" max="20" width="26.5859375" hidden="1" customWidth="1"/>
    <col min="21" max="21" width="13.703125" customWidth="1"/>
    <col min="22" max="22" width="25.41015625" style="194" customWidth="1"/>
    <col min="23" max="23" width="179.41015625" style="194" customWidth="1"/>
    <col min="24" max="29" width="132.29296875" style="194" customWidth="1"/>
    <col min="30" max="30" width="43" customWidth="1"/>
    <col min="31" max="31" width="10.87890625" customWidth="1"/>
    <col min="32" max="32" width="13.703125" customWidth="1"/>
    <col min="33" max="33" width="6" hidden="1" customWidth="1"/>
    <col min="34" max="34" width="3.703125" hidden="1" customWidth="1"/>
    <col min="35" max="35" width="1.87890625" hidden="1" customWidth="1"/>
    <col min="36" max="36" width="89.5859375" customWidth="1"/>
    <col min="37" max="37" width="4" hidden="1" customWidth="1"/>
    <col min="38" max="38" width="129" customWidth="1"/>
    <col min="39" max="39" width="4.41015625" hidden="1" customWidth="1"/>
    <col min="40" max="40" width="96.29296875" customWidth="1"/>
    <col min="41" max="41" width="4.87890625" customWidth="1"/>
  </cols>
  <sheetData>
    <row r="2" spans="1:50" ht="13.2" thickBot="1">
      <c r="A2" t="s">
        <v>0</v>
      </c>
      <c r="W2" s="194" t="s">
        <v>1091</v>
      </c>
      <c r="AS2" t="s">
        <v>1</v>
      </c>
    </row>
    <row r="3" spans="1:50" ht="32.65" customHeight="1" thickBot="1">
      <c r="A3" t="s">
        <v>2</v>
      </c>
      <c r="B3" t="s">
        <v>3</v>
      </c>
      <c r="C3" t="s">
        <v>4</v>
      </c>
      <c r="D3" t="s">
        <v>5</v>
      </c>
      <c r="E3" t="s">
        <v>6</v>
      </c>
      <c r="F3" t="s">
        <v>7</v>
      </c>
      <c r="G3" t="s">
        <v>8</v>
      </c>
      <c r="H3" t="s">
        <v>9</v>
      </c>
      <c r="I3" t="s">
        <v>10</v>
      </c>
      <c r="J3" t="s">
        <v>11</v>
      </c>
      <c r="K3" t="s">
        <v>12</v>
      </c>
      <c r="L3" t="s">
        <v>13</v>
      </c>
      <c r="M3" t="s">
        <v>1141</v>
      </c>
      <c r="N3" t="s">
        <v>1140</v>
      </c>
      <c r="O3" t="s">
        <v>14</v>
      </c>
      <c r="P3" s="2" t="s">
        <v>15</v>
      </c>
      <c r="Q3" t="s">
        <v>1239</v>
      </c>
      <c r="R3" t="s">
        <v>17</v>
      </c>
      <c r="S3" t="s">
        <v>718</v>
      </c>
      <c r="T3" t="s">
        <v>18</v>
      </c>
      <c r="V3" s="211" t="s">
        <v>995</v>
      </c>
      <c r="W3" s="206" t="s">
        <v>790</v>
      </c>
      <c r="X3" s="213" t="s">
        <v>811</v>
      </c>
      <c r="Y3" s="212" t="s">
        <v>870</v>
      </c>
      <c r="Z3" s="228"/>
      <c r="AA3" s="228"/>
      <c r="AB3" s="228"/>
      <c r="AC3" s="228"/>
      <c r="AE3" s="56" t="s">
        <v>19</v>
      </c>
      <c r="AF3" s="56" t="s">
        <v>20</v>
      </c>
      <c r="AG3" s="56" t="s">
        <v>21</v>
      </c>
      <c r="AH3" s="56" t="s">
        <v>22</v>
      </c>
      <c r="AI3" s="56" t="s">
        <v>23</v>
      </c>
      <c r="AJ3" s="56" t="s">
        <v>24</v>
      </c>
      <c r="AK3" s="56" t="s">
        <v>25</v>
      </c>
      <c r="AL3" s="56" t="s">
        <v>26</v>
      </c>
      <c r="AM3" s="56" t="s">
        <v>27</v>
      </c>
      <c r="AN3" s="57" t="s">
        <v>28</v>
      </c>
    </row>
    <row r="4" spans="1:50" ht="32.65" customHeight="1" thickBot="1">
      <c r="A4">
        <v>1</v>
      </c>
      <c r="B4" t="s">
        <v>29</v>
      </c>
      <c r="C4" t="s">
        <v>30</v>
      </c>
      <c r="D4" t="s">
        <v>798</v>
      </c>
      <c r="E4">
        <v>400</v>
      </c>
      <c r="F4" t="s">
        <v>217</v>
      </c>
      <c r="G4" t="s">
        <v>32</v>
      </c>
      <c r="H4" t="s">
        <v>33</v>
      </c>
      <c r="I4">
        <v>6000000000</v>
      </c>
      <c r="J4" t="s">
        <v>34</v>
      </c>
      <c r="K4">
        <v>2011</v>
      </c>
      <c r="L4" t="s">
        <v>35</v>
      </c>
      <c r="M4" s="80"/>
      <c r="O4" t="s">
        <v>1247</v>
      </c>
      <c r="P4" s="2">
        <v>0.5</v>
      </c>
      <c r="Q4" t="s">
        <v>37</v>
      </c>
      <c r="R4" s="19" t="s">
        <v>38</v>
      </c>
      <c r="S4" s="19" t="s">
        <v>38</v>
      </c>
      <c r="T4" s="19" t="s">
        <v>38</v>
      </c>
      <c r="V4" s="489" t="s">
        <v>864</v>
      </c>
      <c r="W4" s="398" t="s">
        <v>792</v>
      </c>
      <c r="X4" s="398" t="s">
        <v>809</v>
      </c>
      <c r="Y4" s="491" t="s">
        <v>871</v>
      </c>
      <c r="Z4" s="201"/>
      <c r="AA4" s="201"/>
      <c r="AB4" s="201"/>
      <c r="AC4" s="201"/>
      <c r="AE4" s="176"/>
      <c r="AF4" s="177"/>
      <c r="AG4" s="177"/>
      <c r="AH4" s="177"/>
      <c r="AI4" s="178"/>
      <c r="AJ4" s="178"/>
      <c r="AK4" s="178"/>
      <c r="AL4" s="178"/>
      <c r="AM4" s="178"/>
      <c r="AN4" s="179"/>
    </row>
    <row r="5" spans="1:50" ht="32.65" customHeight="1" thickBot="1">
      <c r="A5">
        <v>2</v>
      </c>
      <c r="B5" t="s">
        <v>51</v>
      </c>
      <c r="C5" t="s">
        <v>30</v>
      </c>
      <c r="D5" t="s">
        <v>798</v>
      </c>
      <c r="E5">
        <v>2200</v>
      </c>
      <c r="F5" t="s">
        <v>217</v>
      </c>
      <c r="G5" t="s">
        <v>57</v>
      </c>
      <c r="H5" t="s">
        <v>33</v>
      </c>
      <c r="I5">
        <f>(6000000000+4000000000)/2</f>
        <v>5000000000</v>
      </c>
      <c r="J5" t="s">
        <v>34</v>
      </c>
      <c r="K5">
        <v>2011</v>
      </c>
      <c r="L5" t="s">
        <v>35</v>
      </c>
      <c r="M5" s="80"/>
      <c r="O5" t="s">
        <v>1248</v>
      </c>
      <c r="P5" s="2">
        <v>0.92</v>
      </c>
      <c r="Q5" t="s">
        <v>37</v>
      </c>
      <c r="R5" s="19" t="s">
        <v>38</v>
      </c>
      <c r="S5" s="19" t="s">
        <v>38</v>
      </c>
      <c r="T5" s="19" t="s">
        <v>38</v>
      </c>
      <c r="V5" s="416"/>
      <c r="W5" s="392"/>
      <c r="X5" s="392"/>
      <c r="Y5" s="391"/>
      <c r="Z5" s="201"/>
      <c r="AA5" s="201"/>
      <c r="AB5" s="201"/>
      <c r="AC5" s="201"/>
      <c r="AE5" s="176"/>
      <c r="AF5" s="177"/>
      <c r="AG5" s="177"/>
      <c r="AH5" s="177"/>
      <c r="AI5" s="178"/>
      <c r="AJ5" s="178"/>
      <c r="AK5" s="178"/>
      <c r="AL5" s="178"/>
      <c r="AM5" s="178"/>
      <c r="AN5" s="179"/>
    </row>
    <row r="6" spans="1:50" ht="32.65" customHeight="1" thickBot="1">
      <c r="A6">
        <v>3</v>
      </c>
      <c r="B6" t="s">
        <v>56</v>
      </c>
      <c r="C6" t="s">
        <v>30</v>
      </c>
      <c r="D6" t="s">
        <v>798</v>
      </c>
      <c r="E6">
        <v>2660</v>
      </c>
      <c r="F6" t="s">
        <v>217</v>
      </c>
      <c r="G6" t="s">
        <v>52</v>
      </c>
      <c r="H6" t="s">
        <v>33</v>
      </c>
      <c r="I6">
        <v>4000000000</v>
      </c>
      <c r="J6" t="s">
        <v>34</v>
      </c>
      <c r="K6">
        <v>2011</v>
      </c>
      <c r="L6" t="s">
        <v>35</v>
      </c>
      <c r="M6" s="80"/>
      <c r="O6" t="s">
        <v>1247</v>
      </c>
      <c r="P6" s="2">
        <v>0.92</v>
      </c>
      <c r="Q6" t="s">
        <v>37</v>
      </c>
      <c r="R6" s="19" t="s">
        <v>38</v>
      </c>
      <c r="S6" s="19" t="s">
        <v>38</v>
      </c>
      <c r="T6" s="19" t="s">
        <v>38</v>
      </c>
      <c r="V6" s="490"/>
      <c r="W6" s="394"/>
      <c r="X6" s="394"/>
      <c r="Y6" s="393"/>
      <c r="Z6" s="201"/>
      <c r="AA6" s="201"/>
      <c r="AB6" s="201"/>
      <c r="AC6" s="201"/>
      <c r="AE6" s="176"/>
      <c r="AF6" s="177"/>
      <c r="AG6" s="177"/>
      <c r="AH6" s="177"/>
      <c r="AI6" s="178"/>
      <c r="AJ6" s="178"/>
      <c r="AK6" s="178"/>
      <c r="AL6" s="178"/>
      <c r="AM6" s="178"/>
      <c r="AN6" s="179"/>
    </row>
    <row r="7" spans="1:50" ht="32.65" customHeight="1" thickBot="1">
      <c r="A7">
        <v>176</v>
      </c>
      <c r="B7" s="128" t="s">
        <v>211</v>
      </c>
      <c r="C7" t="s">
        <v>61</v>
      </c>
      <c r="D7" s="128" t="s">
        <v>62</v>
      </c>
      <c r="E7" s="128">
        <v>1546</v>
      </c>
      <c r="F7" s="128" t="s">
        <v>217</v>
      </c>
      <c r="G7" s="128" t="s">
        <v>52</v>
      </c>
      <c r="H7" t="s">
        <v>76</v>
      </c>
      <c r="I7" s="128">
        <v>6400</v>
      </c>
      <c r="J7" s="128" t="s">
        <v>82</v>
      </c>
      <c r="K7" s="128">
        <v>2005</v>
      </c>
      <c r="L7" s="128" t="s">
        <v>1110</v>
      </c>
      <c r="M7" s="239"/>
      <c r="N7" s="128"/>
      <c r="O7" t="s">
        <v>218</v>
      </c>
      <c r="P7" s="2">
        <v>0.75</v>
      </c>
      <c r="Q7" t="s">
        <v>212</v>
      </c>
      <c r="R7" s="19" t="s">
        <v>38</v>
      </c>
      <c r="S7" s="19" t="s">
        <v>38</v>
      </c>
      <c r="T7" s="19" t="s">
        <v>122</v>
      </c>
      <c r="V7" s="203" t="s">
        <v>1070</v>
      </c>
      <c r="W7" s="214" t="s">
        <v>1086</v>
      </c>
      <c r="X7" s="214" t="s">
        <v>1085</v>
      </c>
      <c r="Y7" s="237" t="s">
        <v>1071</v>
      </c>
      <c r="Z7" s="201"/>
      <c r="AA7" s="201"/>
      <c r="AB7" s="201"/>
      <c r="AC7" s="201"/>
      <c r="AE7" s="176"/>
      <c r="AF7" s="177"/>
      <c r="AG7" s="177"/>
      <c r="AH7" s="177"/>
      <c r="AI7" s="178"/>
      <c r="AJ7" s="178"/>
      <c r="AK7" s="178"/>
      <c r="AL7" s="178"/>
      <c r="AM7" s="178"/>
      <c r="AN7" s="179"/>
    </row>
    <row r="8" spans="1:50" ht="32.65" customHeight="1" thickBot="1">
      <c r="A8">
        <v>177</v>
      </c>
      <c r="B8" s="128" t="s">
        <v>213</v>
      </c>
      <c r="C8" t="s">
        <v>61</v>
      </c>
      <c r="D8" s="128" t="s">
        <v>62</v>
      </c>
      <c r="E8" s="128">
        <v>1332</v>
      </c>
      <c r="F8" s="128" t="s">
        <v>217</v>
      </c>
      <c r="G8" s="128" t="s">
        <v>52</v>
      </c>
      <c r="H8" t="s">
        <v>76</v>
      </c>
      <c r="I8" s="128">
        <v>5500</v>
      </c>
      <c r="J8" s="128" t="s">
        <v>82</v>
      </c>
      <c r="K8" s="128">
        <v>2005</v>
      </c>
      <c r="L8" s="128" t="s">
        <v>1110</v>
      </c>
      <c r="M8" s="239"/>
      <c r="N8" s="128"/>
      <c r="O8" t="s">
        <v>219</v>
      </c>
      <c r="P8" s="2">
        <v>0.75</v>
      </c>
      <c r="Q8" t="s">
        <v>212</v>
      </c>
      <c r="R8" s="19" t="s">
        <v>38</v>
      </c>
      <c r="S8" s="19" t="s">
        <v>38</v>
      </c>
      <c r="T8" s="19" t="s">
        <v>122</v>
      </c>
      <c r="V8" s="489" t="s">
        <v>873</v>
      </c>
      <c r="W8" s="398" t="s">
        <v>867</v>
      </c>
      <c r="X8" s="398" t="s">
        <v>866</v>
      </c>
      <c r="Y8" s="491" t="s">
        <v>871</v>
      </c>
      <c r="Z8" s="201"/>
      <c r="AA8" s="201"/>
      <c r="AB8" s="201"/>
      <c r="AC8" s="201"/>
      <c r="AE8" s="176"/>
      <c r="AF8" s="177"/>
      <c r="AG8" s="177"/>
      <c r="AH8" s="177"/>
      <c r="AI8" s="178"/>
      <c r="AJ8" s="178"/>
      <c r="AK8" s="178"/>
      <c r="AL8" s="178"/>
      <c r="AM8" s="178"/>
      <c r="AN8" s="179"/>
    </row>
    <row r="9" spans="1:50" ht="32.65" hidden="1" customHeight="1" thickBot="1">
      <c r="A9">
        <v>11</v>
      </c>
      <c r="B9" t="s">
        <v>81</v>
      </c>
      <c r="C9" t="s">
        <v>61</v>
      </c>
      <c r="D9" t="s">
        <v>62</v>
      </c>
      <c r="E9">
        <v>1500</v>
      </c>
      <c r="F9" t="s">
        <v>217</v>
      </c>
      <c r="G9" t="s">
        <v>32</v>
      </c>
      <c r="H9" t="s">
        <v>76</v>
      </c>
      <c r="I9">
        <v>7450</v>
      </c>
      <c r="J9" t="s">
        <v>82</v>
      </c>
      <c r="K9">
        <v>2011</v>
      </c>
      <c r="L9" s="80" t="s">
        <v>83</v>
      </c>
      <c r="M9" s="80"/>
      <c r="N9" s="80"/>
      <c r="O9" t="s">
        <v>1146</v>
      </c>
      <c r="P9" s="2" t="s">
        <v>706</v>
      </c>
      <c r="Q9" t="s">
        <v>84</v>
      </c>
      <c r="R9" s="19" t="s">
        <v>38</v>
      </c>
      <c r="S9" s="19" t="s">
        <v>38</v>
      </c>
      <c r="T9" s="19" t="s">
        <v>38</v>
      </c>
      <c r="V9" s="416"/>
      <c r="W9" s="392"/>
      <c r="X9" s="392"/>
      <c r="Y9" s="391"/>
      <c r="Z9" s="201"/>
      <c r="AA9" s="201"/>
      <c r="AB9" s="201"/>
      <c r="AC9" s="201"/>
      <c r="AE9" s="176"/>
      <c r="AF9" s="177"/>
      <c r="AG9" s="177"/>
      <c r="AH9" s="177"/>
      <c r="AI9" s="178"/>
      <c r="AJ9" s="178"/>
      <c r="AK9" s="178"/>
      <c r="AL9" s="178"/>
      <c r="AM9" s="178"/>
      <c r="AN9" s="179"/>
    </row>
    <row r="10" spans="1:50" ht="32.65" hidden="1" customHeight="1" thickBot="1">
      <c r="A10">
        <v>12</v>
      </c>
      <c r="B10" t="s">
        <v>81</v>
      </c>
      <c r="C10" t="s">
        <v>61</v>
      </c>
      <c r="D10" t="s">
        <v>62</v>
      </c>
      <c r="E10">
        <v>1500</v>
      </c>
      <c r="F10" t="s">
        <v>217</v>
      </c>
      <c r="G10" t="s">
        <v>52</v>
      </c>
      <c r="H10" t="s">
        <v>76</v>
      </c>
      <c r="I10">
        <v>4300</v>
      </c>
      <c r="J10" t="s">
        <v>82</v>
      </c>
      <c r="K10">
        <v>2011</v>
      </c>
      <c r="L10" s="80" t="s">
        <v>83</v>
      </c>
      <c r="M10" s="80"/>
      <c r="N10" s="80"/>
      <c r="O10" t="s">
        <v>1147</v>
      </c>
      <c r="P10" s="2" t="s">
        <v>706</v>
      </c>
      <c r="Q10" t="s">
        <v>84</v>
      </c>
      <c r="R10" s="19" t="s">
        <v>38</v>
      </c>
      <c r="S10" s="19" t="s">
        <v>38</v>
      </c>
      <c r="T10" s="19" t="s">
        <v>38</v>
      </c>
      <c r="V10" s="416"/>
      <c r="W10" s="392"/>
      <c r="X10" s="392"/>
      <c r="Y10" s="391"/>
      <c r="Z10" s="201"/>
      <c r="AA10" s="201"/>
      <c r="AB10" s="201"/>
      <c r="AC10" s="201"/>
      <c r="AE10" s="176"/>
      <c r="AF10" s="177"/>
      <c r="AG10" s="177"/>
      <c r="AH10" s="177"/>
      <c r="AI10" s="178"/>
      <c r="AJ10" s="178"/>
      <c r="AK10" s="178"/>
      <c r="AL10" s="178"/>
      <c r="AM10" s="178"/>
      <c r="AN10" s="179"/>
    </row>
    <row r="11" spans="1:50" ht="32.65" hidden="1" customHeight="1" thickBot="1">
      <c r="A11">
        <v>13</v>
      </c>
      <c r="B11" t="s">
        <v>81</v>
      </c>
      <c r="C11" t="s">
        <v>61</v>
      </c>
      <c r="D11" t="s">
        <v>62</v>
      </c>
      <c r="E11">
        <v>1500</v>
      </c>
      <c r="F11" t="s">
        <v>217</v>
      </c>
      <c r="G11" t="s">
        <v>52</v>
      </c>
      <c r="H11" t="s">
        <v>76</v>
      </c>
      <c r="I11">
        <v>3700</v>
      </c>
      <c r="J11" t="s">
        <v>82</v>
      </c>
      <c r="K11">
        <v>2011</v>
      </c>
      <c r="L11" s="80" t="s">
        <v>83</v>
      </c>
      <c r="M11" s="80"/>
      <c r="N11" s="80"/>
      <c r="O11" t="s">
        <v>1148</v>
      </c>
      <c r="P11" s="2" t="s">
        <v>706</v>
      </c>
      <c r="Q11" t="s">
        <v>84</v>
      </c>
      <c r="R11" s="19" t="s">
        <v>38</v>
      </c>
      <c r="S11" s="19" t="s">
        <v>38</v>
      </c>
      <c r="T11" s="19" t="s">
        <v>38</v>
      </c>
      <c r="V11" s="416"/>
      <c r="W11" s="392"/>
      <c r="X11" s="392"/>
      <c r="Y11" s="391"/>
      <c r="Z11" s="201"/>
      <c r="AA11" s="201"/>
      <c r="AB11" s="201"/>
      <c r="AC11" s="201"/>
      <c r="AE11" s="176"/>
      <c r="AF11" s="177"/>
      <c r="AG11" s="177"/>
      <c r="AH11" s="177"/>
      <c r="AI11" s="178"/>
      <c r="AJ11" s="178"/>
      <c r="AK11" s="178"/>
      <c r="AL11" s="178"/>
      <c r="AM11" s="178"/>
      <c r="AN11" s="179"/>
    </row>
    <row r="12" spans="1:50" ht="32.65" hidden="1" customHeight="1" thickBot="1">
      <c r="A12">
        <v>14</v>
      </c>
      <c r="B12" t="s">
        <v>81</v>
      </c>
      <c r="C12" t="s">
        <v>61</v>
      </c>
      <c r="D12" t="s">
        <v>62</v>
      </c>
      <c r="E12">
        <v>1500</v>
      </c>
      <c r="F12" t="s">
        <v>217</v>
      </c>
      <c r="G12" t="s">
        <v>32</v>
      </c>
      <c r="H12" t="s">
        <v>76</v>
      </c>
      <c r="I12">
        <v>6000</v>
      </c>
      <c r="J12" t="s">
        <v>82</v>
      </c>
      <c r="K12">
        <v>2011</v>
      </c>
      <c r="L12" s="80" t="s">
        <v>83</v>
      </c>
      <c r="M12" s="80"/>
      <c r="N12" s="80"/>
      <c r="O12" t="s">
        <v>1149</v>
      </c>
      <c r="P12" s="2" t="s">
        <v>706</v>
      </c>
      <c r="Q12" t="s">
        <v>84</v>
      </c>
      <c r="R12" s="19" t="s">
        <v>38</v>
      </c>
      <c r="S12" s="19" t="s">
        <v>38</v>
      </c>
      <c r="T12" s="19" t="s">
        <v>38</v>
      </c>
      <c r="V12" s="416"/>
      <c r="W12" s="392"/>
      <c r="X12" s="392"/>
      <c r="Y12" s="391"/>
      <c r="Z12" s="201"/>
      <c r="AA12" s="201"/>
      <c r="AB12" s="201"/>
      <c r="AC12" s="201"/>
      <c r="AE12" s="176"/>
      <c r="AF12" s="177"/>
      <c r="AG12" s="177"/>
      <c r="AH12" s="177"/>
      <c r="AI12" s="178"/>
      <c r="AJ12" s="178"/>
      <c r="AK12" s="178"/>
      <c r="AL12" s="178"/>
      <c r="AM12" s="178"/>
      <c r="AN12" s="179"/>
    </row>
    <row r="13" spans="1:50" ht="32.65" hidden="1" customHeight="1" thickBot="1">
      <c r="A13">
        <v>15</v>
      </c>
      <c r="B13" t="s">
        <v>81</v>
      </c>
      <c r="C13" t="s">
        <v>61</v>
      </c>
      <c r="D13" t="s">
        <v>62</v>
      </c>
      <c r="E13">
        <v>1500</v>
      </c>
      <c r="F13" t="s">
        <v>217</v>
      </c>
      <c r="G13" t="s">
        <v>52</v>
      </c>
      <c r="H13" t="s">
        <v>76</v>
      </c>
      <c r="I13">
        <v>2600</v>
      </c>
      <c r="J13" t="s">
        <v>82</v>
      </c>
      <c r="K13">
        <v>2011</v>
      </c>
      <c r="L13" s="80" t="s">
        <v>83</v>
      </c>
      <c r="M13" s="80"/>
      <c r="N13" s="80"/>
      <c r="O13" t="s">
        <v>1150</v>
      </c>
      <c r="P13" s="2" t="s">
        <v>706</v>
      </c>
      <c r="Q13" t="s">
        <v>84</v>
      </c>
      <c r="R13" s="19" t="s">
        <v>38</v>
      </c>
      <c r="S13" s="19" t="s">
        <v>38</v>
      </c>
      <c r="T13" s="19" t="s">
        <v>38</v>
      </c>
      <c r="V13" s="416"/>
      <c r="W13" s="392"/>
      <c r="X13" s="392"/>
      <c r="Y13" s="391"/>
      <c r="Z13" s="201"/>
      <c r="AA13" s="201"/>
      <c r="AB13" s="201"/>
      <c r="AC13" s="201"/>
      <c r="AE13" s="176"/>
      <c r="AF13" s="177"/>
      <c r="AG13" s="177"/>
      <c r="AH13" s="177"/>
      <c r="AI13" s="178"/>
      <c r="AJ13" s="178"/>
      <c r="AK13" s="178"/>
      <c r="AL13" s="178"/>
      <c r="AM13" s="178"/>
      <c r="AN13" s="179"/>
    </row>
    <row r="14" spans="1:50" ht="32.65" customHeight="1" thickBot="1">
      <c r="A14">
        <v>178</v>
      </c>
      <c r="B14" s="128" t="s">
        <v>214</v>
      </c>
      <c r="C14" t="s">
        <v>61</v>
      </c>
      <c r="D14" s="128" t="s">
        <v>62</v>
      </c>
      <c r="E14" s="128">
        <v>1449</v>
      </c>
      <c r="F14" s="128" t="s">
        <v>217</v>
      </c>
      <c r="G14" s="128" t="s">
        <v>52</v>
      </c>
      <c r="H14" t="s">
        <v>76</v>
      </c>
      <c r="I14" s="128">
        <v>4400</v>
      </c>
      <c r="J14" s="128" t="s">
        <v>82</v>
      </c>
      <c r="K14" s="128">
        <v>2005</v>
      </c>
      <c r="L14" s="128" t="s">
        <v>1110</v>
      </c>
      <c r="M14" s="239"/>
      <c r="N14" s="128"/>
      <c r="O14" t="s">
        <v>220</v>
      </c>
      <c r="P14" s="2">
        <v>0.75</v>
      </c>
      <c r="Q14" t="s">
        <v>212</v>
      </c>
      <c r="R14" s="19" t="s">
        <v>38</v>
      </c>
      <c r="S14" s="19" t="s">
        <v>38</v>
      </c>
      <c r="T14" s="19" t="s">
        <v>122</v>
      </c>
      <c r="V14" s="416"/>
      <c r="W14" s="392"/>
      <c r="X14" s="392"/>
      <c r="Y14" s="391"/>
      <c r="Z14" s="201"/>
      <c r="AA14" s="201"/>
      <c r="AB14" s="201"/>
      <c r="AC14" s="201"/>
      <c r="AE14" s="176"/>
      <c r="AF14" s="177"/>
      <c r="AG14" s="177"/>
      <c r="AH14" s="177"/>
      <c r="AI14" s="178"/>
      <c r="AJ14" s="178"/>
      <c r="AK14" s="178"/>
      <c r="AL14" s="178"/>
      <c r="AM14" s="178"/>
      <c r="AN14" s="179"/>
    </row>
    <row r="15" spans="1:50" ht="13" customHeight="1">
      <c r="A15">
        <v>179</v>
      </c>
      <c r="B15" s="128" t="s">
        <v>215</v>
      </c>
      <c r="C15" t="s">
        <v>61</v>
      </c>
      <c r="D15" s="128" t="s">
        <v>62</v>
      </c>
      <c r="E15" s="128">
        <v>1527</v>
      </c>
      <c r="F15" s="128" t="s">
        <v>217</v>
      </c>
      <c r="G15" s="128" t="s">
        <v>52</v>
      </c>
      <c r="H15" t="s">
        <v>76</v>
      </c>
      <c r="I15" s="128">
        <v>3100</v>
      </c>
      <c r="J15" s="128" t="s">
        <v>82</v>
      </c>
      <c r="K15" s="128">
        <v>2005</v>
      </c>
      <c r="L15" s="128" t="s">
        <v>1110</v>
      </c>
      <c r="M15" s="239"/>
      <c r="N15" s="128"/>
      <c r="O15" t="s">
        <v>221</v>
      </c>
      <c r="P15" s="2">
        <v>0.75</v>
      </c>
      <c r="Q15" t="s">
        <v>212</v>
      </c>
      <c r="R15" s="19" t="s">
        <v>38</v>
      </c>
      <c r="S15" s="19" t="s">
        <v>38</v>
      </c>
      <c r="T15" s="19" t="s">
        <v>122</v>
      </c>
      <c r="V15" s="416"/>
      <c r="W15" s="392"/>
      <c r="X15" s="392"/>
      <c r="Y15" s="391"/>
      <c r="Z15" s="201"/>
      <c r="AA15" s="201"/>
      <c r="AB15" s="201"/>
      <c r="AC15" s="201"/>
      <c r="AE15" s="486"/>
      <c r="AF15" s="444" t="s">
        <v>39</v>
      </c>
      <c r="AG15" s="444" t="s">
        <v>40</v>
      </c>
      <c r="AH15" s="444" t="s">
        <v>41</v>
      </c>
      <c r="AI15" s="445" t="s">
        <v>42</v>
      </c>
      <c r="AJ15" s="472" t="s">
        <v>43</v>
      </c>
      <c r="AK15" s="478" t="s">
        <v>44</v>
      </c>
      <c r="AL15" s="445" t="s">
        <v>45</v>
      </c>
      <c r="AM15" s="445" t="s">
        <v>46</v>
      </c>
      <c r="AN15" s="448" t="s">
        <v>47</v>
      </c>
      <c r="AR15" t="s">
        <v>48</v>
      </c>
      <c r="AS15">
        <v>1200</v>
      </c>
      <c r="AT15">
        <v>60500000</v>
      </c>
      <c r="AU15" t="s">
        <v>34</v>
      </c>
      <c r="AV15">
        <v>1986</v>
      </c>
      <c r="AW15" t="s">
        <v>49</v>
      </c>
      <c r="AX15" t="s">
        <v>50</v>
      </c>
    </row>
    <row r="16" spans="1:50" ht="13" customHeight="1">
      <c r="A16">
        <v>561</v>
      </c>
      <c r="B16" s="141" t="s">
        <v>506</v>
      </c>
      <c r="C16" s="141" t="s">
        <v>61</v>
      </c>
      <c r="D16" s="141" t="s">
        <v>62</v>
      </c>
      <c r="E16" s="142">
        <v>1000</v>
      </c>
      <c r="F16" s="141" t="s">
        <v>217</v>
      </c>
      <c r="G16" s="6" t="s">
        <v>57</v>
      </c>
      <c r="H16" s="141" t="s">
        <v>33</v>
      </c>
      <c r="I16" s="142">
        <v>4645000000</v>
      </c>
      <c r="J16" s="141" t="s">
        <v>34</v>
      </c>
      <c r="K16" s="142">
        <v>2011</v>
      </c>
      <c r="L16" s="141" t="s">
        <v>507</v>
      </c>
      <c r="M16" s="184"/>
      <c r="N16" s="141"/>
      <c r="O16" t="s">
        <v>504</v>
      </c>
      <c r="P16" s="2">
        <v>0.75</v>
      </c>
      <c r="Q16" s="19" t="s">
        <v>38</v>
      </c>
      <c r="R16" s="19" t="s">
        <v>38</v>
      </c>
      <c r="S16" s="19" t="s">
        <v>38</v>
      </c>
      <c r="T16" s="55" t="s">
        <v>38</v>
      </c>
      <c r="V16" s="416"/>
      <c r="W16" s="392"/>
      <c r="X16" s="392"/>
      <c r="Y16" s="391"/>
      <c r="Z16" s="201"/>
      <c r="AA16" s="201"/>
      <c r="AB16" s="201"/>
      <c r="AC16" s="201"/>
      <c r="AE16" s="487"/>
      <c r="AF16" s="445"/>
      <c r="AG16" s="445"/>
      <c r="AH16" s="445"/>
      <c r="AI16" s="445"/>
      <c r="AJ16" s="472"/>
      <c r="AK16" s="445"/>
      <c r="AL16" s="445"/>
      <c r="AM16" s="445"/>
      <c r="AN16" s="448"/>
      <c r="AR16" t="s">
        <v>54</v>
      </c>
      <c r="AS16">
        <v>1000</v>
      </c>
      <c r="AT16">
        <v>43000000</v>
      </c>
      <c r="AU16" t="s">
        <v>34</v>
      </c>
      <c r="AV16">
        <v>1980</v>
      </c>
      <c r="AW16" t="s">
        <v>55</v>
      </c>
      <c r="AX16" t="s">
        <v>50</v>
      </c>
    </row>
    <row r="17" spans="1:51" ht="236.5" customHeight="1">
      <c r="A17">
        <v>566</v>
      </c>
      <c r="B17" s="141" t="s">
        <v>508</v>
      </c>
      <c r="C17" s="141" t="s">
        <v>61</v>
      </c>
      <c r="D17" s="141" t="s">
        <v>62</v>
      </c>
      <c r="E17" s="142">
        <v>1000</v>
      </c>
      <c r="F17" s="141" t="s">
        <v>217</v>
      </c>
      <c r="G17" s="6" t="s">
        <v>57</v>
      </c>
      <c r="H17" s="141" t="s">
        <v>33</v>
      </c>
      <c r="I17" s="142">
        <v>5227000000</v>
      </c>
      <c r="J17" s="141" t="s">
        <v>34</v>
      </c>
      <c r="K17" s="142">
        <v>2011</v>
      </c>
      <c r="L17" s="141" t="s">
        <v>507</v>
      </c>
      <c r="M17" s="184"/>
      <c r="N17" s="141"/>
      <c r="O17" t="s">
        <v>504</v>
      </c>
      <c r="P17" s="2">
        <v>0.75</v>
      </c>
      <c r="Q17" s="19" t="s">
        <v>38</v>
      </c>
      <c r="R17" s="19" t="s">
        <v>38</v>
      </c>
      <c r="S17" s="19" t="s">
        <v>38</v>
      </c>
      <c r="T17" s="55" t="s">
        <v>38</v>
      </c>
      <c r="V17" s="416"/>
      <c r="W17" s="392"/>
      <c r="X17" s="392"/>
      <c r="Y17" s="391"/>
      <c r="Z17" s="201"/>
      <c r="AA17" s="201"/>
      <c r="AB17" s="201"/>
      <c r="AC17" s="201"/>
      <c r="AE17" s="39" t="s">
        <v>58</v>
      </c>
      <c r="AF17" s="479"/>
      <c r="AG17" s="479"/>
      <c r="AH17" s="479"/>
      <c r="AI17" s="479"/>
      <c r="AJ17" s="488"/>
      <c r="AK17" s="479"/>
      <c r="AL17" s="479"/>
      <c r="AM17" s="479"/>
      <c r="AN17" s="480"/>
      <c r="AR17" t="s">
        <v>59</v>
      </c>
      <c r="AS17">
        <v>1200</v>
      </c>
      <c r="AT17">
        <v>58000000</v>
      </c>
      <c r="AU17" t="s">
        <v>34</v>
      </c>
      <c r="AV17">
        <v>1980</v>
      </c>
      <c r="AW17" t="s">
        <v>55</v>
      </c>
      <c r="AX17" t="s">
        <v>50</v>
      </c>
    </row>
    <row r="18" spans="1:51" ht="70.150000000000006" customHeight="1">
      <c r="A18">
        <v>580</v>
      </c>
      <c r="B18" s="141" t="s">
        <v>513</v>
      </c>
      <c r="C18" s="141" t="s">
        <v>61</v>
      </c>
      <c r="D18" s="141" t="s">
        <v>62</v>
      </c>
      <c r="E18" s="142">
        <v>1000</v>
      </c>
      <c r="F18" s="141" t="s">
        <v>217</v>
      </c>
      <c r="G18" s="6" t="s">
        <v>57</v>
      </c>
      <c r="H18" s="141" t="s">
        <v>33</v>
      </c>
      <c r="I18" s="142">
        <f>5112*1000000</f>
        <v>5112000000</v>
      </c>
      <c r="J18" s="141" t="s">
        <v>34</v>
      </c>
      <c r="K18" s="142">
        <v>2011</v>
      </c>
      <c r="L18" s="141" t="s">
        <v>507</v>
      </c>
      <c r="M18" s="184"/>
      <c r="N18" s="141"/>
      <c r="O18" t="s">
        <v>504</v>
      </c>
      <c r="P18" s="2">
        <v>0.75</v>
      </c>
      <c r="Q18" s="19" t="s">
        <v>38</v>
      </c>
      <c r="R18" s="19" t="s">
        <v>38</v>
      </c>
      <c r="S18" s="19" t="s">
        <v>38</v>
      </c>
      <c r="T18" s="55" t="s">
        <v>38</v>
      </c>
      <c r="V18" s="416"/>
      <c r="W18" s="392"/>
      <c r="X18" s="392"/>
      <c r="Y18" s="391"/>
      <c r="Z18" s="201"/>
      <c r="AA18" s="201"/>
      <c r="AB18" s="201"/>
      <c r="AC18" s="201"/>
      <c r="AE18" s="481"/>
      <c r="AF18" s="484" t="s">
        <v>67</v>
      </c>
      <c r="AG18" s="484" t="s">
        <v>68</v>
      </c>
      <c r="AH18" s="29"/>
      <c r="AI18" s="464" t="s">
        <v>69</v>
      </c>
      <c r="AJ18" s="464" t="s">
        <v>70</v>
      </c>
      <c r="AK18" s="485" t="s">
        <v>71</v>
      </c>
      <c r="AL18" s="464" t="s">
        <v>72</v>
      </c>
      <c r="AM18" s="464" t="s">
        <v>73</v>
      </c>
      <c r="AN18" s="452" t="s">
        <v>74</v>
      </c>
    </row>
    <row r="19" spans="1:51" ht="47.1" customHeight="1">
      <c r="A19">
        <v>34</v>
      </c>
      <c r="B19" t="s">
        <v>85</v>
      </c>
      <c r="C19" t="s">
        <v>61</v>
      </c>
      <c r="D19" t="s">
        <v>107</v>
      </c>
      <c r="E19">
        <v>735.77</v>
      </c>
      <c r="F19" t="s">
        <v>108</v>
      </c>
      <c r="G19" t="s">
        <v>32</v>
      </c>
      <c r="H19" t="s">
        <v>76</v>
      </c>
      <c r="I19">
        <v>0.06</v>
      </c>
      <c r="J19" t="s">
        <v>109</v>
      </c>
      <c r="K19">
        <v>2009</v>
      </c>
      <c r="L19" t="s">
        <v>86</v>
      </c>
      <c r="M19" s="80"/>
      <c r="O19" t="s">
        <v>1251</v>
      </c>
      <c r="P19" s="2" t="s">
        <v>707</v>
      </c>
      <c r="Q19" t="s">
        <v>84</v>
      </c>
      <c r="R19" t="s">
        <v>161</v>
      </c>
      <c r="S19" s="19" t="s">
        <v>38</v>
      </c>
      <c r="T19" s="19" t="s">
        <v>38</v>
      </c>
      <c r="V19" s="416"/>
      <c r="W19" s="392"/>
      <c r="X19" s="392"/>
      <c r="Y19" s="391"/>
      <c r="Z19" s="201"/>
      <c r="AA19" s="201"/>
      <c r="AB19" s="201"/>
      <c r="AC19" s="201"/>
      <c r="AE19" s="482"/>
      <c r="AF19" s="461"/>
      <c r="AG19" s="461"/>
      <c r="AH19" s="29"/>
      <c r="AI19" s="464"/>
      <c r="AJ19" s="464"/>
      <c r="AK19" s="464"/>
      <c r="AL19" s="464"/>
      <c r="AM19" s="464"/>
      <c r="AN19" s="452"/>
    </row>
    <row r="20" spans="1:51" ht="24.6" customHeight="1">
      <c r="A20">
        <v>65</v>
      </c>
      <c r="B20" t="s">
        <v>124</v>
      </c>
      <c r="C20" t="s">
        <v>30</v>
      </c>
      <c r="D20" t="s">
        <v>796</v>
      </c>
      <c r="E20">
        <v>1010</v>
      </c>
      <c r="F20" t="s">
        <v>108</v>
      </c>
      <c r="G20" t="s">
        <v>52</v>
      </c>
      <c r="H20" t="s">
        <v>76</v>
      </c>
      <c r="I20">
        <v>80</v>
      </c>
      <c r="J20" t="s">
        <v>77</v>
      </c>
      <c r="K20">
        <v>1988</v>
      </c>
      <c r="L20" t="s">
        <v>120</v>
      </c>
      <c r="M20" s="287" t="s">
        <v>1252</v>
      </c>
      <c r="O20" t="s">
        <v>121</v>
      </c>
      <c r="P20" s="2">
        <v>0.76</v>
      </c>
      <c r="Q20" s="19" t="s">
        <v>122</v>
      </c>
      <c r="R20" s="19" t="s">
        <v>38</v>
      </c>
      <c r="S20" s="19" t="s">
        <v>38</v>
      </c>
      <c r="T20" s="19" t="s">
        <v>38</v>
      </c>
      <c r="V20" s="416"/>
      <c r="W20" s="392"/>
      <c r="X20" s="392"/>
      <c r="Y20" s="391"/>
      <c r="Z20" s="201"/>
      <c r="AA20" s="201"/>
      <c r="AB20" s="201"/>
      <c r="AC20" s="201"/>
      <c r="AE20" s="482"/>
      <c r="AF20" s="461"/>
      <c r="AG20" s="461"/>
      <c r="AH20" s="29"/>
      <c r="AI20" s="464"/>
      <c r="AJ20" s="464"/>
      <c r="AK20" s="464"/>
      <c r="AL20" s="464"/>
      <c r="AM20" s="464"/>
      <c r="AN20" s="452"/>
    </row>
    <row r="21" spans="1:51" ht="180.6" customHeight="1">
      <c r="A21">
        <v>66</v>
      </c>
      <c r="B21" t="s">
        <v>125</v>
      </c>
      <c r="C21" t="s">
        <v>30</v>
      </c>
      <c r="D21" t="s">
        <v>796</v>
      </c>
      <c r="E21">
        <v>815</v>
      </c>
      <c r="F21" t="s">
        <v>108</v>
      </c>
      <c r="G21" t="s">
        <v>52</v>
      </c>
      <c r="H21" t="s">
        <v>76</v>
      </c>
      <c r="I21">
        <v>44</v>
      </c>
      <c r="J21" t="s">
        <v>77</v>
      </c>
      <c r="K21">
        <v>1988</v>
      </c>
      <c r="L21" t="s">
        <v>120</v>
      </c>
      <c r="M21" s="287" t="s">
        <v>1252</v>
      </c>
      <c r="O21" t="s">
        <v>121</v>
      </c>
      <c r="P21" s="2">
        <v>0.76</v>
      </c>
      <c r="Q21" s="19" t="s">
        <v>122</v>
      </c>
      <c r="R21" s="19" t="s">
        <v>38</v>
      </c>
      <c r="S21" s="19" t="s">
        <v>38</v>
      </c>
      <c r="T21" s="19" t="s">
        <v>38</v>
      </c>
      <c r="V21" s="416"/>
      <c r="W21" s="392"/>
      <c r="X21" s="392"/>
      <c r="Y21" s="391"/>
      <c r="Z21" s="201"/>
      <c r="AA21" s="201"/>
      <c r="AB21" s="201"/>
      <c r="AC21" s="201"/>
      <c r="AE21" s="482"/>
      <c r="AF21" s="461"/>
      <c r="AG21" s="461"/>
      <c r="AH21" s="29"/>
      <c r="AI21" s="464"/>
      <c r="AJ21" s="464"/>
      <c r="AK21" s="464"/>
      <c r="AL21" s="464"/>
      <c r="AM21" s="464"/>
      <c r="AN21" s="452"/>
    </row>
    <row r="22" spans="1:51" ht="126.6" customHeight="1">
      <c r="A22">
        <v>43</v>
      </c>
      <c r="B22" t="s">
        <v>119</v>
      </c>
      <c r="C22" t="s">
        <v>61</v>
      </c>
      <c r="D22" t="s">
        <v>113</v>
      </c>
      <c r="E22">
        <v>1200</v>
      </c>
      <c r="F22" t="s">
        <v>108</v>
      </c>
      <c r="G22" t="s">
        <v>52</v>
      </c>
      <c r="H22" t="s">
        <v>76</v>
      </c>
      <c r="I22">
        <v>57</v>
      </c>
      <c r="J22" t="s">
        <v>77</v>
      </c>
      <c r="K22">
        <v>1988</v>
      </c>
      <c r="L22" t="s">
        <v>120</v>
      </c>
      <c r="M22" s="287" t="s">
        <v>1252</v>
      </c>
      <c r="O22" t="s">
        <v>121</v>
      </c>
      <c r="P22" s="2">
        <v>0.76</v>
      </c>
      <c r="Q22" s="19" t="s">
        <v>122</v>
      </c>
      <c r="R22" s="19" t="s">
        <v>38</v>
      </c>
      <c r="S22" s="19" t="s">
        <v>38</v>
      </c>
      <c r="T22" s="19" t="s">
        <v>38</v>
      </c>
      <c r="V22" s="416"/>
      <c r="W22" s="392"/>
      <c r="X22" s="392"/>
      <c r="Y22" s="391"/>
      <c r="Z22" s="201"/>
      <c r="AA22" s="201"/>
      <c r="AB22" s="201"/>
      <c r="AC22" s="201"/>
      <c r="AE22" s="482"/>
      <c r="AF22" s="461"/>
      <c r="AG22" s="461"/>
      <c r="AH22" s="29"/>
      <c r="AI22" s="464"/>
      <c r="AJ22" s="464"/>
      <c r="AK22" s="464"/>
      <c r="AL22" s="464"/>
      <c r="AM22" s="464"/>
      <c r="AN22" s="452"/>
    </row>
    <row r="23" spans="1:51" ht="83.5" customHeight="1" thickBot="1">
      <c r="A23">
        <v>68</v>
      </c>
      <c r="B23" t="s">
        <v>112</v>
      </c>
      <c r="C23" t="s">
        <v>61</v>
      </c>
      <c r="D23" t="s">
        <v>113</v>
      </c>
      <c r="E23">
        <v>970</v>
      </c>
      <c r="F23" t="s">
        <v>108</v>
      </c>
      <c r="G23" t="s">
        <v>52</v>
      </c>
      <c r="H23" t="s">
        <v>76</v>
      </c>
      <c r="I23">
        <v>40</v>
      </c>
      <c r="J23" t="s">
        <v>77</v>
      </c>
      <c r="K23">
        <v>1988</v>
      </c>
      <c r="L23" t="s">
        <v>120</v>
      </c>
      <c r="M23" s="287" t="s">
        <v>1252</v>
      </c>
      <c r="O23" t="s">
        <v>121</v>
      </c>
      <c r="P23" s="2">
        <v>0.76</v>
      </c>
      <c r="Q23" s="19" t="s">
        <v>122</v>
      </c>
      <c r="R23" s="19" t="s">
        <v>38</v>
      </c>
      <c r="S23" s="19" t="s">
        <v>38</v>
      </c>
      <c r="T23" s="19" t="s">
        <v>38</v>
      </c>
      <c r="V23" s="416"/>
      <c r="W23" s="392"/>
      <c r="X23" s="392"/>
      <c r="Y23" s="391"/>
      <c r="Z23" s="201"/>
      <c r="AA23" s="201"/>
      <c r="AB23" s="201"/>
      <c r="AC23" s="201"/>
      <c r="AE23" s="483"/>
      <c r="AF23" s="462"/>
      <c r="AG23" s="462"/>
      <c r="AH23" s="50"/>
      <c r="AI23" s="466"/>
      <c r="AJ23" s="466"/>
      <c r="AK23" s="466"/>
      <c r="AL23" s="466"/>
      <c r="AM23" s="466"/>
      <c r="AN23" s="454"/>
      <c r="AR23" t="s">
        <v>79</v>
      </c>
      <c r="AS23">
        <v>150</v>
      </c>
      <c r="AT23">
        <v>36600000</v>
      </c>
      <c r="AU23" t="s">
        <v>34</v>
      </c>
      <c r="AV23">
        <v>1989</v>
      </c>
      <c r="AW23" t="s">
        <v>80</v>
      </c>
      <c r="AX23" t="s">
        <v>50</v>
      </c>
    </row>
    <row r="24" spans="1:51" ht="13" customHeight="1">
      <c r="A24">
        <v>67</v>
      </c>
      <c r="B24" t="s">
        <v>126</v>
      </c>
      <c r="C24" t="s">
        <v>61</v>
      </c>
      <c r="D24" t="s">
        <v>62</v>
      </c>
      <c r="E24">
        <v>1000</v>
      </c>
      <c r="F24" t="s">
        <v>108</v>
      </c>
      <c r="G24" t="s">
        <v>52</v>
      </c>
      <c r="H24" t="s">
        <v>76</v>
      </c>
      <c r="I24">
        <v>48</v>
      </c>
      <c r="J24" t="s">
        <v>77</v>
      </c>
      <c r="K24">
        <v>1988</v>
      </c>
      <c r="L24" t="s">
        <v>120</v>
      </c>
      <c r="M24" s="287" t="s">
        <v>1252</v>
      </c>
      <c r="O24" t="s">
        <v>121</v>
      </c>
      <c r="P24" s="2">
        <v>0.76</v>
      </c>
      <c r="Q24" s="19" t="s">
        <v>122</v>
      </c>
      <c r="R24" s="19" t="s">
        <v>38</v>
      </c>
      <c r="S24" s="19" t="s">
        <v>38</v>
      </c>
      <c r="T24" s="19" t="s">
        <v>38</v>
      </c>
      <c r="V24" s="416"/>
      <c r="W24" s="392"/>
      <c r="X24" s="392"/>
      <c r="Y24" s="391"/>
      <c r="Z24" s="201"/>
      <c r="AA24" s="201"/>
      <c r="AB24" s="201"/>
      <c r="AC24" s="201"/>
      <c r="AE24" s="27"/>
      <c r="AF24" s="13"/>
      <c r="AG24" s="13"/>
      <c r="AH24" s="13"/>
      <c r="AI24" s="13"/>
      <c r="AJ24" s="13"/>
      <c r="AK24" s="13"/>
      <c r="AL24" s="13"/>
      <c r="AM24" s="13"/>
      <c r="AN24" s="28"/>
      <c r="AR24" s="4" t="s">
        <v>85</v>
      </c>
      <c r="AS24" s="4">
        <v>2000</v>
      </c>
      <c r="AT24" s="4">
        <v>49300000</v>
      </c>
      <c r="AU24" s="4" t="s">
        <v>34</v>
      </c>
      <c r="AV24" s="4">
        <v>2009</v>
      </c>
      <c r="AW24" s="4" t="s">
        <v>86</v>
      </c>
      <c r="AX24" s="4" t="s">
        <v>87</v>
      </c>
      <c r="AY24" s="4"/>
    </row>
    <row r="25" spans="1:51" ht="13" customHeight="1">
      <c r="A25">
        <v>69</v>
      </c>
      <c r="B25" t="s">
        <v>114</v>
      </c>
      <c r="C25" t="s">
        <v>61</v>
      </c>
      <c r="D25" t="s">
        <v>62</v>
      </c>
      <c r="E25">
        <v>1000</v>
      </c>
      <c r="F25" t="s">
        <v>108</v>
      </c>
      <c r="G25" t="s">
        <v>52</v>
      </c>
      <c r="H25" t="s">
        <v>76</v>
      </c>
      <c r="I25">
        <v>69</v>
      </c>
      <c r="J25" t="s">
        <v>77</v>
      </c>
      <c r="K25">
        <v>1988</v>
      </c>
      <c r="L25" t="s">
        <v>120</v>
      </c>
      <c r="M25" s="287" t="s">
        <v>1252</v>
      </c>
      <c r="O25" t="s">
        <v>121</v>
      </c>
      <c r="P25" s="2">
        <v>0.76</v>
      </c>
      <c r="Q25" s="19" t="s">
        <v>122</v>
      </c>
      <c r="R25" s="19" t="s">
        <v>38</v>
      </c>
      <c r="S25" s="19" t="s">
        <v>38</v>
      </c>
      <c r="T25" s="19" t="s">
        <v>38</v>
      </c>
      <c r="V25" s="416"/>
      <c r="W25" s="392"/>
      <c r="X25" s="392"/>
      <c r="Y25" s="391"/>
      <c r="Z25" s="201"/>
      <c r="AA25" s="201"/>
      <c r="AB25" s="201"/>
      <c r="AC25" s="201"/>
      <c r="AE25" s="27"/>
      <c r="AF25" s="13"/>
      <c r="AG25" s="13"/>
      <c r="AH25" s="13"/>
      <c r="AI25" s="13"/>
      <c r="AJ25" s="13"/>
      <c r="AK25" s="13"/>
      <c r="AL25" s="13"/>
      <c r="AM25" s="13"/>
      <c r="AN25" s="28"/>
      <c r="AR25" s="5"/>
    </row>
    <row r="26" spans="1:51" ht="13" customHeight="1">
      <c r="A26">
        <v>163</v>
      </c>
      <c r="B26" t="s">
        <v>207</v>
      </c>
      <c r="C26" t="s">
        <v>61</v>
      </c>
      <c r="D26" t="s">
        <v>62</v>
      </c>
      <c r="E26">
        <v>1000</v>
      </c>
      <c r="F26" t="s">
        <v>108</v>
      </c>
      <c r="G26" t="s">
        <v>52</v>
      </c>
      <c r="H26" t="s">
        <v>76</v>
      </c>
      <c r="I26">
        <v>47.12</v>
      </c>
      <c r="J26" t="s">
        <v>77</v>
      </c>
      <c r="K26">
        <v>1992</v>
      </c>
      <c r="L26" t="s">
        <v>1206</v>
      </c>
      <c r="M26" s="80"/>
      <c r="O26" t="s">
        <v>210</v>
      </c>
      <c r="P26" s="2" t="s">
        <v>713</v>
      </c>
      <c r="Q26" s="13" t="s">
        <v>84</v>
      </c>
      <c r="R26" s="19" t="s">
        <v>38</v>
      </c>
      <c r="S26" s="19" t="s">
        <v>38</v>
      </c>
      <c r="T26" s="19" t="s">
        <v>122</v>
      </c>
      <c r="V26" s="416"/>
      <c r="W26" s="392"/>
      <c r="X26" s="392"/>
      <c r="Y26" s="391"/>
      <c r="Z26" s="201"/>
      <c r="AA26" s="201"/>
      <c r="AB26" s="201"/>
      <c r="AC26" s="201"/>
      <c r="AE26" s="27"/>
      <c r="AF26" s="13"/>
      <c r="AG26" s="13"/>
      <c r="AH26" s="13"/>
      <c r="AI26" s="13"/>
      <c r="AJ26" s="13"/>
      <c r="AK26" s="13"/>
      <c r="AL26" s="13"/>
      <c r="AM26" s="13"/>
      <c r="AN26" s="28"/>
      <c r="AR26" s="5"/>
    </row>
    <row r="27" spans="1:51" ht="13" customHeight="1">
      <c r="A27">
        <v>244</v>
      </c>
      <c r="B27" t="s">
        <v>269</v>
      </c>
      <c r="C27" t="s">
        <v>61</v>
      </c>
      <c r="D27" t="s">
        <v>62</v>
      </c>
      <c r="E27">
        <v>1013.2</v>
      </c>
      <c r="F27" t="s">
        <v>108</v>
      </c>
      <c r="G27" t="s">
        <v>52</v>
      </c>
      <c r="H27" t="s">
        <v>76</v>
      </c>
      <c r="I27">
        <v>64.3</v>
      </c>
      <c r="J27" t="s">
        <v>77</v>
      </c>
      <c r="K27">
        <v>2015</v>
      </c>
      <c r="L27" t="s">
        <v>289</v>
      </c>
      <c r="M27" s="80"/>
      <c r="O27" t="s">
        <v>270</v>
      </c>
      <c r="P27" s="55" t="s">
        <v>38</v>
      </c>
      <c r="Q27" t="s">
        <v>84</v>
      </c>
      <c r="R27" s="19" t="s">
        <v>38</v>
      </c>
      <c r="S27" s="19" t="s">
        <v>38</v>
      </c>
      <c r="T27" s="55" t="s">
        <v>38</v>
      </c>
      <c r="V27" s="416"/>
      <c r="W27" s="392"/>
      <c r="X27" s="392"/>
      <c r="Y27" s="391"/>
      <c r="Z27" s="201"/>
      <c r="AA27" s="201"/>
      <c r="AB27" s="201"/>
      <c r="AC27" s="201"/>
      <c r="AE27" s="27"/>
      <c r="AF27" s="13"/>
      <c r="AG27" s="13"/>
      <c r="AH27" s="13"/>
      <c r="AI27" s="13"/>
      <c r="AJ27" s="13"/>
      <c r="AK27" s="13"/>
      <c r="AL27" s="13"/>
      <c r="AM27" s="13"/>
      <c r="AN27" s="28"/>
      <c r="AR27" s="5"/>
    </row>
    <row r="28" spans="1:51" ht="13" customHeight="1">
      <c r="A28">
        <v>245</v>
      </c>
      <c r="B28" t="s">
        <v>271</v>
      </c>
      <c r="C28" t="s">
        <v>61</v>
      </c>
      <c r="D28" t="s">
        <v>62</v>
      </c>
      <c r="E28">
        <v>999.7</v>
      </c>
      <c r="F28" t="s">
        <v>108</v>
      </c>
      <c r="G28" t="s">
        <v>52</v>
      </c>
      <c r="H28" t="s">
        <v>76</v>
      </c>
      <c r="I28">
        <v>86.2</v>
      </c>
      <c r="J28" t="s">
        <v>77</v>
      </c>
      <c r="K28">
        <v>2015</v>
      </c>
      <c r="L28" t="s">
        <v>289</v>
      </c>
      <c r="M28" s="80"/>
      <c r="O28" t="s">
        <v>272</v>
      </c>
      <c r="P28" s="55" t="s">
        <v>38</v>
      </c>
      <c r="Q28" t="s">
        <v>84</v>
      </c>
      <c r="R28" s="19" t="s">
        <v>38</v>
      </c>
      <c r="S28" s="19" t="s">
        <v>38</v>
      </c>
      <c r="T28" s="55" t="s">
        <v>38</v>
      </c>
      <c r="U28" s="476"/>
      <c r="V28" s="416"/>
      <c r="W28" s="392"/>
      <c r="X28" s="392"/>
      <c r="Y28" s="391"/>
      <c r="Z28" s="201"/>
      <c r="AA28" s="201"/>
      <c r="AB28" s="201"/>
      <c r="AC28" s="201"/>
      <c r="AE28" s="27"/>
      <c r="AF28" s="13"/>
      <c r="AG28" s="13"/>
      <c r="AH28" s="13"/>
      <c r="AI28" s="13"/>
      <c r="AJ28" s="13"/>
      <c r="AK28" s="13"/>
      <c r="AL28" s="13"/>
      <c r="AM28" s="13"/>
      <c r="AN28" s="28"/>
      <c r="AR28" s="5"/>
    </row>
    <row r="29" spans="1:51" ht="13" hidden="1" customHeight="1">
      <c r="B29" t="s">
        <v>81</v>
      </c>
      <c r="C29" t="s">
        <v>61</v>
      </c>
      <c r="D29" t="s">
        <v>62</v>
      </c>
      <c r="E29">
        <v>1500</v>
      </c>
      <c r="F29" t="s">
        <v>217</v>
      </c>
      <c r="G29" s="117" t="s">
        <v>755</v>
      </c>
      <c r="H29" t="s">
        <v>76</v>
      </c>
      <c r="I29">
        <v>3650</v>
      </c>
      <c r="J29" t="s">
        <v>82</v>
      </c>
      <c r="K29">
        <v>2011</v>
      </c>
      <c r="L29" s="80" t="s">
        <v>83</v>
      </c>
      <c r="M29" s="80"/>
      <c r="N29" s="80"/>
      <c r="O29" s="13" t="s">
        <v>1166</v>
      </c>
      <c r="R29" s="19"/>
      <c r="S29" s="19"/>
      <c r="T29" s="19"/>
      <c r="U29" s="476"/>
      <c r="V29" s="416"/>
      <c r="W29" s="392"/>
      <c r="X29" s="392"/>
      <c r="Y29" s="391"/>
      <c r="Z29" s="201"/>
      <c r="AA29" s="201"/>
      <c r="AB29" s="201"/>
      <c r="AC29" s="201"/>
      <c r="AE29" s="27"/>
      <c r="AF29" s="13"/>
      <c r="AG29" s="13"/>
      <c r="AH29" s="13"/>
      <c r="AI29" s="13"/>
      <c r="AJ29" s="13"/>
      <c r="AK29" s="13"/>
      <c r="AL29" s="13"/>
      <c r="AM29" s="13"/>
      <c r="AN29" s="28"/>
      <c r="AR29" s="5"/>
    </row>
    <row r="30" spans="1:51" ht="42.6" hidden="1" customHeight="1">
      <c r="B30" t="s">
        <v>81</v>
      </c>
      <c r="C30" t="s">
        <v>61</v>
      </c>
      <c r="D30" t="s">
        <v>62</v>
      </c>
      <c r="E30">
        <v>1500</v>
      </c>
      <c r="F30" t="s">
        <v>217</v>
      </c>
      <c r="G30" s="117" t="s">
        <v>755</v>
      </c>
      <c r="H30" t="s">
        <v>76</v>
      </c>
      <c r="I30">
        <v>2850</v>
      </c>
      <c r="J30" t="s">
        <v>82</v>
      </c>
      <c r="K30">
        <v>2011</v>
      </c>
      <c r="L30" s="80" t="s">
        <v>83</v>
      </c>
      <c r="M30" s="80"/>
      <c r="N30" s="80"/>
      <c r="O30" t="s">
        <v>1167</v>
      </c>
      <c r="R30" s="19"/>
      <c r="S30" s="19"/>
      <c r="T30" s="19"/>
      <c r="U30" s="476"/>
      <c r="V30" s="416"/>
      <c r="W30" s="392"/>
      <c r="X30" s="392"/>
      <c r="Y30" s="391"/>
      <c r="Z30" s="201"/>
      <c r="AA30" s="201"/>
      <c r="AB30" s="201"/>
      <c r="AC30" s="201"/>
      <c r="AE30" s="27"/>
      <c r="AF30" s="13"/>
      <c r="AG30" s="13"/>
      <c r="AH30" s="13"/>
      <c r="AI30" s="13"/>
      <c r="AJ30" s="13"/>
      <c r="AK30" s="58" t="s">
        <v>89</v>
      </c>
      <c r="AL30" s="13"/>
      <c r="AM30" s="13"/>
      <c r="AN30" s="28"/>
      <c r="AR30" s="5"/>
    </row>
    <row r="31" spans="1:51" ht="13" hidden="1" customHeight="1">
      <c r="B31" t="s">
        <v>81</v>
      </c>
      <c r="C31" t="s">
        <v>61</v>
      </c>
      <c r="D31" t="s">
        <v>62</v>
      </c>
      <c r="E31">
        <v>1500</v>
      </c>
      <c r="F31" t="s">
        <v>217</v>
      </c>
      <c r="G31" s="117" t="s">
        <v>755</v>
      </c>
      <c r="H31" t="s">
        <v>76</v>
      </c>
      <c r="I31">
        <v>2050</v>
      </c>
      <c r="J31" t="s">
        <v>82</v>
      </c>
      <c r="K31">
        <v>2011</v>
      </c>
      <c r="L31" s="80" t="s">
        <v>83</v>
      </c>
      <c r="M31" s="80"/>
      <c r="N31" s="80"/>
      <c r="O31" t="s">
        <v>1168</v>
      </c>
      <c r="R31" s="19"/>
      <c r="S31" s="19"/>
      <c r="T31" s="19"/>
      <c r="U31" s="19"/>
      <c r="V31" s="416"/>
      <c r="W31" s="392"/>
      <c r="X31" s="392"/>
      <c r="Y31" s="391"/>
      <c r="Z31" s="201"/>
      <c r="AA31" s="201"/>
      <c r="AB31" s="201"/>
      <c r="AC31" s="201"/>
      <c r="AE31" s="27"/>
      <c r="AF31" s="13"/>
      <c r="AG31" s="13"/>
      <c r="AH31" s="13"/>
      <c r="AI31" s="13"/>
      <c r="AJ31" s="13"/>
      <c r="AK31" s="13"/>
      <c r="AL31" s="13"/>
      <c r="AM31" s="13"/>
      <c r="AN31" s="28"/>
      <c r="AR31" s="5"/>
    </row>
    <row r="32" spans="1:51" ht="13" hidden="1" customHeight="1">
      <c r="B32" t="s">
        <v>81</v>
      </c>
      <c r="C32" t="s">
        <v>61</v>
      </c>
      <c r="D32" t="s">
        <v>62</v>
      </c>
      <c r="E32">
        <v>1500</v>
      </c>
      <c r="F32" t="s">
        <v>217</v>
      </c>
      <c r="G32" s="117" t="s">
        <v>755</v>
      </c>
      <c r="H32" t="s">
        <v>76</v>
      </c>
      <c r="I32">
        <v>3300</v>
      </c>
      <c r="J32" t="s">
        <v>82</v>
      </c>
      <c r="K32">
        <v>2011</v>
      </c>
      <c r="L32" s="80" t="s">
        <v>83</v>
      </c>
      <c r="M32" s="80"/>
      <c r="N32" s="80"/>
      <c r="O32" s="13" t="s">
        <v>1169</v>
      </c>
      <c r="R32" s="19"/>
      <c r="S32" s="19"/>
      <c r="T32" s="19"/>
      <c r="U32" s="19"/>
      <c r="V32" s="416"/>
      <c r="W32" s="392"/>
      <c r="X32" s="392"/>
      <c r="Y32" s="391"/>
      <c r="Z32" s="201"/>
      <c r="AA32" s="201"/>
      <c r="AB32" s="201"/>
      <c r="AC32" s="201"/>
      <c r="AE32" s="27"/>
      <c r="AF32" s="13"/>
      <c r="AG32" s="13"/>
      <c r="AH32" s="13"/>
      <c r="AI32" s="13"/>
      <c r="AJ32" s="13"/>
      <c r="AK32" s="13"/>
      <c r="AL32" s="13"/>
      <c r="AM32" s="13"/>
      <c r="AN32" s="28"/>
      <c r="AR32" s="5"/>
    </row>
    <row r="33" spans="1:44" ht="13" hidden="1" customHeight="1">
      <c r="B33" t="s">
        <v>81</v>
      </c>
      <c r="C33" t="s">
        <v>61</v>
      </c>
      <c r="D33" t="s">
        <v>62</v>
      </c>
      <c r="E33">
        <v>1500</v>
      </c>
      <c r="F33" t="s">
        <v>217</v>
      </c>
      <c r="G33" s="117" t="s">
        <v>755</v>
      </c>
      <c r="H33" t="s">
        <v>76</v>
      </c>
      <c r="I33">
        <v>2600</v>
      </c>
      <c r="J33" t="s">
        <v>82</v>
      </c>
      <c r="K33">
        <v>2011</v>
      </c>
      <c r="L33" s="80" t="s">
        <v>83</v>
      </c>
      <c r="M33" s="80"/>
      <c r="N33" s="80"/>
      <c r="O33" t="s">
        <v>1170</v>
      </c>
      <c r="R33" s="19"/>
      <c r="S33" s="19"/>
      <c r="T33" s="19"/>
      <c r="U33" s="19"/>
      <c r="V33" s="416"/>
      <c r="W33" s="392"/>
      <c r="X33" s="392"/>
      <c r="Y33" s="391"/>
      <c r="Z33" s="201"/>
      <c r="AA33" s="201"/>
      <c r="AB33" s="201"/>
      <c r="AC33" s="201"/>
      <c r="AE33" s="27"/>
      <c r="AF33" s="13"/>
      <c r="AG33" s="13"/>
      <c r="AH33" s="13"/>
      <c r="AI33" s="13"/>
      <c r="AJ33" s="13"/>
      <c r="AK33" s="13"/>
      <c r="AL33" s="13"/>
      <c r="AM33" s="13"/>
      <c r="AN33" s="28"/>
      <c r="AR33" s="5"/>
    </row>
    <row r="34" spans="1:44" ht="13" hidden="1" customHeight="1">
      <c r="B34" t="s">
        <v>81</v>
      </c>
      <c r="C34" t="s">
        <v>61</v>
      </c>
      <c r="D34" t="s">
        <v>62</v>
      </c>
      <c r="E34">
        <v>1500</v>
      </c>
      <c r="F34" t="s">
        <v>217</v>
      </c>
      <c r="G34" s="117" t="s">
        <v>755</v>
      </c>
      <c r="H34" t="s">
        <v>76</v>
      </c>
      <c r="I34">
        <v>1850</v>
      </c>
      <c r="J34" t="s">
        <v>82</v>
      </c>
      <c r="K34">
        <v>2011</v>
      </c>
      <c r="L34" s="80" t="s">
        <v>83</v>
      </c>
      <c r="M34" s="80"/>
      <c r="N34" s="80"/>
      <c r="O34" t="s">
        <v>1171</v>
      </c>
      <c r="R34" s="19"/>
      <c r="S34" s="19"/>
      <c r="T34" s="19"/>
      <c r="U34" s="19"/>
      <c r="V34" s="416"/>
      <c r="W34" s="392"/>
      <c r="X34" s="392"/>
      <c r="Y34" s="391"/>
      <c r="Z34" s="201"/>
      <c r="AA34" s="201"/>
      <c r="AB34" s="201"/>
      <c r="AC34" s="201"/>
      <c r="AE34" s="27"/>
      <c r="AF34" s="13"/>
      <c r="AG34" s="13"/>
      <c r="AH34" s="13"/>
      <c r="AI34" s="13"/>
      <c r="AJ34" s="13"/>
      <c r="AK34" s="13"/>
      <c r="AL34" s="13"/>
      <c r="AM34" s="13"/>
      <c r="AN34" s="28"/>
      <c r="AR34" s="5"/>
    </row>
    <row r="35" spans="1:44" ht="13" hidden="1" customHeight="1">
      <c r="B35" t="s">
        <v>81</v>
      </c>
      <c r="C35" t="s">
        <v>61</v>
      </c>
      <c r="D35" t="s">
        <v>62</v>
      </c>
      <c r="E35">
        <v>1500</v>
      </c>
      <c r="F35" t="s">
        <v>217</v>
      </c>
      <c r="G35" s="117" t="s">
        <v>754</v>
      </c>
      <c r="H35" t="s">
        <v>76</v>
      </c>
      <c r="I35">
        <v>3950</v>
      </c>
      <c r="J35" t="s">
        <v>82</v>
      </c>
      <c r="K35">
        <v>2011</v>
      </c>
      <c r="L35" s="80" t="s">
        <v>83</v>
      </c>
      <c r="M35" s="80"/>
      <c r="N35" s="80"/>
      <c r="O35" s="13" t="s">
        <v>1172</v>
      </c>
      <c r="R35" s="19"/>
      <c r="S35" s="19"/>
      <c r="T35" s="19"/>
      <c r="U35" s="19"/>
      <c r="V35" s="416"/>
      <c r="W35" s="392"/>
      <c r="X35" s="392"/>
      <c r="Y35" s="391"/>
      <c r="Z35" s="201"/>
      <c r="AA35" s="201"/>
      <c r="AB35" s="201"/>
      <c r="AC35" s="201"/>
      <c r="AE35" s="27"/>
      <c r="AF35" s="13"/>
      <c r="AG35" s="13"/>
      <c r="AH35" s="13"/>
      <c r="AI35" s="13"/>
      <c r="AJ35" s="13"/>
      <c r="AK35" s="13"/>
      <c r="AL35" s="13"/>
      <c r="AM35" s="13"/>
      <c r="AN35" s="28"/>
      <c r="AR35" s="5"/>
    </row>
    <row r="36" spans="1:44" ht="13" hidden="1" customHeight="1">
      <c r="B36" t="s">
        <v>81</v>
      </c>
      <c r="C36" t="s">
        <v>61</v>
      </c>
      <c r="D36" t="s">
        <v>62</v>
      </c>
      <c r="E36">
        <v>1500</v>
      </c>
      <c r="F36" t="s">
        <v>217</v>
      </c>
      <c r="G36" s="117" t="s">
        <v>754</v>
      </c>
      <c r="H36" t="s">
        <v>76</v>
      </c>
      <c r="I36">
        <v>3150</v>
      </c>
      <c r="J36" t="s">
        <v>82</v>
      </c>
      <c r="K36">
        <v>2011</v>
      </c>
      <c r="L36" s="80" t="s">
        <v>83</v>
      </c>
      <c r="M36" s="80"/>
      <c r="N36" s="80"/>
      <c r="O36" t="s">
        <v>1173</v>
      </c>
      <c r="R36" s="19"/>
      <c r="S36" s="19"/>
      <c r="T36" s="19"/>
      <c r="U36" s="19"/>
      <c r="V36" s="416"/>
      <c r="W36" s="392"/>
      <c r="X36" s="392"/>
      <c r="Y36" s="391"/>
      <c r="Z36" s="201"/>
      <c r="AA36" s="201"/>
      <c r="AB36" s="201"/>
      <c r="AC36" s="201"/>
      <c r="AE36" s="27"/>
      <c r="AF36" s="13"/>
      <c r="AG36" s="13"/>
      <c r="AH36" s="13"/>
      <c r="AI36" s="13"/>
      <c r="AJ36" s="13"/>
      <c r="AK36" s="13"/>
      <c r="AL36" s="13"/>
      <c r="AM36" s="13"/>
      <c r="AN36" s="28"/>
      <c r="AR36" s="5"/>
    </row>
    <row r="37" spans="1:44" ht="13" hidden="1" customHeight="1">
      <c r="B37" t="s">
        <v>81</v>
      </c>
      <c r="C37" t="s">
        <v>61</v>
      </c>
      <c r="D37" t="s">
        <v>62</v>
      </c>
      <c r="E37">
        <v>1500</v>
      </c>
      <c r="F37" t="s">
        <v>217</v>
      </c>
      <c r="G37" s="117" t="s">
        <v>754</v>
      </c>
      <c r="H37" t="s">
        <v>76</v>
      </c>
      <c r="I37">
        <v>2250</v>
      </c>
      <c r="J37" t="s">
        <v>82</v>
      </c>
      <c r="K37">
        <v>2011</v>
      </c>
      <c r="L37" s="80" t="s">
        <v>83</v>
      </c>
      <c r="M37" s="80"/>
      <c r="N37" s="80"/>
      <c r="O37" t="s">
        <v>1174</v>
      </c>
      <c r="R37" s="19"/>
      <c r="S37" s="19"/>
      <c r="T37" s="19"/>
      <c r="U37" s="19"/>
      <c r="V37" s="416"/>
      <c r="W37" s="392"/>
      <c r="X37" s="392"/>
      <c r="Y37" s="391"/>
      <c r="Z37" s="201"/>
      <c r="AA37" s="201"/>
      <c r="AB37" s="201"/>
      <c r="AC37" s="201"/>
      <c r="AE37" s="27"/>
      <c r="AF37" s="13"/>
      <c r="AG37" s="13"/>
      <c r="AH37" s="13"/>
      <c r="AI37" s="13"/>
      <c r="AJ37" s="13"/>
      <c r="AK37" s="13"/>
      <c r="AL37" s="13"/>
      <c r="AM37" s="13"/>
      <c r="AN37" s="28"/>
      <c r="AR37" s="5"/>
    </row>
    <row r="38" spans="1:44" ht="13" hidden="1" customHeight="1">
      <c r="A38">
        <v>25</v>
      </c>
      <c r="B38" t="s">
        <v>81</v>
      </c>
      <c r="C38" t="s">
        <v>61</v>
      </c>
      <c r="D38" t="s">
        <v>62</v>
      </c>
      <c r="E38">
        <v>1500</v>
      </c>
      <c r="F38" t="s">
        <v>217</v>
      </c>
      <c r="G38" s="117" t="s">
        <v>57</v>
      </c>
      <c r="H38" t="s">
        <v>76</v>
      </c>
      <c r="I38">
        <v>5350</v>
      </c>
      <c r="J38" t="s">
        <v>82</v>
      </c>
      <c r="K38">
        <v>2011</v>
      </c>
      <c r="L38" s="80" t="s">
        <v>83</v>
      </c>
      <c r="M38" s="80"/>
      <c r="N38" s="80"/>
      <c r="O38" s="13" t="s">
        <v>1175</v>
      </c>
      <c r="P38" s="2" t="s">
        <v>706</v>
      </c>
      <c r="Q38" t="s">
        <v>84</v>
      </c>
      <c r="R38" s="19" t="s">
        <v>38</v>
      </c>
      <c r="S38" s="19" t="s">
        <v>38</v>
      </c>
      <c r="T38" s="19" t="s">
        <v>38</v>
      </c>
      <c r="U38" s="19"/>
      <c r="V38" s="416"/>
      <c r="W38" s="392"/>
      <c r="X38" s="392"/>
      <c r="Y38" s="391"/>
      <c r="Z38" s="201"/>
      <c r="AA38" s="201"/>
      <c r="AB38" s="201"/>
      <c r="AC38" s="201"/>
      <c r="AE38" s="27"/>
      <c r="AF38" s="13"/>
      <c r="AG38" s="13"/>
      <c r="AH38" s="13"/>
      <c r="AI38" s="13"/>
      <c r="AJ38" s="13"/>
      <c r="AK38" s="13"/>
      <c r="AL38" s="13"/>
      <c r="AM38" s="13"/>
      <c r="AN38" s="28"/>
      <c r="AR38" s="5"/>
    </row>
    <row r="39" spans="1:44" ht="13" hidden="1" customHeight="1">
      <c r="A39">
        <v>26</v>
      </c>
      <c r="B39" t="s">
        <v>81</v>
      </c>
      <c r="C39" t="s">
        <v>61</v>
      </c>
      <c r="D39" t="s">
        <v>62</v>
      </c>
      <c r="E39">
        <v>1500</v>
      </c>
      <c r="F39" t="s">
        <v>217</v>
      </c>
      <c r="G39" s="117" t="s">
        <v>57</v>
      </c>
      <c r="H39" t="s">
        <v>76</v>
      </c>
      <c r="I39">
        <v>3700</v>
      </c>
      <c r="J39" t="s">
        <v>82</v>
      </c>
      <c r="K39">
        <v>2011</v>
      </c>
      <c r="L39" s="80" t="s">
        <v>83</v>
      </c>
      <c r="M39" s="80"/>
      <c r="N39" s="80"/>
      <c r="O39" t="s">
        <v>1176</v>
      </c>
      <c r="P39" s="2" t="s">
        <v>706</v>
      </c>
      <c r="Q39" t="s">
        <v>84</v>
      </c>
      <c r="R39" s="19" t="s">
        <v>38</v>
      </c>
      <c r="S39" s="19" t="s">
        <v>38</v>
      </c>
      <c r="T39" s="19" t="s">
        <v>38</v>
      </c>
      <c r="U39" s="19"/>
      <c r="V39" s="416"/>
      <c r="W39" s="392"/>
      <c r="X39" s="392"/>
      <c r="Y39" s="391"/>
      <c r="Z39" s="201"/>
      <c r="AA39" s="201"/>
      <c r="AB39" s="201"/>
      <c r="AC39" s="201"/>
      <c r="AE39" s="27"/>
      <c r="AF39" s="13"/>
      <c r="AG39" s="13"/>
      <c r="AH39" s="13"/>
      <c r="AI39" s="13"/>
      <c r="AJ39" s="13"/>
      <c r="AK39" s="13"/>
      <c r="AL39" s="13"/>
      <c r="AM39" s="13"/>
      <c r="AN39" s="28"/>
      <c r="AR39" s="5"/>
    </row>
    <row r="40" spans="1:44" ht="13" hidden="1" customHeight="1">
      <c r="A40">
        <v>27</v>
      </c>
      <c r="B40" t="s">
        <v>81</v>
      </c>
      <c r="C40" t="s">
        <v>61</v>
      </c>
      <c r="D40" t="s">
        <v>62</v>
      </c>
      <c r="E40">
        <v>1500</v>
      </c>
      <c r="F40" t="s">
        <v>217</v>
      </c>
      <c r="G40" s="117" t="s">
        <v>57</v>
      </c>
      <c r="H40" t="s">
        <v>76</v>
      </c>
      <c r="I40">
        <v>2600</v>
      </c>
      <c r="J40" t="s">
        <v>82</v>
      </c>
      <c r="K40">
        <v>2011</v>
      </c>
      <c r="L40" s="80" t="s">
        <v>83</v>
      </c>
      <c r="M40" s="80"/>
      <c r="N40" s="80"/>
      <c r="O40" t="s">
        <v>1177</v>
      </c>
      <c r="P40" s="2" t="s">
        <v>706</v>
      </c>
      <c r="Q40" t="s">
        <v>84</v>
      </c>
      <c r="R40" s="19" t="s">
        <v>38</v>
      </c>
      <c r="S40" s="19" t="s">
        <v>38</v>
      </c>
      <c r="T40" s="19" t="s">
        <v>38</v>
      </c>
      <c r="U40" s="19"/>
      <c r="V40" s="416"/>
      <c r="W40" s="392"/>
      <c r="X40" s="392"/>
      <c r="Y40" s="391"/>
      <c r="Z40" s="201"/>
      <c r="AA40" s="201"/>
      <c r="AB40" s="201"/>
      <c r="AC40" s="201"/>
      <c r="AE40" s="27"/>
      <c r="AF40" s="13"/>
      <c r="AG40" s="13"/>
      <c r="AH40" s="13"/>
      <c r="AI40" s="13"/>
      <c r="AJ40" s="13"/>
      <c r="AK40" s="13"/>
      <c r="AL40" s="13"/>
      <c r="AM40" s="13"/>
      <c r="AN40" s="28"/>
      <c r="AR40" s="5"/>
    </row>
    <row r="41" spans="1:44" ht="71.5" customHeight="1">
      <c r="A41">
        <v>246</v>
      </c>
      <c r="B41" t="s">
        <v>273</v>
      </c>
      <c r="C41" t="s">
        <v>61</v>
      </c>
      <c r="D41" t="s">
        <v>62</v>
      </c>
      <c r="E41">
        <v>1010</v>
      </c>
      <c r="F41" t="s">
        <v>108</v>
      </c>
      <c r="G41" t="s">
        <v>52</v>
      </c>
      <c r="H41" t="s">
        <v>76</v>
      </c>
      <c r="I41">
        <v>73.2</v>
      </c>
      <c r="J41" t="s">
        <v>77</v>
      </c>
      <c r="K41">
        <v>2015</v>
      </c>
      <c r="L41" t="s">
        <v>289</v>
      </c>
      <c r="M41" s="80"/>
      <c r="O41" t="s">
        <v>274</v>
      </c>
      <c r="P41" s="55" t="s">
        <v>38</v>
      </c>
      <c r="Q41" t="s">
        <v>84</v>
      </c>
      <c r="R41" s="19" t="s">
        <v>38</v>
      </c>
      <c r="S41" s="19" t="s">
        <v>38</v>
      </c>
      <c r="T41" s="55" t="s">
        <v>38</v>
      </c>
      <c r="U41" s="19"/>
      <c r="V41" s="209" t="s">
        <v>1087</v>
      </c>
      <c r="W41" s="204" t="s">
        <v>874</v>
      </c>
      <c r="X41" s="209" t="s">
        <v>875</v>
      </c>
      <c r="Y41" s="214" t="s">
        <v>872</v>
      </c>
      <c r="Z41" s="199"/>
      <c r="AA41" s="199"/>
      <c r="AB41" s="199"/>
      <c r="AC41" s="199"/>
      <c r="AE41" s="27"/>
      <c r="AF41" s="13"/>
      <c r="AG41" s="13"/>
      <c r="AH41" s="13"/>
      <c r="AI41" s="13"/>
      <c r="AJ41" s="13"/>
      <c r="AK41" s="13"/>
      <c r="AL41" s="13"/>
      <c r="AM41" s="13"/>
      <c r="AN41" s="28"/>
      <c r="AR41" s="5"/>
    </row>
    <row r="42" spans="1:44" ht="13" customHeight="1">
      <c r="A42">
        <v>247</v>
      </c>
      <c r="B42" t="s">
        <v>275</v>
      </c>
      <c r="C42" t="s">
        <v>61</v>
      </c>
      <c r="D42" t="s">
        <v>62</v>
      </c>
      <c r="E42">
        <v>999.2</v>
      </c>
      <c r="F42" t="s">
        <v>108</v>
      </c>
      <c r="G42" t="s">
        <v>52</v>
      </c>
      <c r="H42" t="s">
        <v>76</v>
      </c>
      <c r="I42">
        <v>80.5</v>
      </c>
      <c r="J42" t="s">
        <v>77</v>
      </c>
      <c r="K42">
        <v>2015</v>
      </c>
      <c r="L42" t="s">
        <v>289</v>
      </c>
      <c r="M42" s="80"/>
      <c r="O42" t="s">
        <v>276</v>
      </c>
      <c r="P42" s="55" t="s">
        <v>38</v>
      </c>
      <c r="Q42" t="s">
        <v>84</v>
      </c>
      <c r="R42" s="19" t="s">
        <v>38</v>
      </c>
      <c r="S42" s="19" t="s">
        <v>38</v>
      </c>
      <c r="T42" s="55" t="s">
        <v>38</v>
      </c>
      <c r="U42" s="19"/>
      <c r="V42" s="416" t="s">
        <v>1084</v>
      </c>
      <c r="W42" s="392" t="s">
        <v>877</v>
      </c>
      <c r="X42" s="392" t="s">
        <v>876</v>
      </c>
      <c r="Y42" s="392" t="s">
        <v>929</v>
      </c>
      <c r="Z42" s="477" t="s">
        <v>823</v>
      </c>
      <c r="AA42" s="475" t="s">
        <v>829</v>
      </c>
      <c r="AB42" s="475" t="s">
        <v>830</v>
      </c>
      <c r="AE42" s="27"/>
      <c r="AF42" s="13"/>
      <c r="AG42" s="13"/>
      <c r="AH42" s="13"/>
      <c r="AI42" s="13"/>
      <c r="AJ42" s="13"/>
      <c r="AK42" s="13"/>
      <c r="AL42" s="13"/>
      <c r="AM42" s="13"/>
      <c r="AN42" s="28"/>
      <c r="AR42" s="5"/>
    </row>
    <row r="43" spans="1:44" ht="13" customHeight="1">
      <c r="A43">
        <v>443</v>
      </c>
      <c r="B43" s="141" t="s">
        <v>114</v>
      </c>
      <c r="C43" s="141" t="s">
        <v>61</v>
      </c>
      <c r="D43" s="141" t="s">
        <v>421</v>
      </c>
      <c r="E43" s="142">
        <v>1000</v>
      </c>
      <c r="F43" s="141" t="s">
        <v>108</v>
      </c>
      <c r="G43" t="s">
        <v>52</v>
      </c>
      <c r="H43" s="141" t="s">
        <v>76</v>
      </c>
      <c r="I43" s="142">
        <v>100</v>
      </c>
      <c r="J43" s="141" t="s">
        <v>77</v>
      </c>
      <c r="K43" s="142">
        <v>1992</v>
      </c>
      <c r="L43" s="141" t="s">
        <v>420</v>
      </c>
      <c r="M43" s="184"/>
      <c r="N43" s="141"/>
      <c r="P43" s="55" t="s">
        <v>38</v>
      </c>
      <c r="Q43" s="55" t="s">
        <v>38</v>
      </c>
      <c r="R43" s="19" t="s">
        <v>38</v>
      </c>
      <c r="S43" s="19" t="s">
        <v>38</v>
      </c>
      <c r="T43" s="55" t="s">
        <v>38</v>
      </c>
      <c r="U43" s="19"/>
      <c r="V43" s="416"/>
      <c r="W43" s="392"/>
      <c r="X43" s="392"/>
      <c r="Y43" s="392"/>
      <c r="Z43" s="477"/>
      <c r="AA43" s="475"/>
      <c r="AB43" s="475"/>
      <c r="AE43" s="27"/>
      <c r="AF43" s="13"/>
      <c r="AG43" s="13"/>
      <c r="AH43" s="13"/>
      <c r="AI43" s="13"/>
      <c r="AJ43" s="13"/>
      <c r="AK43" s="13"/>
      <c r="AL43" s="13"/>
      <c r="AM43" s="13"/>
      <c r="AN43" s="28"/>
      <c r="AR43" s="5"/>
    </row>
    <row r="44" spans="1:44" ht="13" customHeight="1">
      <c r="A44">
        <v>444</v>
      </c>
      <c r="B44" s="141" t="s">
        <v>422</v>
      </c>
      <c r="C44" s="141" t="s">
        <v>61</v>
      </c>
      <c r="D44" s="141" t="s">
        <v>421</v>
      </c>
      <c r="E44" s="142">
        <v>1000</v>
      </c>
      <c r="F44" s="141" t="s">
        <v>108</v>
      </c>
      <c r="G44" t="s">
        <v>52</v>
      </c>
      <c r="H44" s="141" t="s">
        <v>76</v>
      </c>
      <c r="I44" s="142">
        <v>82</v>
      </c>
      <c r="J44" s="141" t="s">
        <v>77</v>
      </c>
      <c r="K44" s="142">
        <v>1992</v>
      </c>
      <c r="L44" s="141" t="s">
        <v>420</v>
      </c>
      <c r="M44" s="184"/>
      <c r="N44" s="141"/>
      <c r="P44" s="55" t="s">
        <v>38</v>
      </c>
      <c r="Q44" s="55" t="s">
        <v>38</v>
      </c>
      <c r="R44" s="19" t="s">
        <v>38</v>
      </c>
      <c r="S44" s="19" t="s">
        <v>38</v>
      </c>
      <c r="T44" s="55" t="s">
        <v>38</v>
      </c>
      <c r="U44" s="19"/>
      <c r="V44" s="416"/>
      <c r="W44" s="392"/>
      <c r="X44" s="392"/>
      <c r="Y44" s="392"/>
      <c r="Z44" s="477"/>
      <c r="AA44" s="475"/>
      <c r="AB44" s="475"/>
      <c r="AE44" s="27"/>
      <c r="AF44" s="13"/>
      <c r="AG44" s="13"/>
      <c r="AH44" s="13"/>
      <c r="AI44" s="13"/>
      <c r="AJ44" s="13"/>
      <c r="AK44" s="13"/>
      <c r="AL44" s="13"/>
      <c r="AM44" s="13"/>
      <c r="AN44" s="28"/>
      <c r="AR44" s="5"/>
    </row>
    <row r="45" spans="1:44" ht="13" hidden="1" customHeight="1">
      <c r="B45" s="241" t="s">
        <v>827</v>
      </c>
      <c r="C45" t="s">
        <v>30</v>
      </c>
      <c r="D45" s="6" t="s">
        <v>796</v>
      </c>
      <c r="E45" s="6">
        <v>1010</v>
      </c>
      <c r="F45" s="6" t="s">
        <v>75</v>
      </c>
      <c r="G45" s="240" t="s">
        <v>52</v>
      </c>
      <c r="H45" s="6" t="s">
        <v>76</v>
      </c>
      <c r="I45" s="6">
        <v>75</v>
      </c>
      <c r="J45" s="6" t="s">
        <v>77</v>
      </c>
      <c r="K45" s="6">
        <v>1983</v>
      </c>
      <c r="L45" s="183" t="s">
        <v>825</v>
      </c>
      <c r="M45" s="183"/>
      <c r="N45" s="183"/>
      <c r="O45" s="6" t="s">
        <v>820</v>
      </c>
      <c r="P45" s="55">
        <v>0.7</v>
      </c>
      <c r="Q45" s="19" t="s">
        <v>824</v>
      </c>
      <c r="R45" s="19"/>
      <c r="S45" s="19"/>
      <c r="T45" s="19" t="s">
        <v>122</v>
      </c>
      <c r="U45" s="19"/>
      <c r="V45" s="416"/>
      <c r="W45" s="392"/>
      <c r="X45" s="392"/>
      <c r="Y45" s="392"/>
      <c r="Z45" s="477"/>
      <c r="AA45" s="475"/>
      <c r="AB45" s="475"/>
      <c r="AE45" s="27"/>
      <c r="AF45" s="13"/>
      <c r="AG45" s="13"/>
      <c r="AH45" s="13"/>
      <c r="AI45" s="13"/>
      <c r="AJ45" s="13"/>
      <c r="AK45" s="13"/>
      <c r="AL45" s="13"/>
      <c r="AM45" s="13"/>
      <c r="AN45" s="28"/>
      <c r="AR45" s="5"/>
    </row>
    <row r="46" spans="1:44" ht="13" customHeight="1">
      <c r="A46">
        <v>445</v>
      </c>
      <c r="B46" s="141" t="s">
        <v>232</v>
      </c>
      <c r="C46" s="141" t="s">
        <v>61</v>
      </c>
      <c r="D46" s="141" t="s">
        <v>421</v>
      </c>
      <c r="E46" s="142">
        <v>1000</v>
      </c>
      <c r="F46" s="141" t="s">
        <v>108</v>
      </c>
      <c r="G46" t="s">
        <v>52</v>
      </c>
      <c r="H46" s="141" t="s">
        <v>76</v>
      </c>
      <c r="I46" s="142">
        <v>47.53</v>
      </c>
      <c r="J46" s="141" t="s">
        <v>77</v>
      </c>
      <c r="K46" s="142">
        <v>1992</v>
      </c>
      <c r="L46" s="141" t="s">
        <v>420</v>
      </c>
      <c r="M46" s="184"/>
      <c r="N46" s="141"/>
      <c r="P46" s="2">
        <v>0.85</v>
      </c>
      <c r="Q46" s="19" t="s">
        <v>38</v>
      </c>
      <c r="R46" s="19" t="s">
        <v>38</v>
      </c>
      <c r="S46" s="19" t="s">
        <v>38</v>
      </c>
      <c r="T46" s="55" t="s">
        <v>38</v>
      </c>
      <c r="U46" s="19"/>
      <c r="V46" s="416"/>
      <c r="W46" s="392"/>
      <c r="X46" s="392"/>
      <c r="Y46" s="392"/>
      <c r="Z46" s="477"/>
      <c r="AA46" s="475"/>
      <c r="AB46" s="475"/>
      <c r="AC46" s="199"/>
      <c r="AE46" s="27"/>
      <c r="AF46" s="13"/>
      <c r="AG46" s="13"/>
      <c r="AH46" s="13"/>
      <c r="AI46" s="13"/>
      <c r="AJ46" s="13"/>
      <c r="AK46" s="13"/>
      <c r="AL46" s="13"/>
      <c r="AM46" s="13"/>
      <c r="AN46" s="28"/>
      <c r="AR46" s="5"/>
    </row>
    <row r="47" spans="1:44" ht="13" hidden="1" customHeight="1">
      <c r="B47" s="241" t="s">
        <v>828</v>
      </c>
      <c r="C47" t="s">
        <v>30</v>
      </c>
      <c r="D47" s="6" t="s">
        <v>796</v>
      </c>
      <c r="E47" s="6">
        <v>2000</v>
      </c>
      <c r="F47" s="6" t="s">
        <v>75</v>
      </c>
      <c r="G47" s="240" t="s">
        <v>52</v>
      </c>
      <c r="H47" s="6" t="s">
        <v>76</v>
      </c>
      <c r="I47" s="6">
        <v>58</v>
      </c>
      <c r="J47" s="6" t="s">
        <v>77</v>
      </c>
      <c r="K47" s="6">
        <v>1983</v>
      </c>
      <c r="L47" s="183" t="s">
        <v>825</v>
      </c>
      <c r="M47" s="183"/>
      <c r="N47" s="183"/>
      <c r="O47" s="6" t="s">
        <v>820</v>
      </c>
      <c r="P47" s="55">
        <v>0.7</v>
      </c>
      <c r="Q47" s="19" t="s">
        <v>824</v>
      </c>
      <c r="R47" s="19"/>
      <c r="T47" s="19" t="s">
        <v>122</v>
      </c>
      <c r="U47" s="19"/>
      <c r="V47" s="416"/>
      <c r="W47" s="392"/>
      <c r="X47" s="392"/>
      <c r="Y47" s="392"/>
      <c r="Z47" s="477"/>
      <c r="AA47" s="475"/>
      <c r="AB47" s="475"/>
      <c r="AC47" s="199"/>
      <c r="AE47" s="27"/>
      <c r="AF47" s="13"/>
      <c r="AG47" s="13"/>
      <c r="AH47" s="13"/>
      <c r="AI47" s="13"/>
      <c r="AJ47" s="13"/>
      <c r="AK47" s="13"/>
      <c r="AL47" s="13"/>
      <c r="AM47" s="13"/>
      <c r="AN47" s="28"/>
      <c r="AR47" s="5"/>
    </row>
    <row r="48" spans="1:44" ht="13" hidden="1" customHeight="1">
      <c r="A48" s="245">
        <v>29</v>
      </c>
      <c r="B48" s="246" t="s">
        <v>95</v>
      </c>
      <c r="C48" s="246" t="s">
        <v>81</v>
      </c>
      <c r="D48" s="246" t="s">
        <v>81</v>
      </c>
      <c r="E48" s="247">
        <v>1000</v>
      </c>
      <c r="F48" s="246" t="s">
        <v>902</v>
      </c>
      <c r="G48" s="245" t="s">
        <v>57</v>
      </c>
      <c r="H48" s="246" t="s">
        <v>76</v>
      </c>
      <c r="I48" s="247" t="s">
        <v>1115</v>
      </c>
      <c r="J48" s="246" t="s">
        <v>82</v>
      </c>
      <c r="K48" s="247">
        <v>2019</v>
      </c>
      <c r="L48" s="246" t="s">
        <v>96</v>
      </c>
      <c r="M48" s="246"/>
      <c r="N48" s="246"/>
      <c r="O48" s="246" t="s">
        <v>97</v>
      </c>
      <c r="P48" s="248">
        <v>0.8</v>
      </c>
      <c r="Q48" s="246" t="s">
        <v>84</v>
      </c>
      <c r="R48" s="249" t="s">
        <v>38</v>
      </c>
      <c r="S48" s="249" t="s">
        <v>38</v>
      </c>
      <c r="T48" s="249" t="s">
        <v>38</v>
      </c>
      <c r="U48" s="19"/>
      <c r="V48" s="391" t="s">
        <v>1027</v>
      </c>
      <c r="W48" s="392" t="s">
        <v>878</v>
      </c>
      <c r="X48" s="392" t="s">
        <v>879</v>
      </c>
      <c r="Y48" s="396" t="s">
        <v>871</v>
      </c>
      <c r="Z48" s="202"/>
      <c r="AA48" s="202"/>
      <c r="AB48" s="202"/>
      <c r="AC48" s="202"/>
      <c r="AE48" s="27"/>
      <c r="AF48" s="13"/>
      <c r="AG48" s="13"/>
      <c r="AH48" s="13"/>
      <c r="AI48" s="13"/>
      <c r="AJ48" s="13"/>
      <c r="AK48" s="13"/>
      <c r="AL48" s="13"/>
      <c r="AM48" s="13"/>
      <c r="AN48" s="28"/>
      <c r="AR48" s="5"/>
    </row>
    <row r="49" spans="1:44" ht="13" hidden="1" customHeight="1">
      <c r="A49" s="245">
        <v>30</v>
      </c>
      <c r="B49" s="246" t="s">
        <v>95</v>
      </c>
      <c r="C49" s="246" t="s">
        <v>81</v>
      </c>
      <c r="D49" s="246" t="s">
        <v>81</v>
      </c>
      <c r="E49" s="247">
        <v>1000</v>
      </c>
      <c r="F49" s="246" t="s">
        <v>391</v>
      </c>
      <c r="G49" s="245" t="s">
        <v>57</v>
      </c>
      <c r="H49" s="246" t="s">
        <v>76</v>
      </c>
      <c r="I49" s="247" t="s">
        <v>1116</v>
      </c>
      <c r="J49" s="246" t="s">
        <v>82</v>
      </c>
      <c r="K49" s="247">
        <v>2019</v>
      </c>
      <c r="L49" s="246" t="s">
        <v>96</v>
      </c>
      <c r="M49" s="246"/>
      <c r="N49" s="246"/>
      <c r="O49" s="252" t="s">
        <v>1114</v>
      </c>
      <c r="P49" s="249" t="s">
        <v>38</v>
      </c>
      <c r="Q49" s="249" t="s">
        <v>38</v>
      </c>
      <c r="R49" s="249" t="s">
        <v>38</v>
      </c>
      <c r="S49" s="249" t="s">
        <v>38</v>
      </c>
      <c r="T49" s="249" t="s">
        <v>38</v>
      </c>
      <c r="U49" s="19"/>
      <c r="V49" s="391"/>
      <c r="W49" s="395"/>
      <c r="X49" s="395"/>
      <c r="Y49" s="396"/>
      <c r="Z49" s="202"/>
      <c r="AA49" s="202"/>
      <c r="AB49" s="202"/>
      <c r="AC49" s="202"/>
      <c r="AE49" s="27"/>
      <c r="AF49" s="13"/>
      <c r="AG49" s="13"/>
      <c r="AH49" s="13"/>
      <c r="AI49" s="13"/>
      <c r="AJ49" s="13"/>
      <c r="AK49" s="13"/>
      <c r="AL49" s="13"/>
      <c r="AM49" s="13"/>
      <c r="AN49" s="28"/>
      <c r="AR49" s="5"/>
    </row>
    <row r="50" spans="1:44" ht="13" hidden="1" customHeight="1">
      <c r="A50" s="245">
        <v>31</v>
      </c>
      <c r="B50" s="250" t="s">
        <v>95</v>
      </c>
      <c r="C50" s="250" t="s">
        <v>81</v>
      </c>
      <c r="D50" s="250" t="s">
        <v>81</v>
      </c>
      <c r="E50" s="251">
        <v>1000</v>
      </c>
      <c r="F50" s="250" t="s">
        <v>75</v>
      </c>
      <c r="G50" s="245" t="s">
        <v>57</v>
      </c>
      <c r="H50" s="250" t="s">
        <v>76</v>
      </c>
      <c r="I50" s="251" t="s">
        <v>1117</v>
      </c>
      <c r="J50" s="250" t="s">
        <v>88</v>
      </c>
      <c r="K50" s="247">
        <v>2019</v>
      </c>
      <c r="L50" s="250" t="s">
        <v>96</v>
      </c>
      <c r="M50" s="250"/>
      <c r="N50" s="250"/>
      <c r="O50" s="252" t="s">
        <v>1114</v>
      </c>
      <c r="P50" s="248">
        <v>0.8</v>
      </c>
      <c r="Q50" s="246" t="s">
        <v>84</v>
      </c>
      <c r="R50" s="249" t="s">
        <v>38</v>
      </c>
      <c r="S50" s="249" t="s">
        <v>38</v>
      </c>
      <c r="T50" s="249" t="s">
        <v>38</v>
      </c>
      <c r="U50" s="19"/>
      <c r="V50" s="391"/>
      <c r="W50" s="395"/>
      <c r="X50" s="395"/>
      <c r="Y50" s="396"/>
      <c r="Z50" s="202"/>
      <c r="AA50" s="202"/>
      <c r="AB50" s="202"/>
      <c r="AC50" s="202"/>
      <c r="AE50" s="27"/>
      <c r="AF50" s="13"/>
      <c r="AG50" s="13"/>
      <c r="AH50" s="13"/>
      <c r="AI50" s="13"/>
      <c r="AJ50" s="13"/>
      <c r="AK50" s="13"/>
      <c r="AL50" s="13"/>
      <c r="AM50" s="13"/>
      <c r="AN50" s="28"/>
      <c r="AR50" s="5"/>
    </row>
    <row r="51" spans="1:44" ht="13" hidden="1" customHeight="1">
      <c r="A51">
        <v>6</v>
      </c>
      <c r="B51" t="s">
        <v>60</v>
      </c>
      <c r="C51" t="s">
        <v>61</v>
      </c>
      <c r="D51" t="s">
        <v>62</v>
      </c>
      <c r="E51">
        <v>1200</v>
      </c>
      <c r="F51" t="s">
        <v>115</v>
      </c>
      <c r="G51" t="s">
        <v>52</v>
      </c>
      <c r="H51" t="s">
        <v>33</v>
      </c>
      <c r="I51">
        <f>17.36*1000000</f>
        <v>17360000</v>
      </c>
      <c r="J51" t="s">
        <v>34</v>
      </c>
      <c r="K51">
        <v>1980</v>
      </c>
      <c r="L51" s="80" t="s">
        <v>975</v>
      </c>
      <c r="M51" s="80"/>
      <c r="N51" s="80"/>
      <c r="O51" s="13" t="s">
        <v>78</v>
      </c>
      <c r="P51" s="19" t="s">
        <v>38</v>
      </c>
      <c r="Q51" s="19" t="s">
        <v>38</v>
      </c>
      <c r="R51" s="19" t="s">
        <v>38</v>
      </c>
      <c r="S51" s="19" t="s">
        <v>38</v>
      </c>
      <c r="T51" s="19" t="s">
        <v>38</v>
      </c>
      <c r="U51" s="19"/>
      <c r="V51" s="396" t="s">
        <v>976</v>
      </c>
      <c r="W51" s="392" t="s">
        <v>808</v>
      </c>
      <c r="X51" s="392" t="s">
        <v>810</v>
      </c>
      <c r="Y51" s="392" t="s">
        <v>869</v>
      </c>
      <c r="Z51" s="199"/>
      <c r="AA51" s="199"/>
      <c r="AB51" s="199"/>
      <c r="AC51" s="199"/>
      <c r="AE51" s="27"/>
      <c r="AF51" s="13"/>
      <c r="AG51" s="13"/>
      <c r="AH51" s="13"/>
      <c r="AI51" s="13"/>
      <c r="AJ51" s="13"/>
      <c r="AK51" s="13"/>
      <c r="AL51" s="13"/>
      <c r="AM51" s="13"/>
      <c r="AN51" s="28"/>
      <c r="AR51" s="5"/>
    </row>
    <row r="52" spans="1:44" ht="13" customHeight="1">
      <c r="A52">
        <v>535</v>
      </c>
      <c r="B52" t="s">
        <v>497</v>
      </c>
      <c r="C52" s="141" t="s">
        <v>61</v>
      </c>
      <c r="D52" s="141" t="s">
        <v>62</v>
      </c>
      <c r="E52">
        <v>1000</v>
      </c>
      <c r="F52" t="s">
        <v>108</v>
      </c>
      <c r="G52" s="6" t="s">
        <v>57</v>
      </c>
      <c r="H52" t="s">
        <v>76</v>
      </c>
      <c r="I52">
        <f>(8.27*0.006804)*1000</f>
        <v>56.269080000000002</v>
      </c>
      <c r="J52" t="s">
        <v>77</v>
      </c>
      <c r="K52">
        <v>2003</v>
      </c>
      <c r="L52" s="141" t="s">
        <v>498</v>
      </c>
      <c r="M52" s="184"/>
      <c r="N52" s="141"/>
      <c r="O52" t="s">
        <v>499</v>
      </c>
      <c r="P52" s="2">
        <v>0.75</v>
      </c>
      <c r="Q52" s="19" t="s">
        <v>38</v>
      </c>
      <c r="R52" s="19" t="s">
        <v>38</v>
      </c>
      <c r="S52" s="19" t="s">
        <v>38</v>
      </c>
      <c r="T52" s="55" t="s">
        <v>38</v>
      </c>
      <c r="U52" s="19"/>
      <c r="V52" s="396"/>
      <c r="W52" s="392"/>
      <c r="X52" s="392"/>
      <c r="Y52" s="392"/>
      <c r="Z52" s="199"/>
      <c r="AA52" s="199"/>
      <c r="AB52" s="199"/>
      <c r="AC52" s="199"/>
      <c r="AE52" s="27"/>
      <c r="AF52" s="13"/>
      <c r="AG52" s="13"/>
      <c r="AH52" s="13"/>
      <c r="AI52" s="13"/>
      <c r="AJ52" s="13"/>
      <c r="AK52" s="13"/>
      <c r="AL52" s="13"/>
      <c r="AM52" s="13"/>
      <c r="AN52" s="28"/>
      <c r="AR52" s="5"/>
    </row>
    <row r="53" spans="1:44" ht="13" customHeight="1">
      <c r="A53">
        <v>536</v>
      </c>
      <c r="B53" t="s">
        <v>500</v>
      </c>
      <c r="C53" s="141" t="s">
        <v>61</v>
      </c>
      <c r="D53" s="141" t="s">
        <v>62</v>
      </c>
      <c r="E53">
        <v>2000</v>
      </c>
      <c r="F53" t="s">
        <v>108</v>
      </c>
      <c r="G53" s="6" t="s">
        <v>57</v>
      </c>
      <c r="H53" t="s">
        <v>76</v>
      </c>
      <c r="I53">
        <f>(7.33*0.006804)*1000</f>
        <v>49.87332</v>
      </c>
      <c r="J53" t="s">
        <v>77</v>
      </c>
      <c r="K53">
        <v>2003</v>
      </c>
      <c r="L53" s="141" t="s">
        <v>498</v>
      </c>
      <c r="M53" s="184"/>
      <c r="N53" s="141"/>
      <c r="O53" t="s">
        <v>499</v>
      </c>
      <c r="P53" s="2">
        <v>0.75</v>
      </c>
      <c r="Q53" s="19" t="s">
        <v>38</v>
      </c>
      <c r="R53" s="19" t="s">
        <v>38</v>
      </c>
      <c r="S53" s="19" t="s">
        <v>38</v>
      </c>
      <c r="T53" s="55" t="s">
        <v>38</v>
      </c>
      <c r="U53" s="19"/>
      <c r="V53" s="396"/>
      <c r="W53" s="392"/>
      <c r="X53" s="392"/>
      <c r="Y53" s="392"/>
      <c r="Z53" s="199"/>
      <c r="AA53" s="199"/>
      <c r="AB53" s="199"/>
      <c r="AC53" s="199"/>
      <c r="AE53" s="27"/>
      <c r="AF53" s="13"/>
      <c r="AG53" s="13"/>
      <c r="AH53" s="13"/>
      <c r="AI53" s="13"/>
      <c r="AJ53" s="13"/>
      <c r="AK53" s="13"/>
      <c r="AL53" s="13"/>
      <c r="AM53" s="13"/>
      <c r="AN53" s="28"/>
      <c r="AR53" s="5"/>
    </row>
    <row r="54" spans="1:44" ht="13" hidden="1" customHeight="1">
      <c r="A54">
        <v>5</v>
      </c>
      <c r="B54" t="s">
        <v>60</v>
      </c>
      <c r="C54" t="s">
        <v>61</v>
      </c>
      <c r="D54" t="s">
        <v>62</v>
      </c>
      <c r="E54">
        <v>1200</v>
      </c>
      <c r="F54" t="s">
        <v>75</v>
      </c>
      <c r="G54" t="s">
        <v>52</v>
      </c>
      <c r="H54" t="s">
        <v>76</v>
      </c>
      <c r="I54">
        <f>35.1</f>
        <v>35.1</v>
      </c>
      <c r="J54" t="s">
        <v>77</v>
      </c>
      <c r="K54">
        <v>1980</v>
      </c>
      <c r="L54" s="80" t="s">
        <v>975</v>
      </c>
      <c r="M54" s="80" t="s">
        <v>1250</v>
      </c>
      <c r="N54" s="80" t="s">
        <v>1249</v>
      </c>
      <c r="O54" s="13" t="s">
        <v>791</v>
      </c>
      <c r="P54" s="2" t="s">
        <v>65</v>
      </c>
      <c r="Q54" s="13" t="s">
        <v>66</v>
      </c>
      <c r="R54" s="19" t="s">
        <v>38</v>
      </c>
      <c r="S54" s="19" t="s">
        <v>38</v>
      </c>
      <c r="T54" s="19" t="s">
        <v>38</v>
      </c>
      <c r="U54" s="19"/>
      <c r="V54" s="396"/>
      <c r="W54" s="392"/>
      <c r="X54" s="392"/>
      <c r="Y54" s="392"/>
      <c r="Z54" s="199"/>
      <c r="AA54" s="199"/>
      <c r="AB54" s="199"/>
      <c r="AC54" s="199"/>
      <c r="AE54" s="27"/>
      <c r="AF54" s="13"/>
      <c r="AG54" s="13"/>
      <c r="AH54" s="13"/>
      <c r="AI54" s="13"/>
      <c r="AJ54" s="13"/>
      <c r="AK54" s="13"/>
      <c r="AL54" s="13"/>
      <c r="AM54" s="13"/>
      <c r="AN54" s="28"/>
      <c r="AR54" s="5"/>
    </row>
    <row r="55" spans="1:44" ht="13" customHeight="1">
      <c r="A55">
        <v>537</v>
      </c>
      <c r="B55" t="s">
        <v>501</v>
      </c>
      <c r="C55" s="141" t="s">
        <v>61</v>
      </c>
      <c r="D55" s="141" t="s">
        <v>278</v>
      </c>
      <c r="E55">
        <v>1000</v>
      </c>
      <c r="F55" t="s">
        <v>108</v>
      </c>
      <c r="G55" s="6" t="s">
        <v>57</v>
      </c>
      <c r="H55" t="s">
        <v>76</v>
      </c>
      <c r="I55">
        <f>(9.52*0.006804)*1000</f>
        <v>64.774079999999998</v>
      </c>
      <c r="J55" t="s">
        <v>77</v>
      </c>
      <c r="K55">
        <v>2003</v>
      </c>
      <c r="L55" s="141" t="s">
        <v>498</v>
      </c>
      <c r="M55" s="184"/>
      <c r="N55" s="141"/>
      <c r="O55" t="s">
        <v>499</v>
      </c>
      <c r="P55" s="2">
        <v>0.75</v>
      </c>
      <c r="Q55" t="s">
        <v>430</v>
      </c>
      <c r="R55" s="19" t="s">
        <v>38</v>
      </c>
      <c r="S55" s="19" t="s">
        <v>38</v>
      </c>
      <c r="T55" s="55" t="s">
        <v>38</v>
      </c>
      <c r="U55" s="19"/>
      <c r="V55" s="396"/>
      <c r="W55" s="392"/>
      <c r="X55" s="392"/>
      <c r="Y55" s="392"/>
      <c r="Z55" s="199"/>
      <c r="AA55" s="199"/>
      <c r="AB55" s="199"/>
      <c r="AC55" s="199"/>
      <c r="AE55" s="27"/>
      <c r="AF55" s="13"/>
      <c r="AG55" s="13"/>
      <c r="AH55" s="13"/>
      <c r="AI55" s="13"/>
      <c r="AJ55" s="13"/>
      <c r="AK55" s="13"/>
      <c r="AL55" s="13"/>
      <c r="AM55" s="13"/>
      <c r="AN55" s="28"/>
      <c r="AR55" s="5"/>
    </row>
    <row r="56" spans="1:44" ht="13" customHeight="1" thickBot="1">
      <c r="A56">
        <v>538</v>
      </c>
      <c r="B56" t="s">
        <v>502</v>
      </c>
      <c r="C56" s="141" t="s">
        <v>61</v>
      </c>
      <c r="D56" s="141" t="s">
        <v>278</v>
      </c>
      <c r="E56">
        <v>2000</v>
      </c>
      <c r="F56" t="s">
        <v>108</v>
      </c>
      <c r="G56" s="6" t="s">
        <v>57</v>
      </c>
      <c r="H56" t="s">
        <v>76</v>
      </c>
      <c r="I56">
        <f>(7.48*0.006804)*1000</f>
        <v>50.893920000000001</v>
      </c>
      <c r="J56" t="s">
        <v>77</v>
      </c>
      <c r="K56">
        <v>2003</v>
      </c>
      <c r="L56" s="141" t="s">
        <v>498</v>
      </c>
      <c r="M56" s="184"/>
      <c r="N56" s="141"/>
      <c r="O56" t="s">
        <v>499</v>
      </c>
      <c r="P56" s="2">
        <v>0.75</v>
      </c>
      <c r="Q56" t="s">
        <v>430</v>
      </c>
      <c r="R56" s="19" t="s">
        <v>38</v>
      </c>
      <c r="S56" s="19" t="s">
        <v>38</v>
      </c>
      <c r="T56" s="55" t="s">
        <v>38</v>
      </c>
      <c r="U56" s="19"/>
      <c r="V56" s="396"/>
      <c r="W56" s="394"/>
      <c r="X56" s="392"/>
      <c r="Y56" s="392"/>
      <c r="Z56" s="199"/>
      <c r="AA56" s="199"/>
      <c r="AB56" s="199"/>
      <c r="AC56" s="199"/>
      <c r="AE56" s="27"/>
      <c r="AF56" s="13"/>
      <c r="AG56" s="13"/>
      <c r="AH56" s="13"/>
      <c r="AI56" s="13"/>
      <c r="AJ56" s="13"/>
      <c r="AK56" s="13"/>
      <c r="AL56" s="13"/>
      <c r="AM56" s="13"/>
      <c r="AN56" s="28"/>
      <c r="AR56" s="5"/>
    </row>
    <row r="57" spans="1:44" ht="21.6" customHeight="1">
      <c r="A57">
        <v>558</v>
      </c>
      <c r="B57" s="141" t="s">
        <v>497</v>
      </c>
      <c r="C57" s="141" t="s">
        <v>61</v>
      </c>
      <c r="D57" s="141" t="s">
        <v>62</v>
      </c>
      <c r="E57" s="142">
        <v>1000</v>
      </c>
      <c r="F57" s="141" t="s">
        <v>108</v>
      </c>
      <c r="G57" s="6" t="s">
        <v>57</v>
      </c>
      <c r="H57" s="141" t="s">
        <v>76</v>
      </c>
      <c r="I57" s="142">
        <v>98</v>
      </c>
      <c r="J57" s="141" t="s">
        <v>77</v>
      </c>
      <c r="K57" s="142">
        <v>2003</v>
      </c>
      <c r="L57" s="141" t="s">
        <v>503</v>
      </c>
      <c r="M57" s="184"/>
      <c r="N57" s="141"/>
      <c r="O57" t="s">
        <v>504</v>
      </c>
      <c r="P57" s="2">
        <v>0.75</v>
      </c>
      <c r="Q57" t="s">
        <v>430</v>
      </c>
      <c r="R57" s="19" t="s">
        <v>38</v>
      </c>
      <c r="S57" s="19" t="s">
        <v>38</v>
      </c>
      <c r="T57" s="55" t="s">
        <v>38</v>
      </c>
      <c r="U57" s="19"/>
      <c r="V57" s="396" t="s">
        <v>880</v>
      </c>
      <c r="W57" s="398" t="s">
        <v>883</v>
      </c>
      <c r="X57" s="392" t="s">
        <v>882</v>
      </c>
      <c r="Y57" s="392" t="s">
        <v>881</v>
      </c>
      <c r="Z57" s="199"/>
      <c r="AA57" s="199"/>
      <c r="AB57" s="199"/>
      <c r="AC57" s="199"/>
      <c r="AE57" s="27"/>
      <c r="AF57" s="13"/>
      <c r="AG57" s="13"/>
      <c r="AH57" s="13"/>
      <c r="AI57" s="13"/>
      <c r="AJ57" s="13"/>
      <c r="AK57" s="13"/>
      <c r="AL57" s="13"/>
      <c r="AM57" s="13"/>
      <c r="AN57" s="28"/>
      <c r="AR57" s="5"/>
    </row>
    <row r="58" spans="1:44" ht="23.4" customHeight="1">
      <c r="A58">
        <v>559</v>
      </c>
      <c r="B58" s="141" t="s">
        <v>505</v>
      </c>
      <c r="C58" s="141" t="s">
        <v>61</v>
      </c>
      <c r="D58" s="141" t="s">
        <v>107</v>
      </c>
      <c r="E58" s="142">
        <v>1000</v>
      </c>
      <c r="F58" s="141" t="s">
        <v>108</v>
      </c>
      <c r="G58" s="6" t="s">
        <v>57</v>
      </c>
      <c r="H58" s="141" t="s">
        <v>76</v>
      </c>
      <c r="I58" s="142">
        <v>104</v>
      </c>
      <c r="J58" s="141" t="s">
        <v>77</v>
      </c>
      <c r="K58" s="142">
        <v>2003</v>
      </c>
      <c r="L58" s="141" t="s">
        <v>503</v>
      </c>
      <c r="M58" s="184"/>
      <c r="N58" s="141"/>
      <c r="O58" t="s">
        <v>504</v>
      </c>
      <c r="P58" s="2">
        <v>0.75</v>
      </c>
      <c r="Q58" t="s">
        <v>430</v>
      </c>
      <c r="R58" s="19" t="s">
        <v>38</v>
      </c>
      <c r="S58" s="19" t="s">
        <v>38</v>
      </c>
      <c r="T58" s="55" t="s">
        <v>38</v>
      </c>
      <c r="U58" s="19"/>
      <c r="V58" s="396"/>
      <c r="W58" s="392"/>
      <c r="X58" s="392"/>
      <c r="Y58" s="392"/>
      <c r="Z58" s="199"/>
      <c r="AA58" s="199"/>
      <c r="AB58" s="199"/>
      <c r="AC58" s="199"/>
      <c r="AE58" s="54" t="s">
        <v>98</v>
      </c>
      <c r="AF58" s="13"/>
      <c r="AG58" s="13" t="s">
        <v>99</v>
      </c>
      <c r="AH58" s="13"/>
      <c r="AI58" s="13"/>
      <c r="AJ58" s="13"/>
      <c r="AK58" s="13"/>
      <c r="AL58" s="13"/>
      <c r="AM58" s="13"/>
      <c r="AN58" s="28"/>
    </row>
    <row r="59" spans="1:44" ht="28.5" hidden="1" customHeight="1">
      <c r="A59">
        <v>35</v>
      </c>
      <c r="B59" t="s">
        <v>85</v>
      </c>
      <c r="C59" t="s">
        <v>61</v>
      </c>
      <c r="D59" t="s">
        <v>107</v>
      </c>
      <c r="E59">
        <v>735.77</v>
      </c>
      <c r="F59" t="s">
        <v>667</v>
      </c>
      <c r="G59" t="s">
        <v>32</v>
      </c>
      <c r="H59" t="s">
        <v>33</v>
      </c>
      <c r="I59">
        <f>(5023-0.1*3464-0.05*3464)*1000000</f>
        <v>4503400000.000001</v>
      </c>
      <c r="J59" t="s">
        <v>34</v>
      </c>
      <c r="K59">
        <v>2009</v>
      </c>
      <c r="L59" s="80" t="s">
        <v>86</v>
      </c>
      <c r="M59" s="80"/>
      <c r="N59" s="80"/>
      <c r="O59" t="s">
        <v>111</v>
      </c>
      <c r="P59" s="2" t="s">
        <v>707</v>
      </c>
      <c r="Q59" t="s">
        <v>84</v>
      </c>
      <c r="R59" t="s">
        <v>161</v>
      </c>
      <c r="S59" s="19" t="s">
        <v>38</v>
      </c>
      <c r="T59" s="19" t="s">
        <v>38</v>
      </c>
      <c r="U59" s="19"/>
      <c r="V59" s="474" t="s">
        <v>903</v>
      </c>
      <c r="W59" s="392" t="s">
        <v>884</v>
      </c>
      <c r="X59" s="392" t="s">
        <v>885</v>
      </c>
      <c r="Y59" s="392" t="s">
        <v>886</v>
      </c>
      <c r="Z59" s="199"/>
      <c r="AA59" s="199"/>
      <c r="AB59" s="199"/>
      <c r="AC59" s="199"/>
      <c r="AE59" s="27"/>
      <c r="AF59" s="13"/>
      <c r="AG59" s="13"/>
      <c r="AH59" s="13"/>
      <c r="AI59" s="13"/>
      <c r="AJ59" s="13"/>
      <c r="AK59" s="13"/>
      <c r="AL59" s="13"/>
      <c r="AM59" s="13"/>
      <c r="AN59" s="28"/>
    </row>
    <row r="60" spans="1:44" ht="24.9" hidden="1" customHeight="1">
      <c r="A60">
        <v>45</v>
      </c>
      <c r="B60" t="s">
        <v>124</v>
      </c>
      <c r="C60" t="s">
        <v>30</v>
      </c>
      <c r="D60" t="s">
        <v>796</v>
      </c>
      <c r="E60">
        <v>1010</v>
      </c>
      <c r="F60" t="s">
        <v>667</v>
      </c>
      <c r="G60" s="117" t="s">
        <v>52</v>
      </c>
      <c r="H60" t="s">
        <v>33</v>
      </c>
      <c r="I60">
        <f>2970*1000000</f>
        <v>2970000000</v>
      </c>
      <c r="J60" t="s">
        <v>34</v>
      </c>
      <c r="K60">
        <v>1988</v>
      </c>
      <c r="L60" s="80" t="s">
        <v>120</v>
      </c>
      <c r="M60" s="287" t="s">
        <v>1252</v>
      </c>
      <c r="N60" s="80"/>
      <c r="O60" t="s">
        <v>121</v>
      </c>
      <c r="P60" s="2">
        <v>0.76</v>
      </c>
      <c r="Q60" s="19" t="s">
        <v>122</v>
      </c>
      <c r="R60" s="19" t="s">
        <v>38</v>
      </c>
      <c r="S60" s="19" t="s">
        <v>38</v>
      </c>
      <c r="T60" s="19" t="s">
        <v>38</v>
      </c>
      <c r="U60" s="19"/>
      <c r="V60" s="474"/>
      <c r="W60" s="392"/>
      <c r="X60" s="392"/>
      <c r="Y60" s="392"/>
      <c r="Z60" s="199"/>
      <c r="AA60" s="199"/>
      <c r="AB60" s="199"/>
      <c r="AC60" s="199"/>
      <c r="AE60" s="27"/>
      <c r="AF60" s="13"/>
      <c r="AG60" s="13"/>
      <c r="AH60" s="13"/>
      <c r="AI60" s="13"/>
      <c r="AJ60" s="13"/>
      <c r="AK60" s="13"/>
      <c r="AL60" s="13"/>
      <c r="AM60" s="13"/>
      <c r="AN60" s="28"/>
    </row>
    <row r="61" spans="1:44" ht="24" hidden="1" customHeight="1">
      <c r="A61">
        <v>46</v>
      </c>
      <c r="B61" t="s">
        <v>125</v>
      </c>
      <c r="C61" t="s">
        <v>30</v>
      </c>
      <c r="D61" t="s">
        <v>796</v>
      </c>
      <c r="E61">
        <v>815</v>
      </c>
      <c r="F61" t="s">
        <v>667</v>
      </c>
      <c r="G61" s="117" t="s">
        <v>52</v>
      </c>
      <c r="H61" t="s">
        <v>33</v>
      </c>
      <c r="I61">
        <f>1195*1000000</f>
        <v>1195000000</v>
      </c>
      <c r="J61" t="s">
        <v>34</v>
      </c>
      <c r="K61">
        <v>1988</v>
      </c>
      <c r="L61" s="80" t="s">
        <v>120</v>
      </c>
      <c r="M61" s="287" t="s">
        <v>1252</v>
      </c>
      <c r="N61" s="80"/>
      <c r="O61" t="s">
        <v>121</v>
      </c>
      <c r="P61" s="2">
        <v>0.76</v>
      </c>
      <c r="Q61" s="19" t="s">
        <v>122</v>
      </c>
      <c r="R61" s="19" t="s">
        <v>38</v>
      </c>
      <c r="S61" s="19" t="s">
        <v>38</v>
      </c>
      <c r="T61" s="19" t="s">
        <v>38</v>
      </c>
      <c r="U61" s="19"/>
      <c r="V61" s="416" t="s">
        <v>887</v>
      </c>
      <c r="W61" s="392" t="s">
        <v>812</v>
      </c>
      <c r="X61" s="392" t="s">
        <v>813</v>
      </c>
      <c r="Y61" s="391" t="s">
        <v>871</v>
      </c>
      <c r="Z61" s="201"/>
      <c r="AA61" s="201"/>
      <c r="AB61" s="201"/>
      <c r="AC61" s="201"/>
      <c r="AE61" s="27"/>
      <c r="AF61" s="13"/>
      <c r="AG61" s="13"/>
      <c r="AH61" s="13"/>
      <c r="AI61" s="13"/>
      <c r="AJ61" s="13"/>
      <c r="AK61" s="13"/>
      <c r="AL61" s="13"/>
      <c r="AM61" s="13"/>
      <c r="AN61" s="28"/>
    </row>
    <row r="62" spans="1:44" ht="24.6" customHeight="1">
      <c r="A62">
        <v>560</v>
      </c>
      <c r="B62" s="141" t="s">
        <v>501</v>
      </c>
      <c r="C62" s="141" t="s">
        <v>61</v>
      </c>
      <c r="D62" s="141" t="s">
        <v>278</v>
      </c>
      <c r="E62" s="142">
        <v>1000</v>
      </c>
      <c r="F62" s="141" t="s">
        <v>108</v>
      </c>
      <c r="G62" s="6" t="s">
        <v>57</v>
      </c>
      <c r="H62" s="141" t="s">
        <v>76</v>
      </c>
      <c r="I62" s="142">
        <v>111</v>
      </c>
      <c r="J62" s="141" t="s">
        <v>77</v>
      </c>
      <c r="K62" s="142">
        <v>2003</v>
      </c>
      <c r="L62" s="141" t="s">
        <v>503</v>
      </c>
      <c r="M62" s="184"/>
      <c r="N62" s="141"/>
      <c r="O62" t="s">
        <v>504</v>
      </c>
      <c r="P62" s="2">
        <v>0.75</v>
      </c>
      <c r="Q62" t="s">
        <v>430</v>
      </c>
      <c r="R62" s="19" t="s">
        <v>38</v>
      </c>
      <c r="S62" s="19" t="s">
        <v>38</v>
      </c>
      <c r="T62" s="55" t="s">
        <v>38</v>
      </c>
      <c r="U62" s="19"/>
      <c r="V62" s="416"/>
      <c r="W62" s="392"/>
      <c r="X62" s="392"/>
      <c r="Y62" s="391"/>
      <c r="Z62" s="201"/>
      <c r="AA62" s="201"/>
      <c r="AB62" s="201"/>
      <c r="AC62" s="201"/>
      <c r="AE62" s="27"/>
      <c r="AF62" s="13"/>
      <c r="AG62" s="13"/>
      <c r="AH62" s="13"/>
      <c r="AI62" s="13"/>
      <c r="AJ62" s="13"/>
      <c r="AK62" s="13"/>
      <c r="AL62" s="13"/>
      <c r="AM62" s="13"/>
      <c r="AN62" s="28"/>
    </row>
    <row r="63" spans="1:44" ht="36" customHeight="1">
      <c r="A63">
        <v>567</v>
      </c>
      <c r="B63" s="141" t="s">
        <v>506</v>
      </c>
      <c r="C63" s="141" t="s">
        <v>61</v>
      </c>
      <c r="D63" s="141" t="s">
        <v>62</v>
      </c>
      <c r="E63" s="142">
        <v>1000</v>
      </c>
      <c r="F63" s="141" t="s">
        <v>108</v>
      </c>
      <c r="G63" s="6" t="s">
        <v>57</v>
      </c>
      <c r="H63" s="141" t="s">
        <v>76</v>
      </c>
      <c r="I63" s="142">
        <v>87</v>
      </c>
      <c r="J63" s="141" t="s">
        <v>77</v>
      </c>
      <c r="K63" s="142">
        <v>2011</v>
      </c>
      <c r="L63" s="141" t="s">
        <v>507</v>
      </c>
      <c r="M63" s="184"/>
      <c r="N63" s="141"/>
      <c r="O63" t="s">
        <v>509</v>
      </c>
      <c r="P63" s="2">
        <v>0.75</v>
      </c>
      <c r="Q63" s="19" t="s">
        <v>38</v>
      </c>
      <c r="R63" s="19" t="s">
        <v>38</v>
      </c>
      <c r="S63" s="19" t="s">
        <v>38</v>
      </c>
      <c r="T63" s="55" t="s">
        <v>38</v>
      </c>
      <c r="U63" s="19"/>
      <c r="V63" s="416"/>
      <c r="W63" s="392"/>
      <c r="X63" s="392"/>
      <c r="Y63" s="391"/>
      <c r="Z63" s="201"/>
      <c r="AA63" s="201"/>
      <c r="AB63" s="201"/>
      <c r="AC63" s="201"/>
      <c r="AE63" s="27"/>
      <c r="AF63" s="13"/>
      <c r="AG63" s="13"/>
      <c r="AH63" s="13"/>
      <c r="AI63" s="13"/>
      <c r="AJ63" s="13"/>
      <c r="AK63" s="13"/>
      <c r="AL63" s="13"/>
      <c r="AM63" s="13"/>
      <c r="AN63" s="28"/>
    </row>
    <row r="64" spans="1:44" ht="13" customHeight="1">
      <c r="A64">
        <v>572</v>
      </c>
      <c r="B64" s="141" t="s">
        <v>508</v>
      </c>
      <c r="C64" s="141" t="s">
        <v>61</v>
      </c>
      <c r="D64" s="141" t="s">
        <v>62</v>
      </c>
      <c r="E64" s="142">
        <v>1000</v>
      </c>
      <c r="F64" s="141" t="s">
        <v>108</v>
      </c>
      <c r="G64" s="6" t="s">
        <v>57</v>
      </c>
      <c r="H64" s="141" t="s">
        <v>76</v>
      </c>
      <c r="I64" s="142">
        <v>94</v>
      </c>
      <c r="J64" s="141" t="s">
        <v>77</v>
      </c>
      <c r="K64" s="142">
        <v>2011</v>
      </c>
      <c r="L64" s="141" t="s">
        <v>507</v>
      </c>
      <c r="M64" s="184"/>
      <c r="N64" s="141"/>
      <c r="O64" t="s">
        <v>511</v>
      </c>
      <c r="P64" s="2">
        <v>0.75</v>
      </c>
      <c r="Q64" s="19" t="s">
        <v>38</v>
      </c>
      <c r="R64" s="19" t="s">
        <v>38</v>
      </c>
      <c r="S64" s="19" t="s">
        <v>38</v>
      </c>
      <c r="T64" s="55" t="s">
        <v>38</v>
      </c>
      <c r="U64" s="19"/>
      <c r="V64" s="416"/>
      <c r="W64" s="392"/>
      <c r="X64" s="392"/>
      <c r="Y64" s="391"/>
      <c r="Z64" s="201"/>
      <c r="AA64" s="201"/>
      <c r="AB64" s="201"/>
      <c r="AC64" s="201"/>
      <c r="AE64" s="27"/>
      <c r="AF64" s="13"/>
      <c r="AG64" s="13"/>
      <c r="AH64" s="13"/>
      <c r="AI64" s="13"/>
      <c r="AJ64" s="13"/>
      <c r="AK64" s="13"/>
      <c r="AL64" s="13"/>
      <c r="AM64" s="13"/>
      <c r="AN64" s="28"/>
    </row>
    <row r="65" spans="1:40" ht="13" hidden="1" customHeight="1">
      <c r="A65">
        <v>49</v>
      </c>
      <c r="B65" t="s">
        <v>114</v>
      </c>
      <c r="C65" t="s">
        <v>61</v>
      </c>
      <c r="D65" t="s">
        <v>62</v>
      </c>
      <c r="E65">
        <v>1000</v>
      </c>
      <c r="F65" t="s">
        <v>493</v>
      </c>
      <c r="G65" s="117" t="s">
        <v>52</v>
      </c>
      <c r="H65" t="s">
        <v>33</v>
      </c>
      <c r="I65">
        <f>0.5*1000000</f>
        <v>500000</v>
      </c>
      <c r="J65" t="s">
        <v>34</v>
      </c>
      <c r="K65">
        <v>1988</v>
      </c>
      <c r="L65" s="80" t="s">
        <v>120</v>
      </c>
      <c r="M65" s="80"/>
      <c r="N65" s="80"/>
      <c r="P65" s="19" t="s">
        <v>122</v>
      </c>
      <c r="Q65" s="19" t="s">
        <v>122</v>
      </c>
      <c r="R65" s="19" t="s">
        <v>38</v>
      </c>
      <c r="S65" s="19" t="s">
        <v>38</v>
      </c>
      <c r="T65" s="19" t="s">
        <v>38</v>
      </c>
      <c r="U65" s="19"/>
      <c r="V65" s="416"/>
      <c r="W65" s="392"/>
      <c r="X65" s="392"/>
      <c r="Y65" s="391"/>
      <c r="Z65" s="201"/>
      <c r="AA65" s="201"/>
      <c r="AB65" s="201"/>
      <c r="AC65" s="201"/>
      <c r="AE65" s="27"/>
      <c r="AF65" s="13"/>
      <c r="AG65" s="13"/>
      <c r="AH65" s="13"/>
      <c r="AI65" s="13"/>
      <c r="AJ65" s="13"/>
      <c r="AK65" s="13"/>
      <c r="AL65" s="13"/>
      <c r="AM65" s="13"/>
      <c r="AN65" s="28"/>
    </row>
    <row r="66" spans="1:40" ht="13" hidden="1" customHeight="1">
      <c r="A66">
        <v>50</v>
      </c>
      <c r="B66" t="s">
        <v>124</v>
      </c>
      <c r="C66" t="s">
        <v>30</v>
      </c>
      <c r="D66" t="s">
        <v>796</v>
      </c>
      <c r="E66">
        <v>1010</v>
      </c>
      <c r="F66" t="s">
        <v>493</v>
      </c>
      <c r="G66" s="117" t="s">
        <v>52</v>
      </c>
      <c r="H66" t="s">
        <v>76</v>
      </c>
      <c r="I66">
        <v>0.5</v>
      </c>
      <c r="J66" t="s">
        <v>77</v>
      </c>
      <c r="K66">
        <v>1988</v>
      </c>
      <c r="L66" s="80" t="s">
        <v>120</v>
      </c>
      <c r="M66" s="80"/>
      <c r="N66" s="80"/>
      <c r="P66" s="19" t="s">
        <v>122</v>
      </c>
      <c r="Q66" s="19" t="s">
        <v>122</v>
      </c>
      <c r="R66" s="19" t="s">
        <v>38</v>
      </c>
      <c r="S66" s="19" t="s">
        <v>38</v>
      </c>
      <c r="T66" s="19" t="s">
        <v>38</v>
      </c>
      <c r="U66" s="19"/>
      <c r="V66" s="416"/>
      <c r="W66" s="392"/>
      <c r="X66" s="392"/>
      <c r="Y66" s="391"/>
      <c r="Z66" s="201"/>
      <c r="AA66" s="201"/>
      <c r="AB66" s="201"/>
      <c r="AC66" s="201"/>
      <c r="AE66" s="27"/>
      <c r="AF66" s="13"/>
      <c r="AG66" s="13"/>
      <c r="AH66" s="13"/>
      <c r="AI66" s="13"/>
      <c r="AJ66" s="13"/>
      <c r="AK66" s="13"/>
      <c r="AL66" s="13"/>
      <c r="AM66" s="13"/>
      <c r="AN66" s="28"/>
    </row>
    <row r="67" spans="1:40" ht="13" hidden="1" customHeight="1">
      <c r="A67">
        <v>51</v>
      </c>
      <c r="B67" t="s">
        <v>125</v>
      </c>
      <c r="C67" t="s">
        <v>30</v>
      </c>
      <c r="D67" t="s">
        <v>796</v>
      </c>
      <c r="E67">
        <v>815</v>
      </c>
      <c r="F67" t="s">
        <v>493</v>
      </c>
      <c r="G67" s="117" t="s">
        <v>52</v>
      </c>
      <c r="H67" t="s">
        <v>76</v>
      </c>
      <c r="I67">
        <v>0.5</v>
      </c>
      <c r="J67" t="s">
        <v>77</v>
      </c>
      <c r="K67">
        <v>1988</v>
      </c>
      <c r="L67" s="80" t="s">
        <v>120</v>
      </c>
      <c r="M67" s="80"/>
      <c r="N67" s="80"/>
      <c r="P67" s="19" t="s">
        <v>122</v>
      </c>
      <c r="Q67" s="19" t="s">
        <v>122</v>
      </c>
      <c r="R67" s="19" t="s">
        <v>38</v>
      </c>
      <c r="S67" s="19" t="s">
        <v>38</v>
      </c>
      <c r="T67" s="19" t="s">
        <v>38</v>
      </c>
      <c r="U67" s="19"/>
      <c r="V67" s="416"/>
      <c r="W67" s="392"/>
      <c r="X67" s="392"/>
      <c r="Y67" s="391"/>
      <c r="Z67" s="201"/>
      <c r="AA67" s="201"/>
      <c r="AB67" s="201"/>
      <c r="AC67" s="201"/>
      <c r="AE67" s="27"/>
      <c r="AF67" s="13"/>
      <c r="AG67" s="13"/>
      <c r="AH67" s="13"/>
      <c r="AI67" s="13"/>
      <c r="AJ67" s="13"/>
      <c r="AK67" s="13"/>
      <c r="AL67" s="13"/>
      <c r="AM67" s="13"/>
      <c r="AN67" s="28"/>
    </row>
    <row r="68" spans="1:40" ht="13" hidden="1" customHeight="1">
      <c r="A68">
        <v>52</v>
      </c>
      <c r="B68" t="s">
        <v>126</v>
      </c>
      <c r="C68" t="s">
        <v>61</v>
      </c>
      <c r="D68" t="s">
        <v>62</v>
      </c>
      <c r="E68">
        <v>1000</v>
      </c>
      <c r="F68" t="s">
        <v>493</v>
      </c>
      <c r="G68" s="117" t="s">
        <v>52</v>
      </c>
      <c r="H68" t="s">
        <v>33</v>
      </c>
      <c r="I68">
        <f>0.5*1000000</f>
        <v>500000</v>
      </c>
      <c r="J68" t="s">
        <v>34</v>
      </c>
      <c r="K68">
        <v>1988</v>
      </c>
      <c r="L68" s="80" t="s">
        <v>120</v>
      </c>
      <c r="M68" s="80"/>
      <c r="N68" s="80"/>
      <c r="P68" s="19" t="s">
        <v>122</v>
      </c>
      <c r="Q68" s="19" t="s">
        <v>122</v>
      </c>
      <c r="R68" s="19" t="s">
        <v>38</v>
      </c>
      <c r="S68" s="19" t="s">
        <v>38</v>
      </c>
      <c r="T68" s="19" t="s">
        <v>38</v>
      </c>
      <c r="U68" s="19"/>
      <c r="V68" s="416"/>
      <c r="W68" s="392"/>
      <c r="X68" s="392"/>
      <c r="Y68" s="391"/>
      <c r="Z68" s="201"/>
      <c r="AA68" s="201"/>
      <c r="AB68" s="201"/>
      <c r="AC68" s="201"/>
      <c r="AE68" s="27"/>
      <c r="AF68" s="13"/>
      <c r="AG68" s="13"/>
      <c r="AH68" s="13"/>
      <c r="AI68" s="13"/>
      <c r="AJ68" s="13"/>
      <c r="AK68" s="13"/>
      <c r="AL68" s="13"/>
      <c r="AM68" s="13"/>
      <c r="AN68" s="28"/>
    </row>
    <row r="69" spans="1:40" ht="27" hidden="1" customHeight="1">
      <c r="A69">
        <v>53</v>
      </c>
      <c r="B69" t="s">
        <v>112</v>
      </c>
      <c r="C69" t="s">
        <v>61</v>
      </c>
      <c r="D69" t="s">
        <v>113</v>
      </c>
      <c r="E69">
        <v>970</v>
      </c>
      <c r="F69" t="s">
        <v>493</v>
      </c>
      <c r="G69" s="117" t="s">
        <v>52</v>
      </c>
      <c r="H69" t="s">
        <v>33</v>
      </c>
      <c r="I69">
        <f>0.5*1000000</f>
        <v>500000</v>
      </c>
      <c r="J69" t="s">
        <v>34</v>
      </c>
      <c r="K69">
        <v>1988</v>
      </c>
      <c r="L69" s="80" t="s">
        <v>120</v>
      </c>
      <c r="M69" s="80"/>
      <c r="N69" s="80"/>
      <c r="P69" s="19" t="s">
        <v>122</v>
      </c>
      <c r="Q69" s="19" t="s">
        <v>122</v>
      </c>
      <c r="R69" s="19" t="s">
        <v>38</v>
      </c>
      <c r="S69" s="19" t="s">
        <v>38</v>
      </c>
      <c r="T69" s="19" t="s">
        <v>38</v>
      </c>
      <c r="U69" s="19"/>
      <c r="V69" s="416"/>
      <c r="W69" s="392"/>
      <c r="X69" s="392"/>
      <c r="Y69" s="391"/>
      <c r="Z69" s="201"/>
      <c r="AA69" s="201"/>
      <c r="AB69" s="201"/>
      <c r="AC69" s="201"/>
      <c r="AE69" s="27" t="s">
        <v>118</v>
      </c>
      <c r="AF69" s="13"/>
      <c r="AG69" s="13"/>
      <c r="AH69" s="13"/>
      <c r="AI69" s="13"/>
      <c r="AJ69" s="13"/>
      <c r="AK69" s="13"/>
      <c r="AL69" s="13"/>
      <c r="AM69" s="13"/>
      <c r="AN69" s="28"/>
    </row>
    <row r="70" spans="1:40" ht="25" hidden="1" customHeight="1">
      <c r="A70">
        <v>57</v>
      </c>
      <c r="B70" t="s">
        <v>119</v>
      </c>
      <c r="C70" t="s">
        <v>61</v>
      </c>
      <c r="D70" t="s">
        <v>113</v>
      </c>
      <c r="E70">
        <v>1200</v>
      </c>
      <c r="F70" t="s">
        <v>115</v>
      </c>
      <c r="G70" s="117" t="s">
        <v>52</v>
      </c>
      <c r="H70" t="s">
        <v>76</v>
      </c>
      <c r="I70">
        <v>10</v>
      </c>
      <c r="J70" t="s">
        <v>77</v>
      </c>
      <c r="K70">
        <v>1988</v>
      </c>
      <c r="L70" s="80" t="s">
        <v>120</v>
      </c>
      <c r="M70" s="80"/>
      <c r="N70" s="80"/>
      <c r="O70" t="s">
        <v>1121</v>
      </c>
      <c r="P70" s="19" t="s">
        <v>122</v>
      </c>
      <c r="Q70" s="19" t="s">
        <v>122</v>
      </c>
      <c r="R70" s="19" t="s">
        <v>38</v>
      </c>
      <c r="S70" s="19" t="s">
        <v>38</v>
      </c>
      <c r="T70">
        <v>0</v>
      </c>
      <c r="U70" s="19"/>
      <c r="V70" s="416"/>
      <c r="W70" s="392"/>
      <c r="X70" s="392"/>
      <c r="Y70" s="391"/>
      <c r="Z70" s="201"/>
      <c r="AA70" s="201"/>
      <c r="AB70" s="201"/>
      <c r="AC70" s="201"/>
      <c r="AD70" s="14"/>
      <c r="AE70" s="27"/>
      <c r="AF70" s="13"/>
      <c r="AG70" s="13"/>
      <c r="AH70" s="13"/>
      <c r="AI70" s="13"/>
      <c r="AJ70" s="13"/>
      <c r="AK70" s="13"/>
      <c r="AL70" s="13"/>
      <c r="AM70" s="13"/>
      <c r="AN70" s="28"/>
    </row>
    <row r="71" spans="1:40" ht="24.4" hidden="1" customHeight="1">
      <c r="A71">
        <v>59</v>
      </c>
      <c r="B71" t="s">
        <v>126</v>
      </c>
      <c r="C71" t="s">
        <v>61</v>
      </c>
      <c r="D71" t="s">
        <v>62</v>
      </c>
      <c r="E71">
        <v>1000</v>
      </c>
      <c r="F71" t="s">
        <v>115</v>
      </c>
      <c r="G71" s="117" t="s">
        <v>52</v>
      </c>
      <c r="H71" t="s">
        <v>76</v>
      </c>
      <c r="I71">
        <v>6</v>
      </c>
      <c r="J71" t="s">
        <v>77</v>
      </c>
      <c r="K71">
        <v>1988</v>
      </c>
      <c r="L71" s="80" t="s">
        <v>120</v>
      </c>
      <c r="M71" s="80"/>
      <c r="N71" s="80"/>
      <c r="O71" t="s">
        <v>1121</v>
      </c>
      <c r="P71" s="19" t="s">
        <v>122</v>
      </c>
      <c r="Q71" s="19" t="s">
        <v>122</v>
      </c>
      <c r="R71" s="19" t="s">
        <v>38</v>
      </c>
      <c r="S71" s="19" t="s">
        <v>38</v>
      </c>
      <c r="T71" s="19" t="s">
        <v>38</v>
      </c>
      <c r="U71" s="19"/>
      <c r="V71" s="416"/>
      <c r="W71" s="392"/>
      <c r="X71" s="392"/>
      <c r="Y71" s="391"/>
      <c r="Z71" s="201"/>
      <c r="AA71" s="201"/>
      <c r="AB71" s="201"/>
      <c r="AC71" s="201"/>
      <c r="AD71" s="15"/>
      <c r="AE71" s="27"/>
      <c r="AF71" s="13"/>
      <c r="AG71" s="13"/>
      <c r="AH71" s="13"/>
      <c r="AI71" s="13"/>
      <c r="AJ71" s="13"/>
      <c r="AK71" s="13"/>
      <c r="AL71" s="13"/>
      <c r="AM71" s="13"/>
      <c r="AN71" s="28"/>
    </row>
    <row r="72" spans="1:40" ht="36.4" hidden="1" customHeight="1">
      <c r="A72">
        <v>61</v>
      </c>
      <c r="B72" t="s">
        <v>112</v>
      </c>
      <c r="C72" t="s">
        <v>61</v>
      </c>
      <c r="D72" t="s">
        <v>113</v>
      </c>
      <c r="E72">
        <v>970</v>
      </c>
      <c r="F72" t="s">
        <v>115</v>
      </c>
      <c r="G72" s="117" t="s">
        <v>52</v>
      </c>
      <c r="H72" t="s">
        <v>76</v>
      </c>
      <c r="I72">
        <v>3.5</v>
      </c>
      <c r="J72" t="s">
        <v>77</v>
      </c>
      <c r="K72">
        <v>1988</v>
      </c>
      <c r="L72" s="80" t="s">
        <v>120</v>
      </c>
      <c r="M72" s="80"/>
      <c r="N72" s="80"/>
      <c r="O72" t="s">
        <v>1121</v>
      </c>
      <c r="P72" s="19" t="s">
        <v>122</v>
      </c>
      <c r="Q72" s="19" t="s">
        <v>122</v>
      </c>
      <c r="R72" s="19" t="s">
        <v>38</v>
      </c>
      <c r="S72" s="19" t="s">
        <v>38</v>
      </c>
      <c r="T72" s="19" t="s">
        <v>38</v>
      </c>
      <c r="U72" s="19"/>
      <c r="V72" s="416"/>
      <c r="W72" s="392"/>
      <c r="X72" s="392"/>
      <c r="Y72" s="391"/>
      <c r="Z72" s="201"/>
      <c r="AA72" s="201"/>
      <c r="AB72" s="201"/>
      <c r="AC72" s="201"/>
      <c r="AD72" s="12"/>
      <c r="AE72" s="469" t="s">
        <v>123</v>
      </c>
      <c r="AF72" s="13"/>
      <c r="AG72" s="13"/>
      <c r="AH72" s="13"/>
      <c r="AI72" s="13"/>
      <c r="AJ72" s="13"/>
      <c r="AK72" s="13"/>
      <c r="AL72" s="13"/>
      <c r="AM72" s="13"/>
      <c r="AN72" s="28"/>
    </row>
    <row r="73" spans="1:40" ht="32.5" customHeight="1">
      <c r="A73">
        <v>574</v>
      </c>
      <c r="B73" s="141" t="s">
        <v>512</v>
      </c>
      <c r="C73" s="141" t="s">
        <v>30</v>
      </c>
      <c r="D73" s="141" t="s">
        <v>803</v>
      </c>
      <c r="E73" s="142">
        <v>1000</v>
      </c>
      <c r="F73" s="141" t="s">
        <v>108</v>
      </c>
      <c r="G73" s="6" t="s">
        <v>57</v>
      </c>
      <c r="H73" s="141" t="s">
        <v>76</v>
      </c>
      <c r="I73" s="142">
        <v>107</v>
      </c>
      <c r="J73" s="141" t="s">
        <v>77</v>
      </c>
      <c r="K73" s="142">
        <v>2011</v>
      </c>
      <c r="L73" s="141" t="s">
        <v>507</v>
      </c>
      <c r="M73" s="184"/>
      <c r="N73" s="141"/>
      <c r="O73" t="s">
        <v>834</v>
      </c>
      <c r="P73" s="2" t="s">
        <v>1124</v>
      </c>
      <c r="Q73" s="19" t="s">
        <v>38</v>
      </c>
      <c r="R73" s="19" t="s">
        <v>38</v>
      </c>
      <c r="S73" s="19" t="s">
        <v>38</v>
      </c>
      <c r="T73" s="55" t="s">
        <v>38</v>
      </c>
      <c r="U73" s="19"/>
      <c r="V73" s="416"/>
      <c r="W73" s="392"/>
      <c r="X73" s="392"/>
      <c r="Y73" s="391"/>
      <c r="Z73" s="201"/>
      <c r="AA73" s="201"/>
      <c r="AB73" s="201"/>
      <c r="AC73" s="201"/>
      <c r="AE73" s="469"/>
      <c r="AF73" s="13"/>
      <c r="AG73" s="13"/>
      <c r="AH73" s="13"/>
      <c r="AI73" s="13"/>
      <c r="AJ73" s="13"/>
      <c r="AK73" s="13"/>
      <c r="AL73" s="13"/>
      <c r="AM73" s="13"/>
      <c r="AN73" s="28"/>
    </row>
    <row r="74" spans="1:40" ht="13" hidden="1" customHeight="1">
      <c r="A74">
        <v>44</v>
      </c>
      <c r="B74" t="s">
        <v>119</v>
      </c>
      <c r="C74" t="s">
        <v>61</v>
      </c>
      <c r="D74" t="s">
        <v>113</v>
      </c>
      <c r="E74">
        <v>1200</v>
      </c>
      <c r="F74" t="s">
        <v>667</v>
      </c>
      <c r="G74" s="117" t="s">
        <v>52</v>
      </c>
      <c r="H74" t="s">
        <v>33</v>
      </c>
      <c r="I74">
        <f>1800*1000000</f>
        <v>1800000000</v>
      </c>
      <c r="J74" t="s">
        <v>34</v>
      </c>
      <c r="K74">
        <v>1988</v>
      </c>
      <c r="L74" s="80" t="s">
        <v>120</v>
      </c>
      <c r="M74" s="287" t="s">
        <v>1252</v>
      </c>
      <c r="N74" s="80"/>
      <c r="O74" t="s">
        <v>121</v>
      </c>
      <c r="P74" s="2">
        <v>0.76</v>
      </c>
      <c r="Q74" s="19" t="s">
        <v>122</v>
      </c>
      <c r="R74" s="19" t="s">
        <v>38</v>
      </c>
      <c r="S74" s="19" t="s">
        <v>38</v>
      </c>
      <c r="T74" s="19" t="s">
        <v>38</v>
      </c>
      <c r="U74" s="19"/>
      <c r="V74" s="416"/>
      <c r="W74" s="392"/>
      <c r="X74" s="392"/>
      <c r="Y74" s="391"/>
      <c r="Z74" s="201"/>
      <c r="AA74" s="201"/>
      <c r="AB74" s="201"/>
      <c r="AC74" s="201"/>
      <c r="AE74" s="469"/>
      <c r="AF74" s="13"/>
      <c r="AG74" s="13"/>
      <c r="AH74" s="13"/>
      <c r="AI74" s="13"/>
      <c r="AJ74" s="13"/>
      <c r="AK74" s="13"/>
      <c r="AL74" s="13"/>
      <c r="AM74" s="13"/>
      <c r="AN74" s="28"/>
    </row>
    <row r="75" spans="1:40" ht="13" hidden="1" customHeight="1">
      <c r="A75">
        <v>64</v>
      </c>
      <c r="B75" t="s">
        <v>114</v>
      </c>
      <c r="C75" t="s">
        <v>61</v>
      </c>
      <c r="D75" t="s">
        <v>62</v>
      </c>
      <c r="E75">
        <v>1000</v>
      </c>
      <c r="F75" t="s">
        <v>115</v>
      </c>
      <c r="G75" s="117" t="s">
        <v>52</v>
      </c>
      <c r="H75" t="s">
        <v>76</v>
      </c>
      <c r="I75">
        <v>6</v>
      </c>
      <c r="J75" t="s">
        <v>77</v>
      </c>
      <c r="K75">
        <v>1988</v>
      </c>
      <c r="L75" s="80" t="s">
        <v>120</v>
      </c>
      <c r="M75" s="80"/>
      <c r="N75" s="80"/>
      <c r="O75" t="s">
        <v>127</v>
      </c>
      <c r="P75" s="19" t="s">
        <v>122</v>
      </c>
      <c r="Q75" s="19" t="s">
        <v>122</v>
      </c>
      <c r="R75" s="19" t="s">
        <v>38</v>
      </c>
      <c r="S75" s="19" t="s">
        <v>38</v>
      </c>
      <c r="T75" s="19" t="s">
        <v>38</v>
      </c>
      <c r="U75" s="19"/>
      <c r="V75" s="416"/>
      <c r="W75" s="392"/>
      <c r="X75" s="392"/>
      <c r="Y75" s="391"/>
      <c r="Z75" s="201"/>
      <c r="AA75" s="201"/>
      <c r="AB75" s="201"/>
      <c r="AC75" s="201"/>
      <c r="AE75" s="469"/>
      <c r="AF75" s="13"/>
      <c r="AG75" s="13"/>
      <c r="AH75" s="13"/>
      <c r="AI75" s="13"/>
      <c r="AJ75" s="13"/>
      <c r="AK75" s="13"/>
      <c r="AL75" s="13"/>
      <c r="AM75" s="13"/>
      <c r="AN75" s="28"/>
    </row>
    <row r="76" spans="1:40" ht="19.5" hidden="1" customHeight="1">
      <c r="A76">
        <v>48</v>
      </c>
      <c r="B76" t="s">
        <v>112</v>
      </c>
      <c r="C76" t="s">
        <v>61</v>
      </c>
      <c r="D76" t="s">
        <v>113</v>
      </c>
      <c r="E76">
        <v>970</v>
      </c>
      <c r="F76" t="s">
        <v>667</v>
      </c>
      <c r="G76" s="117" t="s">
        <v>52</v>
      </c>
      <c r="H76" t="s">
        <v>33</v>
      </c>
      <c r="I76">
        <f>1470*1000000</f>
        <v>1470000000</v>
      </c>
      <c r="J76" t="s">
        <v>34</v>
      </c>
      <c r="K76">
        <v>1988</v>
      </c>
      <c r="L76" s="80" t="s">
        <v>120</v>
      </c>
      <c r="M76" s="287" t="s">
        <v>1252</v>
      </c>
      <c r="N76" s="80"/>
      <c r="O76" t="s">
        <v>121</v>
      </c>
      <c r="P76" s="2">
        <v>0.76</v>
      </c>
      <c r="Q76" s="19" t="s">
        <v>122</v>
      </c>
      <c r="R76" s="19" t="s">
        <v>38</v>
      </c>
      <c r="S76" s="19" t="s">
        <v>38</v>
      </c>
      <c r="T76" s="19" t="s">
        <v>38</v>
      </c>
      <c r="U76" s="19"/>
      <c r="V76" s="416"/>
      <c r="W76" s="392"/>
      <c r="X76" s="392"/>
      <c r="Y76" s="391"/>
      <c r="Z76" s="201"/>
      <c r="AA76" s="201"/>
      <c r="AB76" s="201"/>
      <c r="AC76" s="201"/>
      <c r="AE76" s="469"/>
      <c r="AF76" s="13"/>
      <c r="AG76" s="13"/>
      <c r="AH76" s="13"/>
      <c r="AI76" s="13"/>
      <c r="AJ76" s="13"/>
      <c r="AK76" s="13"/>
      <c r="AL76" s="13"/>
      <c r="AM76" s="13"/>
      <c r="AN76" s="28"/>
    </row>
    <row r="77" spans="1:40" ht="13" customHeight="1">
      <c r="A77">
        <v>579</v>
      </c>
      <c r="B77" s="141" t="s">
        <v>513</v>
      </c>
      <c r="C77" s="141" t="s">
        <v>61</v>
      </c>
      <c r="D77" s="141" t="s">
        <v>62</v>
      </c>
      <c r="E77" s="142">
        <v>1000</v>
      </c>
      <c r="F77" s="141" t="s">
        <v>108</v>
      </c>
      <c r="G77" s="6" t="s">
        <v>57</v>
      </c>
      <c r="H77" s="141" t="s">
        <v>76</v>
      </c>
      <c r="I77" s="142">
        <v>98</v>
      </c>
      <c r="J77" s="141" t="s">
        <v>77</v>
      </c>
      <c r="K77" s="142">
        <v>2011</v>
      </c>
      <c r="L77" s="141" t="s">
        <v>507</v>
      </c>
      <c r="M77" s="184"/>
      <c r="N77" s="141"/>
      <c r="O77" t="s">
        <v>504</v>
      </c>
      <c r="P77" s="2">
        <v>0.75</v>
      </c>
      <c r="Q77" s="19" t="s">
        <v>38</v>
      </c>
      <c r="R77" s="19" t="s">
        <v>38</v>
      </c>
      <c r="S77" s="19" t="s">
        <v>38</v>
      </c>
      <c r="T77" s="55" t="s">
        <v>38</v>
      </c>
      <c r="U77" s="19"/>
      <c r="V77" s="416"/>
      <c r="W77" s="392"/>
      <c r="X77" s="392"/>
      <c r="Y77" s="391"/>
      <c r="Z77" s="201"/>
      <c r="AA77" s="201"/>
      <c r="AB77" s="201"/>
      <c r="AC77" s="201"/>
      <c r="AE77" s="469"/>
      <c r="AF77" s="13"/>
      <c r="AG77" s="13"/>
      <c r="AH77" s="13"/>
      <c r="AI77" s="13"/>
      <c r="AJ77" s="13"/>
      <c r="AK77" s="13"/>
      <c r="AL77" s="13"/>
      <c r="AM77" s="13"/>
      <c r="AN77" s="28"/>
    </row>
    <row r="78" spans="1:40" ht="16.5" customHeight="1">
      <c r="A78">
        <v>585</v>
      </c>
      <c r="B78" s="141" t="s">
        <v>514</v>
      </c>
      <c r="C78" s="141" t="s">
        <v>61</v>
      </c>
      <c r="D78" s="141" t="s">
        <v>107</v>
      </c>
      <c r="E78" s="142">
        <v>1000</v>
      </c>
      <c r="F78" s="141" t="s">
        <v>108</v>
      </c>
      <c r="G78" s="6" t="s">
        <v>57</v>
      </c>
      <c r="H78" s="141" t="s">
        <v>76</v>
      </c>
      <c r="I78" s="142">
        <v>104</v>
      </c>
      <c r="J78" s="141" t="s">
        <v>77</v>
      </c>
      <c r="K78" s="142">
        <v>2011</v>
      </c>
      <c r="L78" s="141" t="s">
        <v>507</v>
      </c>
      <c r="M78" s="184"/>
      <c r="N78" s="141"/>
      <c r="O78" t="s">
        <v>504</v>
      </c>
      <c r="P78" s="2">
        <v>0.75</v>
      </c>
      <c r="Q78" s="19" t="s">
        <v>38</v>
      </c>
      <c r="R78" s="19" t="s">
        <v>38</v>
      </c>
      <c r="S78" s="19" t="s">
        <v>38</v>
      </c>
      <c r="T78" s="55" t="s">
        <v>38</v>
      </c>
      <c r="U78" s="19"/>
      <c r="V78" s="416"/>
      <c r="W78" s="392"/>
      <c r="X78" s="392"/>
      <c r="Y78" s="391"/>
      <c r="Z78" s="201"/>
      <c r="AA78" s="201"/>
      <c r="AB78" s="201"/>
      <c r="AC78" s="201"/>
      <c r="AE78" s="469"/>
      <c r="AF78" s="13"/>
      <c r="AG78" s="13"/>
      <c r="AH78" s="13"/>
      <c r="AI78" s="13"/>
      <c r="AJ78" s="13"/>
      <c r="AK78" s="13"/>
      <c r="AL78" s="13"/>
      <c r="AM78" s="13"/>
      <c r="AN78" s="28"/>
    </row>
    <row r="79" spans="1:40" ht="23.5" customHeight="1">
      <c r="A79">
        <v>591</v>
      </c>
      <c r="B79" s="141" t="s">
        <v>515</v>
      </c>
      <c r="C79" s="141" t="s">
        <v>61</v>
      </c>
      <c r="D79" s="141" t="s">
        <v>278</v>
      </c>
      <c r="E79" s="142">
        <v>1000</v>
      </c>
      <c r="F79" s="141" t="s">
        <v>108</v>
      </c>
      <c r="G79" s="6" t="s">
        <v>57</v>
      </c>
      <c r="H79" s="141" t="s">
        <v>76</v>
      </c>
      <c r="I79" s="142">
        <v>111</v>
      </c>
      <c r="J79" s="141" t="s">
        <v>77</v>
      </c>
      <c r="K79" s="142">
        <v>2011</v>
      </c>
      <c r="L79" s="141" t="s">
        <v>507</v>
      </c>
      <c r="M79" s="184"/>
      <c r="N79" s="141"/>
      <c r="O79" t="s">
        <v>504</v>
      </c>
      <c r="P79" s="2">
        <v>0.75</v>
      </c>
      <c r="Q79" s="19" t="s">
        <v>38</v>
      </c>
      <c r="R79" s="19" t="s">
        <v>38</v>
      </c>
      <c r="S79" s="19" t="s">
        <v>38</v>
      </c>
      <c r="T79" s="55" t="s">
        <v>38</v>
      </c>
      <c r="U79" s="19"/>
      <c r="V79" s="416"/>
      <c r="W79" s="392"/>
      <c r="X79" s="392"/>
      <c r="Y79" s="391"/>
      <c r="Z79" s="201"/>
      <c r="AA79" s="201"/>
      <c r="AB79" s="201"/>
      <c r="AC79" s="201"/>
      <c r="AE79" s="469"/>
      <c r="AF79" s="13"/>
      <c r="AG79" s="13"/>
      <c r="AH79" s="13"/>
      <c r="AI79" s="13"/>
      <c r="AJ79" s="13"/>
      <c r="AK79" s="13"/>
      <c r="AL79" s="13"/>
      <c r="AM79" s="13"/>
      <c r="AN79" s="28"/>
    </row>
    <row r="80" spans="1:40" ht="13" hidden="1" customHeight="1">
      <c r="A80">
        <v>47</v>
      </c>
      <c r="B80" t="s">
        <v>126</v>
      </c>
      <c r="C80" t="s">
        <v>61</v>
      </c>
      <c r="D80" t="s">
        <v>62</v>
      </c>
      <c r="E80">
        <v>1000</v>
      </c>
      <c r="F80" t="s">
        <v>667</v>
      </c>
      <c r="G80" s="117" t="s">
        <v>52</v>
      </c>
      <c r="H80" t="s">
        <v>33</v>
      </c>
      <c r="I80">
        <f>1430*1000000</f>
        <v>1430000000</v>
      </c>
      <c r="J80" t="s">
        <v>34</v>
      </c>
      <c r="K80">
        <v>1988</v>
      </c>
      <c r="L80" s="80" t="s">
        <v>120</v>
      </c>
      <c r="M80" s="287" t="s">
        <v>1252</v>
      </c>
      <c r="N80" s="80"/>
      <c r="O80" t="s">
        <v>121</v>
      </c>
      <c r="P80" s="2">
        <v>0.76</v>
      </c>
      <c r="Q80" s="19" t="s">
        <v>122</v>
      </c>
      <c r="R80" s="19" t="s">
        <v>38</v>
      </c>
      <c r="S80" s="19" t="s">
        <v>38</v>
      </c>
      <c r="T80" s="19" t="s">
        <v>38</v>
      </c>
      <c r="U80" s="19"/>
      <c r="V80" s="416"/>
      <c r="W80" s="392"/>
      <c r="X80" s="392"/>
      <c r="Y80" s="391"/>
      <c r="Z80" s="201"/>
      <c r="AA80" s="201"/>
      <c r="AB80" s="201"/>
      <c r="AC80" s="201"/>
      <c r="AE80" s="469"/>
      <c r="AF80" s="13"/>
      <c r="AG80" s="13"/>
      <c r="AH80" s="13"/>
      <c r="AI80" s="13"/>
      <c r="AJ80" s="13"/>
      <c r="AK80" s="13"/>
      <c r="AL80" s="13"/>
      <c r="AM80" s="13"/>
      <c r="AN80" s="28"/>
    </row>
    <row r="81" spans="1:40" ht="13" hidden="1" customHeight="1">
      <c r="A81">
        <v>54</v>
      </c>
      <c r="B81" t="s">
        <v>114</v>
      </c>
      <c r="C81" t="s">
        <v>61</v>
      </c>
      <c r="D81" t="s">
        <v>62</v>
      </c>
      <c r="E81">
        <v>1000</v>
      </c>
      <c r="F81" t="s">
        <v>667</v>
      </c>
      <c r="G81" s="117" t="s">
        <v>52</v>
      </c>
      <c r="H81" t="s">
        <v>33</v>
      </c>
      <c r="I81">
        <f>2140*1000000</f>
        <v>2140000000</v>
      </c>
      <c r="J81" t="s">
        <v>34</v>
      </c>
      <c r="K81">
        <v>1988</v>
      </c>
      <c r="L81" s="80" t="s">
        <v>120</v>
      </c>
      <c r="M81" s="287" t="s">
        <v>1252</v>
      </c>
      <c r="N81" s="80"/>
      <c r="O81" t="s">
        <v>121</v>
      </c>
      <c r="P81" s="2">
        <v>0.76</v>
      </c>
      <c r="Q81" s="19" t="s">
        <v>122</v>
      </c>
      <c r="R81" s="19" t="s">
        <v>38</v>
      </c>
      <c r="S81" s="19" t="s">
        <v>38</v>
      </c>
      <c r="T81" s="19" t="s">
        <v>38</v>
      </c>
      <c r="U81" s="19"/>
      <c r="V81" s="416"/>
      <c r="W81" s="392"/>
      <c r="X81" s="392"/>
      <c r="Y81" s="391"/>
      <c r="Z81" s="201"/>
      <c r="AA81" s="201"/>
      <c r="AB81" s="201"/>
      <c r="AC81" s="201"/>
      <c r="AE81" s="469"/>
      <c r="AF81" s="13"/>
      <c r="AG81" s="13"/>
      <c r="AH81" s="13"/>
      <c r="AI81" s="13"/>
      <c r="AJ81" s="13"/>
      <c r="AK81" s="13"/>
      <c r="AL81" s="13"/>
      <c r="AM81" s="13"/>
      <c r="AN81" s="28"/>
    </row>
    <row r="82" spans="1:40" ht="13" customHeight="1">
      <c r="A82">
        <v>7</v>
      </c>
      <c r="B82" t="s">
        <v>60</v>
      </c>
      <c r="C82" t="s">
        <v>61</v>
      </c>
      <c r="D82" t="s">
        <v>62</v>
      </c>
      <c r="E82">
        <v>1200</v>
      </c>
      <c r="F82" t="s">
        <v>63</v>
      </c>
      <c r="G82" t="s">
        <v>52</v>
      </c>
      <c r="H82" t="s">
        <v>76</v>
      </c>
      <c r="I82">
        <v>0.04</v>
      </c>
      <c r="J82" t="s">
        <v>77</v>
      </c>
      <c r="K82">
        <v>1980</v>
      </c>
      <c r="L82" t="s">
        <v>975</v>
      </c>
      <c r="O82" s="13"/>
      <c r="P82" s="19" t="s">
        <v>38</v>
      </c>
      <c r="Q82" s="19" t="s">
        <v>38</v>
      </c>
      <c r="R82" s="13" t="s">
        <v>698</v>
      </c>
      <c r="S82" s="19" t="s">
        <v>38</v>
      </c>
      <c r="T82" s="19" t="s">
        <v>38</v>
      </c>
      <c r="U82" s="19"/>
      <c r="V82" s="416"/>
      <c r="W82" s="392"/>
      <c r="X82" s="392"/>
      <c r="Y82" s="391"/>
      <c r="Z82" s="201"/>
      <c r="AA82" s="201"/>
      <c r="AB82" s="201"/>
      <c r="AC82" s="201"/>
      <c r="AE82" s="469"/>
      <c r="AF82" s="13"/>
      <c r="AG82" s="13"/>
      <c r="AH82" s="13"/>
      <c r="AI82" s="13"/>
      <c r="AJ82" s="13"/>
      <c r="AK82" s="13"/>
      <c r="AL82" s="13"/>
      <c r="AM82" s="13"/>
      <c r="AN82" s="28"/>
    </row>
    <row r="83" spans="1:40" ht="13" customHeight="1">
      <c r="A83">
        <v>91</v>
      </c>
      <c r="B83" t="s">
        <v>146</v>
      </c>
      <c r="C83" t="s">
        <v>61</v>
      </c>
      <c r="D83" t="s">
        <v>62</v>
      </c>
      <c r="E83">
        <v>1200</v>
      </c>
      <c r="F83" t="s">
        <v>63</v>
      </c>
      <c r="G83" t="s">
        <v>52</v>
      </c>
      <c r="H83" t="s">
        <v>76</v>
      </c>
      <c r="I83">
        <f>(2.43*1000000)/(0.65*8760*1200)</f>
        <v>0.35563751317175973</v>
      </c>
      <c r="J83" t="s">
        <v>128</v>
      </c>
      <c r="K83">
        <v>1986</v>
      </c>
      <c r="L83" t="s">
        <v>147</v>
      </c>
      <c r="O83" s="13"/>
      <c r="P83" s="19" t="s">
        <v>122</v>
      </c>
      <c r="Q83" s="55" t="s">
        <v>38</v>
      </c>
      <c r="R83" s="19" t="s">
        <v>38</v>
      </c>
      <c r="S83" s="19" t="s">
        <v>38</v>
      </c>
      <c r="T83" s="19" t="s">
        <v>38</v>
      </c>
      <c r="U83" s="19"/>
      <c r="V83" s="416"/>
      <c r="W83" s="392"/>
      <c r="X83" s="392"/>
      <c r="Y83" s="391"/>
      <c r="Z83" s="201"/>
      <c r="AA83" s="201"/>
      <c r="AB83" s="201"/>
      <c r="AC83" s="201"/>
      <c r="AE83" s="469"/>
      <c r="AF83" s="13"/>
      <c r="AG83" s="13"/>
      <c r="AH83" s="13"/>
      <c r="AI83" s="13"/>
      <c r="AJ83" s="13"/>
      <c r="AK83" s="13"/>
      <c r="AL83" s="13"/>
      <c r="AM83" s="13"/>
      <c r="AN83" s="28"/>
    </row>
    <row r="84" spans="1:40" ht="13" customHeight="1">
      <c r="A84">
        <v>97</v>
      </c>
      <c r="B84" s="6" t="s">
        <v>165</v>
      </c>
      <c r="C84" t="s">
        <v>61</v>
      </c>
      <c r="D84" t="s">
        <v>62</v>
      </c>
      <c r="E84">
        <v>1200</v>
      </c>
      <c r="F84" t="s">
        <v>63</v>
      </c>
      <c r="G84" t="s">
        <v>52</v>
      </c>
      <c r="H84" t="s">
        <v>76</v>
      </c>
      <c r="I84">
        <f>(2.43*1000000)/(0.65*8760*1200)</f>
        <v>0.35563751317175973</v>
      </c>
      <c r="J84" t="s">
        <v>128</v>
      </c>
      <c r="K84">
        <v>1986</v>
      </c>
      <c r="L84" t="s">
        <v>147</v>
      </c>
      <c r="O84" s="13"/>
      <c r="P84" s="19" t="s">
        <v>122</v>
      </c>
      <c r="Q84" s="55" t="s">
        <v>38</v>
      </c>
      <c r="R84" s="19" t="s">
        <v>38</v>
      </c>
      <c r="S84" s="19" t="s">
        <v>38</v>
      </c>
      <c r="T84" s="19" t="s">
        <v>38</v>
      </c>
      <c r="U84" s="19"/>
      <c r="V84" s="416"/>
      <c r="W84" s="392"/>
      <c r="X84" s="392"/>
      <c r="Y84" s="391"/>
      <c r="Z84" s="201"/>
      <c r="AA84" s="201"/>
      <c r="AB84" s="201"/>
      <c r="AC84" s="201"/>
      <c r="AE84" s="469"/>
      <c r="AF84" s="13"/>
      <c r="AG84" s="13"/>
      <c r="AH84" s="13"/>
      <c r="AI84" s="13"/>
      <c r="AJ84" s="13"/>
      <c r="AK84" s="13"/>
      <c r="AL84" s="13"/>
      <c r="AM84" s="13"/>
      <c r="AN84" s="28"/>
    </row>
    <row r="85" spans="1:40" ht="13" customHeight="1">
      <c r="A85">
        <v>107</v>
      </c>
      <c r="B85" s="6" t="s">
        <v>170</v>
      </c>
      <c r="C85" t="s">
        <v>61</v>
      </c>
      <c r="D85" t="s">
        <v>113</v>
      </c>
      <c r="E85">
        <v>1200</v>
      </c>
      <c r="F85" t="s">
        <v>63</v>
      </c>
      <c r="G85" t="s">
        <v>52</v>
      </c>
      <c r="H85" t="s">
        <v>76</v>
      </c>
      <c r="I85">
        <f>(2.43*1000000)/(0.65*8760*1200)</f>
        <v>0.35563751317175973</v>
      </c>
      <c r="J85" t="s">
        <v>128</v>
      </c>
      <c r="K85">
        <v>1986</v>
      </c>
      <c r="L85" t="s">
        <v>147</v>
      </c>
      <c r="O85" s="13"/>
      <c r="P85" s="19" t="s">
        <v>122</v>
      </c>
      <c r="Q85" s="55" t="s">
        <v>38</v>
      </c>
      <c r="R85" s="19" t="s">
        <v>38</v>
      </c>
      <c r="S85" s="19" t="s">
        <v>38</v>
      </c>
      <c r="T85" s="19" t="s">
        <v>38</v>
      </c>
      <c r="U85" s="19"/>
      <c r="V85" s="416"/>
      <c r="W85" s="392"/>
      <c r="X85" s="392"/>
      <c r="Y85" s="391"/>
      <c r="Z85" s="201"/>
      <c r="AA85" s="201"/>
      <c r="AB85" s="201"/>
      <c r="AC85" s="201"/>
      <c r="AE85" s="469"/>
      <c r="AF85" s="13"/>
      <c r="AG85" s="13"/>
      <c r="AH85" s="13"/>
      <c r="AI85" s="13"/>
      <c r="AJ85" s="13"/>
      <c r="AK85" s="13"/>
      <c r="AL85" s="13"/>
      <c r="AM85" s="13"/>
      <c r="AN85" s="28"/>
    </row>
    <row r="86" spans="1:40" ht="13" customHeight="1">
      <c r="A86">
        <v>113</v>
      </c>
      <c r="B86" s="6" t="s">
        <v>172</v>
      </c>
      <c r="C86" t="s">
        <v>61</v>
      </c>
      <c r="D86" t="s">
        <v>113</v>
      </c>
      <c r="E86">
        <v>1200</v>
      </c>
      <c r="F86" t="s">
        <v>63</v>
      </c>
      <c r="G86" t="s">
        <v>52</v>
      </c>
      <c r="H86" t="s">
        <v>76</v>
      </c>
      <c r="I86">
        <f>(2.43*1000000)/(0.65*8760*1200)</f>
        <v>0.35563751317175973</v>
      </c>
      <c r="J86" t="s">
        <v>128</v>
      </c>
      <c r="K86">
        <v>1986</v>
      </c>
      <c r="L86" t="s">
        <v>147</v>
      </c>
      <c r="O86" s="13"/>
      <c r="P86" s="19" t="s">
        <v>122</v>
      </c>
      <c r="Q86" s="55" t="s">
        <v>38</v>
      </c>
      <c r="R86" s="19" t="s">
        <v>38</v>
      </c>
      <c r="S86" s="19" t="s">
        <v>38</v>
      </c>
      <c r="T86" s="19" t="s">
        <v>38</v>
      </c>
      <c r="U86" s="19"/>
      <c r="V86" s="416"/>
      <c r="W86" s="392"/>
      <c r="X86" s="392"/>
      <c r="Y86" s="391"/>
      <c r="Z86" s="201"/>
      <c r="AA86" s="201"/>
      <c r="AB86" s="201"/>
      <c r="AC86" s="201"/>
      <c r="AE86" s="469"/>
      <c r="AF86" s="13"/>
      <c r="AG86" s="13"/>
      <c r="AH86" s="13"/>
      <c r="AI86" s="13"/>
      <c r="AJ86" s="13"/>
      <c r="AK86" s="13"/>
      <c r="AL86" s="13"/>
      <c r="AM86" s="13"/>
      <c r="AN86" s="28"/>
    </row>
    <row r="87" spans="1:40" ht="13" hidden="1" customHeight="1">
      <c r="A87">
        <v>70</v>
      </c>
      <c r="B87" s="169" t="s">
        <v>81</v>
      </c>
      <c r="C87" t="s">
        <v>61</v>
      </c>
      <c r="D87" t="s">
        <v>62</v>
      </c>
      <c r="E87">
        <v>1000</v>
      </c>
      <c r="F87" t="s">
        <v>75</v>
      </c>
      <c r="G87" s="119" t="s">
        <v>57</v>
      </c>
      <c r="H87" t="s">
        <v>76</v>
      </c>
      <c r="I87">
        <v>70</v>
      </c>
      <c r="J87" t="s">
        <v>128</v>
      </c>
      <c r="K87">
        <v>1996</v>
      </c>
      <c r="L87" s="80" t="s">
        <v>129</v>
      </c>
      <c r="M87" s="80"/>
      <c r="N87" s="80"/>
      <c r="O87" t="s">
        <v>130</v>
      </c>
      <c r="P87" s="55" t="s">
        <v>122</v>
      </c>
      <c r="Q87" t="s">
        <v>84</v>
      </c>
      <c r="R87" s="19" t="s">
        <v>38</v>
      </c>
      <c r="S87" s="19" t="s">
        <v>38</v>
      </c>
      <c r="T87" s="19" t="s">
        <v>38</v>
      </c>
      <c r="U87" s="19"/>
      <c r="V87" s="416"/>
      <c r="W87" s="392"/>
      <c r="X87" s="392"/>
      <c r="Y87" s="391"/>
      <c r="Z87" s="201"/>
      <c r="AA87" s="201"/>
      <c r="AB87" s="201"/>
      <c r="AC87" s="201"/>
      <c r="AE87" s="469"/>
      <c r="AF87" s="13"/>
      <c r="AG87" s="13"/>
      <c r="AH87" s="13"/>
      <c r="AI87" s="13"/>
      <c r="AJ87" s="13"/>
      <c r="AK87" s="13"/>
      <c r="AL87" s="13"/>
      <c r="AM87" s="13"/>
      <c r="AN87" s="28"/>
    </row>
    <row r="88" spans="1:40" ht="13" hidden="1" customHeight="1">
      <c r="A88">
        <v>71</v>
      </c>
      <c r="B88" s="169" t="s">
        <v>81</v>
      </c>
      <c r="C88" t="s">
        <v>61</v>
      </c>
      <c r="D88" t="s">
        <v>62</v>
      </c>
      <c r="E88">
        <v>1000</v>
      </c>
      <c r="F88" t="s">
        <v>75</v>
      </c>
      <c r="G88" s="119" t="s">
        <v>57</v>
      </c>
      <c r="H88" t="s">
        <v>76</v>
      </c>
      <c r="I88">
        <v>80</v>
      </c>
      <c r="J88" t="s">
        <v>128</v>
      </c>
      <c r="K88">
        <v>1996</v>
      </c>
      <c r="L88" s="80" t="s">
        <v>129</v>
      </c>
      <c r="M88" s="80"/>
      <c r="N88" s="80"/>
      <c r="O88" t="s">
        <v>130</v>
      </c>
      <c r="P88" s="55" t="s">
        <v>122</v>
      </c>
      <c r="Q88" t="s">
        <v>84</v>
      </c>
      <c r="R88" s="19" t="s">
        <v>38</v>
      </c>
      <c r="S88" s="19" t="s">
        <v>38</v>
      </c>
      <c r="T88" s="19" t="s">
        <v>38</v>
      </c>
      <c r="U88" s="19"/>
      <c r="V88" s="416" t="s">
        <v>1078</v>
      </c>
      <c r="W88" s="392" t="s">
        <v>889</v>
      </c>
      <c r="X88" s="392" t="s">
        <v>888</v>
      </c>
      <c r="Y88" s="391" t="s">
        <v>871</v>
      </c>
      <c r="Z88" s="201"/>
      <c r="AA88" s="201"/>
      <c r="AB88" s="201"/>
      <c r="AC88" s="201"/>
      <c r="AE88" s="469"/>
      <c r="AF88" s="13"/>
      <c r="AG88" s="13"/>
      <c r="AH88" s="13"/>
      <c r="AI88" s="13"/>
      <c r="AJ88" s="13"/>
      <c r="AK88" s="13"/>
      <c r="AL88" s="13"/>
      <c r="AM88" s="13"/>
      <c r="AN88" s="28"/>
    </row>
    <row r="89" spans="1:40" ht="13" hidden="1" customHeight="1">
      <c r="A89">
        <v>72</v>
      </c>
      <c r="B89" s="169" t="s">
        <v>81</v>
      </c>
      <c r="C89" t="s">
        <v>61</v>
      </c>
      <c r="D89" t="s">
        <v>62</v>
      </c>
      <c r="E89">
        <v>1000</v>
      </c>
      <c r="F89" t="s">
        <v>75</v>
      </c>
      <c r="G89" s="119" t="s">
        <v>57</v>
      </c>
      <c r="H89" t="s">
        <v>76</v>
      </c>
      <c r="I89">
        <v>90</v>
      </c>
      <c r="J89" t="s">
        <v>128</v>
      </c>
      <c r="K89">
        <v>1996</v>
      </c>
      <c r="L89" s="80" t="s">
        <v>129</v>
      </c>
      <c r="M89" s="80"/>
      <c r="N89" s="80"/>
      <c r="O89" t="s">
        <v>130</v>
      </c>
      <c r="P89" s="55" t="s">
        <v>122</v>
      </c>
      <c r="Q89" t="s">
        <v>84</v>
      </c>
      <c r="R89" s="19" t="s">
        <v>38</v>
      </c>
      <c r="S89" s="19" t="s">
        <v>38</v>
      </c>
      <c r="T89" s="19" t="s">
        <v>38</v>
      </c>
      <c r="U89" s="19"/>
      <c r="V89" s="416"/>
      <c r="W89" s="392"/>
      <c r="X89" s="392"/>
      <c r="Y89" s="391"/>
      <c r="Z89" s="201"/>
      <c r="AA89" s="201"/>
      <c r="AB89" s="201"/>
      <c r="AC89" s="201"/>
      <c r="AE89" s="469"/>
      <c r="AF89" s="13"/>
      <c r="AG89" s="13"/>
      <c r="AH89" s="13"/>
      <c r="AI89" s="13"/>
      <c r="AJ89" s="13"/>
      <c r="AK89" s="13"/>
      <c r="AL89" s="13"/>
      <c r="AM89" s="13"/>
      <c r="AN89" s="28"/>
    </row>
    <row r="90" spans="1:40" ht="13" hidden="1" customHeight="1">
      <c r="A90">
        <v>73</v>
      </c>
      <c r="B90" s="169" t="s">
        <v>81</v>
      </c>
      <c r="C90" t="s">
        <v>61</v>
      </c>
      <c r="D90" t="s">
        <v>62</v>
      </c>
      <c r="E90">
        <v>1000</v>
      </c>
      <c r="F90" t="s">
        <v>75</v>
      </c>
      <c r="G90" s="119" t="s">
        <v>57</v>
      </c>
      <c r="H90" t="s">
        <v>76</v>
      </c>
      <c r="I90">
        <v>100</v>
      </c>
      <c r="J90" t="s">
        <v>128</v>
      </c>
      <c r="K90">
        <v>1996</v>
      </c>
      <c r="L90" s="80" t="s">
        <v>129</v>
      </c>
      <c r="M90" s="80"/>
      <c r="N90" s="80"/>
      <c r="O90" t="s">
        <v>130</v>
      </c>
      <c r="P90" s="55" t="s">
        <v>122</v>
      </c>
      <c r="Q90" t="s">
        <v>84</v>
      </c>
      <c r="R90" s="19" t="s">
        <v>38</v>
      </c>
      <c r="S90" s="19" t="s">
        <v>38</v>
      </c>
      <c r="T90" s="19" t="s">
        <v>38</v>
      </c>
      <c r="U90" s="19"/>
      <c r="V90" s="416"/>
      <c r="W90" s="392"/>
      <c r="X90" s="392"/>
      <c r="Y90" s="391"/>
      <c r="Z90" s="201"/>
      <c r="AA90" s="201"/>
      <c r="AB90" s="201"/>
      <c r="AC90" s="201"/>
      <c r="AE90" s="469"/>
      <c r="AF90" s="13"/>
      <c r="AG90" s="13"/>
      <c r="AH90" s="13"/>
      <c r="AI90" s="13"/>
      <c r="AJ90" s="13"/>
      <c r="AK90" s="13"/>
      <c r="AL90" s="13"/>
      <c r="AM90" s="13"/>
      <c r="AN90" s="28"/>
    </row>
    <row r="91" spans="1:40" ht="13" hidden="1" customHeight="1">
      <c r="A91">
        <v>74</v>
      </c>
      <c r="B91" s="169" t="s">
        <v>81</v>
      </c>
      <c r="C91" t="s">
        <v>61</v>
      </c>
      <c r="D91" t="s">
        <v>62</v>
      </c>
      <c r="E91">
        <v>1000</v>
      </c>
      <c r="F91" t="s">
        <v>75</v>
      </c>
      <c r="G91" s="119" t="s">
        <v>57</v>
      </c>
      <c r="H91" t="s">
        <v>76</v>
      </c>
      <c r="I91">
        <v>110</v>
      </c>
      <c r="J91" t="s">
        <v>128</v>
      </c>
      <c r="K91">
        <v>1996</v>
      </c>
      <c r="L91" s="80" t="s">
        <v>129</v>
      </c>
      <c r="M91" s="80"/>
      <c r="N91" s="80"/>
      <c r="O91" t="s">
        <v>130</v>
      </c>
      <c r="P91" s="55" t="s">
        <v>122</v>
      </c>
      <c r="Q91" t="s">
        <v>84</v>
      </c>
      <c r="R91" s="19" t="s">
        <v>38</v>
      </c>
      <c r="S91" s="19" t="s">
        <v>38</v>
      </c>
      <c r="T91" s="19" t="s">
        <v>38</v>
      </c>
      <c r="U91" s="19"/>
      <c r="V91" s="416"/>
      <c r="W91" s="392"/>
      <c r="X91" s="392"/>
      <c r="Y91" s="391"/>
      <c r="Z91" s="201"/>
      <c r="AA91" s="201"/>
      <c r="AB91" s="201"/>
      <c r="AC91" s="201"/>
      <c r="AE91" s="469"/>
      <c r="AF91" s="13"/>
      <c r="AG91" s="13"/>
      <c r="AH91" s="13"/>
      <c r="AI91" s="13"/>
      <c r="AJ91" s="13"/>
      <c r="AK91" s="13"/>
      <c r="AL91" s="13"/>
      <c r="AM91" s="13"/>
      <c r="AN91" s="28"/>
    </row>
    <row r="92" spans="1:40" ht="13" hidden="1" customHeight="1">
      <c r="A92">
        <v>75</v>
      </c>
      <c r="B92" s="169" t="s">
        <v>81</v>
      </c>
      <c r="C92" t="s">
        <v>61</v>
      </c>
      <c r="D92" t="s">
        <v>62</v>
      </c>
      <c r="E92">
        <v>1000</v>
      </c>
      <c r="F92" t="s">
        <v>75</v>
      </c>
      <c r="G92" s="119" t="s">
        <v>57</v>
      </c>
      <c r="H92" t="s">
        <v>76</v>
      </c>
      <c r="I92">
        <v>120</v>
      </c>
      <c r="J92" t="s">
        <v>128</v>
      </c>
      <c r="K92">
        <v>1996</v>
      </c>
      <c r="L92" s="80" t="s">
        <v>129</v>
      </c>
      <c r="M92" s="80"/>
      <c r="N92" s="80"/>
      <c r="O92" t="s">
        <v>130</v>
      </c>
      <c r="P92" s="55" t="s">
        <v>122</v>
      </c>
      <c r="Q92" t="s">
        <v>84</v>
      </c>
      <c r="R92" s="19" t="s">
        <v>38</v>
      </c>
      <c r="S92" s="19" t="s">
        <v>38</v>
      </c>
      <c r="T92" s="19" t="s">
        <v>38</v>
      </c>
      <c r="U92" s="19"/>
      <c r="V92" s="416"/>
      <c r="W92" s="392"/>
      <c r="X92" s="392"/>
      <c r="Y92" s="391"/>
      <c r="Z92" s="201"/>
      <c r="AA92" s="201"/>
      <c r="AB92" s="201"/>
      <c r="AC92" s="201"/>
      <c r="AE92" s="469"/>
      <c r="AF92" s="13"/>
      <c r="AG92" s="13"/>
      <c r="AH92" s="13"/>
      <c r="AI92" s="13"/>
      <c r="AJ92" s="13"/>
      <c r="AK92" s="13"/>
      <c r="AL92" s="13"/>
      <c r="AM92" s="13"/>
      <c r="AN92" s="28"/>
    </row>
    <row r="93" spans="1:40" ht="13" hidden="1" customHeight="1">
      <c r="A93">
        <v>76</v>
      </c>
      <c r="B93" s="169" t="s">
        <v>81</v>
      </c>
      <c r="C93" t="s">
        <v>61</v>
      </c>
      <c r="D93" t="s">
        <v>62</v>
      </c>
      <c r="E93">
        <v>1000</v>
      </c>
      <c r="F93" t="s">
        <v>75</v>
      </c>
      <c r="G93" s="119" t="s">
        <v>57</v>
      </c>
      <c r="H93" t="s">
        <v>76</v>
      </c>
      <c r="I93">
        <v>130</v>
      </c>
      <c r="J93" t="s">
        <v>128</v>
      </c>
      <c r="K93">
        <v>1996</v>
      </c>
      <c r="L93" s="80" t="s">
        <v>129</v>
      </c>
      <c r="M93" s="80"/>
      <c r="N93" s="80"/>
      <c r="O93" t="s">
        <v>130</v>
      </c>
      <c r="P93" s="55" t="s">
        <v>122</v>
      </c>
      <c r="Q93" t="s">
        <v>84</v>
      </c>
      <c r="R93" s="19" t="s">
        <v>38</v>
      </c>
      <c r="S93" s="19" t="s">
        <v>38</v>
      </c>
      <c r="T93" s="19" t="s">
        <v>38</v>
      </c>
      <c r="U93" s="19"/>
      <c r="V93" s="416"/>
      <c r="W93" s="392"/>
      <c r="X93" s="392"/>
      <c r="Y93" s="391"/>
      <c r="Z93" s="201"/>
      <c r="AA93" s="201"/>
      <c r="AB93" s="201"/>
      <c r="AC93" s="201"/>
      <c r="AE93" s="469"/>
      <c r="AF93" s="13"/>
      <c r="AG93" s="13"/>
      <c r="AH93" s="13"/>
      <c r="AI93" s="13"/>
      <c r="AJ93" s="13"/>
      <c r="AK93" s="13"/>
      <c r="AL93" s="13"/>
      <c r="AM93" s="13"/>
      <c r="AN93" s="28"/>
    </row>
    <row r="94" spans="1:40" ht="13" hidden="1" customHeight="1">
      <c r="A94">
        <v>80</v>
      </c>
      <c r="B94" t="s">
        <v>144</v>
      </c>
      <c r="C94" t="s">
        <v>61</v>
      </c>
      <c r="D94" t="s">
        <v>62</v>
      </c>
      <c r="E94">
        <v>1200</v>
      </c>
      <c r="F94" s="143" t="s">
        <v>115</v>
      </c>
      <c r="G94" s="117" t="s">
        <v>52</v>
      </c>
      <c r="H94" t="s">
        <v>76</v>
      </c>
      <c r="I94">
        <v>7.5</v>
      </c>
      <c r="J94" t="s">
        <v>77</v>
      </c>
      <c r="K94">
        <v>1990</v>
      </c>
      <c r="L94" s="80" t="s">
        <v>140</v>
      </c>
      <c r="M94" s="80"/>
      <c r="N94" s="80"/>
      <c r="O94" t="s">
        <v>145</v>
      </c>
      <c r="P94" s="19" t="s">
        <v>122</v>
      </c>
      <c r="Q94" s="55" t="s">
        <v>38</v>
      </c>
      <c r="R94" s="19" t="s">
        <v>38</v>
      </c>
      <c r="S94" s="19" t="s">
        <v>38</v>
      </c>
      <c r="T94" s="19" t="s">
        <v>38</v>
      </c>
      <c r="U94" s="19"/>
      <c r="V94" s="416"/>
      <c r="W94" s="399"/>
      <c r="X94" s="392"/>
      <c r="Y94" s="391"/>
      <c r="Z94" s="201"/>
      <c r="AA94" s="201"/>
      <c r="AB94" s="201"/>
      <c r="AC94" s="201"/>
      <c r="AE94" s="469"/>
      <c r="AF94" s="13"/>
      <c r="AG94" s="13"/>
      <c r="AH94" s="13"/>
      <c r="AI94" s="13"/>
      <c r="AJ94" s="13"/>
      <c r="AK94" s="13"/>
      <c r="AL94" s="13"/>
      <c r="AM94" s="13"/>
      <c r="AN94" s="28"/>
    </row>
    <row r="95" spans="1:40" ht="13" hidden="1" customHeight="1">
      <c r="A95">
        <v>81</v>
      </c>
      <c r="B95" t="s">
        <v>114</v>
      </c>
      <c r="C95" t="s">
        <v>61</v>
      </c>
      <c r="D95" t="s">
        <v>62</v>
      </c>
      <c r="E95">
        <v>1200</v>
      </c>
      <c r="F95" s="143" t="s">
        <v>115</v>
      </c>
      <c r="G95" s="117" t="s">
        <v>52</v>
      </c>
      <c r="H95" t="s">
        <v>76</v>
      </c>
      <c r="I95">
        <v>5.9</v>
      </c>
      <c r="J95" t="s">
        <v>77</v>
      </c>
      <c r="K95">
        <v>1990</v>
      </c>
      <c r="L95" s="80" t="s">
        <v>140</v>
      </c>
      <c r="M95" s="80"/>
      <c r="N95" s="80"/>
      <c r="P95" s="19" t="s">
        <v>122</v>
      </c>
      <c r="Q95" s="55" t="s">
        <v>38</v>
      </c>
      <c r="R95" s="19" t="s">
        <v>38</v>
      </c>
      <c r="S95" s="19" t="s">
        <v>38</v>
      </c>
      <c r="T95" s="19" t="s">
        <v>38</v>
      </c>
      <c r="U95" s="19"/>
      <c r="V95" s="416" t="s">
        <v>893</v>
      </c>
      <c r="W95" s="400" t="s">
        <v>895</v>
      </c>
      <c r="X95" s="392" t="s">
        <v>895</v>
      </c>
      <c r="Y95" s="392" t="s">
        <v>894</v>
      </c>
      <c r="Z95" s="199"/>
      <c r="AA95" s="199"/>
      <c r="AB95" s="199"/>
      <c r="AC95" s="199"/>
      <c r="AE95" s="469"/>
      <c r="AF95" s="13"/>
      <c r="AG95" s="13"/>
      <c r="AH95" s="13"/>
      <c r="AI95" s="13"/>
      <c r="AJ95" s="13"/>
      <c r="AK95" s="13"/>
      <c r="AL95" s="13"/>
      <c r="AM95" s="13"/>
      <c r="AN95" s="28"/>
    </row>
    <row r="96" spans="1:40" ht="13" hidden="1" customHeight="1">
      <c r="A96">
        <v>82</v>
      </c>
      <c r="B96" t="s">
        <v>144</v>
      </c>
      <c r="C96" t="s">
        <v>61</v>
      </c>
      <c r="D96" t="s">
        <v>62</v>
      </c>
      <c r="E96">
        <v>1200</v>
      </c>
      <c r="F96" t="s">
        <v>493</v>
      </c>
      <c r="G96" s="117" t="s">
        <v>52</v>
      </c>
      <c r="H96" t="s">
        <v>76</v>
      </c>
      <c r="I96">
        <v>0.5</v>
      </c>
      <c r="J96" t="s">
        <v>77</v>
      </c>
      <c r="K96">
        <v>1990</v>
      </c>
      <c r="L96" s="80" t="s">
        <v>140</v>
      </c>
      <c r="M96" s="80"/>
      <c r="N96" s="80"/>
      <c r="O96" t="s">
        <v>704</v>
      </c>
      <c r="P96" s="19" t="s">
        <v>122</v>
      </c>
      <c r="Q96" s="55" t="s">
        <v>38</v>
      </c>
      <c r="R96" s="19" t="s">
        <v>38</v>
      </c>
      <c r="S96" s="19" t="s">
        <v>38</v>
      </c>
      <c r="T96" s="19" t="s">
        <v>38</v>
      </c>
      <c r="U96" s="19"/>
      <c r="V96" s="416"/>
      <c r="W96" s="392"/>
      <c r="X96" s="392"/>
      <c r="Y96" s="392"/>
      <c r="Z96" s="199"/>
      <c r="AA96" s="199"/>
      <c r="AB96" s="199"/>
      <c r="AC96" s="199"/>
      <c r="AE96" s="469"/>
      <c r="AF96" s="13"/>
      <c r="AG96" s="13"/>
      <c r="AH96" s="13"/>
      <c r="AI96" s="13"/>
      <c r="AJ96" s="13"/>
      <c r="AK96" s="13"/>
      <c r="AL96" s="13"/>
      <c r="AM96" s="13"/>
      <c r="AN96" s="28"/>
    </row>
    <row r="97" spans="1:40" ht="13" hidden="1" customHeight="1">
      <c r="A97">
        <v>83</v>
      </c>
      <c r="B97" t="s">
        <v>114</v>
      </c>
      <c r="C97" t="s">
        <v>61</v>
      </c>
      <c r="D97" t="s">
        <v>62</v>
      </c>
      <c r="E97">
        <v>1200</v>
      </c>
      <c r="F97" t="s">
        <v>493</v>
      </c>
      <c r="G97" s="117" t="s">
        <v>52</v>
      </c>
      <c r="H97" t="s">
        <v>76</v>
      </c>
      <c r="I97">
        <v>0.5</v>
      </c>
      <c r="J97" t="s">
        <v>77</v>
      </c>
      <c r="K97">
        <v>1990</v>
      </c>
      <c r="L97" s="80" t="s">
        <v>140</v>
      </c>
      <c r="M97" s="80"/>
      <c r="N97" s="80"/>
      <c r="O97" t="s">
        <v>704</v>
      </c>
      <c r="P97" s="19" t="s">
        <v>122</v>
      </c>
      <c r="Q97" s="55" t="s">
        <v>38</v>
      </c>
      <c r="R97" s="19" t="s">
        <v>38</v>
      </c>
      <c r="S97" s="19" t="s">
        <v>38</v>
      </c>
      <c r="T97" s="19" t="s">
        <v>38</v>
      </c>
      <c r="U97" s="19"/>
      <c r="V97" s="416"/>
      <c r="W97" s="392"/>
      <c r="X97" s="392"/>
      <c r="Y97" s="392"/>
      <c r="Z97" s="199"/>
      <c r="AA97" s="199"/>
      <c r="AB97" s="199"/>
      <c r="AC97" s="199"/>
      <c r="AE97" s="469"/>
      <c r="AF97" s="13"/>
      <c r="AG97" s="13"/>
      <c r="AH97" s="13"/>
      <c r="AI97" s="13"/>
      <c r="AJ97" s="13"/>
      <c r="AK97" s="13"/>
      <c r="AL97" s="13"/>
      <c r="AM97" s="13"/>
      <c r="AN97" s="28"/>
    </row>
    <row r="98" spans="1:40" ht="13" customHeight="1" thickBot="1">
      <c r="A98">
        <v>117</v>
      </c>
      <c r="B98" s="6" t="s">
        <v>174</v>
      </c>
      <c r="C98" t="s">
        <v>61</v>
      </c>
      <c r="D98" t="s">
        <v>62</v>
      </c>
      <c r="E98">
        <v>1200</v>
      </c>
      <c r="F98" t="s">
        <v>63</v>
      </c>
      <c r="G98" t="s">
        <v>52</v>
      </c>
      <c r="H98" t="s">
        <v>76</v>
      </c>
      <c r="I98">
        <f>(2.43*1000000)/(0.65*8760*1200)</f>
        <v>0.35563751317175973</v>
      </c>
      <c r="J98" t="s">
        <v>128</v>
      </c>
      <c r="K98">
        <v>1986</v>
      </c>
      <c r="L98" t="s">
        <v>147</v>
      </c>
      <c r="O98" s="13"/>
      <c r="P98" s="19" t="s">
        <v>122</v>
      </c>
      <c r="Q98" s="55" t="s">
        <v>38</v>
      </c>
      <c r="R98" s="19" t="s">
        <v>38</v>
      </c>
      <c r="S98" s="19" t="s">
        <v>38</v>
      </c>
      <c r="T98" s="19" t="s">
        <v>38</v>
      </c>
      <c r="V98" s="416"/>
      <c r="W98" s="392"/>
      <c r="X98" s="392"/>
      <c r="Y98" s="392"/>
      <c r="Z98" s="199"/>
      <c r="AA98" s="199"/>
      <c r="AB98" s="199"/>
      <c r="AC98" s="199"/>
      <c r="AE98" s="470"/>
      <c r="AF98" s="13"/>
      <c r="AG98" s="13"/>
      <c r="AH98" s="13"/>
      <c r="AI98" s="13"/>
      <c r="AJ98" s="13"/>
      <c r="AK98" s="13"/>
      <c r="AL98" s="13"/>
      <c r="AM98" s="13"/>
      <c r="AN98" s="28"/>
    </row>
    <row r="99" spans="1:40" ht="38.65" hidden="1" customHeight="1">
      <c r="A99">
        <v>86</v>
      </c>
      <c r="B99" t="s">
        <v>144</v>
      </c>
      <c r="C99" t="s">
        <v>61</v>
      </c>
      <c r="D99" t="s">
        <v>62</v>
      </c>
      <c r="E99">
        <v>1200</v>
      </c>
      <c r="F99" t="s">
        <v>108</v>
      </c>
      <c r="G99" s="117" t="s">
        <v>52</v>
      </c>
      <c r="H99" t="s">
        <v>76</v>
      </c>
      <c r="I99">
        <v>60</v>
      </c>
      <c r="J99" t="s">
        <v>77</v>
      </c>
      <c r="K99">
        <v>1990</v>
      </c>
      <c r="L99" s="80" t="s">
        <v>140</v>
      </c>
      <c r="M99" s="80"/>
      <c r="N99" s="80"/>
      <c r="P99" s="2" t="s">
        <v>708</v>
      </c>
      <c r="Q99" t="s">
        <v>84</v>
      </c>
      <c r="R99" s="19" t="s">
        <v>38</v>
      </c>
      <c r="S99" s="19" t="s">
        <v>38</v>
      </c>
      <c r="T99" s="19" t="s">
        <v>38</v>
      </c>
      <c r="V99" s="416"/>
      <c r="W99" s="392"/>
      <c r="X99" s="392"/>
      <c r="Y99" s="392"/>
      <c r="Z99" s="199"/>
      <c r="AA99" s="199"/>
      <c r="AB99" s="199"/>
      <c r="AC99" s="199"/>
      <c r="AE99" s="63" t="s">
        <v>131</v>
      </c>
      <c r="AF99" s="471"/>
      <c r="AG99" s="444" t="s">
        <v>132</v>
      </c>
      <c r="AH99" s="36"/>
      <c r="AI99" s="463" t="s">
        <v>133</v>
      </c>
      <c r="AJ99" s="463" t="s">
        <v>134</v>
      </c>
      <c r="AK99" s="467" t="s">
        <v>135</v>
      </c>
      <c r="AL99" s="444" t="s">
        <v>136</v>
      </c>
      <c r="AM99" s="463" t="s">
        <v>137</v>
      </c>
      <c r="AN99" s="451" t="s">
        <v>138</v>
      </c>
    </row>
    <row r="100" spans="1:40" ht="38.65" hidden="1" customHeight="1">
      <c r="A100">
        <v>87</v>
      </c>
      <c r="B100" t="s">
        <v>114</v>
      </c>
      <c r="C100" t="s">
        <v>61</v>
      </c>
      <c r="D100" t="s">
        <v>62</v>
      </c>
      <c r="E100">
        <v>1200</v>
      </c>
      <c r="F100" t="s">
        <v>108</v>
      </c>
      <c r="G100" s="117" t="s">
        <v>52</v>
      </c>
      <c r="H100" t="s">
        <v>76</v>
      </c>
      <c r="I100">
        <v>60</v>
      </c>
      <c r="J100" t="s">
        <v>77</v>
      </c>
      <c r="K100">
        <v>1990</v>
      </c>
      <c r="L100" s="80" t="s">
        <v>140</v>
      </c>
      <c r="M100" s="80"/>
      <c r="N100" s="80"/>
      <c r="P100" s="2" t="s">
        <v>708</v>
      </c>
      <c r="Q100" t="s">
        <v>84</v>
      </c>
      <c r="R100" s="19" t="s">
        <v>38</v>
      </c>
      <c r="S100" s="19" t="s">
        <v>38</v>
      </c>
      <c r="T100" s="19" t="s">
        <v>38</v>
      </c>
      <c r="U100" s="19"/>
      <c r="V100" s="416"/>
      <c r="W100" s="392"/>
      <c r="X100" s="392"/>
      <c r="Y100" s="392"/>
      <c r="Z100" s="199"/>
      <c r="AA100" s="199"/>
      <c r="AB100" s="199"/>
      <c r="AC100" s="199"/>
      <c r="AE100" s="64"/>
      <c r="AF100" s="472"/>
      <c r="AG100" s="445"/>
      <c r="AH100" s="30"/>
      <c r="AI100" s="464"/>
      <c r="AJ100" s="464"/>
      <c r="AK100" s="464"/>
      <c r="AL100" s="445"/>
      <c r="AM100" s="464"/>
      <c r="AN100" s="452"/>
    </row>
    <row r="101" spans="1:40" ht="38.65" customHeight="1">
      <c r="A101">
        <v>121</v>
      </c>
      <c r="B101" s="6" t="s">
        <v>176</v>
      </c>
      <c r="C101" t="s">
        <v>61</v>
      </c>
      <c r="D101" t="s">
        <v>62</v>
      </c>
      <c r="E101">
        <v>1200</v>
      </c>
      <c r="F101" t="s">
        <v>63</v>
      </c>
      <c r="G101" t="s">
        <v>52</v>
      </c>
      <c r="H101" t="s">
        <v>76</v>
      </c>
      <c r="I101">
        <f>(2.43*1000000)/(0.65*8760*1200)</f>
        <v>0.35563751317175973</v>
      </c>
      <c r="J101" t="s">
        <v>128</v>
      </c>
      <c r="K101">
        <v>1986</v>
      </c>
      <c r="L101" t="s">
        <v>147</v>
      </c>
      <c r="O101" s="13"/>
      <c r="P101" s="19" t="s">
        <v>122</v>
      </c>
      <c r="Q101" s="55" t="s">
        <v>38</v>
      </c>
      <c r="R101" s="19" t="s">
        <v>38</v>
      </c>
      <c r="S101" s="19" t="s">
        <v>38</v>
      </c>
      <c r="T101" s="19" t="s">
        <v>38</v>
      </c>
      <c r="U101" s="19"/>
      <c r="V101" s="416"/>
      <c r="W101" s="392"/>
      <c r="X101" s="392"/>
      <c r="Y101" s="392"/>
      <c r="Z101" s="199"/>
      <c r="AA101" s="199"/>
      <c r="AB101" s="199"/>
      <c r="AC101" s="199"/>
      <c r="AE101" s="64"/>
      <c r="AF101" s="472"/>
      <c r="AG101" s="445"/>
      <c r="AH101" s="30"/>
      <c r="AI101" s="464"/>
      <c r="AJ101" s="464"/>
      <c r="AK101" s="464"/>
      <c r="AL101" s="445"/>
      <c r="AM101" s="464"/>
      <c r="AN101" s="452"/>
    </row>
    <row r="102" spans="1:40" ht="38.65" customHeight="1">
      <c r="A102">
        <v>125</v>
      </c>
      <c r="B102" s="6" t="s">
        <v>182</v>
      </c>
      <c r="C102" t="s">
        <v>61</v>
      </c>
      <c r="D102" t="s">
        <v>62</v>
      </c>
      <c r="E102">
        <v>1200</v>
      </c>
      <c r="F102" t="s">
        <v>63</v>
      </c>
      <c r="G102" t="s">
        <v>52</v>
      </c>
      <c r="H102" t="s">
        <v>76</v>
      </c>
      <c r="I102">
        <f>(2.43*1000000)/(0.75*8760*1200)</f>
        <v>0.30821917808219179</v>
      </c>
      <c r="J102" t="s">
        <v>128</v>
      </c>
      <c r="K102">
        <v>1986</v>
      </c>
      <c r="L102" t="s">
        <v>147</v>
      </c>
      <c r="O102" s="13"/>
      <c r="P102" s="19" t="s">
        <v>122</v>
      </c>
      <c r="Q102" s="55" t="s">
        <v>38</v>
      </c>
      <c r="R102" s="19" t="s">
        <v>38</v>
      </c>
      <c r="S102" s="19" t="s">
        <v>38</v>
      </c>
      <c r="T102" s="19" t="s">
        <v>38</v>
      </c>
      <c r="U102" s="19"/>
      <c r="V102" s="416"/>
      <c r="W102" s="392"/>
      <c r="X102" s="392"/>
      <c r="Y102" s="392"/>
      <c r="Z102" s="199"/>
      <c r="AA102" s="199"/>
      <c r="AB102" s="199"/>
      <c r="AC102" s="199"/>
      <c r="AE102" s="64"/>
      <c r="AF102" s="472"/>
      <c r="AG102" s="445"/>
      <c r="AH102" s="30"/>
      <c r="AI102" s="464"/>
      <c r="AJ102" s="464"/>
      <c r="AK102" s="464"/>
      <c r="AL102" s="445"/>
      <c r="AM102" s="464"/>
      <c r="AN102" s="452"/>
    </row>
    <row r="103" spans="1:40" ht="38.65" customHeight="1">
      <c r="A103">
        <v>127</v>
      </c>
      <c r="B103" s="6" t="s">
        <v>183</v>
      </c>
      <c r="C103" t="s">
        <v>61</v>
      </c>
      <c r="D103" t="s">
        <v>62</v>
      </c>
      <c r="E103">
        <v>1200</v>
      </c>
      <c r="F103" t="s">
        <v>63</v>
      </c>
      <c r="G103" t="s">
        <v>52</v>
      </c>
      <c r="H103" t="s">
        <v>76</v>
      </c>
      <c r="I103">
        <f>(15.81*1000000)/(0.75*8760*1200)</f>
        <v>2.0053272450532726</v>
      </c>
      <c r="J103" t="s">
        <v>128</v>
      </c>
      <c r="K103">
        <v>1986</v>
      </c>
      <c r="L103" t="s">
        <v>147</v>
      </c>
      <c r="M103" s="80"/>
      <c r="O103" s="13" t="s">
        <v>1207</v>
      </c>
      <c r="P103" s="19" t="s">
        <v>122</v>
      </c>
      <c r="Q103" s="55" t="s">
        <v>38</v>
      </c>
      <c r="R103" s="19" t="s">
        <v>38</v>
      </c>
      <c r="S103" s="19" t="s">
        <v>38</v>
      </c>
      <c r="T103" s="19" t="s">
        <v>38</v>
      </c>
      <c r="U103" s="19"/>
      <c r="V103" s="416"/>
      <c r="W103" s="392"/>
      <c r="X103" s="392"/>
      <c r="Y103" s="392"/>
      <c r="Z103" s="199"/>
      <c r="AA103" s="199"/>
      <c r="AB103" s="199"/>
      <c r="AC103" s="199"/>
      <c r="AE103" s="64"/>
      <c r="AF103" s="472"/>
      <c r="AG103" s="445"/>
      <c r="AH103" s="30"/>
      <c r="AI103" s="464"/>
      <c r="AJ103" s="464"/>
      <c r="AK103" s="464"/>
      <c r="AL103" s="445"/>
      <c r="AM103" s="464"/>
      <c r="AN103" s="452"/>
    </row>
    <row r="104" spans="1:40" ht="38.65" hidden="1" customHeight="1">
      <c r="A104">
        <v>254</v>
      </c>
      <c r="B104" t="s">
        <v>281</v>
      </c>
      <c r="C104" t="s">
        <v>61</v>
      </c>
      <c r="D104" s="141" t="s">
        <v>278</v>
      </c>
      <c r="E104">
        <v>1940</v>
      </c>
      <c r="F104" t="s">
        <v>63</v>
      </c>
      <c r="G104" t="s">
        <v>57</v>
      </c>
      <c r="H104" t="s">
        <v>33</v>
      </c>
      <c r="I104">
        <f>0.245*1000000</f>
        <v>245000</v>
      </c>
      <c r="J104" t="s">
        <v>34</v>
      </c>
      <c r="K104">
        <v>2003</v>
      </c>
      <c r="L104" s="5" t="s">
        <v>279</v>
      </c>
      <c r="M104" s="185"/>
      <c r="N104" s="5"/>
      <c r="P104" s="19" t="s">
        <v>122</v>
      </c>
      <c r="Q104" s="55" t="s">
        <v>38</v>
      </c>
      <c r="R104" s="19" t="s">
        <v>38</v>
      </c>
      <c r="S104" s="19" t="s">
        <v>38</v>
      </c>
      <c r="T104" s="55" t="s">
        <v>38</v>
      </c>
      <c r="U104" s="19"/>
      <c r="V104" s="416"/>
      <c r="W104" s="392"/>
      <c r="X104" s="392"/>
      <c r="Y104" s="392"/>
      <c r="Z104" s="199"/>
      <c r="AA104" s="199"/>
      <c r="AB104" s="199"/>
      <c r="AC104" s="199"/>
      <c r="AE104" s="64"/>
      <c r="AF104" s="472"/>
      <c r="AG104" s="445"/>
      <c r="AH104" s="30"/>
      <c r="AI104" s="464"/>
      <c r="AJ104" s="464"/>
      <c r="AK104" s="464"/>
      <c r="AL104" s="445"/>
      <c r="AM104" s="464"/>
      <c r="AN104" s="452"/>
    </row>
    <row r="105" spans="1:40" ht="38.65" customHeight="1" thickBot="1">
      <c r="A105">
        <v>160</v>
      </c>
      <c r="B105" t="s">
        <v>207</v>
      </c>
      <c r="C105" t="s">
        <v>61</v>
      </c>
      <c r="D105" t="s">
        <v>62</v>
      </c>
      <c r="E105">
        <v>1000</v>
      </c>
      <c r="F105" t="s">
        <v>63</v>
      </c>
      <c r="G105" t="s">
        <v>52</v>
      </c>
      <c r="H105" t="s">
        <v>76</v>
      </c>
      <c r="I105">
        <v>0.03</v>
      </c>
      <c r="J105" t="s">
        <v>77</v>
      </c>
      <c r="K105">
        <v>1992</v>
      </c>
      <c r="L105" t="s">
        <v>1206</v>
      </c>
      <c r="P105" s="19" t="s">
        <v>122</v>
      </c>
      <c r="Q105" s="55" t="s">
        <v>38</v>
      </c>
      <c r="R105" s="19" t="s">
        <v>38</v>
      </c>
      <c r="S105" s="19" t="s">
        <v>38</v>
      </c>
      <c r="T105" s="19" t="s">
        <v>122</v>
      </c>
      <c r="U105" s="19"/>
      <c r="V105" s="416"/>
      <c r="W105" s="392"/>
      <c r="X105" s="392"/>
      <c r="Y105" s="392"/>
      <c r="Z105" s="199"/>
      <c r="AA105" s="199"/>
      <c r="AB105" s="199"/>
      <c r="AC105" s="199"/>
      <c r="AE105" s="65"/>
      <c r="AF105" s="473"/>
      <c r="AG105" s="446"/>
      <c r="AH105" s="32"/>
      <c r="AI105" s="466"/>
      <c r="AJ105" s="466"/>
      <c r="AK105" s="466"/>
      <c r="AL105" s="446"/>
      <c r="AM105" s="466"/>
      <c r="AN105" s="454"/>
    </row>
    <row r="106" spans="1:40" ht="13" hidden="1" customHeight="1">
      <c r="A106">
        <v>133</v>
      </c>
      <c r="B106" s="6" t="s">
        <v>170</v>
      </c>
      <c r="C106" t="s">
        <v>61</v>
      </c>
      <c r="D106" t="s">
        <v>113</v>
      </c>
      <c r="E106">
        <v>1200</v>
      </c>
      <c r="F106" t="s">
        <v>75</v>
      </c>
      <c r="G106" s="117" t="s">
        <v>52</v>
      </c>
      <c r="H106" t="s">
        <v>76</v>
      </c>
      <c r="I106">
        <v>37.69</v>
      </c>
      <c r="J106" t="s">
        <v>77</v>
      </c>
      <c r="K106">
        <v>1986</v>
      </c>
      <c r="L106" s="80" t="s">
        <v>147</v>
      </c>
      <c r="M106" s="80"/>
      <c r="N106" s="80"/>
      <c r="O106" s="13" t="s">
        <v>186</v>
      </c>
      <c r="P106" s="24" t="s">
        <v>709</v>
      </c>
      <c r="Q106" t="s">
        <v>84</v>
      </c>
      <c r="R106" s="19" t="s">
        <v>38</v>
      </c>
      <c r="S106" s="19" t="s">
        <v>38</v>
      </c>
      <c r="T106" s="19" t="s">
        <v>38</v>
      </c>
      <c r="U106" s="19"/>
      <c r="V106" s="410" t="s">
        <v>998</v>
      </c>
      <c r="W106" s="408" t="s">
        <v>997</v>
      </c>
      <c r="X106" s="408" t="s">
        <v>999</v>
      </c>
      <c r="Y106" s="408" t="s">
        <v>1000</v>
      </c>
      <c r="AE106" s="468" t="s">
        <v>142</v>
      </c>
      <c r="AF106" s="13"/>
      <c r="AG106" s="13"/>
      <c r="AH106" s="13"/>
      <c r="AI106" s="13"/>
      <c r="AJ106" s="13"/>
      <c r="AK106" s="13"/>
      <c r="AL106" s="13"/>
      <c r="AM106" s="13"/>
      <c r="AN106" s="28"/>
    </row>
    <row r="107" spans="1:40" ht="13" hidden="1" customHeight="1">
      <c r="A107">
        <v>136</v>
      </c>
      <c r="B107" s="6" t="s">
        <v>172</v>
      </c>
      <c r="C107" t="s">
        <v>61</v>
      </c>
      <c r="D107" t="s">
        <v>113</v>
      </c>
      <c r="E107">
        <v>1200</v>
      </c>
      <c r="F107" t="s">
        <v>75</v>
      </c>
      <c r="G107" s="117" t="s">
        <v>52</v>
      </c>
      <c r="H107" t="s">
        <v>76</v>
      </c>
      <c r="I107">
        <v>37.299999999999997</v>
      </c>
      <c r="J107" t="s">
        <v>77</v>
      </c>
      <c r="K107">
        <v>1986</v>
      </c>
      <c r="L107" s="80" t="s">
        <v>147</v>
      </c>
      <c r="M107" s="80"/>
      <c r="N107" s="80"/>
      <c r="O107" s="13" t="s">
        <v>186</v>
      </c>
      <c r="P107" s="24" t="s">
        <v>709</v>
      </c>
      <c r="Q107" t="s">
        <v>84</v>
      </c>
      <c r="R107" s="19" t="s">
        <v>38</v>
      </c>
      <c r="S107" s="19" t="s">
        <v>38</v>
      </c>
      <c r="T107" s="19" t="s">
        <v>38</v>
      </c>
      <c r="U107" s="19"/>
      <c r="V107" s="410"/>
      <c r="W107" s="409"/>
      <c r="X107" s="409"/>
      <c r="Y107" s="409"/>
      <c r="AE107" s="469"/>
      <c r="AF107" s="13"/>
      <c r="AG107" s="13"/>
      <c r="AH107" s="13"/>
      <c r="AI107" s="13"/>
      <c r="AJ107" s="13"/>
      <c r="AK107" s="13"/>
      <c r="AL107" s="13"/>
      <c r="AM107" s="13"/>
      <c r="AN107" s="28"/>
    </row>
    <row r="108" spans="1:40" ht="13" hidden="1" customHeight="1">
      <c r="A108">
        <v>88</v>
      </c>
      <c r="B108" t="s">
        <v>146</v>
      </c>
      <c r="C108" t="s">
        <v>61</v>
      </c>
      <c r="D108" t="s">
        <v>62</v>
      </c>
      <c r="E108">
        <v>1200</v>
      </c>
      <c r="F108" t="s">
        <v>690</v>
      </c>
      <c r="G108" s="117" t="s">
        <v>52</v>
      </c>
      <c r="H108" t="s">
        <v>33</v>
      </c>
      <c r="I108">
        <f>(6.83*1000000)</f>
        <v>6830000</v>
      </c>
      <c r="J108" t="s">
        <v>34</v>
      </c>
      <c r="K108">
        <v>1986</v>
      </c>
      <c r="L108" s="80" t="s">
        <v>147</v>
      </c>
      <c r="M108" s="80"/>
      <c r="N108" s="80"/>
      <c r="O108" s="13" t="s">
        <v>689</v>
      </c>
      <c r="P108" s="19" t="s">
        <v>122</v>
      </c>
      <c r="Q108" s="55" t="s">
        <v>38</v>
      </c>
      <c r="R108" s="19" t="s">
        <v>38</v>
      </c>
      <c r="S108" s="19" t="s">
        <v>38</v>
      </c>
      <c r="T108" s="19" t="s">
        <v>38</v>
      </c>
      <c r="U108" s="19"/>
      <c r="V108" s="410"/>
      <c r="W108" s="409"/>
      <c r="X108" s="409"/>
      <c r="Y108" s="409"/>
      <c r="AE108" s="469"/>
      <c r="AF108" s="13"/>
      <c r="AG108" s="13"/>
      <c r="AH108" s="13"/>
      <c r="AI108" s="13"/>
      <c r="AJ108" s="13"/>
      <c r="AK108" s="13"/>
      <c r="AL108" s="13"/>
      <c r="AM108" s="13"/>
      <c r="AN108" s="28"/>
    </row>
    <row r="109" spans="1:40" ht="13" customHeight="1">
      <c r="A109">
        <v>181</v>
      </c>
      <c r="B109" t="s">
        <v>222</v>
      </c>
      <c r="C109" t="s">
        <v>61</v>
      </c>
      <c r="D109" t="s">
        <v>62</v>
      </c>
      <c r="E109">
        <v>953</v>
      </c>
      <c r="F109" t="s">
        <v>63</v>
      </c>
      <c r="G109" t="s">
        <v>32</v>
      </c>
      <c r="H109" t="s">
        <v>76</v>
      </c>
      <c r="I109">
        <v>0.44</v>
      </c>
      <c r="J109" t="s">
        <v>77</v>
      </c>
      <c r="K109">
        <v>2015</v>
      </c>
      <c r="L109" t="s">
        <v>223</v>
      </c>
      <c r="P109" s="55" t="s">
        <v>38</v>
      </c>
      <c r="Q109" s="55" t="s">
        <v>38</v>
      </c>
      <c r="R109" s="19" t="s">
        <v>38</v>
      </c>
      <c r="S109" s="19" t="s">
        <v>38</v>
      </c>
      <c r="T109" s="19" t="s">
        <v>122</v>
      </c>
      <c r="U109" s="19"/>
      <c r="V109" s="410"/>
      <c r="W109" s="409"/>
      <c r="X109" s="409"/>
      <c r="Y109" s="409"/>
      <c r="AE109" s="469"/>
      <c r="AF109" s="13"/>
      <c r="AG109" s="13"/>
      <c r="AH109" s="13"/>
      <c r="AI109" s="13"/>
      <c r="AJ109" s="13"/>
      <c r="AK109" s="13"/>
      <c r="AL109" s="13"/>
      <c r="AM109" s="13"/>
      <c r="AN109" s="28"/>
    </row>
    <row r="110" spans="1:40" ht="13" customHeight="1">
      <c r="A110">
        <v>406</v>
      </c>
      <c r="B110" t="s">
        <v>404</v>
      </c>
      <c r="C110" t="s">
        <v>61</v>
      </c>
      <c r="D110" t="s">
        <v>251</v>
      </c>
      <c r="E110">
        <v>914</v>
      </c>
      <c r="F110" t="s">
        <v>63</v>
      </c>
      <c r="G110" t="s">
        <v>32</v>
      </c>
      <c r="H110" t="s">
        <v>76</v>
      </c>
      <c r="I110">
        <f>(1.42*1000000)/(0.85*8760*914)</f>
        <v>0.2086503496215788</v>
      </c>
      <c r="J110" t="s">
        <v>128</v>
      </c>
      <c r="K110">
        <v>2023</v>
      </c>
      <c r="L110" t="s">
        <v>399</v>
      </c>
      <c r="P110" s="19" t="s">
        <v>122</v>
      </c>
      <c r="Q110" s="55" t="s">
        <v>38</v>
      </c>
      <c r="R110" s="19" t="s">
        <v>38</v>
      </c>
      <c r="S110" s="19" t="s">
        <v>38</v>
      </c>
      <c r="T110" s="55" t="s">
        <v>38</v>
      </c>
      <c r="U110" s="19"/>
      <c r="V110" s="410"/>
      <c r="W110" s="409"/>
      <c r="X110" s="409"/>
      <c r="Y110" s="409"/>
      <c r="AE110" s="469"/>
      <c r="AF110" s="13"/>
      <c r="AG110" s="13"/>
      <c r="AH110" s="13"/>
      <c r="AI110" s="13"/>
      <c r="AJ110" s="13"/>
      <c r="AK110" s="13"/>
      <c r="AL110" s="13"/>
      <c r="AM110" s="13"/>
      <c r="AN110" s="28"/>
    </row>
    <row r="111" spans="1:40" ht="13" customHeight="1">
      <c r="A111">
        <v>407</v>
      </c>
      <c r="B111" t="s">
        <v>405</v>
      </c>
      <c r="C111" t="s">
        <v>61</v>
      </c>
      <c r="D111" t="s">
        <v>251</v>
      </c>
      <c r="E111">
        <v>774</v>
      </c>
      <c r="F111" t="s">
        <v>63</v>
      </c>
      <c r="G111" t="s">
        <v>32</v>
      </c>
      <c r="H111" t="s">
        <v>76</v>
      </c>
      <c r="I111">
        <f>(1.42*1000000)/(0.85*8760*774)</f>
        <v>0.24639072293814343</v>
      </c>
      <c r="J111" t="s">
        <v>128</v>
      </c>
      <c r="K111">
        <v>2023</v>
      </c>
      <c r="L111" t="s">
        <v>399</v>
      </c>
      <c r="P111" s="19" t="s">
        <v>122</v>
      </c>
      <c r="Q111" s="55" t="s">
        <v>38</v>
      </c>
      <c r="R111" s="19" t="s">
        <v>38</v>
      </c>
      <c r="S111" s="19" t="s">
        <v>38</v>
      </c>
      <c r="T111" s="55" t="s">
        <v>38</v>
      </c>
      <c r="U111" s="19"/>
      <c r="V111" s="410"/>
      <c r="W111" s="409"/>
      <c r="X111" s="409"/>
      <c r="Y111" s="409"/>
      <c r="AE111" s="469"/>
      <c r="AF111" s="13"/>
      <c r="AG111" s="13"/>
      <c r="AH111" s="13"/>
      <c r="AI111" s="13"/>
      <c r="AJ111" s="13"/>
      <c r="AK111" s="13"/>
      <c r="AL111" s="13"/>
      <c r="AM111" s="13"/>
      <c r="AN111" s="28"/>
    </row>
    <row r="112" spans="1:40" ht="12.9" hidden="1" customHeight="1">
      <c r="A112">
        <v>92</v>
      </c>
      <c r="B112" t="s">
        <v>146</v>
      </c>
      <c r="C112" t="s">
        <v>61</v>
      </c>
      <c r="D112" t="s">
        <v>62</v>
      </c>
      <c r="E112">
        <v>1200</v>
      </c>
      <c r="F112" t="s">
        <v>115</v>
      </c>
      <c r="G112" s="117" t="s">
        <v>52</v>
      </c>
      <c r="H112" t="s">
        <v>33</v>
      </c>
      <c r="I112">
        <f>62930000-((2.43+5.3+6.83)*1000000)</f>
        <v>48370000</v>
      </c>
      <c r="J112" t="s">
        <v>34</v>
      </c>
      <c r="K112">
        <v>1986</v>
      </c>
      <c r="L112" s="80" t="s">
        <v>147</v>
      </c>
      <c r="M112" s="80"/>
      <c r="N112" s="80"/>
      <c r="O112" s="13" t="s">
        <v>691</v>
      </c>
      <c r="P112" s="19" t="s">
        <v>122</v>
      </c>
      <c r="Q112" s="55" t="s">
        <v>38</v>
      </c>
      <c r="R112" s="19" t="s">
        <v>38</v>
      </c>
      <c r="S112" s="19" t="s">
        <v>38</v>
      </c>
      <c r="T112" s="19" t="s">
        <v>38</v>
      </c>
      <c r="U112" s="19"/>
      <c r="V112" s="410"/>
      <c r="W112" s="409"/>
      <c r="X112" s="409"/>
      <c r="Y112" s="409"/>
      <c r="AE112" s="469"/>
      <c r="AF112" s="13"/>
      <c r="AG112" s="13"/>
      <c r="AH112" s="13"/>
      <c r="AI112" s="13"/>
      <c r="AJ112" s="13"/>
      <c r="AK112" s="13"/>
      <c r="AL112" s="13"/>
      <c r="AM112" s="13"/>
      <c r="AN112" s="28"/>
    </row>
    <row r="113" spans="1:51" ht="17.100000000000001" customHeight="1">
      <c r="A113">
        <v>408</v>
      </c>
      <c r="B113" t="s">
        <v>406</v>
      </c>
      <c r="C113" t="s">
        <v>61</v>
      </c>
      <c r="D113" t="s">
        <v>251</v>
      </c>
      <c r="E113">
        <v>1945</v>
      </c>
      <c r="F113" t="s">
        <v>63</v>
      </c>
      <c r="G113" t="s">
        <v>32</v>
      </c>
      <c r="H113" t="s">
        <v>76</v>
      </c>
      <c r="I113">
        <f>(1.42*1000000)/(0.85*8760*1945)</f>
        <v>9.8049573035538823E-2</v>
      </c>
      <c r="J113" t="s">
        <v>128</v>
      </c>
      <c r="K113">
        <v>2023</v>
      </c>
      <c r="L113" t="s">
        <v>399</v>
      </c>
      <c r="P113" s="19" t="s">
        <v>122</v>
      </c>
      <c r="Q113" s="55" t="s">
        <v>38</v>
      </c>
      <c r="R113" s="19" t="s">
        <v>38</v>
      </c>
      <c r="S113" s="19" t="s">
        <v>38</v>
      </c>
      <c r="T113" s="55" t="s">
        <v>38</v>
      </c>
      <c r="U113" s="19"/>
      <c r="V113" s="410"/>
      <c r="W113" s="409"/>
      <c r="X113" s="409"/>
      <c r="Y113" s="409"/>
      <c r="AE113" s="469"/>
      <c r="AF113" s="13"/>
      <c r="AG113" s="13"/>
      <c r="AH113" s="13"/>
      <c r="AI113" s="13"/>
      <c r="AJ113" s="13"/>
      <c r="AK113" s="13"/>
      <c r="AL113" s="13"/>
      <c r="AM113" s="13"/>
      <c r="AN113" s="28"/>
    </row>
    <row r="114" spans="1:51" ht="13" customHeight="1">
      <c r="A114">
        <v>409</v>
      </c>
      <c r="B114" t="s">
        <v>407</v>
      </c>
      <c r="C114" t="s">
        <v>61</v>
      </c>
      <c r="D114" t="s">
        <v>251</v>
      </c>
      <c r="E114">
        <v>1165</v>
      </c>
      <c r="F114" t="s">
        <v>63</v>
      </c>
      <c r="G114" t="s">
        <v>32</v>
      </c>
      <c r="H114" t="s">
        <v>76</v>
      </c>
      <c r="I114">
        <f>(1.42*1000000)/(0.85*8760*1165)</f>
        <v>0.16369649747135023</v>
      </c>
      <c r="J114" t="s">
        <v>128</v>
      </c>
      <c r="K114">
        <v>2023</v>
      </c>
      <c r="L114" t="s">
        <v>399</v>
      </c>
      <c r="P114" s="19" t="s">
        <v>122</v>
      </c>
      <c r="Q114" s="55" t="s">
        <v>38</v>
      </c>
      <c r="R114" s="19" t="s">
        <v>38</v>
      </c>
      <c r="S114" s="19" t="s">
        <v>38</v>
      </c>
      <c r="T114" s="55" t="s">
        <v>38</v>
      </c>
      <c r="U114" s="19"/>
      <c r="V114" s="410"/>
      <c r="W114" s="409"/>
      <c r="X114" s="409"/>
      <c r="Y114" s="409"/>
      <c r="AE114" s="469"/>
      <c r="AF114" s="13"/>
      <c r="AG114" s="13"/>
      <c r="AH114" s="13"/>
      <c r="AI114" s="13"/>
      <c r="AJ114" s="13"/>
      <c r="AK114" s="13"/>
      <c r="AL114" s="13"/>
      <c r="AM114" s="13"/>
      <c r="AN114" s="28"/>
    </row>
    <row r="115" spans="1:51" ht="13" hidden="1" customHeight="1">
      <c r="A115">
        <v>95</v>
      </c>
      <c r="B115" s="6" t="s">
        <v>165</v>
      </c>
      <c r="C115" t="s">
        <v>61</v>
      </c>
      <c r="D115" t="s">
        <v>62</v>
      </c>
      <c r="E115">
        <v>1200</v>
      </c>
      <c r="F115" t="s">
        <v>690</v>
      </c>
      <c r="G115" s="117" t="s">
        <v>52</v>
      </c>
      <c r="H115" t="s">
        <v>33</v>
      </c>
      <c r="I115">
        <f>(6.83*1000000)</f>
        <v>6830000</v>
      </c>
      <c r="J115" t="s">
        <v>34</v>
      </c>
      <c r="K115">
        <v>1986</v>
      </c>
      <c r="L115" s="80" t="s">
        <v>147</v>
      </c>
      <c r="M115" s="80"/>
      <c r="N115" s="80"/>
      <c r="O115" s="26" t="s">
        <v>689</v>
      </c>
      <c r="P115" s="19" t="s">
        <v>122</v>
      </c>
      <c r="Q115" s="55" t="s">
        <v>38</v>
      </c>
      <c r="R115" s="19" t="s">
        <v>38</v>
      </c>
      <c r="S115" s="19" t="s">
        <v>38</v>
      </c>
      <c r="T115" s="19"/>
      <c r="U115" s="19"/>
      <c r="V115" s="410"/>
      <c r="W115" s="409"/>
      <c r="X115" s="409"/>
      <c r="Y115" s="409"/>
      <c r="AE115" s="469"/>
      <c r="AF115" s="13"/>
      <c r="AG115" s="13"/>
      <c r="AH115" s="13"/>
      <c r="AI115" s="13"/>
      <c r="AJ115" s="13"/>
      <c r="AK115" s="13"/>
      <c r="AL115" s="13"/>
      <c r="AM115" s="13"/>
      <c r="AN115" s="28"/>
    </row>
    <row r="116" spans="1:51" ht="13.5" hidden="1" customHeight="1" thickBot="1">
      <c r="A116">
        <v>96</v>
      </c>
      <c r="B116" s="6" t="s">
        <v>165</v>
      </c>
      <c r="C116" t="s">
        <v>61</v>
      </c>
      <c r="D116" t="s">
        <v>62</v>
      </c>
      <c r="E116">
        <v>1200</v>
      </c>
      <c r="F116" t="s">
        <v>115</v>
      </c>
      <c r="G116" s="117" t="s">
        <v>52</v>
      </c>
      <c r="H116" t="s">
        <v>33</v>
      </c>
      <c r="I116">
        <f>(36.49-2.43-6.76-6.83)*1000000</f>
        <v>20470000.000000007</v>
      </c>
      <c r="J116" t="s">
        <v>34</v>
      </c>
      <c r="K116">
        <v>1986</v>
      </c>
      <c r="L116" s="80" t="s">
        <v>147</v>
      </c>
      <c r="M116" s="80"/>
      <c r="N116" s="80"/>
      <c r="O116" s="13" t="s">
        <v>691</v>
      </c>
      <c r="P116" s="19" t="s">
        <v>122</v>
      </c>
      <c r="Q116" s="55" t="s">
        <v>38</v>
      </c>
      <c r="R116" s="19" t="s">
        <v>38</v>
      </c>
      <c r="S116" s="19" t="s">
        <v>38</v>
      </c>
      <c r="T116" s="19" t="s">
        <v>38</v>
      </c>
      <c r="U116" s="19"/>
      <c r="V116" s="410"/>
      <c r="W116" s="409"/>
      <c r="X116" s="409"/>
      <c r="Y116" s="409"/>
      <c r="AE116" s="470"/>
      <c r="AF116" s="13"/>
      <c r="AG116" s="13"/>
      <c r="AH116" s="13"/>
      <c r="AI116" s="13"/>
      <c r="AJ116" s="13"/>
      <c r="AK116" s="13"/>
      <c r="AL116" s="13"/>
      <c r="AM116" s="13"/>
      <c r="AN116" s="28"/>
    </row>
    <row r="117" spans="1:51" ht="22.5" customHeight="1" thickBot="1">
      <c r="A117">
        <v>410</v>
      </c>
      <c r="B117" t="s">
        <v>398</v>
      </c>
      <c r="C117" t="s">
        <v>61</v>
      </c>
      <c r="D117" t="s">
        <v>251</v>
      </c>
      <c r="E117">
        <v>1204</v>
      </c>
      <c r="F117" t="s">
        <v>63</v>
      </c>
      <c r="G117" t="s">
        <v>32</v>
      </c>
      <c r="H117" t="s">
        <v>76</v>
      </c>
      <c r="I117">
        <f>(1.42*1000000)/(0.85*8760*1204)</f>
        <v>0.15839403617452077</v>
      </c>
      <c r="J117" t="s">
        <v>128</v>
      </c>
      <c r="K117">
        <v>2023</v>
      </c>
      <c r="L117" t="s">
        <v>399</v>
      </c>
      <c r="P117" s="19" t="s">
        <v>122</v>
      </c>
      <c r="Q117" s="55" t="s">
        <v>38</v>
      </c>
      <c r="R117" s="19" t="s">
        <v>38</v>
      </c>
      <c r="S117" s="19" t="s">
        <v>38</v>
      </c>
      <c r="T117" s="55" t="s">
        <v>38</v>
      </c>
      <c r="U117" s="19"/>
      <c r="V117" s="410"/>
      <c r="W117" s="409"/>
      <c r="X117" s="409"/>
      <c r="Y117" s="409"/>
      <c r="AE117" s="54"/>
      <c r="AF117" s="13"/>
      <c r="AG117" s="13"/>
      <c r="AH117" s="13"/>
      <c r="AI117" s="13"/>
      <c r="AJ117" s="13"/>
      <c r="AK117" s="13"/>
      <c r="AL117" s="13"/>
      <c r="AM117" s="13"/>
      <c r="AN117" s="28"/>
    </row>
    <row r="118" spans="1:51" ht="48.3" customHeight="1">
      <c r="A118">
        <v>411</v>
      </c>
      <c r="B118" t="s">
        <v>401</v>
      </c>
      <c r="C118" t="s">
        <v>61</v>
      </c>
      <c r="D118" t="s">
        <v>251</v>
      </c>
      <c r="E118">
        <v>1313</v>
      </c>
      <c r="F118" t="s">
        <v>63</v>
      </c>
      <c r="G118" t="s">
        <v>32</v>
      </c>
      <c r="H118" t="s">
        <v>76</v>
      </c>
      <c r="I118">
        <f>(1.42*1000000)/(0.85*8760*1313)</f>
        <v>0.14524479783253846</v>
      </c>
      <c r="J118" t="s">
        <v>128</v>
      </c>
      <c r="K118">
        <v>2023</v>
      </c>
      <c r="L118" t="s">
        <v>399</v>
      </c>
      <c r="P118" s="19" t="s">
        <v>122</v>
      </c>
      <c r="Q118" s="55" t="s">
        <v>38</v>
      </c>
      <c r="R118" s="19" t="s">
        <v>38</v>
      </c>
      <c r="S118" s="19" t="s">
        <v>38</v>
      </c>
      <c r="T118" s="55" t="s">
        <v>38</v>
      </c>
      <c r="U118" s="19"/>
      <c r="V118" s="410"/>
      <c r="W118" s="409"/>
      <c r="X118" s="409"/>
      <c r="Y118" s="409"/>
      <c r="AE118" s="66" t="s">
        <v>149</v>
      </c>
      <c r="AF118" s="460" t="s">
        <v>150</v>
      </c>
      <c r="AG118" s="460" t="s">
        <v>151</v>
      </c>
      <c r="AH118" s="47"/>
      <c r="AI118" s="460" t="s">
        <v>152</v>
      </c>
      <c r="AJ118" s="463" t="s">
        <v>153</v>
      </c>
      <c r="AK118" s="444" t="s">
        <v>154</v>
      </c>
      <c r="AL118" s="444" t="s">
        <v>155</v>
      </c>
      <c r="AM118" s="444" t="s">
        <v>156</v>
      </c>
      <c r="AN118" s="451" t="s">
        <v>157</v>
      </c>
    </row>
    <row r="119" spans="1:51" ht="36.9" hidden="1" customHeight="1">
      <c r="A119">
        <v>100</v>
      </c>
      <c r="B119" s="6" t="s">
        <v>170</v>
      </c>
      <c r="C119" t="s">
        <v>61</v>
      </c>
      <c r="D119" t="s">
        <v>113</v>
      </c>
      <c r="E119">
        <v>1200</v>
      </c>
      <c r="F119" t="s">
        <v>690</v>
      </c>
      <c r="G119" s="117" t="s">
        <v>52</v>
      </c>
      <c r="H119" t="s">
        <v>33</v>
      </c>
      <c r="I119">
        <f>(6.83*1000000)</f>
        <v>6830000</v>
      </c>
      <c r="J119" t="s">
        <v>34</v>
      </c>
      <c r="K119">
        <v>1986</v>
      </c>
      <c r="L119" s="80" t="s">
        <v>147</v>
      </c>
      <c r="M119" s="80"/>
      <c r="N119" s="80"/>
      <c r="O119" s="13" t="s">
        <v>689</v>
      </c>
      <c r="P119" s="19" t="s">
        <v>122</v>
      </c>
      <c r="Q119" s="55" t="s">
        <v>38</v>
      </c>
      <c r="R119" s="19" t="s">
        <v>38</v>
      </c>
      <c r="S119" s="19" t="s">
        <v>38</v>
      </c>
      <c r="T119" s="19"/>
      <c r="U119" s="19"/>
      <c r="V119" s="410"/>
      <c r="W119" s="409"/>
      <c r="X119" s="409"/>
      <c r="Y119" s="409"/>
      <c r="AE119" s="53"/>
      <c r="AF119" s="461"/>
      <c r="AG119" s="461"/>
      <c r="AH119" s="48"/>
      <c r="AI119" s="461"/>
      <c r="AJ119" s="464"/>
      <c r="AK119" s="445"/>
      <c r="AL119" s="445"/>
      <c r="AM119" s="445"/>
      <c r="AN119" s="452"/>
    </row>
    <row r="120" spans="1:51" ht="39.6" customHeight="1">
      <c r="A120">
        <v>412</v>
      </c>
      <c r="B120" t="s">
        <v>402</v>
      </c>
      <c r="C120" t="s">
        <v>61</v>
      </c>
      <c r="D120" t="s">
        <v>251</v>
      </c>
      <c r="E120">
        <v>2272</v>
      </c>
      <c r="F120" t="s">
        <v>63</v>
      </c>
      <c r="G120" t="s">
        <v>32</v>
      </c>
      <c r="H120" t="s">
        <v>76</v>
      </c>
      <c r="I120">
        <f>(1.42*1000000)/(0.85*8760*2272)</f>
        <v>8.3937684662906256E-2</v>
      </c>
      <c r="J120" t="s">
        <v>128</v>
      </c>
      <c r="K120">
        <v>2023</v>
      </c>
      <c r="L120" t="s">
        <v>399</v>
      </c>
      <c r="P120" s="19" t="s">
        <v>122</v>
      </c>
      <c r="Q120" s="55" t="s">
        <v>38</v>
      </c>
      <c r="R120" s="19" t="s">
        <v>38</v>
      </c>
      <c r="S120" s="19" t="s">
        <v>38</v>
      </c>
      <c r="T120" s="55" t="s">
        <v>38</v>
      </c>
      <c r="U120" s="19"/>
      <c r="V120" s="410"/>
      <c r="W120" s="409"/>
      <c r="X120" s="409"/>
      <c r="Y120" s="409"/>
      <c r="AE120" s="39" t="s">
        <v>160</v>
      </c>
      <c r="AF120" s="461"/>
      <c r="AG120" s="461"/>
      <c r="AH120" s="48"/>
      <c r="AI120" s="461"/>
      <c r="AJ120" s="464"/>
      <c r="AK120" s="445"/>
      <c r="AL120" s="445"/>
      <c r="AM120" s="445"/>
      <c r="AN120" s="452"/>
    </row>
    <row r="121" spans="1:51" ht="92.65" customHeight="1">
      <c r="A121">
        <v>413</v>
      </c>
      <c r="B121" t="s">
        <v>403</v>
      </c>
      <c r="C121" t="s">
        <v>61</v>
      </c>
      <c r="D121" t="s">
        <v>251</v>
      </c>
      <c r="E121">
        <v>1368</v>
      </c>
      <c r="F121" t="s">
        <v>63</v>
      </c>
      <c r="G121" t="s">
        <v>32</v>
      </c>
      <c r="H121" t="s">
        <v>76</v>
      </c>
      <c r="I121">
        <f>(1.42*1000000)/(0.85*8760*1368)</f>
        <v>0.13940527745184431</v>
      </c>
      <c r="J121" t="s">
        <v>128</v>
      </c>
      <c r="K121">
        <v>2023</v>
      </c>
      <c r="L121" t="s">
        <v>399</v>
      </c>
      <c r="P121" s="19" t="s">
        <v>122</v>
      </c>
      <c r="Q121" s="55" t="s">
        <v>38</v>
      </c>
      <c r="R121" s="19" t="s">
        <v>38</v>
      </c>
      <c r="S121" s="19" t="s">
        <v>38</v>
      </c>
      <c r="T121" s="55" t="s">
        <v>38</v>
      </c>
      <c r="U121" s="19"/>
      <c r="V121" s="410"/>
      <c r="W121" s="409"/>
      <c r="X121" s="409"/>
      <c r="Y121" s="409"/>
      <c r="AE121" s="52" t="s">
        <v>149</v>
      </c>
      <c r="AF121" s="461"/>
      <c r="AG121" s="461"/>
      <c r="AH121" s="48"/>
      <c r="AI121" s="461"/>
      <c r="AJ121" s="464"/>
      <c r="AK121" s="445"/>
      <c r="AL121" s="445"/>
      <c r="AM121" s="445"/>
      <c r="AN121" s="452"/>
      <c r="AR121" s="455" t="s">
        <v>161</v>
      </c>
      <c r="AS121" s="455"/>
      <c r="AT121" s="455"/>
      <c r="AU121" s="455"/>
      <c r="AV121" s="455"/>
      <c r="AW121" s="455"/>
      <c r="AX121" s="455"/>
      <c r="AY121" s="455"/>
    </row>
    <row r="122" spans="1:51" ht="51.6" hidden="1" customHeight="1">
      <c r="A122">
        <v>109</v>
      </c>
      <c r="B122" s="6" t="s">
        <v>170</v>
      </c>
      <c r="C122" t="s">
        <v>61</v>
      </c>
      <c r="D122" t="s">
        <v>113</v>
      </c>
      <c r="E122">
        <v>1200</v>
      </c>
      <c r="F122" t="s">
        <v>115</v>
      </c>
      <c r="G122" s="117" t="s">
        <v>52</v>
      </c>
      <c r="H122" t="s">
        <v>33</v>
      </c>
      <c r="I122">
        <f>(31.83-2.43-4.65-6.83)*1000000</f>
        <v>17920000</v>
      </c>
      <c r="J122" t="s">
        <v>34</v>
      </c>
      <c r="K122">
        <v>1986</v>
      </c>
      <c r="L122" s="80" t="s">
        <v>147</v>
      </c>
      <c r="M122" s="80"/>
      <c r="N122" s="80"/>
      <c r="O122" s="13" t="s">
        <v>691</v>
      </c>
      <c r="P122" s="19" t="s">
        <v>122</v>
      </c>
      <c r="Q122" s="55" t="s">
        <v>38</v>
      </c>
      <c r="R122" s="19" t="s">
        <v>38</v>
      </c>
      <c r="S122" s="19" t="s">
        <v>38</v>
      </c>
      <c r="T122" s="19" t="s">
        <v>38</v>
      </c>
      <c r="U122" s="19"/>
      <c r="V122" s="410"/>
      <c r="W122" s="409"/>
      <c r="X122" s="409"/>
      <c r="Y122" s="409"/>
      <c r="AE122" s="52"/>
      <c r="AF122" s="461"/>
      <c r="AG122" s="461"/>
      <c r="AH122" s="48"/>
      <c r="AI122" s="461"/>
      <c r="AJ122" s="464"/>
      <c r="AK122" s="445"/>
      <c r="AL122" s="445"/>
      <c r="AM122" s="445"/>
      <c r="AN122" s="452"/>
      <c r="AS122" t="s">
        <v>163</v>
      </c>
    </row>
    <row r="123" spans="1:51" ht="51.6" hidden="1" customHeight="1">
      <c r="A123">
        <v>110</v>
      </c>
      <c r="B123" s="6" t="s">
        <v>172</v>
      </c>
      <c r="C123" t="s">
        <v>61</v>
      </c>
      <c r="D123" t="s">
        <v>113</v>
      </c>
      <c r="E123">
        <v>1200</v>
      </c>
      <c r="F123" t="s">
        <v>690</v>
      </c>
      <c r="G123" s="117" t="s">
        <v>52</v>
      </c>
      <c r="H123" t="s">
        <v>33</v>
      </c>
      <c r="I123">
        <f>(6.83*1000000)</f>
        <v>6830000</v>
      </c>
      <c r="J123" t="s">
        <v>34</v>
      </c>
      <c r="K123">
        <v>1986</v>
      </c>
      <c r="L123" s="80" t="s">
        <v>147</v>
      </c>
      <c r="M123" s="80"/>
      <c r="N123" s="80"/>
      <c r="O123" s="13" t="s">
        <v>689</v>
      </c>
      <c r="P123" s="19" t="s">
        <v>122</v>
      </c>
      <c r="Q123" s="55" t="s">
        <v>38</v>
      </c>
      <c r="R123" s="19" t="s">
        <v>38</v>
      </c>
      <c r="S123" s="19" t="s">
        <v>38</v>
      </c>
      <c r="T123" s="19" t="s">
        <v>38</v>
      </c>
      <c r="U123" s="19"/>
      <c r="V123" s="410"/>
      <c r="W123" s="409"/>
      <c r="X123" s="409"/>
      <c r="Y123" s="409"/>
      <c r="AE123" s="52"/>
      <c r="AF123" s="461"/>
      <c r="AG123" s="461"/>
      <c r="AH123" s="48"/>
      <c r="AI123" s="461"/>
      <c r="AJ123" s="464"/>
      <c r="AK123" s="445"/>
      <c r="AL123" s="445"/>
      <c r="AM123" s="445"/>
      <c r="AN123" s="452"/>
      <c r="AR123" s="456" t="s">
        <v>164</v>
      </c>
      <c r="AS123" s="456"/>
      <c r="AT123" s="456"/>
      <c r="AU123" s="456"/>
      <c r="AV123" s="456"/>
      <c r="AW123" s="456"/>
      <c r="AX123" s="456"/>
      <c r="AY123" s="456"/>
    </row>
    <row r="124" spans="1:51" ht="51.6" hidden="1" customHeight="1">
      <c r="A124">
        <v>111</v>
      </c>
      <c r="B124" s="6" t="s">
        <v>172</v>
      </c>
      <c r="C124" t="s">
        <v>61</v>
      </c>
      <c r="D124" t="s">
        <v>113</v>
      </c>
      <c r="E124">
        <v>1200</v>
      </c>
      <c r="F124" t="s">
        <v>115</v>
      </c>
      <c r="G124" s="117" t="s">
        <v>52</v>
      </c>
      <c r="H124" t="s">
        <v>33</v>
      </c>
      <c r="I124">
        <f>(26.81-2.43-3.03-6.83)*1000000</f>
        <v>14519999.999999998</v>
      </c>
      <c r="J124" t="s">
        <v>34</v>
      </c>
      <c r="K124">
        <v>1986</v>
      </c>
      <c r="L124" s="80" t="s">
        <v>147</v>
      </c>
      <c r="M124" s="80"/>
      <c r="N124" s="80"/>
      <c r="O124" s="13" t="s">
        <v>691</v>
      </c>
      <c r="P124" s="19" t="s">
        <v>122</v>
      </c>
      <c r="Q124" s="55" t="s">
        <v>38</v>
      </c>
      <c r="R124" s="19" t="s">
        <v>38</v>
      </c>
      <c r="S124" s="19" t="s">
        <v>38</v>
      </c>
      <c r="T124" s="19" t="s">
        <v>38</v>
      </c>
      <c r="U124" s="19"/>
      <c r="V124" s="410"/>
      <c r="W124" s="409"/>
      <c r="X124" s="409"/>
      <c r="Y124" s="409"/>
      <c r="AE124" s="52"/>
      <c r="AF124" s="461"/>
      <c r="AG124" s="461"/>
      <c r="AH124" s="48"/>
      <c r="AI124" s="461"/>
      <c r="AJ124" s="464"/>
      <c r="AK124" s="445"/>
      <c r="AL124" s="445"/>
      <c r="AM124" s="445"/>
      <c r="AN124" s="452"/>
      <c r="AR124" s="123"/>
      <c r="AS124" s="123"/>
      <c r="AT124" s="123"/>
      <c r="AU124" s="123"/>
      <c r="AV124" s="123"/>
      <c r="AW124" s="123"/>
      <c r="AX124" s="123"/>
      <c r="AY124" s="123"/>
    </row>
    <row r="125" spans="1:51" ht="51.6" customHeight="1">
      <c r="A125">
        <v>185</v>
      </c>
      <c r="B125" s="141" t="s">
        <v>226</v>
      </c>
      <c r="C125" s="141" t="s">
        <v>61</v>
      </c>
      <c r="D125" s="141" t="s">
        <v>62</v>
      </c>
      <c r="E125" s="142">
        <v>1000</v>
      </c>
      <c r="F125" s="141" t="s">
        <v>63</v>
      </c>
      <c r="G125" s="141" t="s">
        <v>52</v>
      </c>
      <c r="H125" s="141" t="s">
        <v>76</v>
      </c>
      <c r="I125" s="142">
        <v>2</v>
      </c>
      <c r="J125" s="141" t="s">
        <v>128</v>
      </c>
      <c r="K125" s="142">
        <v>2000</v>
      </c>
      <c r="L125" s="141" t="s">
        <v>227</v>
      </c>
      <c r="M125" s="141"/>
      <c r="N125" s="141"/>
      <c r="O125" t="s">
        <v>1208</v>
      </c>
      <c r="P125" s="19" t="s">
        <v>122</v>
      </c>
      <c r="Q125" s="19" t="s">
        <v>122</v>
      </c>
      <c r="R125" s="19" t="s">
        <v>38</v>
      </c>
      <c r="S125" s="19" t="s">
        <v>38</v>
      </c>
      <c r="T125" s="19" t="s">
        <v>122</v>
      </c>
      <c r="U125" s="19"/>
      <c r="V125" s="410"/>
      <c r="W125" s="409"/>
      <c r="X125" s="409"/>
      <c r="Y125" s="409"/>
      <c r="AE125" s="53"/>
      <c r="AF125" s="461"/>
      <c r="AG125" s="461"/>
      <c r="AH125" s="48"/>
      <c r="AI125" s="461"/>
      <c r="AJ125" s="464"/>
      <c r="AK125" s="445"/>
      <c r="AL125" s="445"/>
      <c r="AM125" s="445"/>
      <c r="AN125" s="452"/>
      <c r="AS125" t="s">
        <v>166</v>
      </c>
    </row>
    <row r="126" spans="1:51" ht="42" customHeight="1">
      <c r="A126">
        <v>186</v>
      </c>
      <c r="B126" s="141" t="s">
        <v>229</v>
      </c>
      <c r="C126" s="141" t="s">
        <v>61</v>
      </c>
      <c r="D126" s="141" t="s">
        <v>62</v>
      </c>
      <c r="E126" s="142">
        <v>1000</v>
      </c>
      <c r="F126" s="141" t="s">
        <v>63</v>
      </c>
      <c r="G126" s="141" t="s">
        <v>52</v>
      </c>
      <c r="H126" s="141" t="s">
        <v>76</v>
      </c>
      <c r="I126" s="142">
        <v>2</v>
      </c>
      <c r="J126" s="141" t="s">
        <v>128</v>
      </c>
      <c r="K126" s="142">
        <v>2000</v>
      </c>
      <c r="L126" s="141" t="s">
        <v>227</v>
      </c>
      <c r="M126" s="141"/>
      <c r="N126" s="141"/>
      <c r="O126" t="s">
        <v>1208</v>
      </c>
      <c r="P126" s="19" t="s">
        <v>122</v>
      </c>
      <c r="Q126" s="19" t="s">
        <v>122</v>
      </c>
      <c r="R126" s="19" t="s">
        <v>38</v>
      </c>
      <c r="S126" s="19" t="s">
        <v>38</v>
      </c>
      <c r="T126" s="19" t="s">
        <v>122</v>
      </c>
      <c r="U126" s="19"/>
      <c r="V126" s="410"/>
      <c r="W126" s="409"/>
      <c r="X126" s="409"/>
      <c r="Y126" s="409"/>
      <c r="AE126" s="39" t="s">
        <v>160</v>
      </c>
      <c r="AF126" s="461"/>
      <c r="AG126" s="461"/>
      <c r="AH126" s="48"/>
      <c r="AI126" s="461"/>
      <c r="AJ126" s="464"/>
      <c r="AK126" s="445"/>
      <c r="AL126" s="445"/>
      <c r="AM126" s="445"/>
      <c r="AN126" s="452"/>
      <c r="AR126" s="421" t="s">
        <v>167</v>
      </c>
      <c r="AS126" s="421"/>
      <c r="AT126" s="421"/>
      <c r="AU126" s="421"/>
      <c r="AV126" s="421"/>
      <c r="AW126" s="421"/>
      <c r="AX126" s="421"/>
      <c r="AY126" s="421"/>
    </row>
    <row r="127" spans="1:51" ht="51.6" customHeight="1">
      <c r="A127">
        <v>519</v>
      </c>
      <c r="B127" t="s">
        <v>488</v>
      </c>
      <c r="C127" t="s">
        <v>470</v>
      </c>
      <c r="D127" t="s">
        <v>471</v>
      </c>
      <c r="E127">
        <v>383.1</v>
      </c>
      <c r="F127" t="s">
        <v>63</v>
      </c>
      <c r="G127" t="s">
        <v>754</v>
      </c>
      <c r="H127" t="s">
        <v>76</v>
      </c>
      <c r="I127">
        <f>(0.1*1000000)/(0.9*8760*383.1)</f>
        <v>3.3108631671902464E-2</v>
      </c>
      <c r="J127" t="s">
        <v>128</v>
      </c>
      <c r="K127">
        <v>2020</v>
      </c>
      <c r="L127" t="s">
        <v>486</v>
      </c>
      <c r="P127" s="19" t="s">
        <v>122</v>
      </c>
      <c r="Q127" s="55" t="s">
        <v>38</v>
      </c>
      <c r="R127" s="19" t="s">
        <v>38</v>
      </c>
      <c r="S127" s="19" t="s">
        <v>38</v>
      </c>
      <c r="T127" s="55" t="s">
        <v>38</v>
      </c>
      <c r="U127" s="19"/>
      <c r="V127" s="410"/>
      <c r="W127" s="409"/>
      <c r="X127" s="409"/>
      <c r="Y127" s="409"/>
      <c r="AE127" s="51" t="s">
        <v>149</v>
      </c>
      <c r="AF127" s="461"/>
      <c r="AG127" s="461"/>
      <c r="AH127" s="48"/>
      <c r="AI127" s="461"/>
      <c r="AJ127" s="464"/>
      <c r="AK127" s="445"/>
      <c r="AL127" s="445"/>
      <c r="AM127" s="445"/>
      <c r="AN127" s="452"/>
      <c r="AS127" t="s">
        <v>168</v>
      </c>
    </row>
    <row r="128" spans="1:51" ht="51.6" hidden="1" customHeight="1">
      <c r="A128">
        <v>115</v>
      </c>
      <c r="B128" s="6" t="s">
        <v>174</v>
      </c>
      <c r="C128" t="s">
        <v>61</v>
      </c>
      <c r="D128" t="s">
        <v>62</v>
      </c>
      <c r="E128">
        <v>1200</v>
      </c>
      <c r="F128" t="s">
        <v>690</v>
      </c>
      <c r="G128" s="117" t="s">
        <v>52</v>
      </c>
      <c r="H128" t="s">
        <v>33</v>
      </c>
      <c r="I128">
        <f>(6.83*1000000)</f>
        <v>6830000</v>
      </c>
      <c r="J128" t="s">
        <v>34</v>
      </c>
      <c r="K128">
        <v>1986</v>
      </c>
      <c r="L128" s="80" t="s">
        <v>147</v>
      </c>
      <c r="M128" s="80"/>
      <c r="N128" s="80"/>
      <c r="O128" s="13" t="s">
        <v>689</v>
      </c>
      <c r="P128" s="19" t="s">
        <v>122</v>
      </c>
      <c r="Q128" s="55" t="s">
        <v>38</v>
      </c>
      <c r="R128" s="19" t="s">
        <v>38</v>
      </c>
      <c r="S128" s="19" t="s">
        <v>38</v>
      </c>
      <c r="T128" s="19"/>
      <c r="U128" s="19"/>
      <c r="V128" s="410"/>
      <c r="W128" s="409"/>
      <c r="X128" s="409"/>
      <c r="Y128" s="409"/>
      <c r="AE128" s="52"/>
      <c r="AF128" s="461"/>
      <c r="AG128" s="461"/>
      <c r="AH128" s="48"/>
      <c r="AI128" s="461"/>
      <c r="AJ128" s="464"/>
      <c r="AK128" s="445"/>
      <c r="AL128" s="445"/>
      <c r="AM128" s="445"/>
      <c r="AN128" s="452"/>
    </row>
    <row r="129" spans="1:40" ht="51.6" hidden="1" customHeight="1">
      <c r="A129">
        <v>116</v>
      </c>
      <c r="B129" s="6" t="s">
        <v>174</v>
      </c>
      <c r="C129" t="s">
        <v>61</v>
      </c>
      <c r="D129" t="s">
        <v>62</v>
      </c>
      <c r="E129">
        <v>1200</v>
      </c>
      <c r="F129" t="s">
        <v>115</v>
      </c>
      <c r="G129" s="117" t="s">
        <v>52</v>
      </c>
      <c r="H129" t="s">
        <v>33</v>
      </c>
      <c r="I129">
        <f>(37.7-5.95-2.43-6.83)*1000000</f>
        <v>22490000.000000004</v>
      </c>
      <c r="J129" t="s">
        <v>34</v>
      </c>
      <c r="K129">
        <v>1986</v>
      </c>
      <c r="L129" s="80" t="s">
        <v>147</v>
      </c>
      <c r="M129" s="80"/>
      <c r="N129" s="80"/>
      <c r="O129" s="13" t="s">
        <v>691</v>
      </c>
      <c r="P129" s="19" t="s">
        <v>122</v>
      </c>
      <c r="Q129" s="55" t="s">
        <v>38</v>
      </c>
      <c r="R129" s="19" t="s">
        <v>38</v>
      </c>
      <c r="S129" s="19" t="s">
        <v>38</v>
      </c>
      <c r="T129" s="19" t="s">
        <v>38</v>
      </c>
      <c r="U129" s="19"/>
      <c r="V129" s="410"/>
      <c r="W129" s="409"/>
      <c r="X129" s="409"/>
      <c r="Y129" s="409"/>
      <c r="AE129" s="52"/>
      <c r="AF129" s="461"/>
      <c r="AG129" s="461"/>
      <c r="AH129" s="48"/>
      <c r="AI129" s="461"/>
      <c r="AJ129" s="464"/>
      <c r="AK129" s="445"/>
      <c r="AL129" s="445"/>
      <c r="AM129" s="445"/>
      <c r="AN129" s="452"/>
    </row>
    <row r="130" spans="1:40" ht="38.65" customHeight="1">
      <c r="A130">
        <v>527</v>
      </c>
      <c r="B130" t="s">
        <v>492</v>
      </c>
      <c r="C130" t="s">
        <v>470</v>
      </c>
      <c r="D130" t="s">
        <v>471</v>
      </c>
      <c r="E130">
        <v>814.4</v>
      </c>
      <c r="F130" t="s">
        <v>63</v>
      </c>
      <c r="G130" t="s">
        <v>754</v>
      </c>
      <c r="H130" t="s">
        <v>76</v>
      </c>
      <c r="I130">
        <f>(0.1*1000000)/(0.9*8760*814.4)</f>
        <v>1.5574554019530741E-2</v>
      </c>
      <c r="J130" t="s">
        <v>128</v>
      </c>
      <c r="K130">
        <v>2020</v>
      </c>
      <c r="L130" t="s">
        <v>486</v>
      </c>
      <c r="P130" s="19" t="s">
        <v>122</v>
      </c>
      <c r="Q130" s="55" t="s">
        <v>38</v>
      </c>
      <c r="R130" s="19" t="s">
        <v>38</v>
      </c>
      <c r="S130" s="19" t="s">
        <v>38</v>
      </c>
      <c r="T130" s="55" t="s">
        <v>38</v>
      </c>
      <c r="U130" s="19"/>
      <c r="V130" s="410"/>
      <c r="W130" s="409"/>
      <c r="X130" s="409"/>
      <c r="Y130" s="409"/>
      <c r="AE130" s="52"/>
      <c r="AF130" s="461"/>
      <c r="AG130" s="461"/>
      <c r="AH130" s="48"/>
      <c r="AI130" s="461"/>
      <c r="AJ130" s="464"/>
      <c r="AK130" s="445"/>
      <c r="AL130" s="445"/>
      <c r="AM130" s="445"/>
      <c r="AN130" s="452"/>
    </row>
    <row r="131" spans="1:40" ht="25.9" hidden="1" customHeight="1">
      <c r="A131">
        <v>119</v>
      </c>
      <c r="B131" s="6" t="s">
        <v>176</v>
      </c>
      <c r="C131" t="s">
        <v>61</v>
      </c>
      <c r="D131" t="s">
        <v>62</v>
      </c>
      <c r="E131">
        <v>1200</v>
      </c>
      <c r="F131" t="s">
        <v>690</v>
      </c>
      <c r="G131" s="117" t="s">
        <v>52</v>
      </c>
      <c r="H131" t="s">
        <v>33</v>
      </c>
      <c r="I131">
        <f>(6.83*1000000)</f>
        <v>6830000</v>
      </c>
      <c r="J131" t="s">
        <v>34</v>
      </c>
      <c r="K131">
        <v>1986</v>
      </c>
      <c r="L131" s="80" t="s">
        <v>147</v>
      </c>
      <c r="M131" s="80"/>
      <c r="N131" s="80"/>
      <c r="O131" s="13" t="s">
        <v>689</v>
      </c>
      <c r="P131" s="19" t="s">
        <v>122</v>
      </c>
      <c r="Q131" s="55" t="s">
        <v>38</v>
      </c>
      <c r="R131" s="19" t="s">
        <v>38</v>
      </c>
      <c r="S131" s="19" t="s">
        <v>38</v>
      </c>
      <c r="T131" s="19"/>
      <c r="U131" s="19"/>
      <c r="V131" s="410"/>
      <c r="W131" s="409"/>
      <c r="X131" s="409"/>
      <c r="Y131" s="409"/>
      <c r="AE131" s="52"/>
      <c r="AF131" s="461"/>
      <c r="AG131" s="461"/>
      <c r="AH131" s="48"/>
      <c r="AI131" s="461"/>
      <c r="AJ131" s="464"/>
      <c r="AK131" s="445"/>
      <c r="AL131" s="445"/>
      <c r="AM131" s="445"/>
      <c r="AN131" s="452"/>
    </row>
    <row r="132" spans="1:40" ht="51.6" hidden="1" customHeight="1">
      <c r="A132">
        <v>120</v>
      </c>
      <c r="B132" s="6" t="s">
        <v>176</v>
      </c>
      <c r="C132" t="s">
        <v>61</v>
      </c>
      <c r="D132" t="s">
        <v>62</v>
      </c>
      <c r="E132">
        <v>1200</v>
      </c>
      <c r="F132" t="s">
        <v>115</v>
      </c>
      <c r="G132" s="117" t="s">
        <v>52</v>
      </c>
      <c r="H132" t="s">
        <v>33</v>
      </c>
      <c r="I132">
        <f>(60.91-2.43-5.54-6.83)*1000000</f>
        <v>46110000</v>
      </c>
      <c r="J132" t="s">
        <v>34</v>
      </c>
      <c r="K132">
        <v>1986</v>
      </c>
      <c r="L132" s="80" t="s">
        <v>147</v>
      </c>
      <c r="M132" s="80"/>
      <c r="N132" s="80"/>
      <c r="O132" s="13" t="s">
        <v>691</v>
      </c>
      <c r="P132" s="19" t="s">
        <v>122</v>
      </c>
      <c r="Q132" s="55" t="s">
        <v>38</v>
      </c>
      <c r="R132" s="19" t="s">
        <v>38</v>
      </c>
      <c r="S132" s="19" t="s">
        <v>38</v>
      </c>
      <c r="T132" s="19" t="s">
        <v>38</v>
      </c>
      <c r="U132" s="19"/>
      <c r="V132" s="410"/>
      <c r="W132" s="409"/>
      <c r="X132" s="409"/>
      <c r="Y132" s="409"/>
      <c r="AE132" s="52"/>
      <c r="AF132" s="461"/>
      <c r="AG132" s="461"/>
      <c r="AH132" s="48"/>
      <c r="AI132" s="461"/>
      <c r="AJ132" s="464"/>
      <c r="AK132" s="445"/>
      <c r="AL132" s="445"/>
      <c r="AM132" s="445"/>
      <c r="AN132" s="452"/>
    </row>
    <row r="133" spans="1:40" ht="51.6" customHeight="1">
      <c r="A133">
        <v>256</v>
      </c>
      <c r="B133" t="s">
        <v>286</v>
      </c>
      <c r="C133" t="s">
        <v>61</v>
      </c>
      <c r="D133" s="141" t="s">
        <v>278</v>
      </c>
      <c r="E133">
        <v>1604</v>
      </c>
      <c r="F133" t="s">
        <v>63</v>
      </c>
      <c r="G133" t="s">
        <v>57</v>
      </c>
      <c r="H133" t="s">
        <v>76</v>
      </c>
      <c r="I133">
        <v>2.3E-2</v>
      </c>
      <c r="J133" t="s">
        <v>77</v>
      </c>
      <c r="K133">
        <v>2002</v>
      </c>
      <c r="L133" t="s">
        <v>287</v>
      </c>
      <c r="P133" s="19" t="s">
        <v>122</v>
      </c>
      <c r="Q133" s="55" t="s">
        <v>38</v>
      </c>
      <c r="R133" s="19" t="s">
        <v>38</v>
      </c>
      <c r="S133" s="19" t="s">
        <v>38</v>
      </c>
      <c r="T133" s="55" t="s">
        <v>38</v>
      </c>
      <c r="U133" s="19"/>
      <c r="V133" s="410"/>
      <c r="W133" s="409"/>
      <c r="X133" s="409"/>
      <c r="Y133" s="409"/>
      <c r="AE133" s="52"/>
      <c r="AF133" s="461"/>
      <c r="AG133" s="461"/>
      <c r="AH133" s="48"/>
      <c r="AI133" s="461"/>
      <c r="AJ133" s="464"/>
      <c r="AK133" s="445"/>
      <c r="AL133" s="445"/>
      <c r="AM133" s="445"/>
      <c r="AN133" s="452"/>
    </row>
    <row r="134" spans="1:40" ht="51.6" customHeight="1">
      <c r="A134">
        <v>258</v>
      </c>
      <c r="B134" t="s">
        <v>286</v>
      </c>
      <c r="C134" t="s">
        <v>61</v>
      </c>
      <c r="D134" s="141" t="s">
        <v>278</v>
      </c>
      <c r="E134">
        <v>1601</v>
      </c>
      <c r="F134" t="s">
        <v>63</v>
      </c>
      <c r="G134" t="s">
        <v>57</v>
      </c>
      <c r="H134" t="s">
        <v>76</v>
      </c>
      <c r="I134">
        <v>2.1999999999999999E-2</v>
      </c>
      <c r="J134" t="s">
        <v>77</v>
      </c>
      <c r="K134">
        <v>2002</v>
      </c>
      <c r="L134" t="s">
        <v>287</v>
      </c>
      <c r="P134" s="19" t="s">
        <v>122</v>
      </c>
      <c r="Q134" s="55" t="s">
        <v>38</v>
      </c>
      <c r="R134" s="19" t="s">
        <v>38</v>
      </c>
      <c r="S134" s="19" t="s">
        <v>38</v>
      </c>
      <c r="T134" s="55" t="s">
        <v>38</v>
      </c>
      <c r="U134" s="19"/>
      <c r="V134" s="410"/>
      <c r="W134" s="409"/>
      <c r="X134" s="409"/>
      <c r="Y134" s="409"/>
      <c r="AE134" s="52"/>
      <c r="AF134" s="461"/>
      <c r="AG134" s="461"/>
      <c r="AH134" s="48"/>
      <c r="AI134" s="461"/>
      <c r="AJ134" s="464"/>
      <c r="AK134" s="445"/>
      <c r="AL134" s="445"/>
      <c r="AM134" s="445"/>
      <c r="AN134" s="452"/>
    </row>
    <row r="135" spans="1:40" ht="38.65" hidden="1" customHeight="1">
      <c r="A135">
        <v>123</v>
      </c>
      <c r="B135" s="6" t="s">
        <v>182</v>
      </c>
      <c r="C135" t="s">
        <v>61</v>
      </c>
      <c r="D135" t="s">
        <v>62</v>
      </c>
      <c r="E135">
        <v>1200</v>
      </c>
      <c r="F135" t="s">
        <v>690</v>
      </c>
      <c r="G135" s="117" t="s">
        <v>52</v>
      </c>
      <c r="H135" t="s">
        <v>33</v>
      </c>
      <c r="I135">
        <f>(7.88*1000000)</f>
        <v>7880000</v>
      </c>
      <c r="J135" t="s">
        <v>34</v>
      </c>
      <c r="K135">
        <v>1986</v>
      </c>
      <c r="L135" s="80" t="s">
        <v>147</v>
      </c>
      <c r="M135" s="80"/>
      <c r="N135" s="80"/>
      <c r="O135" s="13" t="s">
        <v>689</v>
      </c>
      <c r="P135" s="19" t="s">
        <v>122</v>
      </c>
      <c r="Q135" s="55" t="s">
        <v>38</v>
      </c>
      <c r="R135" s="19" t="s">
        <v>38</v>
      </c>
      <c r="S135" s="19" t="s">
        <v>38</v>
      </c>
      <c r="T135" s="19" t="s">
        <v>38</v>
      </c>
      <c r="U135" s="19"/>
      <c r="V135" s="410"/>
      <c r="W135" s="409"/>
      <c r="X135" s="409"/>
      <c r="Y135" s="409"/>
      <c r="AE135" s="53"/>
      <c r="AF135" s="461"/>
      <c r="AG135" s="461"/>
      <c r="AH135" s="48"/>
      <c r="AI135" s="461"/>
      <c r="AJ135" s="464"/>
      <c r="AK135" s="445"/>
      <c r="AL135" s="445"/>
      <c r="AM135" s="445"/>
      <c r="AN135" s="452"/>
    </row>
    <row r="136" spans="1:40" ht="42" hidden="1" customHeight="1">
      <c r="A136">
        <v>124</v>
      </c>
      <c r="B136" s="6" t="s">
        <v>182</v>
      </c>
      <c r="C136" t="s">
        <v>61</v>
      </c>
      <c r="D136" t="s">
        <v>62</v>
      </c>
      <c r="E136">
        <v>1200</v>
      </c>
      <c r="F136" t="s">
        <v>115</v>
      </c>
      <c r="G136" s="117" t="s">
        <v>52</v>
      </c>
      <c r="H136" t="s">
        <v>33</v>
      </c>
      <c r="I136">
        <f>(66.47-2.43-7.88)*1000000</f>
        <v>56159999.999999993</v>
      </c>
      <c r="J136" t="s">
        <v>34</v>
      </c>
      <c r="K136">
        <v>1986</v>
      </c>
      <c r="L136" s="80" t="s">
        <v>147</v>
      </c>
      <c r="M136" s="80"/>
      <c r="N136" s="80"/>
      <c r="O136" s="13" t="s">
        <v>691</v>
      </c>
      <c r="P136" s="19" t="s">
        <v>122</v>
      </c>
      <c r="Q136" s="55" t="s">
        <v>38</v>
      </c>
      <c r="R136" s="19" t="s">
        <v>38</v>
      </c>
      <c r="S136" s="19" t="s">
        <v>38</v>
      </c>
      <c r="T136" s="19" t="s">
        <v>38</v>
      </c>
      <c r="U136" s="19"/>
      <c r="V136" s="410"/>
      <c r="W136" s="409"/>
      <c r="X136" s="409"/>
      <c r="Y136" s="409"/>
      <c r="AE136" s="39" t="s">
        <v>160</v>
      </c>
      <c r="AF136" s="461"/>
      <c r="AG136" s="461"/>
      <c r="AH136" s="48"/>
      <c r="AI136" s="461"/>
      <c r="AJ136" s="464"/>
      <c r="AK136" s="445"/>
      <c r="AL136" s="445"/>
      <c r="AM136" s="445"/>
      <c r="AN136" s="452"/>
    </row>
    <row r="137" spans="1:40" ht="51.6" customHeight="1">
      <c r="A137">
        <v>259</v>
      </c>
      <c r="B137" t="s">
        <v>286</v>
      </c>
      <c r="C137" t="s">
        <v>61</v>
      </c>
      <c r="D137" s="141" t="s">
        <v>278</v>
      </c>
      <c r="E137">
        <v>1598</v>
      </c>
      <c r="F137" t="s">
        <v>63</v>
      </c>
      <c r="G137" t="s">
        <v>57</v>
      </c>
      <c r="H137" t="s">
        <v>76</v>
      </c>
      <c r="I137">
        <v>2.1000000000000001E-2</v>
      </c>
      <c r="J137" t="s">
        <v>77</v>
      </c>
      <c r="K137">
        <v>2002</v>
      </c>
      <c r="L137" t="s">
        <v>287</v>
      </c>
      <c r="P137" s="19" t="s">
        <v>122</v>
      </c>
      <c r="Q137" s="55" t="s">
        <v>38</v>
      </c>
      <c r="R137" s="19" t="s">
        <v>38</v>
      </c>
      <c r="S137" s="19" t="s">
        <v>38</v>
      </c>
      <c r="T137" s="55" t="s">
        <v>38</v>
      </c>
      <c r="U137" s="19"/>
      <c r="V137" s="410"/>
      <c r="W137" s="409"/>
      <c r="X137" s="409"/>
      <c r="Y137" s="409"/>
      <c r="AE137" s="51" t="s">
        <v>149</v>
      </c>
      <c r="AF137" s="461"/>
      <c r="AG137" s="461"/>
      <c r="AH137" s="48"/>
      <c r="AI137" s="461"/>
      <c r="AJ137" s="464"/>
      <c r="AK137" s="445"/>
      <c r="AL137" s="445"/>
      <c r="AM137" s="445"/>
      <c r="AN137" s="452"/>
    </row>
    <row r="138" spans="1:40" ht="51.6" customHeight="1">
      <c r="A138">
        <v>260</v>
      </c>
      <c r="B138" t="s">
        <v>286</v>
      </c>
      <c r="C138" t="s">
        <v>61</v>
      </c>
      <c r="D138" s="141" t="s">
        <v>278</v>
      </c>
      <c r="E138">
        <v>1598</v>
      </c>
      <c r="F138" t="s">
        <v>63</v>
      </c>
      <c r="G138" t="s">
        <v>57</v>
      </c>
      <c r="H138" t="s">
        <v>76</v>
      </c>
      <c r="I138">
        <v>2.1000000000000001E-2</v>
      </c>
      <c r="J138" t="s">
        <v>77</v>
      </c>
      <c r="K138">
        <v>2002</v>
      </c>
      <c r="L138" t="s">
        <v>287</v>
      </c>
      <c r="P138" s="19" t="s">
        <v>122</v>
      </c>
      <c r="Q138" s="55" t="s">
        <v>38</v>
      </c>
      <c r="R138" s="19" t="s">
        <v>38</v>
      </c>
      <c r="S138" s="19" t="s">
        <v>38</v>
      </c>
      <c r="T138" s="55" t="s">
        <v>38</v>
      </c>
      <c r="U138" s="19"/>
      <c r="V138" s="410"/>
      <c r="W138" s="409"/>
      <c r="X138" s="409"/>
      <c r="Y138" s="409"/>
      <c r="AE138" s="52"/>
      <c r="AF138" s="461"/>
      <c r="AG138" s="461"/>
      <c r="AH138" s="48"/>
      <c r="AI138" s="461"/>
      <c r="AJ138" s="464"/>
      <c r="AK138" s="445"/>
      <c r="AL138" s="445"/>
      <c r="AM138" s="445"/>
      <c r="AN138" s="452"/>
    </row>
    <row r="139" spans="1:40" ht="51.6" hidden="1" customHeight="1">
      <c r="A139">
        <v>128</v>
      </c>
      <c r="B139" s="6" t="s">
        <v>183</v>
      </c>
      <c r="C139" t="s">
        <v>61</v>
      </c>
      <c r="D139" t="s">
        <v>62</v>
      </c>
      <c r="E139">
        <v>1200</v>
      </c>
      <c r="F139" t="s">
        <v>690</v>
      </c>
      <c r="G139" s="117" t="s">
        <v>52</v>
      </c>
      <c r="H139" t="s">
        <v>33</v>
      </c>
      <c r="I139">
        <f>(7.88*1000000)</f>
        <v>7880000</v>
      </c>
      <c r="J139" t="s">
        <v>34</v>
      </c>
      <c r="K139">
        <v>1986</v>
      </c>
      <c r="L139" s="80" t="s">
        <v>147</v>
      </c>
      <c r="M139" s="80"/>
      <c r="N139" s="80"/>
      <c r="O139" s="13" t="s">
        <v>691</v>
      </c>
      <c r="P139" s="19" t="s">
        <v>122</v>
      </c>
      <c r="Q139" s="55" t="s">
        <v>38</v>
      </c>
      <c r="R139" s="19" t="s">
        <v>38</v>
      </c>
      <c r="S139" s="19" t="s">
        <v>38</v>
      </c>
      <c r="T139" s="19"/>
      <c r="U139" s="19"/>
      <c r="V139" s="410"/>
      <c r="W139" s="409"/>
      <c r="X139" s="409"/>
      <c r="Y139" s="409"/>
      <c r="AE139" s="52"/>
      <c r="AF139" s="461"/>
      <c r="AG139" s="461"/>
      <c r="AH139" s="48"/>
      <c r="AI139" s="461"/>
      <c r="AJ139" s="464"/>
      <c r="AK139" s="445"/>
      <c r="AL139" s="445"/>
      <c r="AM139" s="445"/>
      <c r="AN139" s="452"/>
    </row>
    <row r="140" spans="1:40" ht="51.6" hidden="1" customHeight="1">
      <c r="A140">
        <v>129</v>
      </c>
      <c r="B140" s="6" t="s">
        <v>183</v>
      </c>
      <c r="C140" t="s">
        <v>61</v>
      </c>
      <c r="D140" t="s">
        <v>62</v>
      </c>
      <c r="E140">
        <v>1200</v>
      </c>
      <c r="F140" t="s">
        <v>115</v>
      </c>
      <c r="G140" s="117" t="s">
        <v>52</v>
      </c>
      <c r="H140" t="s">
        <v>33</v>
      </c>
      <c r="I140">
        <f>(29.91-15.81-7.88)*1000000</f>
        <v>6220000</v>
      </c>
      <c r="J140" t="s">
        <v>34</v>
      </c>
      <c r="K140">
        <v>1986</v>
      </c>
      <c r="L140" s="80" t="s">
        <v>147</v>
      </c>
      <c r="M140" s="80"/>
      <c r="N140" s="80"/>
      <c r="O140" s="13" t="s">
        <v>691</v>
      </c>
      <c r="P140" s="19" t="s">
        <v>122</v>
      </c>
      <c r="Q140" s="55" t="s">
        <v>38</v>
      </c>
      <c r="R140" s="19" t="s">
        <v>38</v>
      </c>
      <c r="S140" s="19" t="s">
        <v>38</v>
      </c>
      <c r="T140" s="19" t="s">
        <v>38</v>
      </c>
      <c r="U140" s="19"/>
      <c r="V140" s="410"/>
      <c r="W140" s="409"/>
      <c r="X140" s="409"/>
      <c r="Y140" s="409"/>
      <c r="AE140" s="52"/>
      <c r="AF140" s="461"/>
      <c r="AG140" s="461"/>
      <c r="AH140" s="48"/>
      <c r="AI140" s="461"/>
      <c r="AJ140" s="464"/>
      <c r="AK140" s="445"/>
      <c r="AL140" s="445"/>
      <c r="AM140" s="445"/>
      <c r="AN140" s="452"/>
    </row>
    <row r="141" spans="1:40" ht="42" customHeight="1">
      <c r="A141">
        <v>296</v>
      </c>
      <c r="B141" t="s">
        <v>301</v>
      </c>
      <c r="C141" t="s">
        <v>61</v>
      </c>
      <c r="D141" t="s">
        <v>62</v>
      </c>
      <c r="E141">
        <v>1000</v>
      </c>
      <c r="F141" t="s">
        <v>63</v>
      </c>
      <c r="G141" t="s">
        <v>52</v>
      </c>
      <c r="H141" t="s">
        <v>76</v>
      </c>
      <c r="I141">
        <v>17.5</v>
      </c>
      <c r="J141" t="s">
        <v>77</v>
      </c>
      <c r="K141">
        <v>1992</v>
      </c>
      <c r="L141" t="s">
        <v>294</v>
      </c>
      <c r="M141" s="80"/>
      <c r="O141" t="s">
        <v>306</v>
      </c>
      <c r="P141" s="19" t="s">
        <v>122</v>
      </c>
      <c r="Q141" s="55" t="s">
        <v>38</v>
      </c>
      <c r="R141" s="19" t="s">
        <v>38</v>
      </c>
      <c r="S141" s="19" t="s">
        <v>38</v>
      </c>
      <c r="T141" s="55" t="s">
        <v>38</v>
      </c>
      <c r="U141" s="19"/>
      <c r="V141" s="410"/>
      <c r="W141" s="409"/>
      <c r="X141" s="409"/>
      <c r="Y141" s="409"/>
      <c r="AE141" s="39" t="s">
        <v>160</v>
      </c>
      <c r="AF141" s="461"/>
      <c r="AG141" s="461"/>
      <c r="AH141" s="48"/>
      <c r="AI141" s="461"/>
      <c r="AJ141" s="464"/>
      <c r="AK141" s="445"/>
      <c r="AL141" s="445"/>
      <c r="AM141" s="445"/>
      <c r="AN141" s="452"/>
    </row>
    <row r="142" spans="1:40" ht="51.6" hidden="1" customHeight="1">
      <c r="A142">
        <v>130</v>
      </c>
      <c r="B142" s="6" t="s">
        <v>183</v>
      </c>
      <c r="C142" t="s">
        <v>61</v>
      </c>
      <c r="D142" t="s">
        <v>62</v>
      </c>
      <c r="E142">
        <v>1200</v>
      </c>
      <c r="F142" t="s">
        <v>75</v>
      </c>
      <c r="G142" s="117" t="s">
        <v>52</v>
      </c>
      <c r="H142" t="s">
        <v>76</v>
      </c>
      <c r="I142">
        <v>47.79</v>
      </c>
      <c r="J142" t="s">
        <v>77</v>
      </c>
      <c r="K142">
        <v>1986</v>
      </c>
      <c r="L142" s="80" t="s">
        <v>147</v>
      </c>
      <c r="M142" s="80"/>
      <c r="N142" s="80"/>
      <c r="O142" s="13" t="s">
        <v>186</v>
      </c>
      <c r="P142" s="2" t="s">
        <v>708</v>
      </c>
      <c r="Q142" t="s">
        <v>84</v>
      </c>
      <c r="R142" s="19" t="s">
        <v>38</v>
      </c>
      <c r="S142" s="19" t="s">
        <v>38</v>
      </c>
      <c r="T142" s="19" t="s">
        <v>38</v>
      </c>
      <c r="U142" s="19"/>
      <c r="V142" s="410"/>
      <c r="W142" s="409"/>
      <c r="X142" s="409"/>
      <c r="Y142" s="409"/>
      <c r="AE142" s="51" t="s">
        <v>149</v>
      </c>
      <c r="AF142" s="461"/>
      <c r="AG142" s="461"/>
      <c r="AH142" s="48"/>
      <c r="AI142" s="461"/>
      <c r="AJ142" s="464"/>
      <c r="AK142" s="445"/>
      <c r="AL142" s="445"/>
      <c r="AM142" s="445"/>
      <c r="AN142" s="452"/>
    </row>
    <row r="143" spans="1:40" ht="13" hidden="1" customHeight="1">
      <c r="A143">
        <v>131</v>
      </c>
      <c r="B143" s="6" t="s">
        <v>182</v>
      </c>
      <c r="C143" t="s">
        <v>61</v>
      </c>
      <c r="D143" t="s">
        <v>62</v>
      </c>
      <c r="E143">
        <v>1200</v>
      </c>
      <c r="F143" t="s">
        <v>75</v>
      </c>
      <c r="G143" s="117" t="s">
        <v>52</v>
      </c>
      <c r="H143" t="s">
        <v>76</v>
      </c>
      <c r="I143">
        <v>35.369999999999997</v>
      </c>
      <c r="J143" t="s">
        <v>77</v>
      </c>
      <c r="K143">
        <v>1986</v>
      </c>
      <c r="L143" s="80" t="s">
        <v>147</v>
      </c>
      <c r="M143" s="80"/>
      <c r="N143" s="80"/>
      <c r="O143" s="13" t="s">
        <v>186</v>
      </c>
      <c r="P143" s="2" t="s">
        <v>708</v>
      </c>
      <c r="Q143" t="s">
        <v>84</v>
      </c>
      <c r="R143" s="19" t="s">
        <v>38</v>
      </c>
      <c r="S143" s="19" t="s">
        <v>38</v>
      </c>
      <c r="T143" s="19" t="s">
        <v>38</v>
      </c>
      <c r="U143" s="19"/>
      <c r="V143" s="410"/>
      <c r="W143" s="409"/>
      <c r="X143" s="409"/>
      <c r="Y143" s="409"/>
      <c r="AE143" s="53"/>
      <c r="AF143" s="461"/>
      <c r="AG143" s="461"/>
      <c r="AH143" s="48"/>
      <c r="AI143" s="461"/>
      <c r="AJ143" s="464"/>
      <c r="AK143" s="445"/>
      <c r="AL143" s="445"/>
      <c r="AM143" s="445"/>
      <c r="AN143" s="452"/>
    </row>
    <row r="144" spans="1:40" ht="13" hidden="1" customHeight="1">
      <c r="A144">
        <v>132</v>
      </c>
      <c r="B144" s="6" t="s">
        <v>165</v>
      </c>
      <c r="C144" t="s">
        <v>61</v>
      </c>
      <c r="D144" t="s">
        <v>62</v>
      </c>
      <c r="E144">
        <v>1200</v>
      </c>
      <c r="F144" t="s">
        <v>75</v>
      </c>
      <c r="G144" s="117" t="s">
        <v>52</v>
      </c>
      <c r="H144" t="s">
        <v>76</v>
      </c>
      <c r="I144">
        <v>48.51</v>
      </c>
      <c r="J144" t="s">
        <v>77</v>
      </c>
      <c r="K144">
        <v>1986</v>
      </c>
      <c r="L144" s="80" t="s">
        <v>147</v>
      </c>
      <c r="M144" s="80"/>
      <c r="N144" s="80"/>
      <c r="O144" s="13" t="s">
        <v>186</v>
      </c>
      <c r="P144" s="24" t="s">
        <v>709</v>
      </c>
      <c r="Q144" t="s">
        <v>84</v>
      </c>
      <c r="R144" s="19" t="s">
        <v>38</v>
      </c>
      <c r="S144" s="19" t="s">
        <v>38</v>
      </c>
      <c r="T144" s="19" t="s">
        <v>38</v>
      </c>
      <c r="U144" s="19"/>
      <c r="V144" s="410"/>
      <c r="W144" s="409"/>
      <c r="X144" s="409"/>
      <c r="Y144" s="409"/>
      <c r="AE144" s="53"/>
      <c r="AF144" s="461"/>
      <c r="AG144" s="461"/>
      <c r="AH144" s="48"/>
      <c r="AI144" s="461"/>
      <c r="AJ144" s="464"/>
      <c r="AK144" s="445"/>
      <c r="AL144" s="445"/>
      <c r="AM144" s="445"/>
      <c r="AN144" s="452"/>
    </row>
    <row r="145" spans="1:40" ht="51.6" hidden="1" customHeight="1">
      <c r="A145">
        <v>134</v>
      </c>
      <c r="B145" s="6" t="s">
        <v>174</v>
      </c>
      <c r="C145" t="s">
        <v>61</v>
      </c>
      <c r="D145" t="s">
        <v>62</v>
      </c>
      <c r="E145">
        <v>1200</v>
      </c>
      <c r="F145" t="s">
        <v>75</v>
      </c>
      <c r="G145" s="117" t="s">
        <v>52</v>
      </c>
      <c r="H145" t="s">
        <v>76</v>
      </c>
      <c r="I145">
        <v>54.64</v>
      </c>
      <c r="J145" t="s">
        <v>77</v>
      </c>
      <c r="K145">
        <v>1986</v>
      </c>
      <c r="L145" s="80" t="s">
        <v>147</v>
      </c>
      <c r="M145" s="80"/>
      <c r="N145" s="80"/>
      <c r="O145" s="13" t="s">
        <v>186</v>
      </c>
      <c r="P145" s="24" t="s">
        <v>709</v>
      </c>
      <c r="Q145" t="s">
        <v>84</v>
      </c>
      <c r="R145" s="19" t="s">
        <v>38</v>
      </c>
      <c r="S145" s="19" t="s">
        <v>38</v>
      </c>
      <c r="T145" s="19" t="s">
        <v>38</v>
      </c>
      <c r="U145" s="19"/>
      <c r="V145" s="410"/>
      <c r="W145" s="409"/>
      <c r="X145" s="409"/>
      <c r="Y145" s="409"/>
      <c r="AE145" s="59" t="s">
        <v>160</v>
      </c>
      <c r="AF145" s="461"/>
      <c r="AG145" s="461"/>
      <c r="AH145" s="48"/>
      <c r="AI145" s="461"/>
      <c r="AJ145" s="464"/>
      <c r="AK145" s="445"/>
      <c r="AL145" s="445"/>
      <c r="AM145" s="445"/>
      <c r="AN145" s="452"/>
    </row>
    <row r="146" spans="1:40" ht="51.6" hidden="1" customHeight="1">
      <c r="A146">
        <v>135</v>
      </c>
      <c r="B146" s="6" t="s">
        <v>176</v>
      </c>
      <c r="C146" t="s">
        <v>61</v>
      </c>
      <c r="D146" t="s">
        <v>62</v>
      </c>
      <c r="E146">
        <v>1200</v>
      </c>
      <c r="F146" t="s">
        <v>75</v>
      </c>
      <c r="G146" s="117" t="s">
        <v>52</v>
      </c>
      <c r="H146" t="s">
        <v>76</v>
      </c>
      <c r="I146">
        <v>47.91</v>
      </c>
      <c r="J146" t="s">
        <v>77</v>
      </c>
      <c r="K146">
        <v>1986</v>
      </c>
      <c r="L146" s="80" t="s">
        <v>147</v>
      </c>
      <c r="M146" s="80"/>
      <c r="N146" s="80"/>
      <c r="O146" s="13" t="s">
        <v>186</v>
      </c>
      <c r="P146" s="24" t="s">
        <v>709</v>
      </c>
      <c r="Q146" t="s">
        <v>84</v>
      </c>
      <c r="R146" s="19" t="s">
        <v>38</v>
      </c>
      <c r="S146" s="19" t="s">
        <v>38</v>
      </c>
      <c r="T146" s="19" t="s">
        <v>38</v>
      </c>
      <c r="U146" s="19"/>
      <c r="V146" s="410"/>
      <c r="W146" s="409"/>
      <c r="X146" s="409"/>
      <c r="Y146" s="409"/>
      <c r="Z146" s="199"/>
      <c r="AA146" s="199"/>
      <c r="AB146" s="199"/>
      <c r="AC146" s="199"/>
      <c r="AE146" s="51" t="s">
        <v>149</v>
      </c>
      <c r="AF146" s="461"/>
      <c r="AG146" s="461"/>
      <c r="AH146" s="48"/>
      <c r="AI146" s="461"/>
      <c r="AJ146" s="464"/>
      <c r="AK146" s="445"/>
      <c r="AL146" s="445"/>
      <c r="AM146" s="445"/>
      <c r="AN146" s="452"/>
    </row>
    <row r="147" spans="1:40" ht="13" hidden="1" customHeight="1">
      <c r="A147">
        <v>137</v>
      </c>
      <c r="B147" s="6" t="s">
        <v>187</v>
      </c>
      <c r="C147" t="s">
        <v>61</v>
      </c>
      <c r="D147" t="s">
        <v>62</v>
      </c>
      <c r="E147">
        <v>1200</v>
      </c>
      <c r="F147" t="s">
        <v>75</v>
      </c>
      <c r="G147" s="117" t="s">
        <v>52</v>
      </c>
      <c r="H147" t="s">
        <v>76</v>
      </c>
      <c r="I147">
        <v>53.13</v>
      </c>
      <c r="J147" t="s">
        <v>77</v>
      </c>
      <c r="K147">
        <v>1986</v>
      </c>
      <c r="L147" s="80" t="s">
        <v>147</v>
      </c>
      <c r="M147" s="80"/>
      <c r="N147" s="80"/>
      <c r="O147" s="13" t="s">
        <v>186</v>
      </c>
      <c r="P147" s="24" t="s">
        <v>709</v>
      </c>
      <c r="Q147" t="s">
        <v>84</v>
      </c>
      <c r="R147" s="19" t="s">
        <v>38</v>
      </c>
      <c r="S147" s="19" t="s">
        <v>38</v>
      </c>
      <c r="T147" s="19" t="s">
        <v>122</v>
      </c>
      <c r="U147" s="19"/>
      <c r="V147" s="410"/>
      <c r="W147" s="409"/>
      <c r="X147" s="409"/>
      <c r="Y147" s="409"/>
      <c r="Z147" s="199"/>
      <c r="AA147" s="199"/>
      <c r="AB147" s="199"/>
      <c r="AC147" s="199"/>
      <c r="AE147" s="53"/>
      <c r="AF147" s="461"/>
      <c r="AG147" s="461"/>
      <c r="AH147" s="48"/>
      <c r="AI147" s="461"/>
      <c r="AJ147" s="464"/>
      <c r="AK147" s="445"/>
      <c r="AL147" s="445"/>
      <c r="AM147" s="445"/>
      <c r="AN147" s="452"/>
    </row>
    <row r="148" spans="1:40" ht="13" customHeight="1">
      <c r="A148">
        <v>305</v>
      </c>
      <c r="B148" t="s">
        <v>126</v>
      </c>
      <c r="C148" t="s">
        <v>61</v>
      </c>
      <c r="D148" t="s">
        <v>62</v>
      </c>
      <c r="E148">
        <v>1000</v>
      </c>
      <c r="F148" t="s">
        <v>63</v>
      </c>
      <c r="G148" t="s">
        <v>52</v>
      </c>
      <c r="H148" t="s">
        <v>76</v>
      </c>
      <c r="I148">
        <v>0.03</v>
      </c>
      <c r="J148" t="s">
        <v>77</v>
      </c>
      <c r="K148">
        <v>1992</v>
      </c>
      <c r="L148" t="s">
        <v>294</v>
      </c>
      <c r="P148" s="19" t="s">
        <v>122</v>
      </c>
      <c r="Q148" s="55" t="s">
        <v>38</v>
      </c>
      <c r="R148" s="19" t="s">
        <v>38</v>
      </c>
      <c r="S148" s="19" t="s">
        <v>38</v>
      </c>
      <c r="T148" s="55" t="s">
        <v>38</v>
      </c>
      <c r="U148" s="19"/>
      <c r="V148" s="410"/>
      <c r="W148" s="409"/>
      <c r="X148" s="409"/>
      <c r="Y148" s="409"/>
      <c r="Z148" s="199"/>
      <c r="AA148" s="199"/>
      <c r="AB148" s="199"/>
      <c r="AC148" s="199"/>
      <c r="AE148" s="53"/>
      <c r="AF148" s="461"/>
      <c r="AG148" s="461"/>
      <c r="AH148" s="48"/>
      <c r="AI148" s="461"/>
      <c r="AJ148" s="464"/>
      <c r="AK148" s="445"/>
      <c r="AL148" s="445"/>
      <c r="AM148" s="445"/>
      <c r="AN148" s="452"/>
    </row>
    <row r="149" spans="1:40" ht="36" customHeight="1">
      <c r="A149">
        <v>306</v>
      </c>
      <c r="B149" t="s">
        <v>304</v>
      </c>
      <c r="C149" t="s">
        <v>61</v>
      </c>
      <c r="D149" t="s">
        <v>62</v>
      </c>
      <c r="E149">
        <v>1000</v>
      </c>
      <c r="F149" t="s">
        <v>63</v>
      </c>
      <c r="G149" t="s">
        <v>52</v>
      </c>
      <c r="H149" t="s">
        <v>76</v>
      </c>
      <c r="I149">
        <v>0.03</v>
      </c>
      <c r="J149" t="s">
        <v>77</v>
      </c>
      <c r="K149">
        <v>1992</v>
      </c>
      <c r="L149" t="s">
        <v>294</v>
      </c>
      <c r="P149" s="19" t="s">
        <v>122</v>
      </c>
      <c r="Q149" s="55" t="s">
        <v>38</v>
      </c>
      <c r="R149" s="19" t="s">
        <v>38</v>
      </c>
      <c r="S149" s="19" t="s">
        <v>38</v>
      </c>
      <c r="T149" s="55" t="s">
        <v>38</v>
      </c>
      <c r="U149" s="19"/>
      <c r="V149" s="410"/>
      <c r="W149" s="409"/>
      <c r="X149" s="409"/>
      <c r="Y149" s="409"/>
      <c r="Z149" s="199"/>
      <c r="AA149" s="199"/>
      <c r="AB149" s="199"/>
      <c r="AC149" s="199"/>
      <c r="AE149" s="59" t="s">
        <v>160</v>
      </c>
      <c r="AF149" s="461"/>
      <c r="AG149" s="461"/>
      <c r="AH149" s="48"/>
      <c r="AI149" s="461"/>
      <c r="AJ149" s="464"/>
      <c r="AK149" s="445"/>
      <c r="AL149" s="445"/>
      <c r="AM149" s="445"/>
      <c r="AN149" s="452"/>
    </row>
    <row r="150" spans="1:40" ht="13.5" customHeight="1">
      <c r="A150">
        <v>307</v>
      </c>
      <c r="B150" t="s">
        <v>114</v>
      </c>
      <c r="C150" t="s">
        <v>61</v>
      </c>
      <c r="D150" t="s">
        <v>62</v>
      </c>
      <c r="E150">
        <v>1000</v>
      </c>
      <c r="F150" t="s">
        <v>63</v>
      </c>
      <c r="G150" t="s">
        <v>52</v>
      </c>
      <c r="H150" t="s">
        <v>76</v>
      </c>
      <c r="I150">
        <v>0.03</v>
      </c>
      <c r="J150" t="s">
        <v>77</v>
      </c>
      <c r="K150">
        <v>1992</v>
      </c>
      <c r="L150" t="s">
        <v>294</v>
      </c>
      <c r="P150" s="19" t="s">
        <v>122</v>
      </c>
      <c r="Q150" s="55" t="s">
        <v>38</v>
      </c>
      <c r="R150" s="19" t="s">
        <v>38</v>
      </c>
      <c r="S150" s="19" t="s">
        <v>38</v>
      </c>
      <c r="T150" s="55" t="s">
        <v>38</v>
      </c>
      <c r="U150" s="19"/>
      <c r="V150" s="410"/>
      <c r="W150" s="409"/>
      <c r="X150" s="409"/>
      <c r="Y150" s="409"/>
      <c r="Z150" s="199"/>
      <c r="AA150" s="199"/>
      <c r="AB150" s="199"/>
      <c r="AC150" s="199"/>
      <c r="AE150" s="60" t="s">
        <v>149</v>
      </c>
      <c r="AF150" s="461"/>
      <c r="AG150" s="461"/>
      <c r="AH150" s="48"/>
      <c r="AI150" s="461"/>
      <c r="AJ150" s="464"/>
      <c r="AK150" s="445"/>
      <c r="AL150" s="445"/>
      <c r="AM150" s="445"/>
      <c r="AN150" s="452"/>
    </row>
    <row r="151" spans="1:40" ht="78" customHeight="1">
      <c r="A151">
        <v>377</v>
      </c>
      <c r="B151" t="s">
        <v>695</v>
      </c>
      <c r="C151" t="s">
        <v>61</v>
      </c>
      <c r="D151" t="s">
        <v>62</v>
      </c>
      <c r="E151">
        <v>1200</v>
      </c>
      <c r="F151" t="s">
        <v>63</v>
      </c>
      <c r="G151" t="s">
        <v>52</v>
      </c>
      <c r="H151" t="s">
        <v>76</v>
      </c>
      <c r="I151">
        <v>0.06</v>
      </c>
      <c r="J151" t="s">
        <v>77</v>
      </c>
      <c r="K151">
        <v>1990</v>
      </c>
      <c r="L151" t="s">
        <v>369</v>
      </c>
      <c r="P151" s="19" t="s">
        <v>122</v>
      </c>
      <c r="Q151" s="55" t="s">
        <v>38</v>
      </c>
      <c r="R151" s="19" t="s">
        <v>38</v>
      </c>
      <c r="S151" s="19" t="s">
        <v>38</v>
      </c>
      <c r="T151" s="55" t="s">
        <v>38</v>
      </c>
      <c r="U151" s="19"/>
      <c r="V151" s="410"/>
      <c r="W151" s="409"/>
      <c r="X151" s="409"/>
      <c r="Y151" s="409"/>
      <c r="Z151" s="205"/>
      <c r="AA151" s="205"/>
      <c r="AB151" s="205"/>
      <c r="AC151" s="205"/>
      <c r="AE151" s="61"/>
      <c r="AF151" s="461"/>
      <c r="AG151" s="461"/>
      <c r="AH151" s="48"/>
      <c r="AI151" s="461"/>
      <c r="AJ151" s="464"/>
      <c r="AK151" s="445"/>
      <c r="AL151" s="445"/>
      <c r="AM151" s="445"/>
      <c r="AN151" s="452"/>
    </row>
    <row r="152" spans="1:40" ht="78" customHeight="1">
      <c r="A152">
        <v>380</v>
      </c>
      <c r="B152" t="s">
        <v>696</v>
      </c>
      <c r="C152" t="s">
        <v>61</v>
      </c>
      <c r="D152" t="s">
        <v>62</v>
      </c>
      <c r="E152">
        <v>1200</v>
      </c>
      <c r="F152" t="s">
        <v>63</v>
      </c>
      <c r="G152" t="s">
        <v>32</v>
      </c>
      <c r="H152" t="s">
        <v>76</v>
      </c>
      <c r="I152">
        <v>0.05</v>
      </c>
      <c r="J152" t="s">
        <v>77</v>
      </c>
      <c r="K152">
        <v>1990</v>
      </c>
      <c r="L152" t="s">
        <v>369</v>
      </c>
      <c r="P152" s="19" t="s">
        <v>122</v>
      </c>
      <c r="Q152" s="55" t="s">
        <v>38</v>
      </c>
      <c r="R152" s="19" t="s">
        <v>38</v>
      </c>
      <c r="S152" s="19" t="s">
        <v>38</v>
      </c>
      <c r="T152" s="55" t="s">
        <v>38</v>
      </c>
      <c r="U152" s="19"/>
      <c r="V152" s="410"/>
      <c r="W152" s="409"/>
      <c r="X152" s="409"/>
      <c r="Y152" s="409"/>
      <c r="Z152" s="205"/>
      <c r="AA152" s="205"/>
      <c r="AB152" s="205"/>
      <c r="AC152" s="205"/>
      <c r="AE152" s="61"/>
      <c r="AF152" s="461"/>
      <c r="AG152" s="461"/>
      <c r="AH152" s="48"/>
      <c r="AI152" s="461"/>
      <c r="AJ152" s="464"/>
      <c r="AK152" s="445"/>
      <c r="AL152" s="445"/>
      <c r="AM152" s="445"/>
      <c r="AN152" s="452"/>
    </row>
    <row r="153" spans="1:40" ht="51.6" customHeight="1">
      <c r="A153">
        <v>393</v>
      </c>
      <c r="B153" t="s">
        <v>387</v>
      </c>
      <c r="C153" t="s">
        <v>30</v>
      </c>
      <c r="D153" t="s">
        <v>815</v>
      </c>
      <c r="E153">
        <v>1083</v>
      </c>
      <c r="F153" t="s">
        <v>63</v>
      </c>
      <c r="G153" s="6" t="s">
        <v>52</v>
      </c>
      <c r="H153" t="s">
        <v>76</v>
      </c>
      <c r="I153">
        <v>0.01</v>
      </c>
      <c r="J153" t="s">
        <v>77</v>
      </c>
      <c r="K153">
        <v>1988</v>
      </c>
      <c r="L153" t="s">
        <v>386</v>
      </c>
      <c r="O153" s="13"/>
      <c r="P153" s="55" t="s">
        <v>38</v>
      </c>
      <c r="Q153" s="55" t="s">
        <v>38</v>
      </c>
      <c r="R153" s="19" t="s">
        <v>38</v>
      </c>
      <c r="S153" s="19" t="s">
        <v>38</v>
      </c>
      <c r="T153" s="55" t="s">
        <v>38</v>
      </c>
      <c r="U153" s="19"/>
      <c r="V153" s="410"/>
      <c r="W153" s="409"/>
      <c r="X153" s="409"/>
      <c r="Y153" s="409"/>
      <c r="Z153" s="199"/>
      <c r="AA153" s="199"/>
      <c r="AB153" s="199"/>
      <c r="AC153" s="199"/>
      <c r="AE153" s="59" t="s">
        <v>160</v>
      </c>
      <c r="AF153" s="461"/>
      <c r="AG153" s="461"/>
      <c r="AH153" s="48"/>
      <c r="AI153" s="461"/>
      <c r="AJ153" s="464"/>
      <c r="AK153" s="445"/>
      <c r="AL153" s="445"/>
      <c r="AM153" s="445"/>
      <c r="AN153" s="452"/>
    </row>
    <row r="154" spans="1:40" ht="49.15" customHeight="1">
      <c r="A154">
        <v>37</v>
      </c>
      <c r="B154" t="s">
        <v>114</v>
      </c>
      <c r="C154" t="s">
        <v>61</v>
      </c>
      <c r="D154" t="s">
        <v>62</v>
      </c>
      <c r="E154">
        <v>1000</v>
      </c>
      <c r="F154" t="s">
        <v>63</v>
      </c>
      <c r="G154" t="s">
        <v>52</v>
      </c>
      <c r="H154" t="s">
        <v>76</v>
      </c>
      <c r="I154">
        <v>0.04</v>
      </c>
      <c r="J154" t="s">
        <v>77</v>
      </c>
      <c r="K154">
        <v>1988</v>
      </c>
      <c r="L154" t="s">
        <v>597</v>
      </c>
      <c r="P154" s="55" t="s">
        <v>38</v>
      </c>
      <c r="Q154" s="55" t="s">
        <v>38</v>
      </c>
      <c r="R154" s="19" t="s">
        <v>38</v>
      </c>
      <c r="S154" s="19" t="s">
        <v>38</v>
      </c>
      <c r="T154" s="19" t="s">
        <v>38</v>
      </c>
      <c r="U154" s="19"/>
      <c r="V154" s="410"/>
      <c r="W154" s="409"/>
      <c r="X154" s="409"/>
      <c r="Y154" s="409"/>
      <c r="Z154" s="205"/>
      <c r="AA154" s="205"/>
      <c r="AB154" s="205"/>
      <c r="AC154" s="205"/>
      <c r="AE154" s="62" t="s">
        <v>149</v>
      </c>
      <c r="AF154" s="461"/>
      <c r="AG154" s="461"/>
      <c r="AH154" s="48"/>
      <c r="AI154" s="461"/>
      <c r="AJ154" s="464"/>
      <c r="AK154" s="445"/>
      <c r="AL154" s="445"/>
      <c r="AM154" s="445"/>
      <c r="AN154" s="452"/>
    </row>
    <row r="155" spans="1:40" ht="42" hidden="1" customHeight="1">
      <c r="L155" s="80" t="s">
        <v>480</v>
      </c>
      <c r="M155" s="80"/>
      <c r="N155" s="80"/>
      <c r="O155" s="13"/>
      <c r="P155" s="19"/>
      <c r="Q155" s="19"/>
      <c r="R155" s="19"/>
      <c r="S155" s="19"/>
      <c r="T155" s="19"/>
      <c r="U155" s="19"/>
      <c r="V155" s="410"/>
      <c r="W155" s="409"/>
      <c r="X155" s="409"/>
      <c r="Y155" s="409"/>
      <c r="Z155" s="205"/>
      <c r="AA155" s="205"/>
      <c r="AB155" s="205"/>
      <c r="AC155" s="205"/>
      <c r="AE155" s="39" t="s">
        <v>160</v>
      </c>
      <c r="AF155" s="461"/>
      <c r="AG155" s="461"/>
      <c r="AH155" s="48"/>
      <c r="AI155" s="461"/>
      <c r="AJ155" s="464"/>
      <c r="AK155" s="445"/>
      <c r="AL155" s="445"/>
      <c r="AM155" s="445"/>
      <c r="AN155" s="452"/>
    </row>
    <row r="156" spans="1:40" ht="25.9" customHeight="1">
      <c r="A156">
        <v>440</v>
      </c>
      <c r="B156" t="s">
        <v>232</v>
      </c>
      <c r="C156" t="s">
        <v>61</v>
      </c>
      <c r="D156" t="s">
        <v>62</v>
      </c>
      <c r="E156">
        <v>1000</v>
      </c>
      <c r="F156" t="s">
        <v>63</v>
      </c>
      <c r="G156" t="s">
        <v>52</v>
      </c>
      <c r="H156" t="s">
        <v>76</v>
      </c>
      <c r="I156">
        <v>0.03</v>
      </c>
      <c r="J156" t="s">
        <v>77</v>
      </c>
      <c r="K156">
        <v>1992</v>
      </c>
      <c r="L156" t="s">
        <v>420</v>
      </c>
      <c r="P156" s="19" t="s">
        <v>122</v>
      </c>
      <c r="Q156" s="19" t="s">
        <v>38</v>
      </c>
      <c r="R156" s="19" t="s">
        <v>38</v>
      </c>
      <c r="S156" s="19" t="s">
        <v>38</v>
      </c>
      <c r="T156" s="55" t="s">
        <v>38</v>
      </c>
      <c r="U156" s="19"/>
      <c r="V156" s="210"/>
      <c r="W156" s="220"/>
      <c r="X156" s="215"/>
      <c r="Y156" s="215"/>
      <c r="Z156" s="205"/>
      <c r="AA156" s="205"/>
      <c r="AB156" s="205"/>
      <c r="AC156" s="205"/>
      <c r="AE156" s="51" t="s">
        <v>149</v>
      </c>
      <c r="AF156" s="461"/>
      <c r="AG156" s="461"/>
      <c r="AH156" s="48"/>
      <c r="AI156" s="461"/>
      <c r="AJ156" s="465"/>
      <c r="AK156" s="445"/>
      <c r="AL156" s="445"/>
      <c r="AM156" s="445"/>
      <c r="AN156" s="453"/>
    </row>
    <row r="157" spans="1:40" ht="25.9" hidden="1" customHeight="1">
      <c r="A157">
        <v>138</v>
      </c>
      <c r="B157" s="6" t="s">
        <v>188</v>
      </c>
      <c r="C157" t="s">
        <v>61</v>
      </c>
      <c r="D157" t="s">
        <v>62</v>
      </c>
      <c r="E157">
        <v>1000</v>
      </c>
      <c r="F157" t="s">
        <v>493</v>
      </c>
      <c r="G157" s="117" t="s">
        <v>52</v>
      </c>
      <c r="H157" t="s">
        <v>76</v>
      </c>
      <c r="I157">
        <v>0.9</v>
      </c>
      <c r="J157" t="s">
        <v>77</v>
      </c>
      <c r="K157">
        <v>1999</v>
      </c>
      <c r="L157" s="80" t="s">
        <v>1123</v>
      </c>
      <c r="M157" s="80"/>
      <c r="N157" s="80"/>
      <c r="O157" s="13"/>
      <c r="P157" s="19" t="s">
        <v>122</v>
      </c>
      <c r="Q157" s="55" t="s">
        <v>38</v>
      </c>
      <c r="R157" s="19" t="s">
        <v>38</v>
      </c>
      <c r="S157" s="19" t="s">
        <v>38</v>
      </c>
      <c r="T157" s="19" t="s">
        <v>122</v>
      </c>
      <c r="U157" s="19"/>
      <c r="V157" s="416" t="s">
        <v>949</v>
      </c>
      <c r="W157" s="392" t="s">
        <v>947</v>
      </c>
      <c r="X157" s="392" t="s">
        <v>946</v>
      </c>
      <c r="Y157" s="392" t="s">
        <v>945</v>
      </c>
      <c r="Z157" s="199"/>
      <c r="AA157" s="199"/>
      <c r="AB157" s="199"/>
      <c r="AC157" s="199"/>
      <c r="AE157" s="52"/>
      <c r="AF157" s="461"/>
      <c r="AG157" s="461"/>
      <c r="AH157" s="48"/>
      <c r="AI157" s="461"/>
      <c r="AJ157" s="465"/>
      <c r="AK157" s="445"/>
      <c r="AL157" s="445"/>
      <c r="AM157" s="445"/>
      <c r="AN157" s="453"/>
    </row>
    <row r="158" spans="1:40" ht="51.6" hidden="1" customHeight="1">
      <c r="A158">
        <v>139</v>
      </c>
      <c r="B158" s="6" t="s">
        <v>200</v>
      </c>
      <c r="C158" t="s">
        <v>61</v>
      </c>
      <c r="D158" t="s">
        <v>62</v>
      </c>
      <c r="E158">
        <v>1000</v>
      </c>
      <c r="F158" t="s">
        <v>493</v>
      </c>
      <c r="G158" s="117" t="s">
        <v>52</v>
      </c>
      <c r="H158" t="s">
        <v>76</v>
      </c>
      <c r="I158">
        <v>0.9</v>
      </c>
      <c r="J158" t="s">
        <v>77</v>
      </c>
      <c r="K158">
        <v>1999</v>
      </c>
      <c r="L158" s="80" t="s">
        <v>1123</v>
      </c>
      <c r="M158" s="80"/>
      <c r="N158" s="80"/>
      <c r="O158" s="13"/>
      <c r="P158" s="19" t="s">
        <v>122</v>
      </c>
      <c r="Q158" s="55" t="s">
        <v>38</v>
      </c>
      <c r="R158" s="19" t="s">
        <v>38</v>
      </c>
      <c r="S158" s="19" t="s">
        <v>38</v>
      </c>
      <c r="T158" s="19" t="s">
        <v>122</v>
      </c>
      <c r="U158" s="19"/>
      <c r="V158" s="416"/>
      <c r="W158" s="392"/>
      <c r="X158" s="392"/>
      <c r="Y158" s="392"/>
      <c r="Z158" s="199"/>
      <c r="AA158" s="199"/>
      <c r="AB158" s="199"/>
      <c r="AC158" s="199"/>
      <c r="AE158" s="52"/>
      <c r="AF158" s="461"/>
      <c r="AG158" s="461"/>
      <c r="AH158" s="48"/>
      <c r="AI158" s="461"/>
      <c r="AJ158" s="465"/>
      <c r="AK158" s="445"/>
      <c r="AL158" s="445"/>
      <c r="AM158" s="445"/>
      <c r="AN158" s="453"/>
    </row>
    <row r="159" spans="1:40" ht="13" hidden="1" customHeight="1">
      <c r="A159">
        <v>141</v>
      </c>
      <c r="B159" s="6" t="s">
        <v>188</v>
      </c>
      <c r="C159" t="s">
        <v>61</v>
      </c>
      <c r="D159" t="s">
        <v>62</v>
      </c>
      <c r="E159">
        <v>1000</v>
      </c>
      <c r="F159" t="s">
        <v>115</v>
      </c>
      <c r="G159" s="117" t="s">
        <v>52</v>
      </c>
      <c r="H159" t="s">
        <v>76</v>
      </c>
      <c r="I159">
        <v>3.8</v>
      </c>
      <c r="J159" t="s">
        <v>77</v>
      </c>
      <c r="K159">
        <v>1999</v>
      </c>
      <c r="L159" s="80" t="s">
        <v>1123</v>
      </c>
      <c r="M159" s="80"/>
      <c r="N159" s="80"/>
      <c r="O159" t="s">
        <v>1120</v>
      </c>
      <c r="P159" s="19" t="s">
        <v>122</v>
      </c>
      <c r="Q159" s="55" t="s">
        <v>38</v>
      </c>
      <c r="R159" s="19" t="s">
        <v>38</v>
      </c>
      <c r="S159" s="19" t="s">
        <v>38</v>
      </c>
      <c r="T159" s="19" t="s">
        <v>122</v>
      </c>
      <c r="U159" s="19"/>
      <c r="V159" s="416"/>
      <c r="W159" s="392"/>
      <c r="X159" s="392"/>
      <c r="Y159" s="392"/>
      <c r="Z159" s="199"/>
      <c r="AA159" s="199"/>
      <c r="AB159" s="199"/>
      <c r="AC159" s="199"/>
      <c r="AE159" s="52"/>
      <c r="AF159" s="461"/>
      <c r="AG159" s="461"/>
      <c r="AH159" s="48"/>
      <c r="AI159" s="461"/>
      <c r="AJ159" s="465"/>
      <c r="AK159" s="445"/>
      <c r="AL159" s="445"/>
      <c r="AM159" s="445"/>
      <c r="AN159" s="453"/>
    </row>
    <row r="160" spans="1:40" ht="13" hidden="1" customHeight="1">
      <c r="A160">
        <v>142</v>
      </c>
      <c r="B160" s="6" t="s">
        <v>200</v>
      </c>
      <c r="C160" t="s">
        <v>61</v>
      </c>
      <c r="D160" t="s">
        <v>62</v>
      </c>
      <c r="E160">
        <v>1000</v>
      </c>
      <c r="F160" t="s">
        <v>115</v>
      </c>
      <c r="G160" s="117" t="s">
        <v>52</v>
      </c>
      <c r="H160" t="s">
        <v>76</v>
      </c>
      <c r="I160">
        <v>5.4</v>
      </c>
      <c r="J160" t="s">
        <v>77</v>
      </c>
      <c r="K160">
        <v>1999</v>
      </c>
      <c r="L160" s="80" t="s">
        <v>1123</v>
      </c>
      <c r="M160" s="80"/>
      <c r="N160" s="80"/>
      <c r="O160" t="s">
        <v>1120</v>
      </c>
      <c r="P160" s="19" t="s">
        <v>122</v>
      </c>
      <c r="Q160" s="55" t="s">
        <v>38</v>
      </c>
      <c r="R160" s="19" t="s">
        <v>38</v>
      </c>
      <c r="S160" s="19" t="s">
        <v>38</v>
      </c>
      <c r="T160" s="19" t="s">
        <v>122</v>
      </c>
      <c r="U160" s="19"/>
      <c r="V160" s="416"/>
      <c r="W160" s="392"/>
      <c r="X160" s="392"/>
      <c r="Y160" s="392"/>
      <c r="Z160" s="199"/>
      <c r="AA160" s="199"/>
      <c r="AB160" s="199"/>
      <c r="AC160" s="199"/>
      <c r="AE160" s="52"/>
      <c r="AF160" s="461"/>
      <c r="AG160" s="461"/>
      <c r="AH160" s="48"/>
      <c r="AI160" s="461"/>
      <c r="AJ160" s="465"/>
      <c r="AK160" s="445"/>
      <c r="AL160" s="445"/>
      <c r="AM160" s="445"/>
      <c r="AN160" s="453"/>
    </row>
    <row r="161" spans="1:40" ht="13" hidden="1" customHeight="1">
      <c r="A161">
        <v>146</v>
      </c>
      <c r="B161" t="s">
        <v>203</v>
      </c>
      <c r="C161" t="s">
        <v>61</v>
      </c>
      <c r="D161" t="s">
        <v>62</v>
      </c>
      <c r="E161">
        <v>1300</v>
      </c>
      <c r="F161" t="s">
        <v>493</v>
      </c>
      <c r="G161" s="117" t="s">
        <v>52</v>
      </c>
      <c r="H161" t="s">
        <v>76</v>
      </c>
      <c r="I161">
        <v>0.9</v>
      </c>
      <c r="J161" t="s">
        <v>77</v>
      </c>
      <c r="K161">
        <v>1999</v>
      </c>
      <c r="L161" s="80" t="s">
        <v>1123</v>
      </c>
      <c r="M161" s="80"/>
      <c r="N161" s="80"/>
      <c r="P161" s="55" t="s">
        <v>38</v>
      </c>
      <c r="Q161" s="55" t="s">
        <v>38</v>
      </c>
      <c r="R161" s="19" t="s">
        <v>38</v>
      </c>
      <c r="S161" s="19" t="s">
        <v>38</v>
      </c>
      <c r="T161" s="19" t="s">
        <v>122</v>
      </c>
      <c r="U161" s="19"/>
      <c r="V161" s="416"/>
      <c r="W161" s="392"/>
      <c r="X161" s="392"/>
      <c r="Y161" s="392"/>
      <c r="Z161" s="199"/>
      <c r="AA161" s="199"/>
      <c r="AB161" s="199"/>
      <c r="AC161" s="199"/>
      <c r="AE161" s="52"/>
      <c r="AF161" s="461"/>
      <c r="AG161" s="461"/>
      <c r="AH161" s="48"/>
      <c r="AI161" s="461"/>
      <c r="AJ161" s="465"/>
      <c r="AK161" s="445"/>
      <c r="AL161" s="445"/>
      <c r="AM161" s="445"/>
      <c r="AN161" s="453"/>
    </row>
    <row r="162" spans="1:40" ht="13" hidden="1" customHeight="1">
      <c r="A162">
        <v>147</v>
      </c>
      <c r="B162" t="s">
        <v>204</v>
      </c>
      <c r="C162" t="s">
        <v>61</v>
      </c>
      <c r="D162" t="s">
        <v>62</v>
      </c>
      <c r="E162">
        <v>1000</v>
      </c>
      <c r="F162" t="s">
        <v>493</v>
      </c>
      <c r="G162" s="117" t="s">
        <v>52</v>
      </c>
      <c r="H162" t="s">
        <v>76</v>
      </c>
      <c r="I162">
        <v>0.9</v>
      </c>
      <c r="J162" t="s">
        <v>77</v>
      </c>
      <c r="K162">
        <v>1999</v>
      </c>
      <c r="L162" s="80" t="s">
        <v>1123</v>
      </c>
      <c r="M162" s="80"/>
      <c r="N162" s="80"/>
      <c r="P162" s="55" t="s">
        <v>38</v>
      </c>
      <c r="Q162" s="55" t="s">
        <v>38</v>
      </c>
      <c r="R162" s="19" t="s">
        <v>38</v>
      </c>
      <c r="S162" s="19" t="s">
        <v>38</v>
      </c>
      <c r="T162" s="19" t="s">
        <v>122</v>
      </c>
      <c r="U162" s="19"/>
      <c r="V162" s="416"/>
      <c r="W162" s="392"/>
      <c r="X162" s="392"/>
      <c r="Y162" s="392"/>
      <c r="Z162" s="199"/>
      <c r="AA162" s="199"/>
      <c r="AB162" s="199"/>
      <c r="AC162" s="199"/>
      <c r="AE162" s="52"/>
      <c r="AF162" s="461"/>
      <c r="AG162" s="461"/>
      <c r="AH162" s="48"/>
      <c r="AI162" s="461"/>
      <c r="AJ162" s="465"/>
      <c r="AK162" s="445"/>
      <c r="AL162" s="445"/>
      <c r="AM162" s="445"/>
      <c r="AN162" s="453"/>
    </row>
    <row r="163" spans="1:40" ht="13" hidden="1" customHeight="1">
      <c r="B163" t="s">
        <v>738</v>
      </c>
      <c r="C163" t="s">
        <v>61</v>
      </c>
      <c r="D163" t="s">
        <v>62</v>
      </c>
      <c r="E163">
        <v>1000</v>
      </c>
      <c r="F163" t="s">
        <v>63</v>
      </c>
      <c r="G163" t="s">
        <v>32</v>
      </c>
      <c r="H163" s="5" t="s">
        <v>33</v>
      </c>
      <c r="I163" s="5">
        <f>0.4*1000000</f>
        <v>400000</v>
      </c>
      <c r="J163" s="5" t="s">
        <v>34</v>
      </c>
      <c r="K163">
        <v>2010</v>
      </c>
      <c r="L163" t="s">
        <v>732</v>
      </c>
      <c r="M163" s="80"/>
      <c r="O163" s="5"/>
      <c r="P163" s="148"/>
      <c r="Q163" s="5"/>
      <c r="R163" s="19"/>
      <c r="S163" s="5"/>
      <c r="T163" s="55"/>
      <c r="U163" s="19"/>
      <c r="V163" s="416"/>
      <c r="W163" s="392"/>
      <c r="X163" s="392"/>
      <c r="Y163" s="392"/>
      <c r="Z163" s="199"/>
      <c r="AA163" s="199"/>
      <c r="AB163" s="199"/>
      <c r="AC163" s="199"/>
      <c r="AE163" s="52"/>
      <c r="AF163" s="461"/>
      <c r="AG163" s="461"/>
      <c r="AH163" s="48"/>
      <c r="AI163" s="461"/>
      <c r="AJ163" s="465"/>
      <c r="AK163" s="445"/>
      <c r="AL163" s="445"/>
      <c r="AM163" s="445"/>
      <c r="AN163" s="453"/>
    </row>
    <row r="164" spans="1:40" ht="13" customHeight="1">
      <c r="B164" t="s">
        <v>741</v>
      </c>
      <c r="C164" t="s">
        <v>61</v>
      </c>
      <c r="D164" t="s">
        <v>62</v>
      </c>
      <c r="E164">
        <v>1000</v>
      </c>
      <c r="F164" t="s">
        <v>63</v>
      </c>
      <c r="G164" t="s">
        <v>52</v>
      </c>
      <c r="H164" s="5" t="s">
        <v>76</v>
      </c>
      <c r="I164" s="5">
        <f>(0.4*1000000)/(8760*1000*0.8)</f>
        <v>5.7077625570776253E-2</v>
      </c>
      <c r="J164" s="5" t="s">
        <v>128</v>
      </c>
      <c r="K164">
        <v>2010</v>
      </c>
      <c r="L164" t="s">
        <v>732</v>
      </c>
      <c r="O164" s="5"/>
      <c r="P164" s="148"/>
      <c r="Q164" s="5"/>
      <c r="R164" s="19"/>
      <c r="S164" s="5"/>
      <c r="T164" s="55"/>
      <c r="U164" s="19"/>
      <c r="V164" s="416"/>
      <c r="W164" s="392"/>
      <c r="X164" s="392"/>
      <c r="Y164" s="392"/>
      <c r="Z164" s="199"/>
      <c r="AA164" s="199"/>
      <c r="AB164" s="199"/>
      <c r="AC164" s="199"/>
      <c r="AE164" s="52"/>
      <c r="AF164" s="461"/>
      <c r="AG164" s="461"/>
      <c r="AH164" s="48"/>
      <c r="AI164" s="461"/>
      <c r="AJ164" s="465"/>
      <c r="AK164" s="445"/>
      <c r="AL164" s="445"/>
      <c r="AM164" s="445"/>
      <c r="AN164" s="453"/>
    </row>
    <row r="165" spans="1:40" ht="13" customHeight="1">
      <c r="B165" t="s">
        <v>200</v>
      </c>
      <c r="C165" t="s">
        <v>61</v>
      </c>
      <c r="D165" t="s">
        <v>62</v>
      </c>
      <c r="E165">
        <v>1000</v>
      </c>
      <c r="F165" t="s">
        <v>63</v>
      </c>
      <c r="G165" t="s">
        <v>52</v>
      </c>
      <c r="H165" s="5" t="s">
        <v>76</v>
      </c>
      <c r="I165" s="5">
        <f>(0.4*1000000)/(0.85*8760*1000)</f>
        <v>5.3720118184260007E-2</v>
      </c>
      <c r="J165" s="5" t="s">
        <v>128</v>
      </c>
      <c r="K165">
        <v>2010</v>
      </c>
      <c r="L165" t="s">
        <v>732</v>
      </c>
      <c r="O165" s="5"/>
      <c r="P165" s="148">
        <v>0.85</v>
      </c>
      <c r="Q165" s="5"/>
      <c r="R165" s="19"/>
      <c r="S165" s="5"/>
      <c r="T165" s="55"/>
      <c r="U165" s="19"/>
      <c r="V165" s="416"/>
      <c r="W165" s="392"/>
      <c r="X165" s="392"/>
      <c r="Y165" s="392"/>
      <c r="Z165" s="199"/>
      <c r="AA165" s="199"/>
      <c r="AB165" s="199"/>
      <c r="AC165" s="199"/>
      <c r="AE165" s="53"/>
      <c r="AF165" s="461"/>
      <c r="AG165" s="461"/>
      <c r="AH165" s="48"/>
      <c r="AI165" s="461"/>
      <c r="AJ165" s="465"/>
      <c r="AK165" s="445"/>
      <c r="AL165" s="445"/>
      <c r="AM165" s="445"/>
      <c r="AN165" s="453"/>
    </row>
    <row r="166" spans="1:40" ht="17.100000000000001" customHeight="1" thickBot="1">
      <c r="B166" t="s">
        <v>737</v>
      </c>
      <c r="C166" t="s">
        <v>61</v>
      </c>
      <c r="D166" t="s">
        <v>62</v>
      </c>
      <c r="E166">
        <v>1000</v>
      </c>
      <c r="F166" t="s">
        <v>63</v>
      </c>
      <c r="G166" t="s">
        <v>52</v>
      </c>
      <c r="H166" s="5" t="s">
        <v>76</v>
      </c>
      <c r="I166" s="5">
        <f>(0.4*1000000)/(0.85*8760*1000)</f>
        <v>5.3720118184260007E-2</v>
      </c>
      <c r="J166" s="5" t="s">
        <v>128</v>
      </c>
      <c r="K166">
        <v>2010</v>
      </c>
      <c r="L166" t="s">
        <v>732</v>
      </c>
      <c r="O166" s="5"/>
      <c r="P166" s="148">
        <v>0.85</v>
      </c>
      <c r="Q166" s="5"/>
      <c r="R166" s="19"/>
      <c r="S166" s="5"/>
      <c r="T166" s="55"/>
      <c r="U166" s="19"/>
      <c r="V166" s="416"/>
      <c r="W166" s="392"/>
      <c r="X166" s="392"/>
      <c r="Y166" s="392"/>
      <c r="Z166" s="199"/>
      <c r="AA166" s="199"/>
      <c r="AB166" s="199"/>
      <c r="AC166" s="199"/>
      <c r="AE166" s="41" t="s">
        <v>149</v>
      </c>
      <c r="AF166" s="462"/>
      <c r="AG166" s="462"/>
      <c r="AH166" s="49"/>
      <c r="AI166" s="462"/>
      <c r="AJ166" s="466"/>
      <c r="AK166" s="446"/>
      <c r="AL166" s="446"/>
      <c r="AM166" s="446"/>
      <c r="AN166" s="454"/>
    </row>
    <row r="167" spans="1:40" ht="17.100000000000001" customHeight="1">
      <c r="B167" t="s">
        <v>736</v>
      </c>
      <c r="C167" t="s">
        <v>61</v>
      </c>
      <c r="D167" t="s">
        <v>62</v>
      </c>
      <c r="E167">
        <v>1000</v>
      </c>
      <c r="F167" t="s">
        <v>63</v>
      </c>
      <c r="G167" t="s">
        <v>52</v>
      </c>
      <c r="H167" s="5" t="s">
        <v>76</v>
      </c>
      <c r="I167" s="5">
        <f>(0.4*1000000)/(0.85*8760*1000)</f>
        <v>5.3720118184260007E-2</v>
      </c>
      <c r="J167" s="5" t="s">
        <v>128</v>
      </c>
      <c r="K167">
        <v>2010</v>
      </c>
      <c r="L167" t="s">
        <v>732</v>
      </c>
      <c r="O167" s="5"/>
      <c r="P167" s="148">
        <v>0.85</v>
      </c>
      <c r="Q167" s="5"/>
      <c r="R167" s="19"/>
      <c r="S167" s="5"/>
      <c r="T167" s="55"/>
      <c r="U167" s="19"/>
      <c r="V167" s="416"/>
      <c r="W167" s="392"/>
      <c r="X167" s="392"/>
      <c r="Y167" s="392"/>
      <c r="Z167" s="199"/>
      <c r="AA167" s="199"/>
      <c r="AB167" s="199"/>
      <c r="AC167" s="199"/>
      <c r="AE167" s="132"/>
      <c r="AF167" s="48"/>
      <c r="AG167" s="48"/>
      <c r="AH167" s="48"/>
      <c r="AI167" s="48"/>
      <c r="AJ167" s="44"/>
      <c r="AK167" s="44"/>
      <c r="AL167" s="44"/>
      <c r="AM167" s="44"/>
      <c r="AN167" s="45"/>
    </row>
    <row r="168" spans="1:40" ht="17.100000000000001" customHeight="1" thickBot="1">
      <c r="B168" t="s">
        <v>735</v>
      </c>
      <c r="C168" t="s">
        <v>61</v>
      </c>
      <c r="D168" t="s">
        <v>62</v>
      </c>
      <c r="E168">
        <v>1450</v>
      </c>
      <c r="F168" t="s">
        <v>63</v>
      </c>
      <c r="G168" t="s">
        <v>52</v>
      </c>
      <c r="H168" s="5" t="s">
        <v>76</v>
      </c>
      <c r="I168" s="5">
        <f>(0.4*1000000)/(0.75*8760*1450)</f>
        <v>4.1988138350915867E-2</v>
      </c>
      <c r="J168" s="5" t="s">
        <v>128</v>
      </c>
      <c r="K168">
        <v>2010</v>
      </c>
      <c r="L168" t="s">
        <v>732</v>
      </c>
      <c r="O168" s="5"/>
      <c r="P168" s="148"/>
      <c r="Q168" s="5"/>
      <c r="R168" s="19"/>
      <c r="S168" s="5"/>
      <c r="T168" s="55"/>
      <c r="U168" s="19"/>
      <c r="V168" s="416"/>
      <c r="W168" s="392"/>
      <c r="X168" s="392"/>
      <c r="Y168" s="392"/>
      <c r="Z168" s="199"/>
      <c r="AA168" s="199"/>
      <c r="AB168" s="199"/>
      <c r="AC168" s="199"/>
      <c r="AE168" s="132"/>
      <c r="AF168" s="48"/>
      <c r="AG168" s="48"/>
      <c r="AH168" s="48"/>
      <c r="AI168" s="48"/>
      <c r="AJ168" s="44"/>
      <c r="AK168" s="44"/>
      <c r="AL168" s="44"/>
      <c r="AM168" s="44"/>
      <c r="AN168" s="45"/>
    </row>
    <row r="169" spans="1:40" ht="13" customHeight="1">
      <c r="A169">
        <v>450</v>
      </c>
      <c r="B169" s="5" t="s">
        <v>60</v>
      </c>
      <c r="C169" s="5" t="s">
        <v>61</v>
      </c>
      <c r="D169" s="5" t="s">
        <v>62</v>
      </c>
      <c r="E169" s="5">
        <v>1200</v>
      </c>
      <c r="F169" s="5" t="s">
        <v>63</v>
      </c>
      <c r="G169" s="5" t="s">
        <v>52</v>
      </c>
      <c r="H169" s="5" t="s">
        <v>76</v>
      </c>
      <c r="I169" s="5">
        <f>(0.4*1000000)/(0.65*1200*8760)</f>
        <v>5.8541154431565393E-2</v>
      </c>
      <c r="J169" s="5" t="s">
        <v>128</v>
      </c>
      <c r="K169" s="5">
        <v>1983</v>
      </c>
      <c r="L169" s="5" t="s">
        <v>428</v>
      </c>
      <c r="M169" s="5"/>
      <c r="N169" s="5"/>
      <c r="O169" s="5"/>
      <c r="P169" s="148" t="s">
        <v>38</v>
      </c>
      <c r="Q169" s="55" t="s">
        <v>38</v>
      </c>
      <c r="R169" s="19" t="s">
        <v>38</v>
      </c>
      <c r="S169" s="19" t="s">
        <v>38</v>
      </c>
      <c r="T169" s="55" t="s">
        <v>38</v>
      </c>
      <c r="U169" s="19"/>
      <c r="V169" s="416"/>
      <c r="W169" s="392"/>
      <c r="X169" s="392"/>
      <c r="Y169" s="392"/>
      <c r="Z169" s="199"/>
      <c r="AA169" s="199"/>
      <c r="AB169" s="199"/>
      <c r="AC169" s="199"/>
      <c r="AE169" s="457"/>
      <c r="AF169" s="444" t="s">
        <v>191</v>
      </c>
      <c r="AG169" s="444"/>
      <c r="AH169" s="434" t="s">
        <v>192</v>
      </c>
      <c r="AI169" s="444" t="s">
        <v>193</v>
      </c>
      <c r="AJ169" s="444" t="s">
        <v>194</v>
      </c>
      <c r="AK169" s="444" t="s">
        <v>195</v>
      </c>
      <c r="AL169" s="444" t="s">
        <v>196</v>
      </c>
      <c r="AM169" s="444" t="s">
        <v>197</v>
      </c>
      <c r="AN169" s="447" t="s">
        <v>198</v>
      </c>
    </row>
    <row r="170" spans="1:40" ht="13" hidden="1" customHeight="1">
      <c r="B170" t="s">
        <v>1102</v>
      </c>
      <c r="C170" t="s">
        <v>61</v>
      </c>
      <c r="D170" t="s">
        <v>62</v>
      </c>
      <c r="E170">
        <v>1164</v>
      </c>
      <c r="F170" t="s">
        <v>63</v>
      </c>
      <c r="G170" t="s">
        <v>32</v>
      </c>
      <c r="H170" t="s">
        <v>33</v>
      </c>
      <c r="I170">
        <f>((102*1000000)/25)*0.789</f>
        <v>3219120</v>
      </c>
      <c r="J170" t="s">
        <v>34</v>
      </c>
      <c r="K170">
        <v>1984</v>
      </c>
      <c r="L170" s="5" t="s">
        <v>938</v>
      </c>
      <c r="M170" s="185"/>
      <c r="N170" s="5"/>
      <c r="O170" t="s">
        <v>1103</v>
      </c>
      <c r="P170" s="55"/>
      <c r="Q170" s="55"/>
      <c r="R170" s="19"/>
      <c r="S170" s="19"/>
      <c r="T170" s="19"/>
      <c r="U170" s="19"/>
      <c r="V170" s="416"/>
      <c r="W170" s="392"/>
      <c r="X170" s="392"/>
      <c r="Y170" s="392"/>
      <c r="Z170" s="199"/>
      <c r="AA170" s="199"/>
      <c r="AB170" s="199"/>
      <c r="AC170" s="199"/>
      <c r="AE170" s="458"/>
      <c r="AF170" s="445"/>
      <c r="AG170" s="445"/>
      <c r="AH170" s="435"/>
      <c r="AI170" s="445"/>
      <c r="AJ170" s="445"/>
      <c r="AK170" s="445"/>
      <c r="AL170" s="445"/>
      <c r="AM170" s="445"/>
      <c r="AN170" s="448"/>
    </row>
    <row r="171" spans="1:40" ht="13" hidden="1" customHeight="1">
      <c r="B171" t="s">
        <v>939</v>
      </c>
      <c r="C171" t="s">
        <v>61</v>
      </c>
      <c r="D171" t="s">
        <v>62</v>
      </c>
      <c r="E171">
        <v>1247</v>
      </c>
      <c r="F171" t="s">
        <v>63</v>
      </c>
      <c r="G171" t="s">
        <v>32</v>
      </c>
      <c r="H171" t="s">
        <v>33</v>
      </c>
      <c r="I171">
        <f>((105*1000000)/25)*0.789</f>
        <v>3313800</v>
      </c>
      <c r="J171" t="s">
        <v>34</v>
      </c>
      <c r="K171">
        <v>1984</v>
      </c>
      <c r="L171" s="5" t="s">
        <v>938</v>
      </c>
      <c r="M171" s="185"/>
      <c r="N171" s="5"/>
      <c r="O171" t="s">
        <v>1101</v>
      </c>
      <c r="P171" s="19" t="s">
        <v>122</v>
      </c>
      <c r="Q171" s="55" t="s">
        <v>38</v>
      </c>
      <c r="R171" s="19"/>
      <c r="S171" s="19"/>
      <c r="T171" s="19" t="s">
        <v>122</v>
      </c>
      <c r="U171" s="19"/>
      <c r="V171" s="416"/>
      <c r="W171" s="392"/>
      <c r="X171" s="392"/>
      <c r="Y171" s="392"/>
      <c r="Z171" s="199"/>
      <c r="AA171" s="199"/>
      <c r="AB171" s="199"/>
      <c r="AC171" s="199"/>
      <c r="AE171" s="458"/>
      <c r="AF171" s="445"/>
      <c r="AG171" s="445"/>
      <c r="AH171" s="435"/>
      <c r="AI171" s="445"/>
      <c r="AJ171" s="445"/>
      <c r="AK171" s="445"/>
      <c r="AL171" s="445"/>
      <c r="AM171" s="445"/>
      <c r="AN171" s="448"/>
    </row>
    <row r="172" spans="1:40" ht="13" hidden="1" customHeight="1">
      <c r="B172" t="s">
        <v>940</v>
      </c>
      <c r="C172" t="s">
        <v>61</v>
      </c>
      <c r="D172" t="s">
        <v>62</v>
      </c>
      <c r="E172">
        <v>1203</v>
      </c>
      <c r="F172" t="s">
        <v>63</v>
      </c>
      <c r="G172" t="s">
        <v>32</v>
      </c>
      <c r="H172" t="s">
        <v>33</v>
      </c>
      <c r="I172">
        <f>((107*1000000)/25)*0.789</f>
        <v>3376920</v>
      </c>
      <c r="J172" t="s">
        <v>34</v>
      </c>
      <c r="K172">
        <v>1984</v>
      </c>
      <c r="L172" s="5" t="s">
        <v>938</v>
      </c>
      <c r="M172" s="185"/>
      <c r="N172" s="5"/>
      <c r="O172" t="s">
        <v>1101</v>
      </c>
      <c r="P172" s="19" t="s">
        <v>122</v>
      </c>
      <c r="Q172" s="55" t="s">
        <v>38</v>
      </c>
      <c r="R172" s="19"/>
      <c r="S172" s="19"/>
      <c r="T172" s="19" t="s">
        <v>122</v>
      </c>
      <c r="U172" s="19"/>
      <c r="V172" s="416"/>
      <c r="W172" s="392"/>
      <c r="X172" s="392"/>
      <c r="Y172" s="392"/>
      <c r="Z172" s="199"/>
      <c r="AA172" s="199"/>
      <c r="AB172" s="199"/>
      <c r="AC172" s="199"/>
      <c r="AE172" s="458"/>
      <c r="AF172" s="445"/>
      <c r="AG172" s="445"/>
      <c r="AH172" s="435"/>
      <c r="AI172" s="445"/>
      <c r="AJ172" s="445"/>
      <c r="AK172" s="445"/>
      <c r="AL172" s="445"/>
      <c r="AM172" s="445"/>
      <c r="AN172" s="448"/>
    </row>
    <row r="173" spans="1:40" ht="13" hidden="1" customHeight="1">
      <c r="B173" t="s">
        <v>941</v>
      </c>
      <c r="C173" t="s">
        <v>61</v>
      </c>
      <c r="D173" t="s">
        <v>62</v>
      </c>
      <c r="E173">
        <v>1209</v>
      </c>
      <c r="F173" t="s">
        <v>63</v>
      </c>
      <c r="G173" t="s">
        <v>32</v>
      </c>
      <c r="H173" t="s">
        <v>33</v>
      </c>
      <c r="I173">
        <f>((104*1000000)/25)*0.789</f>
        <v>3282240</v>
      </c>
      <c r="J173" t="s">
        <v>34</v>
      </c>
      <c r="K173">
        <v>1984</v>
      </c>
      <c r="L173" s="5" t="s">
        <v>938</v>
      </c>
      <c r="M173" s="185"/>
      <c r="N173" s="5"/>
      <c r="O173" t="s">
        <v>1101</v>
      </c>
      <c r="P173" s="19" t="s">
        <v>122</v>
      </c>
      <c r="Q173" s="55" t="s">
        <v>38</v>
      </c>
      <c r="R173" s="19"/>
      <c r="S173" s="19"/>
      <c r="T173" s="19" t="s">
        <v>122</v>
      </c>
      <c r="U173" s="19"/>
      <c r="V173" s="416"/>
      <c r="W173" s="392"/>
      <c r="X173" s="392"/>
      <c r="Y173" s="392"/>
      <c r="Z173" s="199"/>
      <c r="AA173" s="199"/>
      <c r="AB173" s="199"/>
      <c r="AC173" s="199"/>
      <c r="AE173" s="458"/>
      <c r="AF173" s="445"/>
      <c r="AG173" s="445"/>
      <c r="AH173" s="435"/>
      <c r="AI173" s="445"/>
      <c r="AJ173" s="445"/>
      <c r="AK173" s="445"/>
      <c r="AL173" s="445"/>
      <c r="AM173" s="445"/>
      <c r="AN173" s="448"/>
    </row>
    <row r="174" spans="1:40" ht="13" hidden="1" customHeight="1">
      <c r="A174">
        <v>456</v>
      </c>
      <c r="B174" t="s">
        <v>674</v>
      </c>
      <c r="C174" t="s">
        <v>61</v>
      </c>
      <c r="D174" t="s">
        <v>62</v>
      </c>
      <c r="E174">
        <v>1200</v>
      </c>
      <c r="F174" t="s">
        <v>63</v>
      </c>
      <c r="G174" t="s">
        <v>57</v>
      </c>
      <c r="H174" t="s">
        <v>33</v>
      </c>
      <c r="I174">
        <f>0.22*1000000</f>
        <v>220000</v>
      </c>
      <c r="J174" t="s">
        <v>34</v>
      </c>
      <c r="K174">
        <v>2020</v>
      </c>
      <c r="L174" t="s">
        <v>433</v>
      </c>
      <c r="M174" s="80"/>
      <c r="P174" s="55" t="s">
        <v>38</v>
      </c>
      <c r="Q174" s="55" t="s">
        <v>38</v>
      </c>
      <c r="R174" s="19" t="s">
        <v>38</v>
      </c>
      <c r="S174" s="19" t="s">
        <v>38</v>
      </c>
      <c r="T174" s="55" t="s">
        <v>38</v>
      </c>
      <c r="U174" s="19"/>
      <c r="V174" s="416"/>
      <c r="W174" s="392"/>
      <c r="X174" s="392"/>
      <c r="Y174" s="392"/>
      <c r="Z174" s="199"/>
      <c r="AA174" s="199"/>
      <c r="AB174" s="199"/>
      <c r="AC174" s="199"/>
      <c r="AE174" s="458"/>
      <c r="AF174" s="445"/>
      <c r="AG174" s="445"/>
      <c r="AH174" s="435"/>
      <c r="AI174" s="445"/>
      <c r="AJ174" s="445"/>
      <c r="AK174" s="445"/>
      <c r="AL174" s="445"/>
      <c r="AM174" s="445"/>
      <c r="AN174" s="448"/>
    </row>
    <row r="175" spans="1:40" ht="13" customHeight="1">
      <c r="B175" t="s">
        <v>795</v>
      </c>
      <c r="C175" t="s">
        <v>30</v>
      </c>
      <c r="D175" t="s">
        <v>796</v>
      </c>
      <c r="E175">
        <v>972</v>
      </c>
      <c r="F175" t="s">
        <v>63</v>
      </c>
      <c r="G175" t="s">
        <v>52</v>
      </c>
      <c r="H175" t="s">
        <v>76</v>
      </c>
      <c r="I175">
        <f>(4.08*1000000)/(0.794*972*8760)</f>
        <v>0.60348890425300639</v>
      </c>
      <c r="J175" t="s">
        <v>128</v>
      </c>
      <c r="K175">
        <v>1991</v>
      </c>
      <c r="L175" t="s">
        <v>799</v>
      </c>
      <c r="O175" s="13"/>
      <c r="P175" s="2">
        <v>0.79400000000000004</v>
      </c>
      <c r="Q175" t="s">
        <v>37</v>
      </c>
      <c r="R175" s="19" t="s">
        <v>38</v>
      </c>
      <c r="S175" s="19" t="s">
        <v>38</v>
      </c>
      <c r="T175" s="19" t="s">
        <v>38</v>
      </c>
      <c r="U175" s="19"/>
      <c r="V175" s="416"/>
      <c r="W175" s="392"/>
      <c r="X175" s="392"/>
      <c r="Y175" s="392"/>
      <c r="Z175" s="199"/>
      <c r="AA175" s="199"/>
      <c r="AB175" s="199"/>
      <c r="AC175" s="199"/>
      <c r="AE175" s="458"/>
      <c r="AF175" s="445"/>
      <c r="AG175" s="445"/>
      <c r="AH175" s="435"/>
      <c r="AI175" s="445"/>
      <c r="AJ175" s="445"/>
      <c r="AK175" s="445"/>
      <c r="AL175" s="445"/>
      <c r="AM175" s="445"/>
      <c r="AN175" s="448"/>
    </row>
    <row r="176" spans="1:40" ht="13" customHeight="1">
      <c r="B176" t="s">
        <v>797</v>
      </c>
      <c r="C176" t="s">
        <v>30</v>
      </c>
      <c r="D176" t="s">
        <v>798</v>
      </c>
      <c r="E176">
        <v>999</v>
      </c>
      <c r="F176" t="s">
        <v>63</v>
      </c>
      <c r="G176" t="s">
        <v>52</v>
      </c>
      <c r="H176" t="s">
        <v>76</v>
      </c>
      <c r="I176">
        <f>(5.6*1000000)/(0.794*972*8760)</f>
        <v>0.82831810387667537</v>
      </c>
      <c r="J176" t="s">
        <v>128</v>
      </c>
      <c r="K176">
        <v>1991</v>
      </c>
      <c r="L176" t="s">
        <v>799</v>
      </c>
      <c r="O176" s="13"/>
      <c r="P176" s="2">
        <v>0.80800000000000005</v>
      </c>
      <c r="Q176" t="s">
        <v>37</v>
      </c>
      <c r="R176" s="19" t="s">
        <v>38</v>
      </c>
      <c r="S176" s="19" t="s">
        <v>38</v>
      </c>
      <c r="T176" s="19" t="s">
        <v>38</v>
      </c>
      <c r="U176" s="19"/>
      <c r="V176" s="416"/>
      <c r="W176" s="392"/>
      <c r="X176" s="392"/>
      <c r="Y176" s="392"/>
      <c r="Z176" s="199"/>
      <c r="AA176" s="199"/>
      <c r="AB176" s="199"/>
      <c r="AC176" s="199"/>
      <c r="AE176" s="458"/>
      <c r="AF176" s="445"/>
      <c r="AG176" s="445"/>
      <c r="AH176" s="435"/>
      <c r="AI176" s="445"/>
      <c r="AJ176" s="445"/>
      <c r="AK176" s="445"/>
      <c r="AL176" s="445"/>
      <c r="AM176" s="445"/>
      <c r="AN176" s="448"/>
    </row>
    <row r="177" spans="1:40" ht="13" hidden="1" customHeight="1">
      <c r="A177">
        <v>511</v>
      </c>
      <c r="B177" t="s">
        <v>469</v>
      </c>
      <c r="C177" t="s">
        <v>470</v>
      </c>
      <c r="D177" t="s">
        <v>471</v>
      </c>
      <c r="E177">
        <v>150</v>
      </c>
      <c r="F177" t="s">
        <v>63</v>
      </c>
      <c r="G177" t="s">
        <v>52</v>
      </c>
      <c r="H177" t="s">
        <v>76</v>
      </c>
      <c r="I177">
        <v>109570</v>
      </c>
      <c r="J177" t="s">
        <v>484</v>
      </c>
      <c r="K177">
        <v>2016</v>
      </c>
      <c r="L177" t="s">
        <v>472</v>
      </c>
      <c r="M177" s="80"/>
      <c r="O177" t="s">
        <v>485</v>
      </c>
      <c r="P177" s="55" t="s">
        <v>38</v>
      </c>
      <c r="Q177" s="55" t="s">
        <v>38</v>
      </c>
      <c r="R177" s="13" t="s">
        <v>717</v>
      </c>
      <c r="S177" s="19" t="s">
        <v>38</v>
      </c>
      <c r="T177" s="55" t="s">
        <v>38</v>
      </c>
      <c r="U177" s="19"/>
      <c r="V177" s="391" t="s">
        <v>1079</v>
      </c>
      <c r="W177" s="392" t="s">
        <v>926</v>
      </c>
      <c r="X177" s="392" t="s">
        <v>925</v>
      </c>
      <c r="Y177" s="392" t="s">
        <v>927</v>
      </c>
      <c r="Z177" s="199"/>
      <c r="AA177" s="199"/>
      <c r="AB177" s="199"/>
      <c r="AC177" s="199"/>
      <c r="AE177" s="458"/>
      <c r="AF177" s="445"/>
      <c r="AG177" s="445"/>
      <c r="AH177" s="435"/>
      <c r="AI177" s="445"/>
      <c r="AJ177" s="445"/>
      <c r="AK177" s="445"/>
      <c r="AL177" s="445"/>
      <c r="AM177" s="445"/>
      <c r="AN177" s="448"/>
    </row>
    <row r="178" spans="1:40" ht="13" hidden="1" customHeight="1">
      <c r="A178">
        <v>512</v>
      </c>
      <c r="B178" t="s">
        <v>483</v>
      </c>
      <c r="C178" t="s">
        <v>470</v>
      </c>
      <c r="D178" t="s">
        <v>471</v>
      </c>
      <c r="E178">
        <v>150</v>
      </c>
      <c r="F178" t="s">
        <v>63</v>
      </c>
      <c r="G178" t="s">
        <v>52</v>
      </c>
      <c r="H178" t="s">
        <v>76</v>
      </c>
      <c r="I178">
        <v>169570</v>
      </c>
      <c r="J178" t="s">
        <v>484</v>
      </c>
      <c r="K178">
        <v>2016</v>
      </c>
      <c r="L178" t="s">
        <v>472</v>
      </c>
      <c r="M178" s="80"/>
      <c r="O178" t="s">
        <v>485</v>
      </c>
      <c r="P178" s="55" t="s">
        <v>38</v>
      </c>
      <c r="Q178" s="55" t="s">
        <v>38</v>
      </c>
      <c r="R178" s="13" t="s">
        <v>717</v>
      </c>
      <c r="S178" s="19" t="s">
        <v>38</v>
      </c>
      <c r="T178" s="55" t="s">
        <v>38</v>
      </c>
      <c r="U178" s="19"/>
      <c r="V178" s="391"/>
      <c r="W178" s="392"/>
      <c r="X178" s="392"/>
      <c r="Y178" s="392"/>
      <c r="Z178" s="199"/>
      <c r="AA178" s="199"/>
      <c r="AB178" s="199"/>
      <c r="AC178" s="199"/>
      <c r="AE178" s="458"/>
      <c r="AF178" s="445"/>
      <c r="AG178" s="445"/>
      <c r="AH178" s="435"/>
      <c r="AI178" s="445"/>
      <c r="AJ178" s="445"/>
      <c r="AK178" s="445"/>
      <c r="AL178" s="445"/>
      <c r="AM178" s="445"/>
      <c r="AN178" s="448"/>
    </row>
    <row r="179" spans="1:40" ht="13" hidden="1" customHeight="1">
      <c r="A179">
        <v>255</v>
      </c>
      <c r="B179" s="169" t="s">
        <v>281</v>
      </c>
      <c r="C179" t="s">
        <v>61</v>
      </c>
      <c r="D179" s="141" t="s">
        <v>278</v>
      </c>
      <c r="E179">
        <v>1940</v>
      </c>
      <c r="F179" t="s">
        <v>493</v>
      </c>
      <c r="G179" s="119" t="s">
        <v>57</v>
      </c>
      <c r="H179" t="s">
        <v>76</v>
      </c>
      <c r="I179">
        <v>71.599999999999994</v>
      </c>
      <c r="J179" t="s">
        <v>77</v>
      </c>
      <c r="K179">
        <v>2003</v>
      </c>
      <c r="L179" s="185" t="s">
        <v>279</v>
      </c>
      <c r="M179" s="185"/>
      <c r="N179" s="185"/>
      <c r="O179" t="s">
        <v>285</v>
      </c>
      <c r="P179" s="19" t="s">
        <v>122</v>
      </c>
      <c r="Q179" s="55" t="s">
        <v>38</v>
      </c>
      <c r="R179" s="19" t="s">
        <v>38</v>
      </c>
      <c r="S179" s="19" t="s">
        <v>38</v>
      </c>
      <c r="T179" s="55" t="s">
        <v>38</v>
      </c>
      <c r="U179" s="19"/>
      <c r="V179" s="391"/>
      <c r="W179" s="392"/>
      <c r="X179" s="392"/>
      <c r="Y179" s="392"/>
      <c r="Z179" s="199"/>
      <c r="AA179" s="199"/>
      <c r="AB179" s="199"/>
      <c r="AC179" s="199"/>
      <c r="AE179" s="458"/>
      <c r="AF179" s="445"/>
      <c r="AG179" s="445"/>
      <c r="AH179" s="435"/>
      <c r="AI179" s="445"/>
      <c r="AJ179" s="445"/>
      <c r="AK179" s="445"/>
      <c r="AL179" s="445"/>
      <c r="AM179" s="445"/>
      <c r="AN179" s="448"/>
    </row>
    <row r="180" spans="1:40" ht="13" customHeight="1">
      <c r="A180">
        <v>549</v>
      </c>
      <c r="B180" s="141" t="s">
        <v>497</v>
      </c>
      <c r="C180" s="141" t="s">
        <v>61</v>
      </c>
      <c r="D180" s="141" t="s">
        <v>62</v>
      </c>
      <c r="E180" s="142">
        <v>1000</v>
      </c>
      <c r="F180" s="141" t="s">
        <v>63</v>
      </c>
      <c r="G180" s="6" t="s">
        <v>57</v>
      </c>
      <c r="H180" s="141" t="s">
        <v>76</v>
      </c>
      <c r="I180" s="142">
        <v>0.04</v>
      </c>
      <c r="J180" s="141" t="s">
        <v>77</v>
      </c>
      <c r="K180" s="142">
        <v>2003</v>
      </c>
      <c r="L180" s="141" t="s">
        <v>503</v>
      </c>
      <c r="M180" s="141"/>
      <c r="N180" s="141"/>
      <c r="O180" t="s">
        <v>389</v>
      </c>
      <c r="P180" s="19" t="s">
        <v>122</v>
      </c>
      <c r="Q180" s="55" t="s">
        <v>38</v>
      </c>
      <c r="R180" s="19" t="s">
        <v>38</v>
      </c>
      <c r="S180" s="19" t="s">
        <v>38</v>
      </c>
      <c r="T180" s="55" t="s">
        <v>38</v>
      </c>
      <c r="U180" s="19"/>
      <c r="V180" s="391"/>
      <c r="W180" s="392"/>
      <c r="X180" s="392"/>
      <c r="Y180" s="392"/>
      <c r="Z180" s="199"/>
      <c r="AA180" s="199"/>
      <c r="AB180" s="199"/>
      <c r="AC180" s="199"/>
      <c r="AE180" s="458"/>
      <c r="AF180" s="445"/>
      <c r="AG180" s="445"/>
      <c r="AH180" s="435"/>
      <c r="AI180" s="445"/>
      <c r="AJ180" s="445"/>
      <c r="AK180" s="445"/>
      <c r="AL180" s="445"/>
      <c r="AM180" s="445"/>
      <c r="AN180" s="448"/>
    </row>
    <row r="181" spans="1:40" ht="13" hidden="1" customHeight="1">
      <c r="A181">
        <v>249</v>
      </c>
      <c r="B181" s="169" t="s">
        <v>281</v>
      </c>
      <c r="C181" t="s">
        <v>61</v>
      </c>
      <c r="D181" s="141" t="s">
        <v>278</v>
      </c>
      <c r="E181">
        <v>1940</v>
      </c>
      <c r="F181" t="s">
        <v>493</v>
      </c>
      <c r="G181" s="119" t="s">
        <v>57</v>
      </c>
      <c r="H181" t="s">
        <v>76</v>
      </c>
      <c r="I181">
        <v>0.61199999999999999</v>
      </c>
      <c r="J181" t="s">
        <v>77</v>
      </c>
      <c r="K181">
        <v>2003</v>
      </c>
      <c r="L181" s="185" t="s">
        <v>279</v>
      </c>
      <c r="M181" s="185"/>
      <c r="N181" s="185"/>
      <c r="P181" s="55" t="s">
        <v>38</v>
      </c>
      <c r="Q181" s="55" t="s">
        <v>38</v>
      </c>
      <c r="R181" s="19" t="s">
        <v>38</v>
      </c>
      <c r="S181" s="19" t="s">
        <v>38</v>
      </c>
      <c r="T181" s="55" t="s">
        <v>38</v>
      </c>
      <c r="U181" s="19"/>
      <c r="V181" s="391"/>
      <c r="W181" s="392"/>
      <c r="X181" s="392"/>
      <c r="Y181" s="392"/>
      <c r="Z181" s="199"/>
      <c r="AA181" s="199"/>
      <c r="AB181" s="199"/>
      <c r="AC181" s="199"/>
      <c r="AE181" s="458"/>
      <c r="AF181" s="445"/>
      <c r="AG181" s="445"/>
      <c r="AH181" s="435"/>
      <c r="AI181" s="445"/>
      <c r="AJ181" s="445"/>
      <c r="AK181" s="445"/>
      <c r="AL181" s="445"/>
      <c r="AM181" s="445"/>
      <c r="AN181" s="448"/>
    </row>
    <row r="182" spans="1:40" ht="13" hidden="1" customHeight="1">
      <c r="A182">
        <v>250</v>
      </c>
      <c r="B182" s="169" t="s">
        <v>281</v>
      </c>
      <c r="C182" t="s">
        <v>61</v>
      </c>
      <c r="D182" s="141" t="s">
        <v>278</v>
      </c>
      <c r="E182">
        <v>1940</v>
      </c>
      <c r="F182" t="s">
        <v>115</v>
      </c>
      <c r="G182" s="119" t="s">
        <v>57</v>
      </c>
      <c r="H182" t="s">
        <v>33</v>
      </c>
      <c r="I182">
        <f>43.171*1000000</f>
        <v>43171000</v>
      </c>
      <c r="J182" t="s">
        <v>34</v>
      </c>
      <c r="K182">
        <v>2003</v>
      </c>
      <c r="L182" s="185" t="s">
        <v>279</v>
      </c>
      <c r="M182" s="185"/>
      <c r="N182" s="185"/>
      <c r="O182" t="s">
        <v>282</v>
      </c>
      <c r="P182" s="19" t="s">
        <v>122</v>
      </c>
      <c r="Q182" s="55" t="s">
        <v>38</v>
      </c>
      <c r="R182" s="19" t="s">
        <v>38</v>
      </c>
      <c r="S182" s="19" t="s">
        <v>38</v>
      </c>
      <c r="T182" s="55" t="s">
        <v>38</v>
      </c>
      <c r="U182" s="19"/>
      <c r="V182" s="391"/>
      <c r="W182" s="392"/>
      <c r="X182" s="392"/>
      <c r="Y182" s="392"/>
      <c r="Z182" s="199"/>
      <c r="AA182" s="199"/>
      <c r="AB182" s="199"/>
      <c r="AC182" s="199"/>
      <c r="AE182" s="458"/>
      <c r="AF182" s="445"/>
      <c r="AG182" s="445"/>
      <c r="AH182" s="435"/>
      <c r="AI182" s="445"/>
      <c r="AJ182" s="445"/>
      <c r="AK182" s="445"/>
      <c r="AL182" s="445"/>
      <c r="AM182" s="445"/>
      <c r="AN182" s="448"/>
    </row>
    <row r="183" spans="1:40" ht="13" customHeight="1">
      <c r="A183">
        <v>550</v>
      </c>
      <c r="B183" s="141" t="s">
        <v>505</v>
      </c>
      <c r="C183" s="141" t="s">
        <v>61</v>
      </c>
      <c r="D183" s="141" t="s">
        <v>107</v>
      </c>
      <c r="E183" s="142">
        <v>1000</v>
      </c>
      <c r="F183" s="141" t="s">
        <v>63</v>
      </c>
      <c r="G183" s="6" t="s">
        <v>57</v>
      </c>
      <c r="H183" s="141" t="s">
        <v>76</v>
      </c>
      <c r="I183" s="142">
        <v>0.04</v>
      </c>
      <c r="J183" s="141" t="s">
        <v>77</v>
      </c>
      <c r="K183" s="142">
        <v>2003</v>
      </c>
      <c r="L183" s="141" t="s">
        <v>503</v>
      </c>
      <c r="M183" s="141"/>
      <c r="N183" s="141"/>
      <c r="O183" t="s">
        <v>389</v>
      </c>
      <c r="P183" s="19" t="s">
        <v>122</v>
      </c>
      <c r="Q183" s="55" t="s">
        <v>38</v>
      </c>
      <c r="R183" s="19" t="s">
        <v>38</v>
      </c>
      <c r="S183" s="19" t="s">
        <v>38</v>
      </c>
      <c r="T183" s="55" t="s">
        <v>38</v>
      </c>
      <c r="U183" s="19"/>
      <c r="V183" s="391"/>
      <c r="W183" s="392"/>
      <c r="X183" s="392"/>
      <c r="Y183" s="392"/>
      <c r="Z183" s="199"/>
      <c r="AA183" s="199"/>
      <c r="AB183" s="199"/>
      <c r="AC183" s="199"/>
      <c r="AE183" s="458"/>
      <c r="AF183" s="445"/>
      <c r="AG183" s="445"/>
      <c r="AH183" s="435"/>
      <c r="AI183" s="445"/>
      <c r="AJ183" s="445"/>
      <c r="AK183" s="445"/>
      <c r="AL183" s="445"/>
      <c r="AM183" s="445"/>
      <c r="AN183" s="448"/>
    </row>
    <row r="184" spans="1:40" ht="13" customHeight="1">
      <c r="A184">
        <v>551</v>
      </c>
      <c r="B184" s="141" t="s">
        <v>501</v>
      </c>
      <c r="C184" s="141" t="s">
        <v>61</v>
      </c>
      <c r="D184" s="141" t="s">
        <v>278</v>
      </c>
      <c r="E184" s="142">
        <v>1000</v>
      </c>
      <c r="F184" s="141" t="s">
        <v>63</v>
      </c>
      <c r="G184" s="6" t="s">
        <v>57</v>
      </c>
      <c r="H184" s="141" t="s">
        <v>76</v>
      </c>
      <c r="I184" s="142">
        <v>0.04</v>
      </c>
      <c r="J184" s="141" t="s">
        <v>77</v>
      </c>
      <c r="K184" s="142">
        <v>2003</v>
      </c>
      <c r="L184" s="141" t="s">
        <v>503</v>
      </c>
      <c r="M184" s="141"/>
      <c r="N184" s="141"/>
      <c r="O184" t="s">
        <v>389</v>
      </c>
      <c r="P184" s="19" t="s">
        <v>122</v>
      </c>
      <c r="Q184" s="55" t="s">
        <v>38</v>
      </c>
      <c r="R184" s="19" t="s">
        <v>38</v>
      </c>
      <c r="S184" s="19" t="s">
        <v>38</v>
      </c>
      <c r="T184" s="55" t="s">
        <v>38</v>
      </c>
      <c r="U184" s="19"/>
      <c r="V184" s="391"/>
      <c r="W184" s="392"/>
      <c r="X184" s="392"/>
      <c r="Y184" s="392"/>
      <c r="Z184" s="199"/>
      <c r="AA184" s="199"/>
      <c r="AB184" s="199"/>
      <c r="AC184" s="199"/>
      <c r="AE184" s="458"/>
      <c r="AF184" s="445"/>
      <c r="AG184" s="445"/>
      <c r="AH184" s="435"/>
      <c r="AI184" s="445"/>
      <c r="AJ184" s="445"/>
      <c r="AK184" s="445"/>
      <c r="AL184" s="445"/>
      <c r="AM184" s="445"/>
      <c r="AN184" s="448"/>
    </row>
    <row r="185" spans="1:40" ht="13" hidden="1" customHeight="1">
      <c r="A185">
        <v>158</v>
      </c>
      <c r="B185" t="s">
        <v>207</v>
      </c>
      <c r="C185" t="s">
        <v>61</v>
      </c>
      <c r="D185" t="s">
        <v>62</v>
      </c>
      <c r="E185">
        <v>1000</v>
      </c>
      <c r="F185" t="s">
        <v>493</v>
      </c>
      <c r="G185" s="117" t="s">
        <v>52</v>
      </c>
      <c r="H185" t="s">
        <v>76</v>
      </c>
      <c r="I185">
        <v>0.25</v>
      </c>
      <c r="J185" t="s">
        <v>77</v>
      </c>
      <c r="K185">
        <v>1992</v>
      </c>
      <c r="L185" s="80" t="s">
        <v>1206</v>
      </c>
      <c r="M185" s="80"/>
      <c r="N185" s="80"/>
      <c r="P185" s="19" t="s">
        <v>122</v>
      </c>
      <c r="Q185" s="55" t="s">
        <v>38</v>
      </c>
      <c r="R185" s="19" t="s">
        <v>38</v>
      </c>
      <c r="S185" s="19" t="s">
        <v>38</v>
      </c>
      <c r="T185" s="19" t="s">
        <v>122</v>
      </c>
      <c r="U185" s="19"/>
      <c r="V185" s="396" t="s">
        <v>948</v>
      </c>
      <c r="W185" s="392" t="s">
        <v>951</v>
      </c>
      <c r="X185" s="392" t="s">
        <v>952</v>
      </c>
      <c r="Y185" s="392" t="s">
        <v>950</v>
      </c>
      <c r="Z185" s="199"/>
      <c r="AA185" s="199"/>
      <c r="AB185" s="199"/>
      <c r="AC185" s="199"/>
      <c r="AE185" s="458"/>
      <c r="AF185" s="445"/>
      <c r="AG185" s="445"/>
      <c r="AH185" s="435"/>
      <c r="AI185" s="445"/>
      <c r="AJ185" s="445"/>
      <c r="AK185" s="445"/>
      <c r="AL185" s="445"/>
      <c r="AM185" s="445"/>
      <c r="AN185" s="448"/>
    </row>
    <row r="186" spans="1:40" ht="13.15" hidden="1" customHeight="1" thickBot="1">
      <c r="A186">
        <v>161</v>
      </c>
      <c r="B186" t="s">
        <v>207</v>
      </c>
      <c r="C186" t="s">
        <v>61</v>
      </c>
      <c r="D186" t="s">
        <v>62</v>
      </c>
      <c r="E186">
        <v>1000</v>
      </c>
      <c r="F186" t="s">
        <v>115</v>
      </c>
      <c r="G186" s="117" t="s">
        <v>52</v>
      </c>
      <c r="H186" t="s">
        <v>76</v>
      </c>
      <c r="I186">
        <v>3.51</v>
      </c>
      <c r="J186" t="s">
        <v>77</v>
      </c>
      <c r="K186">
        <v>1992</v>
      </c>
      <c r="L186" s="80" t="s">
        <v>1206</v>
      </c>
      <c r="M186" s="80"/>
      <c r="N186" s="80"/>
      <c r="P186" s="19" t="s">
        <v>122</v>
      </c>
      <c r="Q186" s="55" t="s">
        <v>38</v>
      </c>
      <c r="R186" s="19" t="s">
        <v>38</v>
      </c>
      <c r="S186" s="19" t="s">
        <v>38</v>
      </c>
      <c r="T186" s="19" t="s">
        <v>122</v>
      </c>
      <c r="U186" s="19"/>
      <c r="V186" s="396"/>
      <c r="W186" s="392"/>
      <c r="X186" s="392"/>
      <c r="Y186" s="392"/>
      <c r="Z186" s="199"/>
      <c r="AA186" s="199"/>
      <c r="AB186" s="199"/>
      <c r="AC186" s="199"/>
      <c r="AE186" s="459"/>
      <c r="AF186" s="446"/>
      <c r="AG186" s="446"/>
      <c r="AH186" s="450"/>
      <c r="AI186" s="446"/>
      <c r="AJ186" s="446"/>
      <c r="AK186" s="446"/>
      <c r="AL186" s="446"/>
      <c r="AM186" s="446"/>
      <c r="AN186" s="449"/>
    </row>
    <row r="187" spans="1:40" ht="13.15" customHeight="1" thickBot="1">
      <c r="A187">
        <v>563</v>
      </c>
      <c r="B187" s="141" t="s">
        <v>506</v>
      </c>
      <c r="C187" s="141" t="s">
        <v>61</v>
      </c>
      <c r="D187" s="141" t="s">
        <v>62</v>
      </c>
      <c r="E187" s="142">
        <v>1000</v>
      </c>
      <c r="F187" s="141" t="s">
        <v>63</v>
      </c>
      <c r="G187" s="6" t="s">
        <v>57</v>
      </c>
      <c r="H187" s="141" t="s">
        <v>76</v>
      </c>
      <c r="I187" s="142">
        <v>0.37</v>
      </c>
      <c r="J187" s="141" t="s">
        <v>77</v>
      </c>
      <c r="K187" s="142">
        <v>2011</v>
      </c>
      <c r="L187" s="141" t="s">
        <v>507</v>
      </c>
      <c r="M187" s="184"/>
      <c r="N187" s="141"/>
      <c r="O187" t="s">
        <v>504</v>
      </c>
      <c r="P187" s="55" t="s">
        <v>38</v>
      </c>
      <c r="Q187" s="55" t="s">
        <v>38</v>
      </c>
      <c r="R187" s="19" t="s">
        <v>38</v>
      </c>
      <c r="S187" s="19" t="s">
        <v>38</v>
      </c>
      <c r="T187" s="55" t="s">
        <v>38</v>
      </c>
      <c r="U187" s="19"/>
      <c r="V187" s="396"/>
      <c r="W187" s="392"/>
      <c r="X187" s="392"/>
      <c r="Y187" s="392"/>
      <c r="Z187" s="199"/>
      <c r="AA187" s="199"/>
      <c r="AB187" s="199"/>
      <c r="AC187" s="199"/>
      <c r="AE187" s="121"/>
      <c r="AF187" s="44"/>
      <c r="AG187" s="44"/>
      <c r="AH187" s="76"/>
      <c r="AI187" s="44"/>
      <c r="AJ187" s="44"/>
      <c r="AK187" s="44"/>
      <c r="AL187" s="44"/>
      <c r="AM187" s="44"/>
      <c r="AN187" s="45"/>
    </row>
    <row r="188" spans="1:40" ht="13" customHeight="1">
      <c r="A188">
        <v>569</v>
      </c>
      <c r="B188" s="141" t="s">
        <v>508</v>
      </c>
      <c r="C188" s="141" t="s">
        <v>61</v>
      </c>
      <c r="D188" s="141" t="s">
        <v>62</v>
      </c>
      <c r="E188" s="142">
        <v>1000</v>
      </c>
      <c r="F188" s="141" t="s">
        <v>63</v>
      </c>
      <c r="G188" s="6" t="s">
        <v>57</v>
      </c>
      <c r="H188" s="141" t="s">
        <v>76</v>
      </c>
      <c r="I188" s="142">
        <v>5.54</v>
      </c>
      <c r="J188" s="141" t="s">
        <v>77</v>
      </c>
      <c r="K188" s="142">
        <v>2011</v>
      </c>
      <c r="L188" s="141" t="s">
        <v>507</v>
      </c>
      <c r="M188" s="141"/>
      <c r="N188" s="141"/>
      <c r="O188" t="s">
        <v>389</v>
      </c>
      <c r="P188" s="55" t="s">
        <v>38</v>
      </c>
      <c r="Q188" s="55" t="s">
        <v>38</v>
      </c>
      <c r="R188" s="19" t="s">
        <v>38</v>
      </c>
      <c r="S188" s="19" t="s">
        <v>38</v>
      </c>
      <c r="T188" s="55" t="s">
        <v>38</v>
      </c>
      <c r="U188" s="19"/>
      <c r="V188" s="396"/>
      <c r="W188" s="392"/>
      <c r="X188" s="392"/>
      <c r="Y188" s="392"/>
      <c r="Z188" s="199"/>
      <c r="AA188" s="199"/>
      <c r="AB188" s="199"/>
      <c r="AC188" s="199"/>
      <c r="AE188" s="441" t="s">
        <v>209</v>
      </c>
      <c r="AF188" s="434"/>
      <c r="AG188" s="434"/>
      <c r="AH188" s="75"/>
      <c r="AI188" s="434"/>
      <c r="AJ188" s="434"/>
      <c r="AK188" s="434"/>
      <c r="AL188" s="434"/>
      <c r="AM188" s="434"/>
      <c r="AN188" s="437"/>
    </row>
    <row r="189" spans="1:40" ht="13" customHeight="1">
      <c r="A189">
        <v>576</v>
      </c>
      <c r="B189" s="141" t="s">
        <v>513</v>
      </c>
      <c r="C189" s="141" t="s">
        <v>61</v>
      </c>
      <c r="D189" s="141" t="s">
        <v>62</v>
      </c>
      <c r="E189" s="142">
        <v>1000</v>
      </c>
      <c r="F189" s="141" t="s">
        <v>63</v>
      </c>
      <c r="G189" s="6" t="s">
        <v>57</v>
      </c>
      <c r="H189" s="141" t="s">
        <v>76</v>
      </c>
      <c r="I189" s="142">
        <v>0.04</v>
      </c>
      <c r="J189" s="141" t="s">
        <v>77</v>
      </c>
      <c r="K189" s="142">
        <v>2011</v>
      </c>
      <c r="L189" s="141" t="s">
        <v>507</v>
      </c>
      <c r="M189" s="141"/>
      <c r="N189" s="141"/>
      <c r="O189" t="s">
        <v>389</v>
      </c>
      <c r="P189" s="55" t="s">
        <v>38</v>
      </c>
      <c r="Q189" s="55" t="s">
        <v>38</v>
      </c>
      <c r="R189" s="19" t="s">
        <v>38</v>
      </c>
      <c r="S189" s="19" t="s">
        <v>38</v>
      </c>
      <c r="T189" s="55" t="s">
        <v>38</v>
      </c>
      <c r="U189" s="19"/>
      <c r="V189" s="396"/>
      <c r="W189" s="392"/>
      <c r="X189" s="392"/>
      <c r="Y189" s="392"/>
      <c r="Z189" s="199"/>
      <c r="AA189" s="199"/>
      <c r="AB189" s="199"/>
      <c r="AC189" s="199"/>
      <c r="AE189" s="442"/>
      <c r="AF189" s="435"/>
      <c r="AG189" s="435"/>
      <c r="AH189" s="76"/>
      <c r="AI189" s="435"/>
      <c r="AJ189" s="435"/>
      <c r="AK189" s="435"/>
      <c r="AL189" s="435"/>
      <c r="AM189" s="435"/>
      <c r="AN189" s="438"/>
    </row>
    <row r="190" spans="1:40" ht="13" customHeight="1">
      <c r="A190">
        <v>582</v>
      </c>
      <c r="B190" s="141" t="s">
        <v>514</v>
      </c>
      <c r="C190" s="141" t="s">
        <v>61</v>
      </c>
      <c r="D190" s="141" t="s">
        <v>107</v>
      </c>
      <c r="E190" s="142">
        <v>1000</v>
      </c>
      <c r="F190" s="141" t="s">
        <v>63</v>
      </c>
      <c r="G190" s="6" t="s">
        <v>57</v>
      </c>
      <c r="H190" s="141" t="s">
        <v>76</v>
      </c>
      <c r="I190" s="142">
        <v>0.04</v>
      </c>
      <c r="J190" s="141" t="s">
        <v>77</v>
      </c>
      <c r="K190" s="142">
        <v>2008</v>
      </c>
      <c r="L190" s="141" t="s">
        <v>507</v>
      </c>
      <c r="M190" s="141"/>
      <c r="N190" s="141"/>
      <c r="O190" t="s">
        <v>389</v>
      </c>
      <c r="P190" s="55" t="s">
        <v>38</v>
      </c>
      <c r="Q190" s="55" t="s">
        <v>38</v>
      </c>
      <c r="R190" s="19" t="s">
        <v>38</v>
      </c>
      <c r="S190" s="19" t="s">
        <v>38</v>
      </c>
      <c r="T190" s="55" t="s">
        <v>38</v>
      </c>
      <c r="U190" s="19"/>
      <c r="V190" s="396"/>
      <c r="W190" s="399"/>
      <c r="X190" s="392"/>
      <c r="Y190" s="392"/>
      <c r="Z190" s="199"/>
      <c r="AA190" s="199"/>
      <c r="AB190" s="199"/>
      <c r="AC190" s="199"/>
      <c r="AE190" s="442"/>
      <c r="AF190" s="435"/>
      <c r="AG190" s="435"/>
      <c r="AH190" s="76"/>
      <c r="AI190" s="435"/>
      <c r="AJ190" s="435"/>
      <c r="AK190" s="435"/>
      <c r="AL190" s="435"/>
      <c r="AM190" s="435"/>
      <c r="AN190" s="438"/>
    </row>
    <row r="191" spans="1:40" ht="13" hidden="1" customHeight="1">
      <c r="A191">
        <v>180</v>
      </c>
      <c r="B191" t="s">
        <v>222</v>
      </c>
      <c r="C191" t="s">
        <v>61</v>
      </c>
      <c r="D191" t="s">
        <v>62</v>
      </c>
      <c r="E191">
        <v>953</v>
      </c>
      <c r="F191" t="s">
        <v>493</v>
      </c>
      <c r="G191" t="s">
        <v>32</v>
      </c>
      <c r="H191" t="s">
        <v>76</v>
      </c>
      <c r="I191">
        <v>0.78</v>
      </c>
      <c r="J191" t="s">
        <v>77</v>
      </c>
      <c r="K191">
        <v>2015</v>
      </c>
      <c r="L191" s="80" t="s">
        <v>223</v>
      </c>
      <c r="M191" s="80"/>
      <c r="N191" s="80"/>
      <c r="P191" s="55" t="s">
        <v>38</v>
      </c>
      <c r="Q191" s="55" t="s">
        <v>38</v>
      </c>
      <c r="R191" s="19" t="s">
        <v>38</v>
      </c>
      <c r="S191" s="19" t="s">
        <v>38</v>
      </c>
      <c r="T191" s="19" t="s">
        <v>122</v>
      </c>
      <c r="U191" s="19"/>
      <c r="V191" s="397" t="s">
        <v>1007</v>
      </c>
      <c r="W191" s="400" t="s">
        <v>985</v>
      </c>
      <c r="X191" s="392" t="s">
        <v>986</v>
      </c>
      <c r="Y191" s="392" t="s">
        <v>984</v>
      </c>
      <c r="Z191" s="199"/>
      <c r="AA191" s="199"/>
      <c r="AB191" s="199"/>
      <c r="AC191" s="199"/>
      <c r="AE191" s="442"/>
      <c r="AF191" s="435"/>
      <c r="AG191" s="435"/>
      <c r="AH191" s="76"/>
      <c r="AI191" s="435"/>
      <c r="AJ191" s="435"/>
      <c r="AK191" s="435"/>
      <c r="AL191" s="435"/>
      <c r="AM191" s="435"/>
      <c r="AN191" s="438"/>
    </row>
    <row r="192" spans="1:40" ht="13" hidden="1" customHeight="1">
      <c r="A192">
        <v>183</v>
      </c>
      <c r="B192" t="s">
        <v>222</v>
      </c>
      <c r="C192" t="s">
        <v>61</v>
      </c>
      <c r="D192" t="s">
        <v>62</v>
      </c>
      <c r="E192">
        <v>953</v>
      </c>
      <c r="F192" t="s">
        <v>115</v>
      </c>
      <c r="G192" t="s">
        <v>32</v>
      </c>
      <c r="H192" t="s">
        <v>76</v>
      </c>
      <c r="I192">
        <v>13.61</v>
      </c>
      <c r="J192" t="s">
        <v>77</v>
      </c>
      <c r="K192">
        <v>2015</v>
      </c>
      <c r="L192" s="80" t="s">
        <v>223</v>
      </c>
      <c r="M192" s="80"/>
      <c r="N192" s="80"/>
      <c r="O192" t="s">
        <v>224</v>
      </c>
      <c r="P192" s="55" t="s">
        <v>38</v>
      </c>
      <c r="Q192" s="55" t="s">
        <v>38</v>
      </c>
      <c r="R192" s="19" t="s">
        <v>38</v>
      </c>
      <c r="S192" s="19" t="s">
        <v>38</v>
      </c>
      <c r="T192" s="19" t="s">
        <v>122</v>
      </c>
      <c r="U192" s="19"/>
      <c r="V192" s="397"/>
      <c r="W192" s="392"/>
      <c r="X192" s="392"/>
      <c r="Y192" s="392"/>
      <c r="Z192" s="199"/>
      <c r="AA192" s="199"/>
      <c r="AB192" s="199"/>
      <c r="AC192" s="199"/>
      <c r="AE192" s="442"/>
      <c r="AF192" s="435"/>
      <c r="AG192" s="435"/>
      <c r="AH192" s="76"/>
      <c r="AI192" s="435"/>
      <c r="AJ192" s="435"/>
      <c r="AK192" s="435"/>
      <c r="AL192" s="435"/>
      <c r="AM192" s="435"/>
      <c r="AN192" s="438"/>
    </row>
    <row r="193" spans="1:40" ht="13" customHeight="1">
      <c r="A193">
        <v>588</v>
      </c>
      <c r="B193" s="141" t="s">
        <v>515</v>
      </c>
      <c r="C193" s="141" t="s">
        <v>61</v>
      </c>
      <c r="D193" s="141" t="s">
        <v>278</v>
      </c>
      <c r="E193" s="142">
        <v>1000</v>
      </c>
      <c r="F193" s="141" t="s">
        <v>63</v>
      </c>
      <c r="G193" s="6" t="s">
        <v>57</v>
      </c>
      <c r="H193" s="141" t="s">
        <v>76</v>
      </c>
      <c r="I193" s="142">
        <v>0.04</v>
      </c>
      <c r="J193" s="141" t="s">
        <v>77</v>
      </c>
      <c r="K193" s="142">
        <v>2008</v>
      </c>
      <c r="L193" s="141" t="s">
        <v>507</v>
      </c>
      <c r="M193" s="141"/>
      <c r="N193" s="141"/>
      <c r="O193" t="s">
        <v>389</v>
      </c>
      <c r="P193" s="55" t="s">
        <v>38</v>
      </c>
      <c r="Q193" s="55" t="s">
        <v>38</v>
      </c>
      <c r="R193" s="19" t="s">
        <v>38</v>
      </c>
      <c r="S193" s="19" t="s">
        <v>38</v>
      </c>
      <c r="T193" s="55" t="s">
        <v>38</v>
      </c>
      <c r="U193" s="19"/>
      <c r="V193" s="397"/>
      <c r="W193" s="392"/>
      <c r="X193" s="392"/>
      <c r="Y193" s="392"/>
      <c r="Z193" s="199"/>
      <c r="AA193" s="199"/>
      <c r="AB193" s="199"/>
      <c r="AC193" s="199"/>
      <c r="AE193" s="442"/>
      <c r="AF193" s="435"/>
      <c r="AG193" s="435"/>
      <c r="AH193" s="76"/>
      <c r="AI193" s="435"/>
      <c r="AJ193" s="435"/>
      <c r="AK193" s="435"/>
      <c r="AL193" s="435"/>
      <c r="AM193" s="435"/>
      <c r="AN193" s="438"/>
    </row>
    <row r="194" spans="1:40" ht="13" customHeight="1">
      <c r="A194">
        <v>320</v>
      </c>
      <c r="B194" t="s">
        <v>81</v>
      </c>
      <c r="C194" t="s">
        <v>61</v>
      </c>
      <c r="D194" t="s">
        <v>62</v>
      </c>
      <c r="E194">
        <v>1000</v>
      </c>
      <c r="F194" t="s">
        <v>902</v>
      </c>
      <c r="G194" t="s">
        <v>32</v>
      </c>
      <c r="H194" t="s">
        <v>76</v>
      </c>
      <c r="I194">
        <f>8279-424</f>
        <v>7855</v>
      </c>
      <c r="J194" t="s">
        <v>82</v>
      </c>
      <c r="K194">
        <v>1998</v>
      </c>
      <c r="L194" t="s">
        <v>311</v>
      </c>
      <c r="M194" s="80"/>
      <c r="O194" t="s">
        <v>321</v>
      </c>
      <c r="P194" s="2" t="s">
        <v>716</v>
      </c>
      <c r="Q194" t="s">
        <v>84</v>
      </c>
      <c r="R194" s="19" t="s">
        <v>38</v>
      </c>
      <c r="S194" s="19" t="s">
        <v>38</v>
      </c>
      <c r="T194" s="55" t="s">
        <v>38</v>
      </c>
      <c r="U194" s="19"/>
      <c r="V194" s="397"/>
      <c r="W194" s="392"/>
      <c r="X194" s="392"/>
      <c r="Y194" s="392"/>
      <c r="Z194" s="199"/>
      <c r="AA194" s="199"/>
      <c r="AB194" s="199"/>
      <c r="AC194" s="199"/>
      <c r="AE194" s="442"/>
      <c r="AF194" s="435"/>
      <c r="AG194" s="435"/>
      <c r="AH194" s="76"/>
      <c r="AI194" s="435"/>
      <c r="AJ194" s="435"/>
      <c r="AK194" s="435"/>
      <c r="AL194" s="435"/>
      <c r="AM194" s="435"/>
      <c r="AN194" s="438"/>
    </row>
    <row r="195" spans="1:40" ht="13" customHeight="1">
      <c r="A195">
        <v>332</v>
      </c>
      <c r="B195" t="s">
        <v>330</v>
      </c>
      <c r="C195" t="s">
        <v>61</v>
      </c>
      <c r="D195" t="s">
        <v>62</v>
      </c>
      <c r="E195">
        <v>190</v>
      </c>
      <c r="F195" t="s">
        <v>902</v>
      </c>
      <c r="G195" t="s">
        <v>32</v>
      </c>
      <c r="H195" t="s">
        <v>33</v>
      </c>
      <c r="I195">
        <f>5.3*1000000000</f>
        <v>5300000000</v>
      </c>
      <c r="J195" t="s">
        <v>34</v>
      </c>
      <c r="K195">
        <v>2010</v>
      </c>
      <c r="L195" t="s">
        <v>331</v>
      </c>
      <c r="M195" s="80"/>
      <c r="O195" t="s">
        <v>332</v>
      </c>
      <c r="P195" s="2" t="s">
        <v>711</v>
      </c>
      <c r="Q195" t="s">
        <v>333</v>
      </c>
      <c r="R195" s="19" t="s">
        <v>38</v>
      </c>
      <c r="S195" s="19" t="s">
        <v>38</v>
      </c>
      <c r="T195" s="55" t="s">
        <v>38</v>
      </c>
      <c r="U195" s="19"/>
      <c r="V195" s="397"/>
      <c r="W195" s="399"/>
      <c r="X195" s="392"/>
      <c r="Y195" s="392"/>
      <c r="Z195" s="199"/>
      <c r="AA195" s="199"/>
      <c r="AB195" s="199"/>
      <c r="AC195" s="199"/>
      <c r="AE195" s="442"/>
      <c r="AF195" s="435"/>
      <c r="AG195" s="435"/>
      <c r="AH195" s="76"/>
      <c r="AI195" s="435"/>
      <c r="AJ195" s="435"/>
      <c r="AK195" s="435"/>
      <c r="AL195" s="435"/>
      <c r="AM195" s="435"/>
      <c r="AN195" s="438"/>
    </row>
    <row r="196" spans="1:40" ht="13" customHeight="1">
      <c r="A196">
        <v>334</v>
      </c>
      <c r="B196" t="s">
        <v>335</v>
      </c>
      <c r="C196" t="s">
        <v>61</v>
      </c>
      <c r="D196" t="s">
        <v>62</v>
      </c>
      <c r="E196">
        <v>250</v>
      </c>
      <c r="F196" t="s">
        <v>902</v>
      </c>
      <c r="G196" s="6" t="s">
        <v>57</v>
      </c>
      <c r="H196" t="s">
        <v>33</v>
      </c>
      <c r="I196">
        <f>2.8*1000000000</f>
        <v>2800000000</v>
      </c>
      <c r="J196" t="s">
        <v>34</v>
      </c>
      <c r="K196">
        <v>2010</v>
      </c>
      <c r="L196" t="s">
        <v>331</v>
      </c>
      <c r="M196" s="80"/>
      <c r="O196" t="s">
        <v>336</v>
      </c>
      <c r="P196" s="2" t="s">
        <v>711</v>
      </c>
      <c r="Q196" t="s">
        <v>333</v>
      </c>
      <c r="R196" s="19" t="s">
        <v>38</v>
      </c>
      <c r="S196" s="19" t="s">
        <v>38</v>
      </c>
      <c r="T196" s="55" t="s">
        <v>38</v>
      </c>
      <c r="U196" s="19"/>
      <c r="V196" s="410" t="s">
        <v>1006</v>
      </c>
      <c r="W196" s="440" t="s">
        <v>1108</v>
      </c>
      <c r="X196" s="408" t="s">
        <v>1005</v>
      </c>
      <c r="Y196" s="410" t="s">
        <v>871</v>
      </c>
      <c r="Z196" s="205"/>
      <c r="AA196" s="205"/>
      <c r="AB196" s="205"/>
      <c r="AC196" s="205"/>
      <c r="AE196" s="442"/>
      <c r="AF196" s="435"/>
      <c r="AG196" s="435"/>
      <c r="AH196" s="76"/>
      <c r="AI196" s="435"/>
      <c r="AJ196" s="435"/>
      <c r="AK196" s="435"/>
      <c r="AL196" s="435"/>
      <c r="AM196" s="435"/>
      <c r="AN196" s="438"/>
    </row>
    <row r="197" spans="1:40" ht="13" customHeight="1">
      <c r="A197">
        <v>336</v>
      </c>
      <c r="B197" t="s">
        <v>337</v>
      </c>
      <c r="C197" t="s">
        <v>61</v>
      </c>
      <c r="D197" t="s">
        <v>62</v>
      </c>
      <c r="E197">
        <v>500</v>
      </c>
      <c r="F197" t="s">
        <v>902</v>
      </c>
      <c r="G197" t="s">
        <v>32</v>
      </c>
      <c r="H197" t="s">
        <v>33</v>
      </c>
      <c r="I197">
        <f>5.9*1000000000</f>
        <v>5900000000</v>
      </c>
      <c r="J197" t="s">
        <v>34</v>
      </c>
      <c r="K197">
        <v>2010</v>
      </c>
      <c r="L197" t="s">
        <v>331</v>
      </c>
      <c r="M197" s="80"/>
      <c r="O197" t="s">
        <v>338</v>
      </c>
      <c r="P197" s="2" t="s">
        <v>711</v>
      </c>
      <c r="Q197" t="s">
        <v>333</v>
      </c>
      <c r="R197" s="19" t="s">
        <v>38</v>
      </c>
      <c r="S197" s="19" t="s">
        <v>38</v>
      </c>
      <c r="T197" s="55" t="s">
        <v>38</v>
      </c>
      <c r="U197" s="19"/>
      <c r="V197" s="410"/>
      <c r="W197" s="408"/>
      <c r="X197" s="408"/>
      <c r="Y197" s="410"/>
      <c r="AE197" s="442"/>
      <c r="AF197" s="435"/>
      <c r="AG197" s="435"/>
      <c r="AH197" s="76"/>
      <c r="AI197" s="435"/>
      <c r="AJ197" s="435"/>
      <c r="AK197" s="435"/>
      <c r="AL197" s="435"/>
      <c r="AM197" s="435"/>
      <c r="AN197" s="438"/>
    </row>
    <row r="198" spans="1:40" ht="13" customHeight="1">
      <c r="A198">
        <v>339</v>
      </c>
      <c r="B198" t="s">
        <v>340</v>
      </c>
      <c r="C198" t="s">
        <v>61</v>
      </c>
      <c r="D198" t="s">
        <v>62</v>
      </c>
      <c r="E198">
        <v>500</v>
      </c>
      <c r="F198" t="s">
        <v>902</v>
      </c>
      <c r="G198" s="6" t="s">
        <v>57</v>
      </c>
      <c r="H198" t="s">
        <v>33</v>
      </c>
      <c r="I198">
        <f>4.2*1000000000</f>
        <v>4200000000</v>
      </c>
      <c r="J198" t="s">
        <v>34</v>
      </c>
      <c r="K198">
        <v>2010</v>
      </c>
      <c r="L198" t="s">
        <v>331</v>
      </c>
      <c r="M198" s="80"/>
      <c r="O198" t="s">
        <v>339</v>
      </c>
      <c r="P198" s="2" t="s">
        <v>711</v>
      </c>
      <c r="Q198" t="s">
        <v>333</v>
      </c>
      <c r="R198" s="19" t="s">
        <v>38</v>
      </c>
      <c r="S198" s="19" t="s">
        <v>38</v>
      </c>
      <c r="T198" s="55" t="s">
        <v>38</v>
      </c>
      <c r="U198" s="19"/>
      <c r="V198" s="410"/>
      <c r="W198" s="408"/>
      <c r="X198" s="408"/>
      <c r="Y198" s="410"/>
      <c r="AE198" s="442"/>
      <c r="AF198" s="435"/>
      <c r="AG198" s="435"/>
      <c r="AH198" s="76"/>
      <c r="AI198" s="435"/>
      <c r="AJ198" s="435"/>
      <c r="AK198" s="435"/>
      <c r="AL198" s="435"/>
      <c r="AM198" s="435"/>
      <c r="AN198" s="438"/>
    </row>
    <row r="199" spans="1:40" ht="13" customHeight="1">
      <c r="A199">
        <v>341</v>
      </c>
      <c r="B199" t="s">
        <v>342</v>
      </c>
      <c r="C199" t="s">
        <v>61</v>
      </c>
      <c r="D199" t="s">
        <v>62</v>
      </c>
      <c r="E199">
        <v>500</v>
      </c>
      <c r="F199" t="s">
        <v>902</v>
      </c>
      <c r="G199" t="s">
        <v>32</v>
      </c>
      <c r="H199" t="s">
        <v>33</v>
      </c>
      <c r="I199">
        <f>8.5*1000000000</f>
        <v>8500000000</v>
      </c>
      <c r="J199" t="s">
        <v>34</v>
      </c>
      <c r="K199">
        <v>2010</v>
      </c>
      <c r="L199" t="s">
        <v>331</v>
      </c>
      <c r="M199" s="80"/>
      <c r="O199" t="s">
        <v>338</v>
      </c>
      <c r="P199" s="2" t="s">
        <v>711</v>
      </c>
      <c r="Q199" t="s">
        <v>333</v>
      </c>
      <c r="R199" s="19" t="s">
        <v>38</v>
      </c>
      <c r="S199" s="19" t="s">
        <v>38</v>
      </c>
      <c r="T199" s="55" t="s">
        <v>38</v>
      </c>
      <c r="U199" s="19"/>
      <c r="V199" s="410"/>
      <c r="W199" s="408"/>
      <c r="X199" s="408"/>
      <c r="Y199" s="410"/>
      <c r="AE199" s="442"/>
      <c r="AF199" s="435"/>
      <c r="AG199" s="435"/>
      <c r="AH199" s="76"/>
      <c r="AI199" s="435"/>
      <c r="AJ199" s="435"/>
      <c r="AK199" s="435"/>
      <c r="AL199" s="435"/>
      <c r="AM199" s="435"/>
      <c r="AN199" s="438"/>
    </row>
    <row r="200" spans="1:40" ht="13" customHeight="1">
      <c r="A200">
        <v>16</v>
      </c>
      <c r="B200" t="s">
        <v>81</v>
      </c>
      <c r="C200" t="s">
        <v>61</v>
      </c>
      <c r="D200" t="s">
        <v>62</v>
      </c>
      <c r="E200">
        <v>1500</v>
      </c>
      <c r="F200" t="s">
        <v>75</v>
      </c>
      <c r="G200" t="s">
        <v>32</v>
      </c>
      <c r="H200" t="s">
        <v>76</v>
      </c>
      <c r="I200">
        <v>78.400000000000006</v>
      </c>
      <c r="J200" t="s">
        <v>88</v>
      </c>
      <c r="K200">
        <v>2011</v>
      </c>
      <c r="L200" t="s">
        <v>83</v>
      </c>
      <c r="M200" s="80"/>
      <c r="O200" s="13" t="s">
        <v>1151</v>
      </c>
      <c r="P200" s="2" t="s">
        <v>706</v>
      </c>
      <c r="Q200" t="s">
        <v>84</v>
      </c>
      <c r="R200" s="19" t="s">
        <v>38</v>
      </c>
      <c r="S200" s="19" t="s">
        <v>38</v>
      </c>
      <c r="T200" s="19" t="s">
        <v>38</v>
      </c>
      <c r="U200" s="19"/>
      <c r="V200" s="410"/>
      <c r="W200" s="408"/>
      <c r="X200" s="408"/>
      <c r="Y200" s="410"/>
      <c r="AE200" s="442"/>
      <c r="AF200" s="435"/>
      <c r="AG200" s="435"/>
      <c r="AH200" s="76"/>
      <c r="AI200" s="435"/>
      <c r="AJ200" s="435"/>
      <c r="AK200" s="435"/>
      <c r="AL200" s="435"/>
      <c r="AM200" s="435"/>
      <c r="AN200" s="438"/>
    </row>
    <row r="201" spans="1:40" ht="13" customHeight="1">
      <c r="A201">
        <v>17</v>
      </c>
      <c r="B201" t="s">
        <v>81</v>
      </c>
      <c r="C201" t="s">
        <v>61</v>
      </c>
      <c r="D201" t="s">
        <v>62</v>
      </c>
      <c r="E201">
        <v>1500</v>
      </c>
      <c r="F201" t="s">
        <v>75</v>
      </c>
      <c r="G201" t="s">
        <v>32</v>
      </c>
      <c r="H201" t="s">
        <v>76</v>
      </c>
      <c r="I201">
        <v>64.5</v>
      </c>
      <c r="J201" t="s">
        <v>88</v>
      </c>
      <c r="K201">
        <v>2011</v>
      </c>
      <c r="L201" t="s">
        <v>83</v>
      </c>
      <c r="M201" s="80"/>
      <c r="O201" t="s">
        <v>1152</v>
      </c>
      <c r="P201" s="2" t="s">
        <v>706</v>
      </c>
      <c r="Q201" t="s">
        <v>84</v>
      </c>
      <c r="R201" s="19" t="s">
        <v>38</v>
      </c>
      <c r="S201" s="19" t="s">
        <v>38</v>
      </c>
      <c r="T201" s="19" t="s">
        <v>38</v>
      </c>
      <c r="U201" s="19"/>
      <c r="V201" s="410"/>
      <c r="W201" s="408"/>
      <c r="X201" s="408"/>
      <c r="Y201" s="410"/>
      <c r="AE201" s="442"/>
      <c r="AF201" s="435"/>
      <c r="AG201" s="435"/>
      <c r="AH201" s="76"/>
      <c r="AI201" s="435"/>
      <c r="AJ201" s="435"/>
      <c r="AK201" s="435"/>
      <c r="AL201" s="435"/>
      <c r="AM201" s="435"/>
      <c r="AN201" s="438"/>
    </row>
    <row r="202" spans="1:40" ht="13" customHeight="1">
      <c r="A202">
        <v>18</v>
      </c>
      <c r="B202" t="s">
        <v>81</v>
      </c>
      <c r="C202" t="s">
        <v>61</v>
      </c>
      <c r="D202" t="s">
        <v>62</v>
      </c>
      <c r="E202">
        <v>1500</v>
      </c>
      <c r="F202" t="s">
        <v>75</v>
      </c>
      <c r="G202" t="s">
        <v>52</v>
      </c>
      <c r="H202" t="s">
        <v>76</v>
      </c>
      <c r="I202">
        <v>61.1</v>
      </c>
      <c r="J202" t="s">
        <v>88</v>
      </c>
      <c r="K202">
        <v>2011</v>
      </c>
      <c r="L202" t="s">
        <v>83</v>
      </c>
      <c r="M202" s="80"/>
      <c r="O202" t="s">
        <v>1153</v>
      </c>
      <c r="P202" s="2" t="s">
        <v>706</v>
      </c>
      <c r="Q202" t="s">
        <v>84</v>
      </c>
      <c r="R202" s="19" t="s">
        <v>38</v>
      </c>
      <c r="S202" s="19" t="s">
        <v>38</v>
      </c>
      <c r="T202" s="19" t="s">
        <v>38</v>
      </c>
      <c r="U202" s="19"/>
      <c r="V202" s="410"/>
      <c r="W202" s="408"/>
      <c r="X202" s="408"/>
      <c r="Y202" s="410"/>
      <c r="AE202" s="442"/>
      <c r="AF202" s="435"/>
      <c r="AG202" s="435"/>
      <c r="AH202" s="76"/>
      <c r="AI202" s="435"/>
      <c r="AJ202" s="435"/>
      <c r="AK202" s="435"/>
      <c r="AL202" s="435"/>
      <c r="AM202" s="435"/>
      <c r="AN202" s="438"/>
    </row>
    <row r="203" spans="1:40" ht="13" customHeight="1">
      <c r="A203">
        <v>19</v>
      </c>
      <c r="B203" t="s">
        <v>81</v>
      </c>
      <c r="C203" t="s">
        <v>61</v>
      </c>
      <c r="D203" t="s">
        <v>62</v>
      </c>
      <c r="E203">
        <v>1500</v>
      </c>
      <c r="F203" t="s">
        <v>75</v>
      </c>
      <c r="G203" t="s">
        <v>52</v>
      </c>
      <c r="H203" t="s">
        <v>76</v>
      </c>
      <c r="I203">
        <v>49.3</v>
      </c>
      <c r="J203" t="s">
        <v>88</v>
      </c>
      <c r="K203">
        <v>2011</v>
      </c>
      <c r="L203" t="s">
        <v>83</v>
      </c>
      <c r="M203" s="80"/>
      <c r="O203" t="s">
        <v>1154</v>
      </c>
      <c r="P203" s="2" t="s">
        <v>706</v>
      </c>
      <c r="Q203" t="s">
        <v>84</v>
      </c>
      <c r="R203" s="19" t="s">
        <v>38</v>
      </c>
      <c r="S203" s="19" t="s">
        <v>38</v>
      </c>
      <c r="T203" s="19" t="s">
        <v>38</v>
      </c>
      <c r="U203" s="19"/>
      <c r="V203" s="410"/>
      <c r="W203" s="408"/>
      <c r="X203" s="408"/>
      <c r="Y203" s="410"/>
      <c r="AE203" s="442"/>
      <c r="AF203" s="435"/>
      <c r="AG203" s="435"/>
      <c r="AH203" s="76"/>
      <c r="AI203" s="435"/>
      <c r="AJ203" s="435"/>
      <c r="AK203" s="435"/>
      <c r="AL203" s="435"/>
      <c r="AM203" s="435"/>
      <c r="AN203" s="438"/>
    </row>
    <row r="204" spans="1:40" ht="25" customHeight="1">
      <c r="A204">
        <v>20</v>
      </c>
      <c r="B204" t="s">
        <v>81</v>
      </c>
      <c r="C204" t="s">
        <v>61</v>
      </c>
      <c r="D204" t="s">
        <v>62</v>
      </c>
      <c r="E204">
        <v>1500</v>
      </c>
      <c r="F204" t="s">
        <v>75</v>
      </c>
      <c r="G204" t="s">
        <v>32</v>
      </c>
      <c r="H204" t="s">
        <v>76</v>
      </c>
      <c r="I204">
        <v>51.3</v>
      </c>
      <c r="J204" t="s">
        <v>88</v>
      </c>
      <c r="K204">
        <v>2011</v>
      </c>
      <c r="L204" t="s">
        <v>83</v>
      </c>
      <c r="M204" s="80"/>
      <c r="O204" t="s">
        <v>1155</v>
      </c>
      <c r="P204" s="2" t="s">
        <v>706</v>
      </c>
      <c r="Q204" t="s">
        <v>84</v>
      </c>
      <c r="R204" s="19" t="s">
        <v>38</v>
      </c>
      <c r="S204" s="19" t="s">
        <v>38</v>
      </c>
      <c r="T204" s="19" t="s">
        <v>38</v>
      </c>
      <c r="U204" s="19"/>
      <c r="V204" s="410"/>
      <c r="W204" s="408"/>
      <c r="X204" s="408"/>
      <c r="Y204" s="410"/>
      <c r="AE204" s="443"/>
      <c r="AF204" s="436"/>
      <c r="AG204" s="436"/>
      <c r="AH204" s="74"/>
      <c r="AI204" s="436"/>
      <c r="AJ204" s="436"/>
      <c r="AK204" s="436"/>
      <c r="AL204" s="436"/>
      <c r="AM204" s="436"/>
      <c r="AN204" s="439"/>
    </row>
    <row r="205" spans="1:40" ht="19" customHeight="1">
      <c r="A205">
        <v>21</v>
      </c>
      <c r="B205" t="s">
        <v>81</v>
      </c>
      <c r="C205" t="s">
        <v>61</v>
      </c>
      <c r="D205" t="s">
        <v>62</v>
      </c>
      <c r="E205">
        <v>1500</v>
      </c>
      <c r="F205" t="s">
        <v>75</v>
      </c>
      <c r="G205" t="s">
        <v>52</v>
      </c>
      <c r="H205" t="s">
        <v>76</v>
      </c>
      <c r="I205">
        <v>39.4</v>
      </c>
      <c r="J205" t="s">
        <v>88</v>
      </c>
      <c r="K205">
        <v>2011</v>
      </c>
      <c r="L205" t="s">
        <v>83</v>
      </c>
      <c r="M205" s="80"/>
      <c r="O205" t="s">
        <v>1156</v>
      </c>
      <c r="P205" s="2" t="s">
        <v>706</v>
      </c>
      <c r="Q205" t="s">
        <v>84</v>
      </c>
      <c r="R205" s="19" t="s">
        <v>38</v>
      </c>
      <c r="S205" s="19" t="s">
        <v>38</v>
      </c>
      <c r="T205" s="19" t="s">
        <v>38</v>
      </c>
      <c r="U205" s="19"/>
      <c r="V205" s="410"/>
      <c r="W205" s="408"/>
      <c r="X205" s="408"/>
      <c r="Y205" s="410"/>
      <c r="AE205" s="38"/>
      <c r="AF205" s="74"/>
      <c r="AG205" s="74"/>
      <c r="AH205" s="74"/>
      <c r="AI205" s="74"/>
      <c r="AJ205" s="74"/>
      <c r="AK205" s="74"/>
      <c r="AL205" s="74"/>
      <c r="AM205" s="74"/>
      <c r="AN205" s="122"/>
    </row>
    <row r="206" spans="1:40" ht="19" customHeight="1">
      <c r="B206" t="s">
        <v>81</v>
      </c>
      <c r="C206" t="s">
        <v>61</v>
      </c>
      <c r="D206" t="s">
        <v>62</v>
      </c>
      <c r="E206">
        <v>1500</v>
      </c>
      <c r="F206" t="s">
        <v>75</v>
      </c>
      <c r="G206" t="s">
        <v>57</v>
      </c>
      <c r="H206" t="s">
        <v>76</v>
      </c>
      <c r="I206">
        <v>66.7</v>
      </c>
      <c r="J206" t="s">
        <v>88</v>
      </c>
      <c r="K206">
        <v>2011</v>
      </c>
      <c r="L206" t="s">
        <v>83</v>
      </c>
      <c r="M206" s="80"/>
      <c r="O206" s="13" t="s">
        <v>1157</v>
      </c>
      <c r="P206" s="2">
        <v>0.8</v>
      </c>
      <c r="R206" s="19"/>
      <c r="S206" s="19"/>
      <c r="T206" s="19"/>
      <c r="U206" s="19"/>
      <c r="V206" s="410"/>
      <c r="W206" s="408"/>
      <c r="X206" s="408"/>
      <c r="Y206" s="410"/>
      <c r="AE206" s="38"/>
      <c r="AF206" s="74"/>
      <c r="AG206" s="74"/>
      <c r="AH206" s="74"/>
      <c r="AI206" s="74"/>
      <c r="AJ206" s="74"/>
      <c r="AK206" s="74"/>
      <c r="AL206" s="74"/>
      <c r="AM206" s="74"/>
      <c r="AN206" s="122"/>
    </row>
    <row r="207" spans="1:40" ht="19" customHeight="1">
      <c r="B207" t="s">
        <v>81</v>
      </c>
      <c r="C207" t="s">
        <v>61</v>
      </c>
      <c r="D207" t="s">
        <v>62</v>
      </c>
      <c r="E207">
        <v>1500</v>
      </c>
      <c r="F207" t="s">
        <v>75</v>
      </c>
      <c r="G207" t="s">
        <v>57</v>
      </c>
      <c r="H207" t="s">
        <v>76</v>
      </c>
      <c r="I207">
        <v>54.8</v>
      </c>
      <c r="J207" t="s">
        <v>88</v>
      </c>
      <c r="K207">
        <v>2011</v>
      </c>
      <c r="L207" t="s">
        <v>83</v>
      </c>
      <c r="M207" s="80"/>
      <c r="O207" t="s">
        <v>1158</v>
      </c>
      <c r="R207" s="19"/>
      <c r="S207" s="19"/>
      <c r="T207" s="19"/>
      <c r="U207" s="19"/>
      <c r="V207" s="410"/>
      <c r="W207" s="408"/>
      <c r="X207" s="408"/>
      <c r="Y207" s="410"/>
      <c r="AE207" s="38"/>
      <c r="AF207" s="74"/>
      <c r="AG207" s="74"/>
      <c r="AH207" s="74"/>
      <c r="AI207" s="74"/>
      <c r="AJ207" s="74"/>
      <c r="AK207" s="74"/>
      <c r="AL207" s="74"/>
      <c r="AM207" s="74"/>
      <c r="AN207" s="122"/>
    </row>
    <row r="208" spans="1:40" ht="19" customHeight="1">
      <c r="B208" t="s">
        <v>81</v>
      </c>
      <c r="C208" t="s">
        <v>61</v>
      </c>
      <c r="D208" t="s">
        <v>62</v>
      </c>
      <c r="E208">
        <v>1500</v>
      </c>
      <c r="F208" t="s">
        <v>75</v>
      </c>
      <c r="G208" t="s">
        <v>57</v>
      </c>
      <c r="H208" t="s">
        <v>76</v>
      </c>
      <c r="I208">
        <v>43.6</v>
      </c>
      <c r="J208" t="s">
        <v>88</v>
      </c>
      <c r="K208">
        <v>2011</v>
      </c>
      <c r="L208" t="s">
        <v>83</v>
      </c>
      <c r="M208" s="80"/>
      <c r="O208" t="s">
        <v>1159</v>
      </c>
      <c r="R208" s="19"/>
      <c r="S208" s="19"/>
      <c r="T208" s="19"/>
      <c r="U208" s="19"/>
      <c r="V208" s="410"/>
      <c r="W208" s="408"/>
      <c r="X208" s="408"/>
      <c r="Y208" s="410"/>
      <c r="AE208" s="38"/>
      <c r="AF208" s="74"/>
      <c r="AG208" s="74"/>
      <c r="AH208" s="74"/>
      <c r="AI208" s="74"/>
      <c r="AJ208" s="74"/>
      <c r="AK208" s="74"/>
      <c r="AL208" s="74"/>
      <c r="AM208" s="74"/>
      <c r="AN208" s="122"/>
    </row>
    <row r="209" spans="1:40" ht="13" customHeight="1">
      <c r="B209" t="s">
        <v>81</v>
      </c>
      <c r="C209" t="s">
        <v>61</v>
      </c>
      <c r="D209" t="s">
        <v>62</v>
      </c>
      <c r="E209">
        <v>1500</v>
      </c>
      <c r="F209" t="s">
        <v>75</v>
      </c>
      <c r="G209" t="s">
        <v>754</v>
      </c>
      <c r="H209" t="s">
        <v>76</v>
      </c>
      <c r="I209">
        <v>57.3</v>
      </c>
      <c r="J209" t="s">
        <v>88</v>
      </c>
      <c r="K209">
        <v>2011</v>
      </c>
      <c r="L209" t="s">
        <v>83</v>
      </c>
      <c r="M209" s="80"/>
      <c r="O209" s="13" t="s">
        <v>1160</v>
      </c>
      <c r="R209" s="19"/>
      <c r="S209" s="19"/>
      <c r="T209" s="19"/>
      <c r="U209" s="19"/>
      <c r="V209" s="410"/>
      <c r="W209" s="408"/>
      <c r="X209" s="408"/>
      <c r="Y209" s="410"/>
      <c r="AE209" s="38"/>
      <c r="AF209" s="30"/>
      <c r="AG209" s="30"/>
      <c r="AH209" s="30"/>
      <c r="AI209" s="30"/>
      <c r="AJ209" s="30"/>
      <c r="AK209" s="30"/>
      <c r="AL209" s="30"/>
      <c r="AM209" s="30"/>
      <c r="AN209" s="31"/>
    </row>
    <row r="210" spans="1:40" ht="13" customHeight="1">
      <c r="B210" t="s">
        <v>81</v>
      </c>
      <c r="C210" t="s">
        <v>61</v>
      </c>
      <c r="D210" t="s">
        <v>62</v>
      </c>
      <c r="E210">
        <v>1500</v>
      </c>
      <c r="F210" t="s">
        <v>75</v>
      </c>
      <c r="G210" t="s">
        <v>754</v>
      </c>
      <c r="H210" t="s">
        <v>76</v>
      </c>
      <c r="I210">
        <v>45.6</v>
      </c>
      <c r="J210" t="s">
        <v>88</v>
      </c>
      <c r="K210">
        <v>2011</v>
      </c>
      <c r="L210" t="s">
        <v>83</v>
      </c>
      <c r="M210" s="80"/>
      <c r="O210" t="s">
        <v>1161</v>
      </c>
      <c r="R210" s="19"/>
      <c r="S210" s="19"/>
      <c r="T210" s="19"/>
      <c r="U210" s="19"/>
      <c r="V210" s="410"/>
      <c r="W210" s="408"/>
      <c r="X210" s="408"/>
      <c r="Y210" s="410"/>
      <c r="AE210" s="38"/>
      <c r="AF210" s="30"/>
      <c r="AG210" s="30"/>
      <c r="AH210" s="30"/>
      <c r="AI210" s="30"/>
      <c r="AJ210" s="30"/>
      <c r="AK210" s="30"/>
      <c r="AL210" s="30"/>
      <c r="AM210" s="30"/>
      <c r="AN210" s="31"/>
    </row>
    <row r="211" spans="1:40" ht="13" customHeight="1">
      <c r="B211" t="s">
        <v>81</v>
      </c>
      <c r="C211" t="s">
        <v>61</v>
      </c>
      <c r="D211" t="s">
        <v>62</v>
      </c>
      <c r="E211">
        <v>1500</v>
      </c>
      <c r="F211" t="s">
        <v>75</v>
      </c>
      <c r="G211" t="s">
        <v>754</v>
      </c>
      <c r="H211" t="s">
        <v>76</v>
      </c>
      <c r="I211">
        <v>36.4</v>
      </c>
      <c r="J211" t="s">
        <v>88</v>
      </c>
      <c r="K211">
        <v>2011</v>
      </c>
      <c r="L211" t="s">
        <v>83</v>
      </c>
      <c r="M211" s="80"/>
      <c r="O211" t="s">
        <v>1162</v>
      </c>
      <c r="P211" s="2" t="s">
        <v>706</v>
      </c>
      <c r="R211" s="19"/>
      <c r="S211" s="19"/>
      <c r="T211" s="19"/>
      <c r="U211" s="19"/>
      <c r="V211" s="410"/>
      <c r="W211" s="408"/>
      <c r="X211" s="408"/>
      <c r="Y211" s="410"/>
      <c r="AE211" s="38"/>
      <c r="AF211" s="30"/>
      <c r="AG211" s="30"/>
      <c r="AH211" s="30"/>
      <c r="AI211" s="30"/>
      <c r="AJ211" s="30"/>
      <c r="AK211" s="30"/>
      <c r="AL211" s="30"/>
      <c r="AM211" s="30"/>
      <c r="AN211" s="31"/>
    </row>
    <row r="212" spans="1:40" ht="13" hidden="1" customHeight="1">
      <c r="A212">
        <v>422</v>
      </c>
      <c r="B212" t="s">
        <v>404</v>
      </c>
      <c r="C212" t="s">
        <v>61</v>
      </c>
      <c r="D212" t="s">
        <v>251</v>
      </c>
      <c r="E212">
        <v>914</v>
      </c>
      <c r="F212" t="s">
        <v>493</v>
      </c>
      <c r="G212" t="s">
        <v>32</v>
      </c>
      <c r="H212" t="s">
        <v>33</v>
      </c>
      <c r="I212">
        <f t="shared" ref="I212:I219" si="0">3.9*1000000</f>
        <v>3900000</v>
      </c>
      <c r="J212" t="s">
        <v>34</v>
      </c>
      <c r="K212">
        <v>2023</v>
      </c>
      <c r="L212" s="80" t="s">
        <v>399</v>
      </c>
      <c r="M212" s="80"/>
      <c r="N212" s="80"/>
      <c r="P212" s="55" t="s">
        <v>38</v>
      </c>
      <c r="Q212" s="55" t="s">
        <v>38</v>
      </c>
      <c r="R212" s="19" t="s">
        <v>38</v>
      </c>
      <c r="S212" s="19" t="s">
        <v>38</v>
      </c>
      <c r="T212" s="55" t="s">
        <v>38</v>
      </c>
      <c r="U212" s="19"/>
      <c r="V212" s="410"/>
      <c r="W212" s="408"/>
      <c r="X212" s="408"/>
      <c r="Y212" s="410"/>
      <c r="AE212" s="38"/>
      <c r="AF212" s="30"/>
      <c r="AG212" s="30"/>
      <c r="AH212" s="30"/>
      <c r="AI212" s="30"/>
      <c r="AJ212" s="30"/>
      <c r="AK212" s="30"/>
      <c r="AL212" s="30"/>
      <c r="AM212" s="30"/>
      <c r="AN212" s="31"/>
    </row>
    <row r="213" spans="1:40" ht="13" hidden="1" customHeight="1">
      <c r="A213">
        <v>423</v>
      </c>
      <c r="B213" t="s">
        <v>405</v>
      </c>
      <c r="C213" t="s">
        <v>61</v>
      </c>
      <c r="D213" t="s">
        <v>251</v>
      </c>
      <c r="E213">
        <v>774</v>
      </c>
      <c r="F213" t="s">
        <v>493</v>
      </c>
      <c r="G213" t="s">
        <v>32</v>
      </c>
      <c r="H213" t="s">
        <v>33</v>
      </c>
      <c r="I213">
        <f t="shared" si="0"/>
        <v>3900000</v>
      </c>
      <c r="J213" t="s">
        <v>34</v>
      </c>
      <c r="K213">
        <v>2023</v>
      </c>
      <c r="L213" s="80" t="s">
        <v>399</v>
      </c>
      <c r="M213" s="80"/>
      <c r="N213" s="80"/>
      <c r="P213" s="55" t="s">
        <v>38</v>
      </c>
      <c r="Q213" s="55" t="s">
        <v>38</v>
      </c>
      <c r="R213" s="19" t="s">
        <v>38</v>
      </c>
      <c r="S213" s="19" t="s">
        <v>38</v>
      </c>
      <c r="T213" s="55" t="s">
        <v>38</v>
      </c>
      <c r="U213" s="19"/>
      <c r="V213" s="410"/>
      <c r="W213" s="408"/>
      <c r="X213" s="408"/>
      <c r="Y213" s="410"/>
      <c r="AE213" s="38"/>
      <c r="AF213" s="30"/>
      <c r="AG213" s="30"/>
      <c r="AH213" s="30"/>
      <c r="AI213" s="30"/>
      <c r="AJ213" s="30"/>
      <c r="AK213" s="30"/>
      <c r="AL213" s="30"/>
      <c r="AM213" s="30"/>
      <c r="AN213" s="31"/>
    </row>
    <row r="214" spans="1:40" ht="13" hidden="1" customHeight="1">
      <c r="A214">
        <v>424</v>
      </c>
      <c r="B214" t="s">
        <v>406</v>
      </c>
      <c r="C214" t="s">
        <v>61</v>
      </c>
      <c r="D214" t="s">
        <v>251</v>
      </c>
      <c r="E214">
        <v>1945</v>
      </c>
      <c r="F214" t="s">
        <v>493</v>
      </c>
      <c r="G214" t="s">
        <v>32</v>
      </c>
      <c r="H214" t="s">
        <v>33</v>
      </c>
      <c r="I214">
        <f t="shared" si="0"/>
        <v>3900000</v>
      </c>
      <c r="J214" t="s">
        <v>34</v>
      </c>
      <c r="K214">
        <v>2023</v>
      </c>
      <c r="L214" s="80" t="s">
        <v>399</v>
      </c>
      <c r="M214" s="80"/>
      <c r="N214" s="80"/>
      <c r="P214" s="55" t="s">
        <v>38</v>
      </c>
      <c r="Q214" s="55" t="s">
        <v>38</v>
      </c>
      <c r="R214" s="19" t="s">
        <v>38</v>
      </c>
      <c r="S214" s="19" t="s">
        <v>38</v>
      </c>
      <c r="T214" s="55" t="s">
        <v>38</v>
      </c>
      <c r="U214" s="19"/>
      <c r="V214" s="410"/>
      <c r="W214" s="408"/>
      <c r="X214" s="408"/>
      <c r="Y214" s="410"/>
      <c r="AE214" s="38"/>
      <c r="AF214" s="30"/>
      <c r="AG214" s="30"/>
      <c r="AH214" s="30"/>
      <c r="AI214" s="30"/>
      <c r="AJ214" s="30"/>
      <c r="AK214" s="30"/>
      <c r="AL214" s="30"/>
      <c r="AM214" s="30"/>
      <c r="AN214" s="31"/>
    </row>
    <row r="215" spans="1:40" ht="13" hidden="1" customHeight="1">
      <c r="A215">
        <v>425</v>
      </c>
      <c r="B215" t="s">
        <v>407</v>
      </c>
      <c r="C215" t="s">
        <v>61</v>
      </c>
      <c r="D215" t="s">
        <v>251</v>
      </c>
      <c r="E215">
        <v>1165</v>
      </c>
      <c r="F215" t="s">
        <v>493</v>
      </c>
      <c r="G215" t="s">
        <v>32</v>
      </c>
      <c r="H215" t="s">
        <v>33</v>
      </c>
      <c r="I215">
        <f t="shared" si="0"/>
        <v>3900000</v>
      </c>
      <c r="J215" t="s">
        <v>34</v>
      </c>
      <c r="K215">
        <v>2023</v>
      </c>
      <c r="L215" s="80" t="s">
        <v>399</v>
      </c>
      <c r="M215" s="80"/>
      <c r="N215" s="80"/>
      <c r="P215" s="55" t="s">
        <v>38</v>
      </c>
      <c r="Q215" s="55" t="s">
        <v>38</v>
      </c>
      <c r="R215" s="19" t="s">
        <v>38</v>
      </c>
      <c r="S215" s="19" t="s">
        <v>38</v>
      </c>
      <c r="T215" s="55" t="s">
        <v>38</v>
      </c>
      <c r="U215" s="19"/>
      <c r="V215" s="410"/>
      <c r="W215" s="408"/>
      <c r="X215" s="408"/>
      <c r="Y215" s="410"/>
      <c r="AE215" s="38"/>
      <c r="AF215" s="30"/>
      <c r="AG215" s="30"/>
      <c r="AH215" s="30"/>
      <c r="AI215" s="30"/>
      <c r="AJ215" s="30"/>
      <c r="AK215" s="30"/>
      <c r="AL215" s="30"/>
      <c r="AM215" s="30"/>
      <c r="AN215" s="31"/>
    </row>
    <row r="216" spans="1:40" ht="13" hidden="1" customHeight="1">
      <c r="A216">
        <v>426</v>
      </c>
      <c r="B216" t="s">
        <v>398</v>
      </c>
      <c r="C216" t="s">
        <v>61</v>
      </c>
      <c r="D216" t="s">
        <v>251</v>
      </c>
      <c r="E216">
        <v>1204</v>
      </c>
      <c r="F216" t="s">
        <v>493</v>
      </c>
      <c r="G216" t="s">
        <v>32</v>
      </c>
      <c r="H216" t="s">
        <v>33</v>
      </c>
      <c r="I216">
        <f t="shared" si="0"/>
        <v>3900000</v>
      </c>
      <c r="J216" t="s">
        <v>34</v>
      </c>
      <c r="K216">
        <v>2023</v>
      </c>
      <c r="L216" s="80" t="s">
        <v>399</v>
      </c>
      <c r="M216" s="80"/>
      <c r="N216" s="80"/>
      <c r="P216" s="55" t="s">
        <v>38</v>
      </c>
      <c r="Q216" s="55" t="s">
        <v>38</v>
      </c>
      <c r="R216" s="19" t="s">
        <v>38</v>
      </c>
      <c r="S216" s="19" t="s">
        <v>38</v>
      </c>
      <c r="T216" s="55" t="s">
        <v>38</v>
      </c>
      <c r="U216" s="19"/>
      <c r="V216" s="410"/>
      <c r="W216" s="408"/>
      <c r="X216" s="408"/>
      <c r="Y216" s="410"/>
      <c r="AE216" s="38"/>
      <c r="AF216" s="30"/>
      <c r="AG216" s="30"/>
      <c r="AH216" s="30"/>
      <c r="AI216" s="30"/>
      <c r="AJ216" s="30"/>
      <c r="AK216" s="30"/>
      <c r="AL216" s="30"/>
      <c r="AM216" s="30"/>
      <c r="AN216" s="31"/>
    </row>
    <row r="217" spans="1:40" ht="14.5" hidden="1" customHeight="1">
      <c r="A217">
        <v>427</v>
      </c>
      <c r="B217" t="s">
        <v>401</v>
      </c>
      <c r="C217" t="s">
        <v>61</v>
      </c>
      <c r="D217" t="s">
        <v>251</v>
      </c>
      <c r="E217">
        <v>1313</v>
      </c>
      <c r="F217" t="s">
        <v>493</v>
      </c>
      <c r="G217" t="s">
        <v>32</v>
      </c>
      <c r="H217" t="s">
        <v>33</v>
      </c>
      <c r="I217">
        <f t="shared" si="0"/>
        <v>3900000</v>
      </c>
      <c r="J217" t="s">
        <v>34</v>
      </c>
      <c r="K217">
        <v>2023</v>
      </c>
      <c r="L217" s="80" t="s">
        <v>399</v>
      </c>
      <c r="M217" s="80"/>
      <c r="N217" s="80"/>
      <c r="P217" s="55" t="s">
        <v>38</v>
      </c>
      <c r="Q217" s="55" t="s">
        <v>38</v>
      </c>
      <c r="R217" s="19" t="s">
        <v>38</v>
      </c>
      <c r="S217" s="19" t="s">
        <v>38</v>
      </c>
      <c r="T217" s="55" t="s">
        <v>38</v>
      </c>
      <c r="U217" s="19"/>
      <c r="V217" s="410"/>
      <c r="W217" s="408"/>
      <c r="X217" s="408"/>
      <c r="Y217" s="410"/>
      <c r="AE217" s="39"/>
      <c r="AF217" s="30"/>
      <c r="AG217" s="30"/>
      <c r="AH217" s="30"/>
      <c r="AI217" s="30"/>
      <c r="AJ217" s="30"/>
      <c r="AK217" s="30"/>
      <c r="AL217" s="30"/>
      <c r="AM217" s="30"/>
      <c r="AN217" s="31"/>
    </row>
    <row r="218" spans="1:40" ht="14.5" hidden="1" customHeight="1">
      <c r="A218">
        <v>428</v>
      </c>
      <c r="B218" t="s">
        <v>402</v>
      </c>
      <c r="C218" t="s">
        <v>61</v>
      </c>
      <c r="D218" t="s">
        <v>251</v>
      </c>
      <c r="E218">
        <v>2272</v>
      </c>
      <c r="F218" t="s">
        <v>493</v>
      </c>
      <c r="G218" t="s">
        <v>32</v>
      </c>
      <c r="H218" t="s">
        <v>33</v>
      </c>
      <c r="I218">
        <f t="shared" si="0"/>
        <v>3900000</v>
      </c>
      <c r="J218" t="s">
        <v>34</v>
      </c>
      <c r="K218">
        <v>2023</v>
      </c>
      <c r="L218" s="80" t="s">
        <v>399</v>
      </c>
      <c r="M218" s="80"/>
      <c r="N218" s="80"/>
      <c r="P218" s="55" t="s">
        <v>38</v>
      </c>
      <c r="Q218" s="55" t="s">
        <v>38</v>
      </c>
      <c r="R218" s="19" t="s">
        <v>38</v>
      </c>
      <c r="S218" s="19" t="s">
        <v>38</v>
      </c>
      <c r="T218" s="55" t="s">
        <v>38</v>
      </c>
      <c r="U218" s="19"/>
      <c r="V218" s="410"/>
      <c r="W218" s="408"/>
      <c r="X218" s="408"/>
      <c r="Y218" s="410"/>
      <c r="AE218" s="39"/>
      <c r="AF218" s="30"/>
      <c r="AG218" s="30"/>
      <c r="AH218" s="30"/>
      <c r="AI218" s="30"/>
      <c r="AJ218" s="30"/>
      <c r="AK218" s="30"/>
      <c r="AL218" s="30"/>
      <c r="AM218" s="30"/>
      <c r="AN218" s="31"/>
    </row>
    <row r="219" spans="1:40" ht="14.5" hidden="1" customHeight="1">
      <c r="A219">
        <v>429</v>
      </c>
      <c r="B219" t="s">
        <v>403</v>
      </c>
      <c r="C219" t="s">
        <v>61</v>
      </c>
      <c r="D219" t="s">
        <v>251</v>
      </c>
      <c r="E219">
        <v>1368</v>
      </c>
      <c r="F219" t="s">
        <v>493</v>
      </c>
      <c r="G219" t="s">
        <v>32</v>
      </c>
      <c r="H219" t="s">
        <v>33</v>
      </c>
      <c r="I219">
        <f t="shared" si="0"/>
        <v>3900000</v>
      </c>
      <c r="J219" t="s">
        <v>34</v>
      </c>
      <c r="K219">
        <v>2023</v>
      </c>
      <c r="L219" s="80" t="s">
        <v>399</v>
      </c>
      <c r="M219" s="80"/>
      <c r="N219" s="80"/>
      <c r="P219" s="55" t="s">
        <v>38</v>
      </c>
      <c r="Q219" s="55" t="s">
        <v>38</v>
      </c>
      <c r="R219" s="19" t="s">
        <v>38</v>
      </c>
      <c r="S219" s="19" t="s">
        <v>38</v>
      </c>
      <c r="T219" s="55" t="s">
        <v>38</v>
      </c>
      <c r="U219" s="19"/>
      <c r="V219" s="410"/>
      <c r="W219" s="408"/>
      <c r="X219" s="408"/>
      <c r="Y219" s="410"/>
      <c r="AE219" s="39"/>
      <c r="AF219" s="30"/>
      <c r="AG219" s="30"/>
      <c r="AH219" s="30"/>
      <c r="AI219" s="30"/>
      <c r="AJ219" s="30"/>
      <c r="AK219" s="30"/>
      <c r="AL219" s="30"/>
      <c r="AM219" s="30"/>
      <c r="AN219" s="31"/>
    </row>
    <row r="220" spans="1:40" ht="14.5" customHeight="1">
      <c r="A220">
        <v>22</v>
      </c>
      <c r="B220" t="s">
        <v>81</v>
      </c>
      <c r="C220" t="s">
        <v>61</v>
      </c>
      <c r="D220" t="s">
        <v>62</v>
      </c>
      <c r="E220">
        <v>1500</v>
      </c>
      <c r="F220" t="s">
        <v>75</v>
      </c>
      <c r="G220" t="s">
        <v>755</v>
      </c>
      <c r="H220" t="s">
        <v>76</v>
      </c>
      <c r="I220">
        <v>54.6</v>
      </c>
      <c r="J220" t="s">
        <v>88</v>
      </c>
      <c r="K220">
        <v>2011</v>
      </c>
      <c r="L220" t="s">
        <v>83</v>
      </c>
      <c r="M220" s="80"/>
      <c r="O220" s="13" t="s">
        <v>1163</v>
      </c>
      <c r="P220" s="2" t="s">
        <v>706</v>
      </c>
      <c r="Q220" t="s">
        <v>84</v>
      </c>
      <c r="R220" s="19" t="s">
        <v>38</v>
      </c>
      <c r="S220" s="19" t="s">
        <v>38</v>
      </c>
      <c r="T220" s="19" t="s">
        <v>38</v>
      </c>
      <c r="U220" s="19"/>
      <c r="V220" s="410"/>
      <c r="W220" s="408"/>
      <c r="X220" s="408"/>
      <c r="Y220" s="410"/>
      <c r="AE220" s="39"/>
      <c r="AF220" s="30"/>
      <c r="AG220" s="30"/>
      <c r="AH220" s="30"/>
      <c r="AI220" s="30"/>
      <c r="AJ220" s="30"/>
      <c r="AK220" s="30"/>
      <c r="AL220" s="30"/>
      <c r="AM220" s="30"/>
      <c r="AN220" s="31"/>
    </row>
    <row r="221" spans="1:40" ht="14.5" customHeight="1">
      <c r="A221">
        <v>23</v>
      </c>
      <c r="B221" t="s">
        <v>81</v>
      </c>
      <c r="C221" t="s">
        <v>61</v>
      </c>
      <c r="D221" t="s">
        <v>62</v>
      </c>
      <c r="E221">
        <v>1500</v>
      </c>
      <c r="F221" t="s">
        <v>75</v>
      </c>
      <c r="G221" t="s">
        <v>755</v>
      </c>
      <c r="H221" t="s">
        <v>76</v>
      </c>
      <c r="I221">
        <v>42.9</v>
      </c>
      <c r="J221" t="s">
        <v>88</v>
      </c>
      <c r="K221">
        <v>2011</v>
      </c>
      <c r="L221" t="s">
        <v>83</v>
      </c>
      <c r="M221" s="80"/>
      <c r="O221" t="s">
        <v>1164</v>
      </c>
      <c r="P221" s="2" t="s">
        <v>706</v>
      </c>
      <c r="Q221" t="s">
        <v>84</v>
      </c>
      <c r="R221" s="19" t="s">
        <v>38</v>
      </c>
      <c r="S221" s="19" t="s">
        <v>38</v>
      </c>
      <c r="T221" s="19" t="s">
        <v>38</v>
      </c>
      <c r="U221" s="19"/>
      <c r="V221" s="410"/>
      <c r="W221" s="408"/>
      <c r="X221" s="408"/>
      <c r="Y221" s="410"/>
      <c r="AE221" s="39"/>
      <c r="AF221" s="30"/>
      <c r="AG221" s="30"/>
      <c r="AH221" s="30"/>
      <c r="AI221" s="30"/>
      <c r="AJ221" s="30"/>
      <c r="AK221" s="30"/>
      <c r="AL221" s="30"/>
      <c r="AM221" s="30"/>
      <c r="AN221" s="31"/>
    </row>
    <row r="222" spans="1:40" ht="14.5" customHeight="1">
      <c r="A222">
        <v>24</v>
      </c>
      <c r="B222" t="s">
        <v>81</v>
      </c>
      <c r="C222" t="s">
        <v>61</v>
      </c>
      <c r="D222" t="s">
        <v>62</v>
      </c>
      <c r="E222">
        <v>1500</v>
      </c>
      <c r="F222" t="s">
        <v>75</v>
      </c>
      <c r="G222" t="s">
        <v>755</v>
      </c>
      <c r="H222" t="s">
        <v>76</v>
      </c>
      <c r="I222">
        <v>34.299999999999997</v>
      </c>
      <c r="J222" t="s">
        <v>88</v>
      </c>
      <c r="K222">
        <v>2011</v>
      </c>
      <c r="L222" t="s">
        <v>83</v>
      </c>
      <c r="M222" s="80"/>
      <c r="O222" t="s">
        <v>1165</v>
      </c>
      <c r="P222" s="2" t="s">
        <v>706</v>
      </c>
      <c r="Q222" t="s">
        <v>84</v>
      </c>
      <c r="R222" s="19" t="s">
        <v>38</v>
      </c>
      <c r="S222" s="19" t="s">
        <v>38</v>
      </c>
      <c r="T222" s="19" t="s">
        <v>38</v>
      </c>
      <c r="U222" s="19"/>
      <c r="V222" s="410"/>
      <c r="W222" s="408"/>
      <c r="X222" s="408"/>
      <c r="Y222" s="410"/>
      <c r="AE222" s="39"/>
      <c r="AF222" s="30"/>
      <c r="AG222" s="30"/>
      <c r="AH222" s="30"/>
      <c r="AI222" s="30"/>
      <c r="AJ222" s="30"/>
      <c r="AK222" s="30"/>
      <c r="AL222" s="30"/>
      <c r="AM222" s="30"/>
      <c r="AN222" s="31"/>
    </row>
    <row r="223" spans="1:40" ht="14.5" customHeight="1">
      <c r="A223">
        <v>148</v>
      </c>
      <c r="B223" t="s">
        <v>201</v>
      </c>
      <c r="C223" t="s">
        <v>61</v>
      </c>
      <c r="D223" t="s">
        <v>62</v>
      </c>
      <c r="E223">
        <v>1000</v>
      </c>
      <c r="F223" t="s">
        <v>75</v>
      </c>
      <c r="G223" t="s">
        <v>52</v>
      </c>
      <c r="H223" t="s">
        <v>76</v>
      </c>
      <c r="I223">
        <v>103</v>
      </c>
      <c r="J223" t="s">
        <v>77</v>
      </c>
      <c r="K223">
        <v>1999</v>
      </c>
      <c r="L223" t="s">
        <v>1123</v>
      </c>
      <c r="M223" s="80"/>
      <c r="O223" t="s">
        <v>202</v>
      </c>
      <c r="P223" s="2" t="s">
        <v>710</v>
      </c>
      <c r="Q223" t="s">
        <v>84</v>
      </c>
      <c r="R223" s="19" t="s">
        <v>38</v>
      </c>
      <c r="S223" s="19" t="s">
        <v>38</v>
      </c>
      <c r="T223" s="19" t="s">
        <v>122</v>
      </c>
      <c r="U223" s="19"/>
      <c r="V223" s="410"/>
      <c r="W223" s="408"/>
      <c r="X223" s="408"/>
      <c r="Y223" s="410"/>
      <c r="AE223" s="39"/>
      <c r="AF223" s="30"/>
      <c r="AG223" s="30"/>
      <c r="AH223" s="30"/>
      <c r="AI223" s="30"/>
      <c r="AJ223" s="30"/>
      <c r="AK223" s="30"/>
      <c r="AL223" s="30"/>
      <c r="AM223" s="30"/>
      <c r="AN223" s="31"/>
    </row>
    <row r="224" spans="1:40" ht="14.5" customHeight="1">
      <c r="A224">
        <v>149</v>
      </c>
      <c r="B224" t="s">
        <v>200</v>
      </c>
      <c r="C224" t="s">
        <v>61</v>
      </c>
      <c r="D224" t="s">
        <v>62</v>
      </c>
      <c r="E224">
        <v>1300</v>
      </c>
      <c r="F224" t="s">
        <v>75</v>
      </c>
      <c r="G224" t="s">
        <v>52</v>
      </c>
      <c r="H224" t="s">
        <v>76</v>
      </c>
      <c r="I224">
        <v>80</v>
      </c>
      <c r="J224" t="s">
        <v>77</v>
      </c>
      <c r="K224">
        <v>1999</v>
      </c>
      <c r="L224" t="s">
        <v>1123</v>
      </c>
      <c r="M224" s="80"/>
      <c r="O224" t="s">
        <v>202</v>
      </c>
      <c r="P224" s="2" t="s">
        <v>706</v>
      </c>
      <c r="Q224" t="s">
        <v>84</v>
      </c>
      <c r="R224" s="19" t="s">
        <v>38</v>
      </c>
      <c r="S224" s="19" t="s">
        <v>38</v>
      </c>
      <c r="T224" s="19" t="s">
        <v>122</v>
      </c>
      <c r="U224" s="19"/>
      <c r="V224" s="410"/>
      <c r="W224" s="408"/>
      <c r="X224" s="408"/>
      <c r="Y224" s="410"/>
      <c r="AE224" s="39"/>
      <c r="AF224" s="30"/>
      <c r="AG224" s="30"/>
      <c r="AH224" s="30"/>
      <c r="AI224" s="30"/>
      <c r="AJ224" s="30"/>
      <c r="AK224" s="30"/>
      <c r="AL224" s="30"/>
      <c r="AM224" s="30"/>
      <c r="AN224" s="31"/>
    </row>
    <row r="225" spans="1:40" ht="13.5" customHeight="1">
      <c r="A225">
        <v>150</v>
      </c>
      <c r="B225" t="s">
        <v>200</v>
      </c>
      <c r="C225" t="s">
        <v>61</v>
      </c>
      <c r="D225" t="s">
        <v>62</v>
      </c>
      <c r="E225">
        <v>1000</v>
      </c>
      <c r="F225" t="s">
        <v>75</v>
      </c>
      <c r="G225" t="s">
        <v>52</v>
      </c>
      <c r="H225" t="s">
        <v>76</v>
      </c>
      <c r="I225">
        <v>90</v>
      </c>
      <c r="J225" t="s">
        <v>77</v>
      </c>
      <c r="K225">
        <v>1999</v>
      </c>
      <c r="L225" t="s">
        <v>1123</v>
      </c>
      <c r="M225" s="80"/>
      <c r="O225" t="s">
        <v>202</v>
      </c>
      <c r="P225" s="2" t="s">
        <v>706</v>
      </c>
      <c r="Q225" t="s">
        <v>84</v>
      </c>
      <c r="R225" s="19" t="s">
        <v>38</v>
      </c>
      <c r="S225" s="19" t="s">
        <v>38</v>
      </c>
      <c r="T225" s="19" t="s">
        <v>122</v>
      </c>
      <c r="U225" s="19"/>
      <c r="V225" s="410"/>
      <c r="W225" s="408"/>
      <c r="X225" s="408"/>
      <c r="Y225" s="410"/>
      <c r="AE225" s="39"/>
      <c r="AF225" s="30"/>
      <c r="AG225" s="30"/>
      <c r="AH225" s="30"/>
      <c r="AI225" s="30"/>
      <c r="AJ225" s="30"/>
      <c r="AK225" s="30"/>
      <c r="AL225" s="30"/>
      <c r="AM225" s="30"/>
      <c r="AN225" s="31"/>
    </row>
    <row r="226" spans="1:40" ht="13.5" customHeight="1">
      <c r="A226">
        <v>151</v>
      </c>
      <c r="B226" t="s">
        <v>203</v>
      </c>
      <c r="C226" t="s">
        <v>61</v>
      </c>
      <c r="D226" t="s">
        <v>62</v>
      </c>
      <c r="E226">
        <v>1300</v>
      </c>
      <c r="F226" t="s">
        <v>75</v>
      </c>
      <c r="G226" t="s">
        <v>52</v>
      </c>
      <c r="H226" t="s">
        <v>76</v>
      </c>
      <c r="I226">
        <v>68</v>
      </c>
      <c r="J226" t="s">
        <v>77</v>
      </c>
      <c r="K226">
        <v>1999</v>
      </c>
      <c r="L226" t="s">
        <v>1123</v>
      </c>
      <c r="M226" s="80"/>
      <c r="O226" t="s">
        <v>202</v>
      </c>
      <c r="P226" s="2" t="s">
        <v>715</v>
      </c>
      <c r="Q226" t="s">
        <v>84</v>
      </c>
      <c r="R226" s="19" t="s">
        <v>38</v>
      </c>
      <c r="S226" s="19" t="s">
        <v>38</v>
      </c>
      <c r="T226" s="19" t="s">
        <v>122</v>
      </c>
      <c r="U226" s="19"/>
      <c r="V226" s="410"/>
      <c r="W226" s="408"/>
      <c r="X226" s="408"/>
      <c r="Y226" s="410"/>
      <c r="AE226" s="39"/>
      <c r="AF226" s="30"/>
      <c r="AG226" s="30"/>
      <c r="AH226" s="30"/>
      <c r="AI226" s="30"/>
      <c r="AJ226" s="30"/>
      <c r="AK226" s="30"/>
      <c r="AL226" s="30"/>
      <c r="AM226" s="30"/>
      <c r="AN226" s="31"/>
    </row>
    <row r="227" spans="1:40" ht="13.5" customHeight="1">
      <c r="A227">
        <v>152</v>
      </c>
      <c r="B227" t="s">
        <v>204</v>
      </c>
      <c r="C227" t="s">
        <v>61</v>
      </c>
      <c r="D227" t="s">
        <v>62</v>
      </c>
      <c r="E227">
        <v>1000</v>
      </c>
      <c r="F227" t="s">
        <v>75</v>
      </c>
      <c r="G227" t="s">
        <v>52</v>
      </c>
      <c r="H227" t="s">
        <v>76</v>
      </c>
      <c r="I227">
        <v>110</v>
      </c>
      <c r="J227" t="s">
        <v>77</v>
      </c>
      <c r="K227">
        <v>1999</v>
      </c>
      <c r="L227" t="s">
        <v>1123</v>
      </c>
      <c r="M227" s="80"/>
      <c r="O227" t="s">
        <v>202</v>
      </c>
      <c r="P227" s="2" t="s">
        <v>710</v>
      </c>
      <c r="Q227" t="s">
        <v>84</v>
      </c>
      <c r="R227" s="19" t="s">
        <v>38</v>
      </c>
      <c r="S227" s="19" t="s">
        <v>38</v>
      </c>
      <c r="T227" s="19" t="s">
        <v>122</v>
      </c>
      <c r="U227" s="19"/>
      <c r="V227" s="410"/>
      <c r="W227" s="408"/>
      <c r="X227" s="408"/>
      <c r="Y227" s="410"/>
      <c r="AE227" s="39"/>
      <c r="AF227" s="30"/>
      <c r="AG227" s="30"/>
      <c r="AH227" s="30"/>
      <c r="AI227" s="30"/>
      <c r="AJ227" s="30"/>
      <c r="AK227" s="30"/>
      <c r="AL227" s="30"/>
      <c r="AM227" s="30"/>
      <c r="AN227" s="31"/>
    </row>
    <row r="228" spans="1:40" ht="13" customHeight="1">
      <c r="A228">
        <v>153</v>
      </c>
      <c r="B228" t="s">
        <v>188</v>
      </c>
      <c r="C228" t="s">
        <v>61</v>
      </c>
      <c r="D228" t="s">
        <v>62</v>
      </c>
      <c r="E228">
        <v>1300</v>
      </c>
      <c r="F228" t="s">
        <v>75</v>
      </c>
      <c r="G228" t="s">
        <v>52</v>
      </c>
      <c r="H228" t="s">
        <v>76</v>
      </c>
      <c r="I228">
        <v>86</v>
      </c>
      <c r="J228" t="s">
        <v>77</v>
      </c>
      <c r="K228">
        <v>1999</v>
      </c>
      <c r="L228" t="s">
        <v>1123</v>
      </c>
      <c r="M228" s="80"/>
      <c r="O228" t="s">
        <v>202</v>
      </c>
      <c r="P228" s="2" t="s">
        <v>706</v>
      </c>
      <c r="Q228" t="s">
        <v>84</v>
      </c>
      <c r="R228" s="19" t="s">
        <v>38</v>
      </c>
      <c r="S228" s="19" t="s">
        <v>38</v>
      </c>
      <c r="T228" s="19" t="s">
        <v>122</v>
      </c>
      <c r="U228" s="19"/>
      <c r="V228" s="410"/>
      <c r="W228" s="408"/>
      <c r="X228" s="408"/>
      <c r="Y228" s="410"/>
      <c r="AE228" s="39"/>
      <c r="AF228" s="30"/>
      <c r="AG228" s="30"/>
      <c r="AH228" s="30"/>
      <c r="AI228" s="30"/>
      <c r="AJ228" s="30"/>
      <c r="AK228" s="30"/>
      <c r="AL228" s="30"/>
      <c r="AM228" s="30"/>
      <c r="AN228" s="31"/>
    </row>
    <row r="229" spans="1:40" ht="13" customHeight="1">
      <c r="A229">
        <v>154</v>
      </c>
      <c r="B229" t="s">
        <v>205</v>
      </c>
      <c r="C229" t="s">
        <v>61</v>
      </c>
      <c r="D229" t="s">
        <v>62</v>
      </c>
      <c r="E229">
        <v>1300</v>
      </c>
      <c r="F229" t="s">
        <v>75</v>
      </c>
      <c r="G229" t="s">
        <v>52</v>
      </c>
      <c r="H229" t="s">
        <v>76</v>
      </c>
      <c r="I229">
        <v>65</v>
      </c>
      <c r="J229" t="s">
        <v>77</v>
      </c>
      <c r="K229">
        <v>1999</v>
      </c>
      <c r="L229" t="s">
        <v>1123</v>
      </c>
      <c r="M229" s="80"/>
      <c r="O229" t="s">
        <v>202</v>
      </c>
      <c r="P229" s="2" t="s">
        <v>715</v>
      </c>
      <c r="Q229" t="s">
        <v>84</v>
      </c>
      <c r="R229" s="19" t="s">
        <v>38</v>
      </c>
      <c r="S229" s="19" t="s">
        <v>38</v>
      </c>
      <c r="T229" s="19" t="s">
        <v>122</v>
      </c>
      <c r="U229" s="19"/>
      <c r="V229" s="410"/>
      <c r="W229" s="408"/>
      <c r="X229" s="408"/>
      <c r="Y229" s="410"/>
      <c r="AE229" s="39"/>
      <c r="AF229" s="30"/>
      <c r="AG229" s="30"/>
      <c r="AH229" s="30"/>
      <c r="AI229" s="30"/>
      <c r="AJ229" s="30"/>
      <c r="AK229" s="30"/>
      <c r="AL229" s="30"/>
      <c r="AM229" s="30"/>
      <c r="AN229" s="31"/>
    </row>
    <row r="230" spans="1:40" ht="13" customHeight="1">
      <c r="A230">
        <v>155</v>
      </c>
      <c r="B230" t="s">
        <v>188</v>
      </c>
      <c r="C230" t="s">
        <v>61</v>
      </c>
      <c r="D230" t="s">
        <v>62</v>
      </c>
      <c r="E230">
        <v>1000</v>
      </c>
      <c r="F230" t="s">
        <v>75</v>
      </c>
      <c r="G230" t="s">
        <v>52</v>
      </c>
      <c r="H230" t="s">
        <v>76</v>
      </c>
      <c r="I230">
        <v>95</v>
      </c>
      <c r="J230" t="s">
        <v>77</v>
      </c>
      <c r="K230">
        <v>1999</v>
      </c>
      <c r="L230" t="s">
        <v>1123</v>
      </c>
      <c r="M230" s="80"/>
      <c r="O230" t="s">
        <v>202</v>
      </c>
      <c r="P230" s="2" t="s">
        <v>706</v>
      </c>
      <c r="Q230" t="s">
        <v>84</v>
      </c>
      <c r="R230" s="19" t="s">
        <v>38</v>
      </c>
      <c r="S230" s="19" t="s">
        <v>38</v>
      </c>
      <c r="T230" s="19" t="s">
        <v>122</v>
      </c>
      <c r="U230" s="19"/>
      <c r="V230" s="410"/>
      <c r="W230" s="408"/>
      <c r="X230" s="408"/>
      <c r="Y230" s="410"/>
      <c r="AE230" s="39"/>
      <c r="AF230" s="30"/>
      <c r="AG230" s="30"/>
      <c r="AH230" s="30"/>
      <c r="AI230" s="30"/>
      <c r="AJ230" s="30"/>
      <c r="AK230" s="30"/>
      <c r="AL230" s="30"/>
      <c r="AM230" s="30"/>
      <c r="AN230" s="31"/>
    </row>
    <row r="231" spans="1:40" ht="13" customHeight="1">
      <c r="A231">
        <v>248</v>
      </c>
      <c r="B231" t="s">
        <v>277</v>
      </c>
      <c r="C231" t="s">
        <v>61</v>
      </c>
      <c r="D231" s="141" t="s">
        <v>278</v>
      </c>
      <c r="E231">
        <v>1000</v>
      </c>
      <c r="F231" t="s">
        <v>75</v>
      </c>
      <c r="G231" t="s">
        <v>57</v>
      </c>
      <c r="H231" t="s">
        <v>76</v>
      </c>
      <c r="I231">
        <v>93</v>
      </c>
      <c r="J231" t="s">
        <v>77</v>
      </c>
      <c r="K231">
        <v>2003</v>
      </c>
      <c r="L231" s="5" t="s">
        <v>279</v>
      </c>
      <c r="M231" s="185"/>
      <c r="N231" s="5"/>
      <c r="O231" t="s">
        <v>280</v>
      </c>
      <c r="P231" s="55">
        <v>0.75</v>
      </c>
      <c r="Q231" t="s">
        <v>84</v>
      </c>
      <c r="R231" s="19" t="s">
        <v>38</v>
      </c>
      <c r="S231" s="19" t="s">
        <v>38</v>
      </c>
      <c r="T231" s="55" t="s">
        <v>38</v>
      </c>
      <c r="U231" s="19"/>
      <c r="V231" s="410"/>
      <c r="W231" s="408"/>
      <c r="X231" s="408"/>
      <c r="Y231" s="410"/>
      <c r="AE231" s="39"/>
      <c r="AF231" s="30"/>
      <c r="AG231" s="30"/>
      <c r="AH231" s="30"/>
      <c r="AI231" s="30"/>
      <c r="AJ231" s="30"/>
      <c r="AK231" s="30"/>
      <c r="AL231" s="30"/>
      <c r="AM231" s="30"/>
      <c r="AN231" s="31"/>
    </row>
    <row r="232" spans="1:40" ht="13" customHeight="1">
      <c r="A232">
        <v>253</v>
      </c>
      <c r="B232" t="s">
        <v>283</v>
      </c>
      <c r="C232" t="s">
        <v>61</v>
      </c>
      <c r="D232" t="s">
        <v>251</v>
      </c>
      <c r="E232">
        <v>1000</v>
      </c>
      <c r="F232" t="s">
        <v>75</v>
      </c>
      <c r="G232" t="s">
        <v>52</v>
      </c>
      <c r="H232" t="s">
        <v>76</v>
      </c>
      <c r="I232">
        <v>91</v>
      </c>
      <c r="J232" t="s">
        <v>77</v>
      </c>
      <c r="K232">
        <v>2003</v>
      </c>
      <c r="L232" s="5" t="s">
        <v>279</v>
      </c>
      <c r="M232" s="185"/>
      <c r="N232" s="5"/>
      <c r="O232" t="s">
        <v>284</v>
      </c>
      <c r="P232" s="55">
        <v>0.75</v>
      </c>
      <c r="Q232" t="s">
        <v>84</v>
      </c>
      <c r="R232" s="19" t="s">
        <v>38</v>
      </c>
      <c r="S232" s="19" t="s">
        <v>38</v>
      </c>
      <c r="T232" s="55" t="s">
        <v>38</v>
      </c>
      <c r="U232" s="19"/>
      <c r="V232" s="410"/>
      <c r="W232" s="408"/>
      <c r="X232" s="408"/>
      <c r="Y232" s="410"/>
      <c r="AE232" s="73" t="s">
        <v>238</v>
      </c>
      <c r="AF232" s="30"/>
      <c r="AG232" s="30"/>
      <c r="AH232" s="30"/>
      <c r="AI232" s="30"/>
      <c r="AJ232" s="30"/>
      <c r="AK232" s="30"/>
      <c r="AL232" s="30"/>
      <c r="AM232" s="30"/>
      <c r="AN232" s="31"/>
    </row>
    <row r="233" spans="1:40" ht="13" customHeight="1">
      <c r="A233">
        <v>414</v>
      </c>
      <c r="B233" t="s">
        <v>398</v>
      </c>
      <c r="C233" t="s">
        <v>61</v>
      </c>
      <c r="D233" t="s">
        <v>251</v>
      </c>
      <c r="E233">
        <v>1204</v>
      </c>
      <c r="F233" t="s">
        <v>75</v>
      </c>
      <c r="G233" t="s">
        <v>32</v>
      </c>
      <c r="H233" t="s">
        <v>76</v>
      </c>
      <c r="I233">
        <v>87</v>
      </c>
      <c r="J233" t="s">
        <v>128</v>
      </c>
      <c r="K233">
        <v>2023</v>
      </c>
      <c r="L233" t="s">
        <v>399</v>
      </c>
      <c r="M233" s="80"/>
      <c r="O233" t="s">
        <v>408</v>
      </c>
      <c r="P233" s="2" t="s">
        <v>713</v>
      </c>
      <c r="Q233" t="s">
        <v>84</v>
      </c>
      <c r="R233" s="19" t="s">
        <v>38</v>
      </c>
      <c r="S233" s="19" t="s">
        <v>38</v>
      </c>
      <c r="T233" s="55" t="s">
        <v>38</v>
      </c>
      <c r="U233" s="19"/>
      <c r="V233" s="410"/>
      <c r="W233" s="408"/>
      <c r="X233" s="408"/>
      <c r="Y233" s="410"/>
      <c r="AE233" s="39"/>
      <c r="AF233" s="30"/>
      <c r="AG233" s="30"/>
      <c r="AH233" s="30"/>
      <c r="AI233" s="30"/>
      <c r="AJ233" s="30"/>
      <c r="AK233" s="30"/>
      <c r="AL233" s="30"/>
      <c r="AM233" s="30"/>
      <c r="AN233" s="31"/>
    </row>
    <row r="234" spans="1:40" ht="13" customHeight="1">
      <c r="A234">
        <v>415</v>
      </c>
      <c r="B234" t="s">
        <v>398</v>
      </c>
      <c r="C234" t="s">
        <v>61</v>
      </c>
      <c r="D234" t="s">
        <v>251</v>
      </c>
      <c r="E234">
        <v>1204</v>
      </c>
      <c r="F234" t="s">
        <v>75</v>
      </c>
      <c r="G234" t="s">
        <v>32</v>
      </c>
      <c r="H234" t="s">
        <v>76</v>
      </c>
      <c r="I234">
        <v>67</v>
      </c>
      <c r="J234" t="s">
        <v>128</v>
      </c>
      <c r="K234">
        <v>2023</v>
      </c>
      <c r="L234" t="s">
        <v>399</v>
      </c>
      <c r="M234" s="80"/>
      <c r="O234" t="s">
        <v>409</v>
      </c>
      <c r="P234" s="2" t="s">
        <v>713</v>
      </c>
      <c r="Q234" t="s">
        <v>84</v>
      </c>
      <c r="R234" s="19" t="s">
        <v>38</v>
      </c>
      <c r="S234" s="19" t="s">
        <v>38</v>
      </c>
      <c r="T234" s="55" t="s">
        <v>38</v>
      </c>
      <c r="U234" s="19"/>
      <c r="V234" s="410"/>
      <c r="W234" s="408"/>
      <c r="X234" s="408"/>
      <c r="Y234" s="410"/>
      <c r="AE234" s="73" t="s">
        <v>238</v>
      </c>
      <c r="AF234" s="30"/>
      <c r="AG234" s="30"/>
      <c r="AH234" s="30"/>
      <c r="AI234" s="30"/>
      <c r="AJ234" s="30"/>
      <c r="AK234" s="30"/>
      <c r="AL234" s="30"/>
      <c r="AM234" s="30"/>
      <c r="AN234" s="31"/>
    </row>
    <row r="235" spans="1:40" ht="13" customHeight="1">
      <c r="A235">
        <v>416</v>
      </c>
      <c r="B235" t="s">
        <v>401</v>
      </c>
      <c r="C235" t="s">
        <v>61</v>
      </c>
      <c r="D235" t="s">
        <v>251</v>
      </c>
      <c r="E235">
        <v>1313</v>
      </c>
      <c r="F235" t="s">
        <v>75</v>
      </c>
      <c r="G235" t="s">
        <v>32</v>
      </c>
      <c r="H235" t="s">
        <v>76</v>
      </c>
      <c r="I235">
        <v>84</v>
      </c>
      <c r="J235" t="s">
        <v>128</v>
      </c>
      <c r="K235">
        <v>2023</v>
      </c>
      <c r="L235" t="s">
        <v>399</v>
      </c>
      <c r="M235" s="80"/>
      <c r="O235" t="s">
        <v>408</v>
      </c>
      <c r="P235" s="2" t="s">
        <v>713</v>
      </c>
      <c r="Q235" t="s">
        <v>84</v>
      </c>
      <c r="R235" s="19" t="s">
        <v>38</v>
      </c>
      <c r="S235" s="19" t="s">
        <v>38</v>
      </c>
      <c r="T235" s="55" t="s">
        <v>38</v>
      </c>
      <c r="U235" s="19"/>
      <c r="V235" s="410"/>
      <c r="W235" s="408"/>
      <c r="X235" s="408"/>
      <c r="Y235" s="410"/>
      <c r="AE235" s="39"/>
      <c r="AF235" s="30"/>
      <c r="AG235" s="30"/>
      <c r="AH235" s="30"/>
      <c r="AI235" s="30"/>
      <c r="AJ235" s="30"/>
      <c r="AK235" s="30"/>
      <c r="AL235" s="30"/>
      <c r="AM235" s="30"/>
      <c r="AN235" s="31"/>
    </row>
    <row r="236" spans="1:40" ht="13" customHeight="1">
      <c r="A236">
        <v>417</v>
      </c>
      <c r="B236" t="s">
        <v>401</v>
      </c>
      <c r="C236" t="s">
        <v>61</v>
      </c>
      <c r="D236" t="s">
        <v>251</v>
      </c>
      <c r="E236">
        <v>1313</v>
      </c>
      <c r="F236" t="s">
        <v>75</v>
      </c>
      <c r="G236" t="s">
        <v>32</v>
      </c>
      <c r="H236" t="s">
        <v>76</v>
      </c>
      <c r="I236">
        <v>65</v>
      </c>
      <c r="J236" t="s">
        <v>128</v>
      </c>
      <c r="K236">
        <v>2023</v>
      </c>
      <c r="L236" t="s">
        <v>399</v>
      </c>
      <c r="M236" s="80"/>
      <c r="O236" t="s">
        <v>409</v>
      </c>
      <c r="P236" s="2" t="s">
        <v>713</v>
      </c>
      <c r="Q236" t="s">
        <v>84</v>
      </c>
      <c r="R236" s="19" t="s">
        <v>38</v>
      </c>
      <c r="S236" s="19" t="s">
        <v>38</v>
      </c>
      <c r="T236" s="55" t="s">
        <v>38</v>
      </c>
      <c r="U236" s="19"/>
      <c r="V236" s="423"/>
      <c r="W236" s="408" t="s">
        <v>1009</v>
      </c>
      <c r="X236" s="408" t="s">
        <v>1008</v>
      </c>
      <c r="Y236" s="407" t="s">
        <v>871</v>
      </c>
      <c r="AE236" s="73" t="s">
        <v>238</v>
      </c>
      <c r="AF236" s="30"/>
      <c r="AG236" s="30"/>
      <c r="AH236" s="30"/>
      <c r="AI236" s="30"/>
      <c r="AJ236" s="30"/>
      <c r="AK236" s="30"/>
      <c r="AL236" s="30"/>
      <c r="AM236" s="30"/>
      <c r="AN236" s="31"/>
    </row>
    <row r="237" spans="1:40" ht="13" customHeight="1">
      <c r="A237">
        <v>418</v>
      </c>
      <c r="B237" t="s">
        <v>402</v>
      </c>
      <c r="C237" t="s">
        <v>61</v>
      </c>
      <c r="D237" t="s">
        <v>251</v>
      </c>
      <c r="E237">
        <v>2272</v>
      </c>
      <c r="F237" t="s">
        <v>75</v>
      </c>
      <c r="G237" t="s">
        <v>32</v>
      </c>
      <c r="H237" t="s">
        <v>76</v>
      </c>
      <c r="I237">
        <v>70</v>
      </c>
      <c r="J237" t="s">
        <v>128</v>
      </c>
      <c r="K237">
        <v>2023</v>
      </c>
      <c r="L237" t="s">
        <v>399</v>
      </c>
      <c r="M237" s="80"/>
      <c r="O237" t="s">
        <v>410</v>
      </c>
      <c r="P237" s="2" t="s">
        <v>713</v>
      </c>
      <c r="Q237" t="s">
        <v>84</v>
      </c>
      <c r="R237" s="19" t="s">
        <v>38</v>
      </c>
      <c r="S237" s="19" t="s">
        <v>38</v>
      </c>
      <c r="T237" s="55" t="s">
        <v>38</v>
      </c>
      <c r="U237" s="19"/>
      <c r="V237" s="423"/>
      <c r="W237" s="409"/>
      <c r="X237" s="409"/>
      <c r="Y237" s="407"/>
      <c r="AE237" s="39"/>
      <c r="AF237" s="30"/>
      <c r="AG237" s="30"/>
      <c r="AH237" s="30"/>
      <c r="AI237" s="30"/>
      <c r="AJ237" s="30"/>
      <c r="AK237" s="30"/>
      <c r="AL237" s="30"/>
      <c r="AM237" s="30"/>
      <c r="AN237" s="31"/>
    </row>
    <row r="238" spans="1:40" ht="13" customHeight="1">
      <c r="A238">
        <v>419</v>
      </c>
      <c r="B238" t="s">
        <v>403</v>
      </c>
      <c r="C238" t="s">
        <v>61</v>
      </c>
      <c r="D238" t="s">
        <v>251</v>
      </c>
      <c r="E238">
        <v>1368</v>
      </c>
      <c r="F238" t="s">
        <v>75</v>
      </c>
      <c r="G238" t="s">
        <v>32</v>
      </c>
      <c r="H238" t="s">
        <v>76</v>
      </c>
      <c r="I238">
        <v>63.16</v>
      </c>
      <c r="J238" t="s">
        <v>128</v>
      </c>
      <c r="K238">
        <v>2023</v>
      </c>
      <c r="L238" t="s">
        <v>399</v>
      </c>
      <c r="M238" s="80"/>
      <c r="O238" t="s">
        <v>409</v>
      </c>
      <c r="P238" s="2" t="s">
        <v>713</v>
      </c>
      <c r="Q238" t="s">
        <v>84</v>
      </c>
      <c r="R238" s="19" t="s">
        <v>38</v>
      </c>
      <c r="S238" s="19" t="s">
        <v>38</v>
      </c>
      <c r="T238" s="55" t="s">
        <v>38</v>
      </c>
      <c r="U238" s="19"/>
      <c r="V238" s="423"/>
      <c r="W238" s="409"/>
      <c r="X238" s="409"/>
      <c r="Y238" s="407"/>
      <c r="AE238" s="73" t="s">
        <v>238</v>
      </c>
      <c r="AF238" s="30"/>
      <c r="AG238" s="30"/>
      <c r="AH238" s="30"/>
      <c r="AI238" s="30"/>
      <c r="AJ238" s="30"/>
      <c r="AK238" s="30"/>
      <c r="AL238" s="30"/>
      <c r="AM238" s="30"/>
      <c r="AN238" s="31"/>
    </row>
    <row r="239" spans="1:40" ht="13" customHeight="1">
      <c r="A239">
        <v>420</v>
      </c>
      <c r="B239" t="s">
        <v>402</v>
      </c>
      <c r="C239" t="s">
        <v>61</v>
      </c>
      <c r="D239" t="s">
        <v>251</v>
      </c>
      <c r="E239">
        <v>2272</v>
      </c>
      <c r="F239" t="s">
        <v>75</v>
      </c>
      <c r="G239" t="s">
        <v>32</v>
      </c>
      <c r="H239" t="s">
        <v>76</v>
      </c>
      <c r="I239">
        <v>90</v>
      </c>
      <c r="J239" t="s">
        <v>128</v>
      </c>
      <c r="K239">
        <v>2023</v>
      </c>
      <c r="L239" t="s">
        <v>399</v>
      </c>
      <c r="M239" s="80"/>
      <c r="O239" t="s">
        <v>408</v>
      </c>
      <c r="P239" s="2" t="s">
        <v>713</v>
      </c>
      <c r="Q239" t="s">
        <v>84</v>
      </c>
      <c r="R239" s="19" t="s">
        <v>38</v>
      </c>
      <c r="S239" s="19" t="s">
        <v>38</v>
      </c>
      <c r="T239" s="55" t="s">
        <v>38</v>
      </c>
      <c r="U239" s="19"/>
      <c r="V239" s="423"/>
      <c r="W239" s="409"/>
      <c r="X239" s="409"/>
      <c r="Y239" s="407"/>
      <c r="AE239" s="39"/>
      <c r="AF239" s="30"/>
      <c r="AG239" s="30"/>
      <c r="AH239" s="30"/>
      <c r="AI239" s="30"/>
      <c r="AJ239" s="30"/>
      <c r="AK239" s="30"/>
      <c r="AL239" s="30"/>
      <c r="AM239" s="30"/>
      <c r="AN239" s="31"/>
    </row>
    <row r="240" spans="1:40" ht="13" customHeight="1">
      <c r="A240">
        <v>421</v>
      </c>
      <c r="B240" t="s">
        <v>403</v>
      </c>
      <c r="C240" t="s">
        <v>61</v>
      </c>
      <c r="D240" t="s">
        <v>251</v>
      </c>
      <c r="E240">
        <v>1368</v>
      </c>
      <c r="F240" t="s">
        <v>75</v>
      </c>
      <c r="G240" t="s">
        <v>32</v>
      </c>
      <c r="H240" t="s">
        <v>76</v>
      </c>
      <c r="I240">
        <v>82.95</v>
      </c>
      <c r="J240" t="s">
        <v>128</v>
      </c>
      <c r="K240">
        <v>2023</v>
      </c>
      <c r="L240" t="s">
        <v>399</v>
      </c>
      <c r="M240" s="80"/>
      <c r="O240" t="s">
        <v>411</v>
      </c>
      <c r="P240" s="2" t="s">
        <v>713</v>
      </c>
      <c r="Q240" t="s">
        <v>84</v>
      </c>
      <c r="R240" s="19" t="s">
        <v>38</v>
      </c>
      <c r="S240" s="19" t="s">
        <v>38</v>
      </c>
      <c r="T240" s="55" t="s">
        <v>38</v>
      </c>
      <c r="U240" s="19"/>
      <c r="V240" s="410" t="s">
        <v>1010</v>
      </c>
      <c r="W240" s="408" t="s">
        <v>1011</v>
      </c>
      <c r="X240" s="408" t="s">
        <v>1012</v>
      </c>
      <c r="Y240" s="408" t="s">
        <v>1013</v>
      </c>
      <c r="AD240" s="12"/>
      <c r="AE240" s="73" t="s">
        <v>238</v>
      </c>
      <c r="AF240" s="30"/>
      <c r="AG240" s="30"/>
      <c r="AH240" s="30"/>
      <c r="AI240" s="30"/>
      <c r="AJ240" s="30"/>
      <c r="AK240" s="30"/>
      <c r="AL240" s="30"/>
      <c r="AM240" s="30"/>
      <c r="AN240" s="31"/>
    </row>
    <row r="241" spans="1:40" ht="13" customHeight="1">
      <c r="A241">
        <v>430</v>
      </c>
      <c r="B241" t="s">
        <v>404</v>
      </c>
      <c r="C241" t="s">
        <v>61</v>
      </c>
      <c r="D241" t="s">
        <v>251</v>
      </c>
      <c r="E241">
        <v>914</v>
      </c>
      <c r="F241" t="s">
        <v>75</v>
      </c>
      <c r="G241" t="s">
        <v>32</v>
      </c>
      <c r="H241" t="s">
        <v>76</v>
      </c>
      <c r="I241">
        <v>75</v>
      </c>
      <c r="J241" t="s">
        <v>128</v>
      </c>
      <c r="K241">
        <v>2023</v>
      </c>
      <c r="L241" t="s">
        <v>399</v>
      </c>
      <c r="M241" s="80"/>
      <c r="O241" t="s">
        <v>412</v>
      </c>
      <c r="P241" s="2" t="s">
        <v>713</v>
      </c>
      <c r="Q241" t="s">
        <v>84</v>
      </c>
      <c r="R241" s="19" t="s">
        <v>38</v>
      </c>
      <c r="S241" s="19" t="s">
        <v>38</v>
      </c>
      <c r="T241" s="55" t="s">
        <v>38</v>
      </c>
      <c r="U241" s="19"/>
      <c r="V241" s="410"/>
      <c r="W241" s="409"/>
      <c r="X241" s="409"/>
      <c r="Y241" s="409"/>
      <c r="AD241" s="12"/>
      <c r="AE241" s="39"/>
      <c r="AF241" s="30"/>
      <c r="AG241" s="30"/>
      <c r="AH241" s="30"/>
      <c r="AI241" s="30"/>
      <c r="AJ241" s="30"/>
      <c r="AK241" s="30"/>
      <c r="AL241" s="30"/>
      <c r="AM241" s="30"/>
      <c r="AN241" s="31"/>
    </row>
    <row r="242" spans="1:40" ht="13" customHeight="1">
      <c r="A242">
        <v>431</v>
      </c>
      <c r="B242" t="s">
        <v>404</v>
      </c>
      <c r="C242" t="s">
        <v>61</v>
      </c>
      <c r="D242" t="s">
        <v>251</v>
      </c>
      <c r="E242">
        <v>914</v>
      </c>
      <c r="F242" t="s">
        <v>75</v>
      </c>
      <c r="G242" t="s">
        <v>32</v>
      </c>
      <c r="H242" t="s">
        <v>76</v>
      </c>
      <c r="I242">
        <v>60</v>
      </c>
      <c r="J242" t="s">
        <v>128</v>
      </c>
      <c r="K242">
        <v>2023</v>
      </c>
      <c r="L242" t="s">
        <v>399</v>
      </c>
      <c r="M242" s="80"/>
      <c r="O242" t="s">
        <v>413</v>
      </c>
      <c r="P242" s="2" t="s">
        <v>713</v>
      </c>
      <c r="Q242" t="s">
        <v>84</v>
      </c>
      <c r="R242" s="19" t="s">
        <v>38</v>
      </c>
      <c r="S242" s="19" t="s">
        <v>38</v>
      </c>
      <c r="T242" s="55" t="s">
        <v>38</v>
      </c>
      <c r="U242" s="19"/>
      <c r="V242" s="410"/>
      <c r="W242" s="409"/>
      <c r="X242" s="409"/>
      <c r="Y242" s="409"/>
      <c r="AE242" s="73" t="s">
        <v>238</v>
      </c>
      <c r="AF242" s="30"/>
      <c r="AG242" s="30"/>
      <c r="AH242" s="30"/>
      <c r="AI242" s="30"/>
      <c r="AJ242" s="30"/>
      <c r="AK242" s="30"/>
      <c r="AL242" s="30"/>
      <c r="AM242" s="30"/>
      <c r="AN242" s="31"/>
    </row>
    <row r="243" spans="1:40" ht="13" customHeight="1">
      <c r="A243">
        <v>432</v>
      </c>
      <c r="B243" t="s">
        <v>405</v>
      </c>
      <c r="C243" t="s">
        <v>61</v>
      </c>
      <c r="D243" t="s">
        <v>251</v>
      </c>
      <c r="E243">
        <v>774</v>
      </c>
      <c r="F243" t="s">
        <v>75</v>
      </c>
      <c r="G243" t="s">
        <v>32</v>
      </c>
      <c r="H243" t="s">
        <v>76</v>
      </c>
      <c r="I243">
        <v>59</v>
      </c>
      <c r="J243" t="s">
        <v>128</v>
      </c>
      <c r="K243">
        <v>2023</v>
      </c>
      <c r="L243" t="s">
        <v>399</v>
      </c>
      <c r="M243" s="80"/>
      <c r="O243" t="s">
        <v>414</v>
      </c>
      <c r="P243" s="2" t="s">
        <v>713</v>
      </c>
      <c r="Q243" t="s">
        <v>84</v>
      </c>
      <c r="R243" s="19" t="s">
        <v>38</v>
      </c>
      <c r="S243" s="19" t="s">
        <v>38</v>
      </c>
      <c r="T243" s="55" t="s">
        <v>38</v>
      </c>
      <c r="V243" s="410"/>
      <c r="W243" s="409"/>
      <c r="X243" s="409"/>
      <c r="Y243" s="409"/>
      <c r="AE243" s="39"/>
      <c r="AF243" s="30"/>
      <c r="AG243" s="30"/>
      <c r="AH243" s="30"/>
      <c r="AI243" s="30"/>
      <c r="AJ243" s="30"/>
      <c r="AK243" s="30"/>
      <c r="AL243" s="30"/>
      <c r="AM243" s="30"/>
      <c r="AN243" s="31"/>
    </row>
    <row r="244" spans="1:40" ht="13" customHeight="1">
      <c r="A244">
        <v>433</v>
      </c>
      <c r="B244" t="s">
        <v>405</v>
      </c>
      <c r="C244" t="s">
        <v>61</v>
      </c>
      <c r="D244" t="s">
        <v>251</v>
      </c>
      <c r="E244">
        <v>774</v>
      </c>
      <c r="F244" t="s">
        <v>75</v>
      </c>
      <c r="G244" t="s">
        <v>32</v>
      </c>
      <c r="H244" t="s">
        <v>76</v>
      </c>
      <c r="I244">
        <v>79</v>
      </c>
      <c r="J244" t="s">
        <v>128</v>
      </c>
      <c r="K244">
        <v>2023</v>
      </c>
      <c r="L244" t="s">
        <v>399</v>
      </c>
      <c r="M244" s="80"/>
      <c r="O244" t="s">
        <v>415</v>
      </c>
      <c r="P244" s="2" t="s">
        <v>713</v>
      </c>
      <c r="Q244" t="s">
        <v>84</v>
      </c>
      <c r="R244" s="19" t="s">
        <v>38</v>
      </c>
      <c r="S244" s="19" t="s">
        <v>38</v>
      </c>
      <c r="T244" s="55" t="s">
        <v>38</v>
      </c>
      <c r="V244" s="410"/>
      <c r="W244" s="409"/>
      <c r="X244" s="409"/>
      <c r="Y244" s="409"/>
      <c r="AE244" s="39"/>
      <c r="AF244" s="30"/>
      <c r="AG244" s="30"/>
      <c r="AH244" s="30"/>
      <c r="AI244" s="30"/>
      <c r="AJ244" s="30"/>
      <c r="AK244" s="30"/>
      <c r="AL244" s="30"/>
      <c r="AM244" s="30"/>
      <c r="AN244" s="31"/>
    </row>
    <row r="245" spans="1:40" ht="13" customHeight="1">
      <c r="A245">
        <v>434</v>
      </c>
      <c r="B245" t="s">
        <v>406</v>
      </c>
      <c r="C245" t="s">
        <v>61</v>
      </c>
      <c r="D245" t="s">
        <v>251</v>
      </c>
      <c r="E245">
        <v>1945</v>
      </c>
      <c r="F245" t="s">
        <v>75</v>
      </c>
      <c r="G245" t="s">
        <v>32</v>
      </c>
      <c r="H245" t="s">
        <v>76</v>
      </c>
      <c r="I245">
        <v>70</v>
      </c>
      <c r="J245" t="s">
        <v>128</v>
      </c>
      <c r="K245">
        <v>2023</v>
      </c>
      <c r="L245" t="s">
        <v>399</v>
      </c>
      <c r="M245" s="80"/>
      <c r="O245" t="s">
        <v>416</v>
      </c>
      <c r="P245" s="2" t="s">
        <v>713</v>
      </c>
      <c r="Q245" t="s">
        <v>84</v>
      </c>
      <c r="R245" s="19" t="s">
        <v>38</v>
      </c>
      <c r="S245" s="19" t="s">
        <v>38</v>
      </c>
      <c r="T245" s="55" t="s">
        <v>38</v>
      </c>
      <c r="V245" s="410"/>
      <c r="W245" s="409"/>
      <c r="X245" s="409"/>
      <c r="Y245" s="409"/>
      <c r="AE245" s="39"/>
      <c r="AF245" s="30"/>
      <c r="AG245" s="30"/>
      <c r="AH245" s="30"/>
      <c r="AI245" s="30"/>
      <c r="AJ245" s="30"/>
      <c r="AK245" s="30"/>
      <c r="AL245" s="30"/>
      <c r="AM245" s="30"/>
      <c r="AN245" s="31"/>
    </row>
    <row r="246" spans="1:40" ht="13" customHeight="1">
      <c r="A246">
        <v>435</v>
      </c>
      <c r="B246" t="s">
        <v>407</v>
      </c>
      <c r="C246" t="s">
        <v>61</v>
      </c>
      <c r="D246" t="s">
        <v>251</v>
      </c>
      <c r="E246">
        <v>1165</v>
      </c>
      <c r="F246" t="s">
        <v>75</v>
      </c>
      <c r="G246" t="s">
        <v>32</v>
      </c>
      <c r="H246" t="s">
        <v>76</v>
      </c>
      <c r="I246">
        <v>53.9</v>
      </c>
      <c r="J246" t="s">
        <v>128</v>
      </c>
      <c r="K246">
        <v>2023</v>
      </c>
      <c r="L246" t="s">
        <v>399</v>
      </c>
      <c r="M246" s="80"/>
      <c r="O246" t="s">
        <v>417</v>
      </c>
      <c r="P246" s="2" t="s">
        <v>713</v>
      </c>
      <c r="Q246" t="s">
        <v>84</v>
      </c>
      <c r="R246" s="19" t="s">
        <v>38</v>
      </c>
      <c r="S246" s="19" t="s">
        <v>38</v>
      </c>
      <c r="T246" s="55" t="s">
        <v>38</v>
      </c>
      <c r="V246" s="410"/>
      <c r="W246" s="409"/>
      <c r="X246" s="409"/>
      <c r="Y246" s="409"/>
      <c r="AE246" s="39"/>
      <c r="AF246" s="30"/>
      <c r="AG246" s="30"/>
      <c r="AH246" s="30"/>
      <c r="AI246" s="30"/>
      <c r="AJ246" s="30"/>
      <c r="AK246" s="30"/>
      <c r="AL246" s="30"/>
      <c r="AM246" s="30"/>
      <c r="AN246" s="31"/>
    </row>
    <row r="247" spans="1:40" ht="50.5" customHeight="1">
      <c r="A247">
        <v>436</v>
      </c>
      <c r="B247" t="s">
        <v>406</v>
      </c>
      <c r="C247" t="s">
        <v>61</v>
      </c>
      <c r="D247" t="s">
        <v>251</v>
      </c>
      <c r="E247">
        <v>1945</v>
      </c>
      <c r="F247" t="s">
        <v>75</v>
      </c>
      <c r="G247" t="s">
        <v>32</v>
      </c>
      <c r="H247" t="s">
        <v>76</v>
      </c>
      <c r="I247">
        <v>90</v>
      </c>
      <c r="J247" t="s">
        <v>128</v>
      </c>
      <c r="K247">
        <v>2023</v>
      </c>
      <c r="L247" t="s">
        <v>399</v>
      </c>
      <c r="M247" s="80"/>
      <c r="O247" t="s">
        <v>418</v>
      </c>
      <c r="P247" s="2" t="s">
        <v>713</v>
      </c>
      <c r="Q247" t="s">
        <v>84</v>
      </c>
      <c r="R247" s="19" t="s">
        <v>38</v>
      </c>
      <c r="S247" s="19" t="s">
        <v>38</v>
      </c>
      <c r="T247" s="55" t="s">
        <v>38</v>
      </c>
      <c r="V247" s="410"/>
      <c r="W247" s="409"/>
      <c r="X247" s="409"/>
      <c r="Y247" s="409"/>
      <c r="AE247" s="39"/>
      <c r="AF247" s="30"/>
      <c r="AG247" s="30"/>
      <c r="AH247" s="30"/>
      <c r="AI247" s="30"/>
      <c r="AJ247" s="30"/>
      <c r="AK247" s="30"/>
      <c r="AL247" s="30"/>
      <c r="AM247" s="30"/>
      <c r="AN247" s="31"/>
    </row>
    <row r="248" spans="1:40" ht="13" customHeight="1">
      <c r="A248">
        <v>437</v>
      </c>
      <c r="B248" t="s">
        <v>407</v>
      </c>
      <c r="C248" t="s">
        <v>61</v>
      </c>
      <c r="D248" t="s">
        <v>251</v>
      </c>
      <c r="E248">
        <v>1165</v>
      </c>
      <c r="F248" t="s">
        <v>75</v>
      </c>
      <c r="G248" t="s">
        <v>32</v>
      </c>
      <c r="H248" t="s">
        <v>76</v>
      </c>
      <c r="I248">
        <v>38.53</v>
      </c>
      <c r="J248" t="s">
        <v>128</v>
      </c>
      <c r="K248">
        <v>2023</v>
      </c>
      <c r="L248" t="s">
        <v>399</v>
      </c>
      <c r="M248" s="80"/>
      <c r="O248" t="s">
        <v>419</v>
      </c>
      <c r="P248" s="2" t="s">
        <v>713</v>
      </c>
      <c r="Q248" t="s">
        <v>84</v>
      </c>
      <c r="R248" s="19" t="s">
        <v>38</v>
      </c>
      <c r="S248" s="19" t="s">
        <v>38</v>
      </c>
      <c r="T248" s="55" t="s">
        <v>38</v>
      </c>
      <c r="V248" s="410"/>
      <c r="W248" s="409"/>
      <c r="X248" s="409"/>
      <c r="Y248" s="409"/>
      <c r="Z248" s="199"/>
      <c r="AA248" s="199"/>
      <c r="AB248" s="199"/>
      <c r="AC248" s="199"/>
      <c r="AE248" s="39"/>
      <c r="AF248" s="30"/>
      <c r="AG248" s="30"/>
      <c r="AH248" s="30"/>
      <c r="AI248" s="30"/>
      <c r="AJ248" s="30"/>
      <c r="AK248" s="30"/>
      <c r="AL248" s="30"/>
      <c r="AM248" s="30"/>
      <c r="AN248" s="31"/>
    </row>
    <row r="249" spans="1:40" ht="13" customHeight="1">
      <c r="A249">
        <v>207</v>
      </c>
      <c r="B249" t="s">
        <v>81</v>
      </c>
      <c r="C249" t="s">
        <v>61</v>
      </c>
      <c r="D249" t="s">
        <v>62</v>
      </c>
      <c r="E249" t="s">
        <v>81</v>
      </c>
      <c r="F249" t="s">
        <v>75</v>
      </c>
      <c r="G249" t="s">
        <v>52</v>
      </c>
      <c r="H249" t="s">
        <v>76</v>
      </c>
      <c r="I249">
        <v>86</v>
      </c>
      <c r="J249" t="s">
        <v>88</v>
      </c>
      <c r="K249">
        <v>1990</v>
      </c>
      <c r="L249" t="s">
        <v>249</v>
      </c>
      <c r="M249" s="80"/>
      <c r="O249" t="s">
        <v>250</v>
      </c>
      <c r="P249" s="2">
        <v>0.75</v>
      </c>
      <c r="Q249" t="s">
        <v>84</v>
      </c>
      <c r="R249" s="19" t="s">
        <v>38</v>
      </c>
      <c r="S249" s="19" t="s">
        <v>38</v>
      </c>
      <c r="T249" s="19" t="s">
        <v>122</v>
      </c>
      <c r="V249" s="410"/>
      <c r="W249" s="409"/>
      <c r="X249" s="409"/>
      <c r="Y249" s="409"/>
      <c r="Z249" s="199"/>
      <c r="AA249" s="199"/>
      <c r="AB249" s="199"/>
      <c r="AC249" s="199"/>
      <c r="AE249" s="39"/>
      <c r="AF249" s="30"/>
      <c r="AG249" s="30"/>
      <c r="AH249" s="30"/>
      <c r="AI249" s="30"/>
      <c r="AJ249" s="30"/>
      <c r="AK249" s="30"/>
      <c r="AL249" s="30"/>
      <c r="AM249" s="30"/>
      <c r="AN249" s="31"/>
    </row>
    <row r="250" spans="1:40" ht="13" customHeight="1">
      <c r="A250">
        <v>208</v>
      </c>
      <c r="B250" t="s">
        <v>81</v>
      </c>
      <c r="C250" t="s">
        <v>61</v>
      </c>
      <c r="D250" t="s">
        <v>251</v>
      </c>
      <c r="E250" t="s">
        <v>81</v>
      </c>
      <c r="F250" t="s">
        <v>75</v>
      </c>
      <c r="G250" t="s">
        <v>52</v>
      </c>
      <c r="H250" t="s">
        <v>76</v>
      </c>
      <c r="I250">
        <v>76</v>
      </c>
      <c r="J250" t="s">
        <v>88</v>
      </c>
      <c r="K250">
        <v>1990</v>
      </c>
      <c r="L250" t="s">
        <v>249</v>
      </c>
      <c r="M250" s="80"/>
      <c r="O250" t="s">
        <v>252</v>
      </c>
      <c r="P250" s="2">
        <v>0.75</v>
      </c>
      <c r="Q250" t="s">
        <v>84</v>
      </c>
      <c r="R250" s="19" t="s">
        <v>38</v>
      </c>
      <c r="S250" s="19" t="s">
        <v>38</v>
      </c>
      <c r="T250" s="19" t="s">
        <v>122</v>
      </c>
      <c r="V250" s="410"/>
      <c r="W250" s="409"/>
      <c r="X250" s="409"/>
      <c r="Y250" s="409"/>
      <c r="Z250" s="199"/>
      <c r="AA250" s="199"/>
      <c r="AB250" s="199"/>
      <c r="AC250" s="199"/>
      <c r="AE250" s="39"/>
      <c r="AF250" s="30"/>
      <c r="AG250" s="30"/>
      <c r="AH250" s="30"/>
      <c r="AI250" s="30"/>
      <c r="AJ250" s="30"/>
      <c r="AK250" s="30"/>
      <c r="AL250" s="30"/>
      <c r="AM250" s="30"/>
      <c r="AN250" s="31"/>
    </row>
    <row r="251" spans="1:40" ht="13" customHeight="1">
      <c r="A251">
        <v>209</v>
      </c>
      <c r="B251" t="s">
        <v>81</v>
      </c>
      <c r="C251" t="s">
        <v>61</v>
      </c>
      <c r="D251" t="s">
        <v>107</v>
      </c>
      <c r="E251" t="s">
        <v>81</v>
      </c>
      <c r="F251" t="s">
        <v>75</v>
      </c>
      <c r="G251" t="s">
        <v>52</v>
      </c>
      <c r="H251" t="s">
        <v>76</v>
      </c>
      <c r="I251">
        <v>74</v>
      </c>
      <c r="J251" t="s">
        <v>88</v>
      </c>
      <c r="K251">
        <v>1990</v>
      </c>
      <c r="L251" t="s">
        <v>249</v>
      </c>
      <c r="M251" s="80"/>
      <c r="O251" t="s">
        <v>252</v>
      </c>
      <c r="P251" s="2">
        <v>0.75</v>
      </c>
      <c r="Q251" t="s">
        <v>84</v>
      </c>
      <c r="R251" s="19" t="s">
        <v>38</v>
      </c>
      <c r="S251" s="19" t="s">
        <v>38</v>
      </c>
      <c r="T251" s="19" t="s">
        <v>122</v>
      </c>
      <c r="V251" s="410"/>
      <c r="W251" s="409"/>
      <c r="X251" s="409"/>
      <c r="Y251" s="409"/>
      <c r="Z251" s="199"/>
      <c r="AA251" s="199"/>
      <c r="AB251" s="199"/>
      <c r="AC251" s="199"/>
      <c r="AE251" s="39"/>
      <c r="AF251" s="30"/>
      <c r="AG251" s="30"/>
      <c r="AH251" s="30"/>
      <c r="AI251" s="30"/>
      <c r="AJ251" s="30"/>
      <c r="AK251" s="30"/>
      <c r="AL251" s="30"/>
      <c r="AM251" s="30"/>
      <c r="AN251" s="31"/>
    </row>
    <row r="252" spans="1:40" ht="13" customHeight="1">
      <c r="A252">
        <v>525</v>
      </c>
      <c r="B252" t="s">
        <v>488</v>
      </c>
      <c r="C252" t="s">
        <v>470</v>
      </c>
      <c r="D252" t="s">
        <v>471</v>
      </c>
      <c r="E252">
        <v>383.1</v>
      </c>
      <c r="F252" t="s">
        <v>75</v>
      </c>
      <c r="G252" t="s">
        <v>754</v>
      </c>
      <c r="H252" t="s">
        <v>76</v>
      </c>
      <c r="I252">
        <v>39.700000000000003</v>
      </c>
      <c r="J252" t="s">
        <v>77</v>
      </c>
      <c r="K252">
        <v>2020</v>
      </c>
      <c r="L252" t="s">
        <v>486</v>
      </c>
      <c r="M252" s="80"/>
      <c r="O252" t="s">
        <v>491</v>
      </c>
      <c r="P252" s="2">
        <v>0.9</v>
      </c>
      <c r="Q252" t="s">
        <v>350</v>
      </c>
      <c r="R252" s="19" t="s">
        <v>38</v>
      </c>
      <c r="S252" s="19" t="s">
        <v>38</v>
      </c>
      <c r="T252" s="55" t="s">
        <v>38</v>
      </c>
      <c r="V252" s="410"/>
      <c r="W252" s="409"/>
      <c r="X252" s="409"/>
      <c r="Y252" s="409"/>
      <c r="Z252" s="199"/>
      <c r="AA252" s="199"/>
      <c r="AB252" s="199"/>
      <c r="AC252" s="199"/>
      <c r="AE252" s="39"/>
      <c r="AF252" s="30"/>
      <c r="AG252" s="30"/>
      <c r="AH252" s="30"/>
      <c r="AI252" s="30"/>
      <c r="AJ252" s="30"/>
      <c r="AK252" s="30"/>
      <c r="AL252" s="30"/>
      <c r="AM252" s="30"/>
      <c r="AN252" s="31"/>
    </row>
    <row r="253" spans="1:40" s="81" customFormat="1" ht="13" customHeight="1">
      <c r="A253">
        <v>530</v>
      </c>
      <c r="B253" t="s">
        <v>492</v>
      </c>
      <c r="C253" t="s">
        <v>470</v>
      </c>
      <c r="D253" t="s">
        <v>471</v>
      </c>
      <c r="E253">
        <v>814.4</v>
      </c>
      <c r="F253" t="s">
        <v>75</v>
      </c>
      <c r="G253" t="s">
        <v>754</v>
      </c>
      <c r="H253" t="s">
        <v>76</v>
      </c>
      <c r="I253">
        <v>66.8</v>
      </c>
      <c r="J253" t="s">
        <v>77</v>
      </c>
      <c r="K253">
        <v>2020</v>
      </c>
      <c r="L253" t="s">
        <v>486</v>
      </c>
      <c r="M253" s="80"/>
      <c r="N253"/>
      <c r="O253" t="s">
        <v>494</v>
      </c>
      <c r="P253" s="2">
        <v>0.9</v>
      </c>
      <c r="Q253" t="s">
        <v>350</v>
      </c>
      <c r="R253" s="19" t="s">
        <v>38</v>
      </c>
      <c r="S253" s="19" t="s">
        <v>38</v>
      </c>
      <c r="T253" s="55" t="s">
        <v>38</v>
      </c>
      <c r="U253"/>
      <c r="V253" s="410"/>
      <c r="W253" s="409"/>
      <c r="X253" s="409"/>
      <c r="Y253" s="409"/>
      <c r="Z253" s="199"/>
      <c r="AA253" s="199"/>
      <c r="AB253" s="199"/>
      <c r="AC253" s="199"/>
      <c r="AD253"/>
      <c r="AE253" s="82"/>
      <c r="AF253" s="30"/>
      <c r="AG253" s="30"/>
      <c r="AH253" s="30"/>
      <c r="AI253" s="83"/>
      <c r="AJ253" s="30"/>
      <c r="AK253" s="83"/>
      <c r="AL253" s="30"/>
      <c r="AM253" s="83"/>
      <c r="AN253" s="84"/>
    </row>
    <row r="254" spans="1:40" s="81" customFormat="1" ht="13" customHeight="1">
      <c r="A254">
        <v>531</v>
      </c>
      <c r="B254" t="s">
        <v>492</v>
      </c>
      <c r="C254" t="s">
        <v>470</v>
      </c>
      <c r="D254" t="s">
        <v>471</v>
      </c>
      <c r="E254">
        <v>814.4</v>
      </c>
      <c r="F254" t="s">
        <v>75</v>
      </c>
      <c r="G254" t="s">
        <v>754</v>
      </c>
      <c r="H254" t="s">
        <v>76</v>
      </c>
      <c r="I254">
        <v>53.7</v>
      </c>
      <c r="J254" t="s">
        <v>77</v>
      </c>
      <c r="K254">
        <v>2020</v>
      </c>
      <c r="L254" t="s">
        <v>486</v>
      </c>
      <c r="M254" s="80"/>
      <c r="N254"/>
      <c r="O254" t="s">
        <v>495</v>
      </c>
      <c r="P254" s="2">
        <v>0.9</v>
      </c>
      <c r="Q254" t="s">
        <v>350</v>
      </c>
      <c r="R254" s="19" t="s">
        <v>38</v>
      </c>
      <c r="S254" s="19" t="s">
        <v>38</v>
      </c>
      <c r="T254" s="55" t="s">
        <v>38</v>
      </c>
      <c r="U254"/>
      <c r="V254" s="410"/>
      <c r="W254" s="409"/>
      <c r="X254" s="409"/>
      <c r="Y254" s="409"/>
      <c r="Z254" s="199"/>
      <c r="AA254" s="199"/>
      <c r="AB254" s="199"/>
      <c r="AC254" s="199"/>
      <c r="AD254"/>
      <c r="AE254" s="82"/>
      <c r="AF254" s="83"/>
      <c r="AG254" s="83"/>
      <c r="AH254" s="83"/>
      <c r="AI254" s="83"/>
      <c r="AJ254" s="83"/>
      <c r="AK254" s="83"/>
      <c r="AL254" s="83"/>
      <c r="AM254" s="83"/>
      <c r="AN254" s="84"/>
    </row>
    <row r="255" spans="1:40" s="81" customFormat="1" ht="13" customHeight="1">
      <c r="A255">
        <v>533</v>
      </c>
      <c r="B255" t="s">
        <v>488</v>
      </c>
      <c r="C255" t="s">
        <v>470</v>
      </c>
      <c r="D255" t="s">
        <v>471</v>
      </c>
      <c r="E255">
        <v>383.1</v>
      </c>
      <c r="F255" t="s">
        <v>75</v>
      </c>
      <c r="G255" t="s">
        <v>754</v>
      </c>
      <c r="H255" t="s">
        <v>76</v>
      </c>
      <c r="I255">
        <v>33.799999999999997</v>
      </c>
      <c r="J255" t="s">
        <v>77</v>
      </c>
      <c r="K255">
        <v>2020</v>
      </c>
      <c r="L255" t="s">
        <v>486</v>
      </c>
      <c r="M255" s="80"/>
      <c r="N255"/>
      <c r="O255" t="s">
        <v>495</v>
      </c>
      <c r="P255" s="2">
        <v>0.9</v>
      </c>
      <c r="Q255" t="s">
        <v>350</v>
      </c>
      <c r="R255" s="19" t="s">
        <v>38</v>
      </c>
      <c r="S255" s="19" t="s">
        <v>38</v>
      </c>
      <c r="T255" s="55" t="s">
        <v>38</v>
      </c>
      <c r="U255"/>
      <c r="V255" s="410"/>
      <c r="W255" s="409"/>
      <c r="X255" s="409"/>
      <c r="Y255" s="409"/>
      <c r="Z255" s="199"/>
      <c r="AA255" s="199"/>
      <c r="AB255" s="199"/>
      <c r="AC255" s="199"/>
      <c r="AD255"/>
      <c r="AE255" s="82"/>
      <c r="AF255" s="83"/>
      <c r="AG255" s="83"/>
      <c r="AH255" s="83"/>
      <c r="AI255" s="83"/>
      <c r="AJ255" s="83"/>
      <c r="AK255" s="83"/>
      <c r="AL255" s="83"/>
      <c r="AM255" s="83"/>
      <c r="AN255" s="84"/>
    </row>
    <row r="256" spans="1:40" s="81" customFormat="1" ht="13" customHeight="1">
      <c r="A256">
        <v>240</v>
      </c>
      <c r="B256" t="s">
        <v>264</v>
      </c>
      <c r="C256" t="s">
        <v>61</v>
      </c>
      <c r="D256" t="s">
        <v>62</v>
      </c>
      <c r="E256">
        <v>1000</v>
      </c>
      <c r="F256" t="s">
        <v>75</v>
      </c>
      <c r="G256" t="s">
        <v>57</v>
      </c>
      <c r="H256" t="s">
        <v>76</v>
      </c>
      <c r="I256">
        <v>109</v>
      </c>
      <c r="J256" t="s">
        <v>77</v>
      </c>
      <c r="K256">
        <v>2010</v>
      </c>
      <c r="L256" t="s">
        <v>262</v>
      </c>
      <c r="M256" s="80"/>
      <c r="N256"/>
      <c r="O256" t="s">
        <v>268</v>
      </c>
      <c r="P256" s="2">
        <v>0.75</v>
      </c>
      <c r="Q256" t="s">
        <v>84</v>
      </c>
      <c r="R256" s="19" t="s">
        <v>38</v>
      </c>
      <c r="S256" s="19" t="s">
        <v>38</v>
      </c>
      <c r="T256" s="19" t="s">
        <v>38</v>
      </c>
      <c r="U256"/>
      <c r="V256" s="410"/>
      <c r="W256" s="431"/>
      <c r="X256" s="409"/>
      <c r="Y256" s="409"/>
      <c r="Z256" s="199"/>
      <c r="AA256" s="199"/>
      <c r="AB256" s="199"/>
      <c r="AC256" s="199"/>
      <c r="AD256"/>
      <c r="AE256" s="82"/>
      <c r="AF256" s="83"/>
      <c r="AG256" s="83"/>
      <c r="AH256" s="83"/>
      <c r="AI256" s="83"/>
      <c r="AJ256" s="83"/>
      <c r="AK256" s="83"/>
      <c r="AL256" s="83"/>
      <c r="AM256" s="83"/>
      <c r="AN256" s="84"/>
    </row>
    <row r="257" spans="1:40" ht="13" customHeight="1">
      <c r="A257">
        <v>241</v>
      </c>
      <c r="B257" t="s">
        <v>265</v>
      </c>
      <c r="C257" t="s">
        <v>61</v>
      </c>
      <c r="D257" t="s">
        <v>62</v>
      </c>
      <c r="E257">
        <v>1600</v>
      </c>
      <c r="F257" t="s">
        <v>75</v>
      </c>
      <c r="G257" t="s">
        <v>57</v>
      </c>
      <c r="H257" t="s">
        <v>76</v>
      </c>
      <c r="I257">
        <v>140</v>
      </c>
      <c r="J257" t="s">
        <v>77</v>
      </c>
      <c r="K257">
        <v>2010</v>
      </c>
      <c r="L257" t="s">
        <v>262</v>
      </c>
      <c r="M257" s="80"/>
      <c r="O257" t="s">
        <v>268</v>
      </c>
      <c r="P257" s="2">
        <v>0.75</v>
      </c>
      <c r="Q257" t="s">
        <v>84</v>
      </c>
      <c r="R257" s="19" t="s">
        <v>38</v>
      </c>
      <c r="S257" s="19" t="s">
        <v>38</v>
      </c>
      <c r="T257" s="19" t="s">
        <v>38</v>
      </c>
      <c r="V257" s="203" t="s">
        <v>1028</v>
      </c>
      <c r="W257" s="216" t="s">
        <v>816</v>
      </c>
      <c r="X257" s="214" t="s">
        <v>817</v>
      </c>
      <c r="Y257" s="214" t="s">
        <v>1014</v>
      </c>
      <c r="Z257" s="199"/>
      <c r="AA257" s="199"/>
      <c r="AB257" s="199"/>
      <c r="AC257" s="199"/>
      <c r="AE257" s="39"/>
      <c r="AF257" s="30"/>
      <c r="AG257" s="30"/>
      <c r="AH257" s="30"/>
      <c r="AI257" s="30"/>
      <c r="AJ257" s="30"/>
      <c r="AK257" s="30"/>
      <c r="AL257" s="30"/>
      <c r="AM257" s="30"/>
      <c r="AN257" s="31"/>
    </row>
    <row r="258" spans="1:40" ht="13" customHeight="1">
      <c r="A258">
        <v>242</v>
      </c>
      <c r="B258" t="s">
        <v>686</v>
      </c>
      <c r="C258" t="s">
        <v>61</v>
      </c>
      <c r="D258" t="s">
        <v>62</v>
      </c>
      <c r="E258">
        <v>1000</v>
      </c>
      <c r="F258" t="s">
        <v>75</v>
      </c>
      <c r="G258" t="s">
        <v>57</v>
      </c>
      <c r="H258" t="s">
        <v>76</v>
      </c>
      <c r="I258">
        <v>98</v>
      </c>
      <c r="J258" t="s">
        <v>77</v>
      </c>
      <c r="K258">
        <v>2010</v>
      </c>
      <c r="L258" t="s">
        <v>262</v>
      </c>
      <c r="M258" s="80"/>
      <c r="O258" t="s">
        <v>268</v>
      </c>
      <c r="P258" s="2">
        <v>0.75</v>
      </c>
      <c r="Q258" t="s">
        <v>84</v>
      </c>
      <c r="R258" s="19" t="s">
        <v>38</v>
      </c>
      <c r="S258" s="19" t="s">
        <v>38</v>
      </c>
      <c r="T258" s="19" t="s">
        <v>38</v>
      </c>
      <c r="V258" s="397"/>
      <c r="W258" s="432" t="s">
        <v>871</v>
      </c>
      <c r="X258" s="392" t="s">
        <v>1015</v>
      </c>
      <c r="Y258" s="391" t="s">
        <v>871</v>
      </c>
      <c r="Z258" s="199"/>
      <c r="AA258" s="199"/>
      <c r="AB258" s="199"/>
      <c r="AC258" s="199"/>
      <c r="AE258" s="39"/>
      <c r="AF258" s="30"/>
      <c r="AG258" s="30"/>
      <c r="AH258" s="30"/>
      <c r="AI258" s="30"/>
      <c r="AJ258" s="30"/>
      <c r="AK258" s="30"/>
      <c r="AL258" s="30"/>
      <c r="AM258" s="30"/>
      <c r="AN258" s="31"/>
    </row>
    <row r="259" spans="1:40" ht="26.5" customHeight="1">
      <c r="A259">
        <v>243</v>
      </c>
      <c r="B259" t="s">
        <v>687</v>
      </c>
      <c r="C259" t="s">
        <v>61</v>
      </c>
      <c r="D259" t="s">
        <v>62</v>
      </c>
      <c r="E259">
        <v>1420</v>
      </c>
      <c r="F259" t="s">
        <v>75</v>
      </c>
      <c r="G259" t="s">
        <v>57</v>
      </c>
      <c r="H259" t="s">
        <v>76</v>
      </c>
      <c r="I259">
        <v>130</v>
      </c>
      <c r="J259" t="s">
        <v>77</v>
      </c>
      <c r="K259">
        <v>2010</v>
      </c>
      <c r="L259" t="s">
        <v>262</v>
      </c>
      <c r="M259" s="80"/>
      <c r="O259" t="s">
        <v>268</v>
      </c>
      <c r="P259" s="2">
        <v>0.75</v>
      </c>
      <c r="Q259" t="s">
        <v>84</v>
      </c>
      <c r="R259" s="19" t="s">
        <v>38</v>
      </c>
      <c r="S259" s="19" t="s">
        <v>38</v>
      </c>
      <c r="T259" s="19" t="s">
        <v>38</v>
      </c>
      <c r="V259" s="397"/>
      <c r="W259" s="391"/>
      <c r="X259" s="392"/>
      <c r="Y259" s="391"/>
      <c r="Z259" s="199"/>
      <c r="AA259" s="199"/>
      <c r="AB259" s="199"/>
      <c r="AC259" s="199"/>
      <c r="AE259" s="39"/>
      <c r="AF259" s="30"/>
      <c r="AG259" s="30"/>
      <c r="AH259" s="30"/>
      <c r="AI259" s="30"/>
      <c r="AJ259" s="30"/>
      <c r="AK259" s="30"/>
      <c r="AL259" s="30"/>
      <c r="AM259" s="30"/>
      <c r="AN259" s="31"/>
    </row>
    <row r="260" spans="1:40" ht="13" customHeight="1">
      <c r="A260">
        <v>277</v>
      </c>
      <c r="B260" t="s">
        <v>293</v>
      </c>
      <c r="C260" t="s">
        <v>61</v>
      </c>
      <c r="D260" t="s">
        <v>62</v>
      </c>
      <c r="E260">
        <v>1000</v>
      </c>
      <c r="F260" t="s">
        <v>75</v>
      </c>
      <c r="G260" t="s">
        <v>52</v>
      </c>
      <c r="H260" t="s">
        <v>76</v>
      </c>
      <c r="I260">
        <v>87</v>
      </c>
      <c r="J260" t="s">
        <v>77</v>
      </c>
      <c r="K260">
        <v>1992</v>
      </c>
      <c r="L260" t="s">
        <v>294</v>
      </c>
      <c r="M260" s="80"/>
      <c r="O260" t="s">
        <v>295</v>
      </c>
      <c r="P260" s="2">
        <v>0.75</v>
      </c>
      <c r="Q260" t="s">
        <v>84</v>
      </c>
      <c r="R260" s="19" t="s">
        <v>38</v>
      </c>
      <c r="S260" s="19" t="s">
        <v>38</v>
      </c>
      <c r="T260" s="55" t="s">
        <v>38</v>
      </c>
      <c r="U260" s="19"/>
      <c r="V260" s="397"/>
      <c r="W260" s="433"/>
      <c r="X260" s="392"/>
      <c r="Y260" s="391"/>
      <c r="Z260" s="199"/>
      <c r="AA260" s="199"/>
      <c r="AB260" s="199"/>
      <c r="AC260" s="199"/>
      <c r="AE260" s="39"/>
      <c r="AF260" s="30"/>
      <c r="AG260" s="30"/>
      <c r="AH260" s="30"/>
      <c r="AI260" s="30"/>
      <c r="AJ260" s="30"/>
      <c r="AK260" s="30"/>
      <c r="AL260" s="30"/>
      <c r="AM260" s="30"/>
      <c r="AN260" s="31"/>
    </row>
    <row r="261" spans="1:40" ht="13" customHeight="1">
      <c r="A261">
        <v>278</v>
      </c>
      <c r="B261" t="s">
        <v>296</v>
      </c>
      <c r="C261" t="s">
        <v>61</v>
      </c>
      <c r="D261" t="s">
        <v>297</v>
      </c>
      <c r="E261">
        <v>1000</v>
      </c>
      <c r="F261" t="s">
        <v>75</v>
      </c>
      <c r="G261" t="s">
        <v>52</v>
      </c>
      <c r="H261" t="s">
        <v>76</v>
      </c>
      <c r="I261">
        <v>44</v>
      </c>
      <c r="J261" t="s">
        <v>77</v>
      </c>
      <c r="K261">
        <v>1992</v>
      </c>
      <c r="L261" t="s">
        <v>294</v>
      </c>
      <c r="M261" s="80"/>
      <c r="O261" t="s">
        <v>295</v>
      </c>
      <c r="P261" s="2">
        <v>0.75</v>
      </c>
      <c r="Q261" t="s">
        <v>84</v>
      </c>
      <c r="R261" s="19" t="s">
        <v>38</v>
      </c>
      <c r="S261" s="19" t="s">
        <v>38</v>
      </c>
      <c r="T261" s="55" t="s">
        <v>38</v>
      </c>
      <c r="U261" s="19"/>
      <c r="V261" s="429"/>
      <c r="W261" s="400" t="s">
        <v>1017</v>
      </c>
      <c r="X261" s="392" t="s">
        <v>1016</v>
      </c>
      <c r="Y261" s="392" t="s">
        <v>1018</v>
      </c>
      <c r="Z261" s="199"/>
      <c r="AA261" s="199"/>
      <c r="AB261" s="199"/>
      <c r="AC261" s="199"/>
      <c r="AE261" s="39"/>
      <c r="AF261" s="30"/>
      <c r="AG261" s="30"/>
      <c r="AH261" s="30"/>
      <c r="AI261" s="30"/>
      <c r="AJ261" s="30"/>
      <c r="AK261" s="30"/>
      <c r="AL261" s="30"/>
      <c r="AM261" s="30"/>
      <c r="AN261" s="31"/>
    </row>
    <row r="262" spans="1:40" ht="13" customHeight="1">
      <c r="A262">
        <v>279</v>
      </c>
      <c r="B262" t="s">
        <v>298</v>
      </c>
      <c r="C262" t="s">
        <v>61</v>
      </c>
      <c r="D262" t="s">
        <v>251</v>
      </c>
      <c r="E262">
        <v>1000</v>
      </c>
      <c r="F262" t="s">
        <v>75</v>
      </c>
      <c r="G262" t="s">
        <v>52</v>
      </c>
      <c r="H262" t="s">
        <v>76</v>
      </c>
      <c r="I262">
        <v>43</v>
      </c>
      <c r="J262" t="s">
        <v>77</v>
      </c>
      <c r="K262">
        <v>1992</v>
      </c>
      <c r="L262" t="s">
        <v>294</v>
      </c>
      <c r="M262" s="80"/>
      <c r="O262" t="s">
        <v>295</v>
      </c>
      <c r="P262" s="2">
        <v>0.75</v>
      </c>
      <c r="Q262" t="s">
        <v>84</v>
      </c>
      <c r="R262" s="19" t="s">
        <v>38</v>
      </c>
      <c r="S262" s="19" t="s">
        <v>38</v>
      </c>
      <c r="T262" s="55" t="s">
        <v>38</v>
      </c>
      <c r="U262" s="19"/>
      <c r="V262" s="429"/>
      <c r="W262" s="399"/>
      <c r="X262" s="392"/>
      <c r="Y262" s="392"/>
      <c r="Z262" s="199"/>
      <c r="AA262" s="199"/>
      <c r="AB262" s="199"/>
      <c r="AC262" s="199"/>
      <c r="AE262" s="39"/>
      <c r="AF262" s="30"/>
      <c r="AG262" s="30"/>
      <c r="AH262" s="30"/>
      <c r="AI262" s="30"/>
      <c r="AJ262" s="30"/>
      <c r="AK262" s="30"/>
      <c r="AL262" s="30"/>
      <c r="AM262" s="30"/>
      <c r="AN262" s="31"/>
    </row>
    <row r="263" spans="1:40" ht="13" hidden="1" customHeight="1">
      <c r="A263">
        <v>521</v>
      </c>
      <c r="B263" t="s">
        <v>488</v>
      </c>
      <c r="C263" t="s">
        <v>470</v>
      </c>
      <c r="D263" t="s">
        <v>471</v>
      </c>
      <c r="E263">
        <v>383.1</v>
      </c>
      <c r="F263" t="s">
        <v>493</v>
      </c>
      <c r="G263" s="119" t="s">
        <v>754</v>
      </c>
      <c r="H263" t="s">
        <v>76</v>
      </c>
      <c r="I263">
        <v>0.5</v>
      </c>
      <c r="J263" t="s">
        <v>77</v>
      </c>
      <c r="K263">
        <v>2020</v>
      </c>
      <c r="L263" s="80" t="s">
        <v>486</v>
      </c>
      <c r="M263" s="80"/>
      <c r="N263" s="80"/>
      <c r="O263" t="s">
        <v>490</v>
      </c>
      <c r="P263" s="19" t="s">
        <v>122</v>
      </c>
      <c r="Q263" s="55" t="s">
        <v>38</v>
      </c>
      <c r="R263" s="19" t="s">
        <v>38</v>
      </c>
      <c r="S263" s="19" t="s">
        <v>38</v>
      </c>
      <c r="T263" s="55" t="s">
        <v>38</v>
      </c>
      <c r="U263" s="430"/>
      <c r="V263" s="391" t="s">
        <v>963</v>
      </c>
      <c r="W263" s="400" t="s">
        <v>962</v>
      </c>
      <c r="X263" s="392" t="s">
        <v>964</v>
      </c>
      <c r="Y263" s="392" t="s">
        <v>961</v>
      </c>
      <c r="Z263" s="199"/>
      <c r="AA263" s="199"/>
      <c r="AB263" s="199"/>
      <c r="AC263" s="199"/>
      <c r="AE263" s="39"/>
      <c r="AF263" s="30"/>
      <c r="AG263" s="30"/>
      <c r="AH263" s="30"/>
      <c r="AI263" s="30"/>
      <c r="AJ263" s="30"/>
      <c r="AK263" s="30"/>
      <c r="AL263" s="30"/>
      <c r="AM263" s="30"/>
      <c r="AN263" s="31"/>
    </row>
    <row r="264" spans="1:40" ht="13" hidden="1" customHeight="1">
      <c r="A264">
        <v>523</v>
      </c>
      <c r="B264" t="s">
        <v>488</v>
      </c>
      <c r="C264" t="s">
        <v>470</v>
      </c>
      <c r="D264" t="s">
        <v>471</v>
      </c>
      <c r="E264">
        <v>383.1</v>
      </c>
      <c r="F264" t="s">
        <v>115</v>
      </c>
      <c r="G264" s="119" t="s">
        <v>754</v>
      </c>
      <c r="H264" t="s">
        <v>33</v>
      </c>
      <c r="I264">
        <f>6.1*1000000</f>
        <v>6100000</v>
      </c>
      <c r="J264" t="s">
        <v>34</v>
      </c>
      <c r="K264">
        <v>2020</v>
      </c>
      <c r="L264" s="80" t="s">
        <v>486</v>
      </c>
      <c r="M264" s="80"/>
      <c r="N264" s="80"/>
      <c r="P264" s="19" t="s">
        <v>122</v>
      </c>
      <c r="Q264" s="55" t="s">
        <v>38</v>
      </c>
      <c r="R264" s="19" t="s">
        <v>38</v>
      </c>
      <c r="S264" s="19" t="s">
        <v>38</v>
      </c>
      <c r="T264" s="55" t="s">
        <v>38</v>
      </c>
      <c r="U264" s="430"/>
      <c r="V264" s="391"/>
      <c r="W264" s="392"/>
      <c r="X264" s="392"/>
      <c r="Y264" s="392"/>
      <c r="Z264" s="199"/>
      <c r="AA264" s="199"/>
      <c r="AB264" s="199"/>
      <c r="AC264" s="199"/>
      <c r="AE264" s="39"/>
      <c r="AF264" s="30"/>
      <c r="AG264" s="30"/>
      <c r="AH264" s="30"/>
      <c r="AI264" s="30"/>
      <c r="AJ264" s="30"/>
      <c r="AK264" s="30"/>
      <c r="AL264" s="30"/>
      <c r="AM264" s="30"/>
      <c r="AN264" s="31"/>
    </row>
    <row r="265" spans="1:40" ht="13" customHeight="1">
      <c r="A265">
        <v>280</v>
      </c>
      <c r="B265" t="s">
        <v>299</v>
      </c>
      <c r="C265" t="s">
        <v>61</v>
      </c>
      <c r="D265" t="s">
        <v>251</v>
      </c>
      <c r="E265">
        <v>1000</v>
      </c>
      <c r="F265" t="s">
        <v>75</v>
      </c>
      <c r="G265" t="s">
        <v>52</v>
      </c>
      <c r="H265" t="s">
        <v>76</v>
      </c>
      <c r="I265">
        <v>78</v>
      </c>
      <c r="J265" t="s">
        <v>77</v>
      </c>
      <c r="K265">
        <v>1992</v>
      </c>
      <c r="L265" t="s">
        <v>294</v>
      </c>
      <c r="M265" s="80"/>
      <c r="O265" t="s">
        <v>295</v>
      </c>
      <c r="P265" s="2">
        <v>0.75</v>
      </c>
      <c r="Q265" t="s">
        <v>84</v>
      </c>
      <c r="R265" s="19" t="s">
        <v>38</v>
      </c>
      <c r="S265" s="19" t="s">
        <v>38</v>
      </c>
      <c r="T265" s="55" t="s">
        <v>38</v>
      </c>
      <c r="U265" s="430"/>
      <c r="V265" s="391"/>
      <c r="W265" s="392"/>
      <c r="X265" s="392"/>
      <c r="Y265" s="392"/>
      <c r="Z265" s="199"/>
      <c r="AA265" s="199"/>
      <c r="AB265" s="199"/>
      <c r="AC265" s="199"/>
      <c r="AE265" s="39"/>
      <c r="AF265" s="30"/>
      <c r="AG265" s="30"/>
      <c r="AH265" s="30"/>
      <c r="AI265" s="30"/>
      <c r="AJ265" s="30"/>
      <c r="AK265" s="30"/>
      <c r="AL265" s="30"/>
      <c r="AM265" s="30"/>
      <c r="AN265" s="31"/>
    </row>
    <row r="266" spans="1:40" ht="13" hidden="1" customHeight="1">
      <c r="A266">
        <v>528</v>
      </c>
      <c r="B266" t="s">
        <v>492</v>
      </c>
      <c r="C266" t="s">
        <v>470</v>
      </c>
      <c r="D266" t="s">
        <v>471</v>
      </c>
      <c r="E266">
        <v>814.4</v>
      </c>
      <c r="F266" t="s">
        <v>493</v>
      </c>
      <c r="G266" s="119" t="s">
        <v>754</v>
      </c>
      <c r="H266" t="s">
        <v>76</v>
      </c>
      <c r="I266">
        <v>0.5</v>
      </c>
      <c r="J266" t="s">
        <v>77</v>
      </c>
      <c r="K266">
        <v>2020</v>
      </c>
      <c r="L266" s="80" t="s">
        <v>486</v>
      </c>
      <c r="M266" s="80"/>
      <c r="N266" s="80"/>
      <c r="O266" t="s">
        <v>490</v>
      </c>
      <c r="P266" s="19" t="s">
        <v>122</v>
      </c>
      <c r="Q266" s="55" t="s">
        <v>38</v>
      </c>
      <c r="R266" s="19" t="s">
        <v>38</v>
      </c>
      <c r="S266" s="19" t="s">
        <v>38</v>
      </c>
      <c r="T266" s="55" t="s">
        <v>38</v>
      </c>
      <c r="U266" s="430"/>
      <c r="V266" s="391"/>
      <c r="W266" s="392"/>
      <c r="X266" s="392"/>
      <c r="Y266" s="392"/>
      <c r="Z266" s="199"/>
      <c r="AA266" s="199"/>
      <c r="AB266" s="199"/>
      <c r="AC266" s="199"/>
      <c r="AE266" s="39"/>
      <c r="AF266" s="30"/>
      <c r="AG266" s="30"/>
      <c r="AH266" s="30"/>
      <c r="AI266" s="30"/>
      <c r="AJ266" s="30"/>
      <c r="AK266" s="30"/>
      <c r="AL266" s="30"/>
      <c r="AM266" s="30"/>
      <c r="AN266" s="31"/>
    </row>
    <row r="267" spans="1:40" ht="13" hidden="1" customHeight="1">
      <c r="A267">
        <v>529</v>
      </c>
      <c r="B267" t="s">
        <v>492</v>
      </c>
      <c r="C267" t="s">
        <v>470</v>
      </c>
      <c r="D267" t="s">
        <v>471</v>
      </c>
      <c r="E267">
        <v>814.4</v>
      </c>
      <c r="F267" t="s">
        <v>115</v>
      </c>
      <c r="G267" s="119" t="s">
        <v>754</v>
      </c>
      <c r="H267" t="s">
        <v>33</v>
      </c>
      <c r="I267">
        <f>29.5*1000000</f>
        <v>29500000</v>
      </c>
      <c r="J267" t="s">
        <v>34</v>
      </c>
      <c r="K267">
        <v>2020</v>
      </c>
      <c r="L267" s="80" t="s">
        <v>486</v>
      </c>
      <c r="M267" s="80"/>
      <c r="N267" s="80"/>
      <c r="P267" s="19" t="s">
        <v>122</v>
      </c>
      <c r="Q267" s="55" t="s">
        <v>38</v>
      </c>
      <c r="R267" s="19" t="s">
        <v>38</v>
      </c>
      <c r="S267" s="19" t="s">
        <v>38</v>
      </c>
      <c r="T267" s="55" t="s">
        <v>38</v>
      </c>
      <c r="U267" s="430"/>
      <c r="V267" s="391"/>
      <c r="W267" s="392"/>
      <c r="X267" s="392"/>
      <c r="Y267" s="392"/>
      <c r="Z267" s="199"/>
      <c r="AA267" s="199"/>
      <c r="AB267" s="199"/>
      <c r="AC267" s="199"/>
      <c r="AE267" s="39"/>
      <c r="AF267" s="30"/>
      <c r="AG267" s="30"/>
      <c r="AH267" s="30"/>
      <c r="AI267" s="30"/>
      <c r="AJ267" s="30"/>
      <c r="AK267" s="30"/>
      <c r="AL267" s="30"/>
      <c r="AM267" s="30"/>
      <c r="AN267" s="31"/>
    </row>
    <row r="268" spans="1:40" ht="13" customHeight="1">
      <c r="A268">
        <v>281</v>
      </c>
      <c r="B268" t="s">
        <v>112</v>
      </c>
      <c r="C268" t="s">
        <v>61</v>
      </c>
      <c r="D268" t="s">
        <v>113</v>
      </c>
      <c r="E268">
        <v>1000</v>
      </c>
      <c r="F268" t="s">
        <v>75</v>
      </c>
      <c r="G268" t="s">
        <v>52</v>
      </c>
      <c r="H268" t="s">
        <v>76</v>
      </c>
      <c r="I268">
        <v>52</v>
      </c>
      <c r="J268" t="s">
        <v>77</v>
      </c>
      <c r="K268">
        <v>1992</v>
      </c>
      <c r="L268" t="s">
        <v>294</v>
      </c>
      <c r="M268" s="80"/>
      <c r="O268" t="s">
        <v>295</v>
      </c>
      <c r="P268" s="2">
        <v>0.75</v>
      </c>
      <c r="Q268" t="s">
        <v>84</v>
      </c>
      <c r="R268" s="19" t="s">
        <v>38</v>
      </c>
      <c r="S268" s="19" t="s">
        <v>38</v>
      </c>
      <c r="T268" s="55" t="s">
        <v>38</v>
      </c>
      <c r="U268" s="430"/>
      <c r="V268" s="391"/>
      <c r="W268" s="392"/>
      <c r="X268" s="392"/>
      <c r="Y268" s="392"/>
      <c r="Z268" s="199"/>
      <c r="AA268" s="199"/>
      <c r="AB268" s="199"/>
      <c r="AC268" s="199"/>
      <c r="AE268" s="39"/>
      <c r="AF268" s="30"/>
      <c r="AG268" s="30"/>
      <c r="AH268" s="30"/>
      <c r="AI268" s="30"/>
      <c r="AJ268" s="30"/>
      <c r="AK268" s="30"/>
      <c r="AL268" s="30"/>
      <c r="AM268" s="30"/>
      <c r="AN268" s="31"/>
    </row>
    <row r="269" spans="1:40" ht="13" customHeight="1">
      <c r="A269">
        <v>282</v>
      </c>
      <c r="B269" t="s">
        <v>300</v>
      </c>
      <c r="C269" t="s">
        <v>61</v>
      </c>
      <c r="D269" t="s">
        <v>113</v>
      </c>
      <c r="E269">
        <v>1000</v>
      </c>
      <c r="F269" t="s">
        <v>75</v>
      </c>
      <c r="G269" t="s">
        <v>52</v>
      </c>
      <c r="H269" t="s">
        <v>76</v>
      </c>
      <c r="I269">
        <v>46</v>
      </c>
      <c r="J269" t="s">
        <v>77</v>
      </c>
      <c r="K269">
        <v>1992</v>
      </c>
      <c r="L269" t="s">
        <v>294</v>
      </c>
      <c r="M269" s="80"/>
      <c r="O269" t="s">
        <v>295</v>
      </c>
      <c r="P269" s="2">
        <v>0.75</v>
      </c>
      <c r="Q269" t="s">
        <v>84</v>
      </c>
      <c r="R269" s="19" t="s">
        <v>38</v>
      </c>
      <c r="S269" s="19" t="s">
        <v>38</v>
      </c>
      <c r="T269" s="55" t="s">
        <v>38</v>
      </c>
      <c r="U269" s="430"/>
      <c r="V269" s="391"/>
      <c r="W269" s="392"/>
      <c r="X269" s="392"/>
      <c r="Y269" s="392"/>
      <c r="Z269" s="199"/>
      <c r="AA269" s="199"/>
      <c r="AB269" s="199"/>
      <c r="AC269" s="199"/>
      <c r="AE269" s="39"/>
      <c r="AF269" s="30"/>
      <c r="AG269" s="30"/>
      <c r="AH269" s="30"/>
      <c r="AI269" s="30"/>
      <c r="AJ269" s="30"/>
      <c r="AK269" s="30"/>
      <c r="AL269" s="30"/>
      <c r="AM269" s="30"/>
      <c r="AN269" s="31"/>
    </row>
    <row r="270" spans="1:40" ht="13" customHeight="1">
      <c r="A270">
        <v>363</v>
      </c>
      <c r="B270" t="s">
        <v>357</v>
      </c>
      <c r="C270" t="s">
        <v>61</v>
      </c>
      <c r="D270" t="s">
        <v>62</v>
      </c>
      <c r="E270">
        <v>1546</v>
      </c>
      <c r="F270" t="s">
        <v>75</v>
      </c>
      <c r="G270" t="s">
        <v>52</v>
      </c>
      <c r="H270" t="s">
        <v>76</v>
      </c>
      <c r="I270">
        <v>50</v>
      </c>
      <c r="J270" t="s">
        <v>88</v>
      </c>
      <c r="K270">
        <v>2004</v>
      </c>
      <c r="L270" t="s">
        <v>358</v>
      </c>
      <c r="M270" s="80"/>
      <c r="P270" s="2">
        <v>0.75</v>
      </c>
      <c r="Q270" s="19" t="s">
        <v>38</v>
      </c>
      <c r="R270" s="19" t="s">
        <v>38</v>
      </c>
      <c r="S270" s="19" t="s">
        <v>38</v>
      </c>
      <c r="T270" s="55" t="s">
        <v>38</v>
      </c>
      <c r="U270" s="430"/>
      <c r="V270" s="391"/>
      <c r="W270" s="392"/>
      <c r="X270" s="392"/>
      <c r="Y270" s="392"/>
      <c r="Z270" s="199"/>
      <c r="AA270" s="199"/>
      <c r="AB270" s="199"/>
      <c r="AC270" s="199"/>
      <c r="AE270" s="39"/>
      <c r="AF270" s="30"/>
      <c r="AG270" s="30"/>
      <c r="AH270" s="30"/>
      <c r="AI270" s="30"/>
      <c r="AJ270" s="30"/>
      <c r="AK270" s="30"/>
      <c r="AL270" s="30"/>
      <c r="AM270" s="30"/>
      <c r="AN270" s="31"/>
    </row>
    <row r="271" spans="1:40" ht="13" customHeight="1">
      <c r="A271">
        <v>364</v>
      </c>
      <c r="B271" t="s">
        <v>359</v>
      </c>
      <c r="C271" t="s">
        <v>61</v>
      </c>
      <c r="D271" t="s">
        <v>62</v>
      </c>
      <c r="E271">
        <v>1546</v>
      </c>
      <c r="F271" t="s">
        <v>75</v>
      </c>
      <c r="G271" t="s">
        <v>32</v>
      </c>
      <c r="H271" t="s">
        <v>76</v>
      </c>
      <c r="I271">
        <v>90</v>
      </c>
      <c r="J271" t="s">
        <v>88</v>
      </c>
      <c r="K271">
        <v>2004</v>
      </c>
      <c r="L271" t="s">
        <v>358</v>
      </c>
      <c r="M271" s="80"/>
      <c r="P271" s="2">
        <v>0.75</v>
      </c>
      <c r="Q271" s="19" t="s">
        <v>38</v>
      </c>
      <c r="R271" s="19" t="s">
        <v>38</v>
      </c>
      <c r="S271" s="19" t="s">
        <v>38</v>
      </c>
      <c r="T271" s="55" t="s">
        <v>38</v>
      </c>
      <c r="U271" s="180"/>
      <c r="V271" s="391"/>
      <c r="W271" s="392"/>
      <c r="X271" s="392"/>
      <c r="Y271" s="392"/>
      <c r="Z271" s="199"/>
      <c r="AA271" s="199"/>
      <c r="AB271" s="199"/>
      <c r="AC271" s="199"/>
      <c r="AE271" s="39"/>
      <c r="AF271" s="30"/>
      <c r="AG271" s="30"/>
      <c r="AH271" s="30"/>
      <c r="AI271" s="30"/>
      <c r="AJ271" s="30"/>
      <c r="AK271" s="30"/>
      <c r="AL271" s="30"/>
      <c r="AM271" s="30"/>
      <c r="AN271" s="31"/>
    </row>
    <row r="272" spans="1:40" ht="13" customHeight="1">
      <c r="A272">
        <v>365</v>
      </c>
      <c r="B272" t="s">
        <v>360</v>
      </c>
      <c r="C272" t="s">
        <v>61</v>
      </c>
      <c r="D272" t="s">
        <v>62</v>
      </c>
      <c r="E272">
        <v>1500</v>
      </c>
      <c r="F272" t="s">
        <v>75</v>
      </c>
      <c r="G272" t="s">
        <v>52</v>
      </c>
      <c r="H272" t="s">
        <v>76</v>
      </c>
      <c r="I272">
        <v>50</v>
      </c>
      <c r="J272" t="s">
        <v>88</v>
      </c>
      <c r="K272">
        <v>2004</v>
      </c>
      <c r="L272" t="s">
        <v>358</v>
      </c>
      <c r="M272" s="80"/>
      <c r="P272" s="2">
        <v>0.75</v>
      </c>
      <c r="Q272" s="19" t="s">
        <v>38</v>
      </c>
      <c r="R272" s="19" t="s">
        <v>38</v>
      </c>
      <c r="S272" s="19" t="s">
        <v>38</v>
      </c>
      <c r="T272" s="55" t="s">
        <v>38</v>
      </c>
      <c r="U272" s="180"/>
      <c r="V272" s="391"/>
      <c r="W272" s="392"/>
      <c r="X272" s="392"/>
      <c r="Y272" s="392"/>
      <c r="Z272" s="199"/>
      <c r="AA272" s="199"/>
      <c r="AB272" s="199"/>
      <c r="AC272" s="199"/>
      <c r="AE272" s="39"/>
      <c r="AF272" s="30"/>
      <c r="AG272" s="30"/>
      <c r="AH272" s="30"/>
      <c r="AI272" s="30"/>
      <c r="AJ272" s="30"/>
      <c r="AK272" s="30"/>
      <c r="AL272" s="30"/>
      <c r="AM272" s="30"/>
      <c r="AN272" s="31"/>
    </row>
    <row r="273" spans="1:40" ht="13" customHeight="1">
      <c r="A273">
        <v>366</v>
      </c>
      <c r="B273" t="s">
        <v>361</v>
      </c>
      <c r="C273" t="s">
        <v>61</v>
      </c>
      <c r="D273" t="s">
        <v>62</v>
      </c>
      <c r="E273">
        <v>1500</v>
      </c>
      <c r="F273" t="s">
        <v>75</v>
      </c>
      <c r="G273" t="s">
        <v>32</v>
      </c>
      <c r="H273" t="s">
        <v>76</v>
      </c>
      <c r="I273">
        <v>90</v>
      </c>
      <c r="J273" t="s">
        <v>88</v>
      </c>
      <c r="K273">
        <v>2004</v>
      </c>
      <c r="L273" t="s">
        <v>358</v>
      </c>
      <c r="M273" s="80"/>
      <c r="P273" s="2">
        <v>0.75</v>
      </c>
      <c r="Q273" s="19" t="s">
        <v>38</v>
      </c>
      <c r="R273" s="19" t="s">
        <v>38</v>
      </c>
      <c r="S273" s="19" t="s">
        <v>38</v>
      </c>
      <c r="T273" s="55" t="s">
        <v>38</v>
      </c>
      <c r="U273" s="180"/>
      <c r="V273" s="391"/>
      <c r="W273" s="392"/>
      <c r="X273" s="392"/>
      <c r="Y273" s="392"/>
      <c r="Z273" s="199"/>
      <c r="AA273" s="199"/>
      <c r="AB273" s="199"/>
      <c r="AC273" s="199"/>
      <c r="AE273" s="39"/>
      <c r="AF273" s="30"/>
      <c r="AG273" s="30"/>
      <c r="AH273" s="30"/>
      <c r="AI273" s="30"/>
      <c r="AJ273" s="30"/>
      <c r="AK273" s="30"/>
      <c r="AL273" s="30"/>
      <c r="AM273" s="30"/>
      <c r="AN273" s="31"/>
    </row>
    <row r="274" spans="1:40" ht="13" customHeight="1">
      <c r="A274">
        <v>367</v>
      </c>
      <c r="B274" t="s">
        <v>362</v>
      </c>
      <c r="C274" t="s">
        <v>61</v>
      </c>
      <c r="D274" t="s">
        <v>62</v>
      </c>
      <c r="E274">
        <v>1332</v>
      </c>
      <c r="F274" t="s">
        <v>75</v>
      </c>
      <c r="G274" t="s">
        <v>52</v>
      </c>
      <c r="H274" t="s">
        <v>76</v>
      </c>
      <c r="I274">
        <v>40</v>
      </c>
      <c r="J274" t="s">
        <v>88</v>
      </c>
      <c r="K274">
        <v>2004</v>
      </c>
      <c r="L274" t="s">
        <v>358</v>
      </c>
      <c r="M274" s="80"/>
      <c r="P274" s="2">
        <v>0.75</v>
      </c>
      <c r="Q274" s="19" t="s">
        <v>38</v>
      </c>
      <c r="R274" s="19" t="s">
        <v>38</v>
      </c>
      <c r="S274" s="19" t="s">
        <v>38</v>
      </c>
      <c r="T274" s="55" t="s">
        <v>38</v>
      </c>
      <c r="U274" s="180"/>
      <c r="V274" s="391"/>
      <c r="W274" s="392"/>
      <c r="X274" s="392"/>
      <c r="Y274" s="392"/>
      <c r="Z274" s="199"/>
      <c r="AA274" s="199"/>
      <c r="AB274" s="199"/>
      <c r="AC274" s="199"/>
      <c r="AE274" s="39"/>
      <c r="AF274" s="30"/>
      <c r="AG274" s="30"/>
      <c r="AH274" s="30"/>
      <c r="AI274" s="30"/>
      <c r="AJ274" s="30"/>
      <c r="AK274" s="30"/>
      <c r="AL274" s="30"/>
      <c r="AM274" s="30"/>
      <c r="AN274" s="31"/>
    </row>
    <row r="275" spans="1:40" ht="13" customHeight="1">
      <c r="A275">
        <v>368</v>
      </c>
      <c r="B275" t="s">
        <v>363</v>
      </c>
      <c r="C275" t="s">
        <v>61</v>
      </c>
      <c r="D275" t="s">
        <v>62</v>
      </c>
      <c r="E275">
        <v>1332</v>
      </c>
      <c r="F275" t="s">
        <v>75</v>
      </c>
      <c r="G275" t="s">
        <v>32</v>
      </c>
      <c r="H275" t="s">
        <v>76</v>
      </c>
      <c r="I275">
        <v>80</v>
      </c>
      <c r="J275" t="s">
        <v>88</v>
      </c>
      <c r="K275">
        <v>2004</v>
      </c>
      <c r="L275" t="s">
        <v>358</v>
      </c>
      <c r="M275" s="80"/>
      <c r="P275" s="2">
        <v>0.75</v>
      </c>
      <c r="Q275" s="19" t="s">
        <v>38</v>
      </c>
      <c r="R275" s="19" t="s">
        <v>38</v>
      </c>
      <c r="S275" s="19" t="s">
        <v>38</v>
      </c>
      <c r="T275" s="55" t="s">
        <v>38</v>
      </c>
      <c r="U275" s="180"/>
      <c r="V275" s="391"/>
      <c r="W275" s="392"/>
      <c r="X275" s="392"/>
      <c r="Y275" s="392"/>
      <c r="Z275" s="199"/>
      <c r="AA275" s="199"/>
      <c r="AB275" s="199"/>
      <c r="AC275" s="199"/>
      <c r="AE275" s="39"/>
      <c r="AF275" s="30"/>
      <c r="AG275" s="30"/>
      <c r="AH275" s="30"/>
      <c r="AI275" s="30"/>
      <c r="AJ275" s="30"/>
      <c r="AK275" s="30"/>
      <c r="AL275" s="30"/>
      <c r="AM275" s="30"/>
      <c r="AN275" s="31"/>
    </row>
    <row r="276" spans="1:40" ht="13" customHeight="1">
      <c r="A276">
        <v>369</v>
      </c>
      <c r="B276" t="s">
        <v>364</v>
      </c>
      <c r="C276" t="s">
        <v>61</v>
      </c>
      <c r="D276" t="s">
        <v>62</v>
      </c>
      <c r="E276">
        <v>1449</v>
      </c>
      <c r="F276" t="s">
        <v>75</v>
      </c>
      <c r="G276" t="s">
        <v>52</v>
      </c>
      <c r="H276" t="s">
        <v>76</v>
      </c>
      <c r="I276">
        <v>40</v>
      </c>
      <c r="J276" t="s">
        <v>88</v>
      </c>
      <c r="K276">
        <v>2004</v>
      </c>
      <c r="L276" t="s">
        <v>358</v>
      </c>
      <c r="M276" s="80"/>
      <c r="P276" s="2">
        <v>0.75</v>
      </c>
      <c r="Q276" s="19" t="s">
        <v>38</v>
      </c>
      <c r="R276" s="19" t="s">
        <v>38</v>
      </c>
      <c r="S276" s="19" t="s">
        <v>38</v>
      </c>
      <c r="T276" s="55" t="s">
        <v>38</v>
      </c>
      <c r="U276" s="180"/>
      <c r="V276" s="391"/>
      <c r="W276" s="392"/>
      <c r="X276" s="392"/>
      <c r="Y276" s="392"/>
      <c r="Z276" s="199"/>
      <c r="AA276" s="199"/>
      <c r="AB276" s="199"/>
      <c r="AC276" s="199"/>
      <c r="AE276" s="39"/>
      <c r="AF276" s="30"/>
      <c r="AG276" s="30"/>
      <c r="AH276" s="30"/>
      <c r="AI276" s="30"/>
      <c r="AJ276" s="30"/>
      <c r="AK276" s="30"/>
      <c r="AL276" s="30"/>
      <c r="AM276" s="30"/>
      <c r="AN276" s="31"/>
    </row>
    <row r="277" spans="1:40" ht="13" hidden="1" customHeight="1">
      <c r="A277" s="186">
        <v>212</v>
      </c>
      <c r="B277" s="186" t="s">
        <v>79</v>
      </c>
      <c r="C277" s="186" t="s">
        <v>61</v>
      </c>
      <c r="D277" s="186" t="s">
        <v>62</v>
      </c>
      <c r="E277" s="186" t="s">
        <v>257</v>
      </c>
      <c r="F277" s="186" t="s">
        <v>493</v>
      </c>
      <c r="G277" s="186" t="s">
        <v>32</v>
      </c>
      <c r="H277" s="186" t="s">
        <v>33</v>
      </c>
      <c r="I277" s="186">
        <f>335*1000000</f>
        <v>335000000</v>
      </c>
      <c r="J277" s="186" t="s">
        <v>34</v>
      </c>
      <c r="K277" s="186">
        <v>1989</v>
      </c>
      <c r="L277" s="186" t="s">
        <v>80</v>
      </c>
      <c r="M277" s="186"/>
      <c r="N277" s="186"/>
      <c r="O277" s="186"/>
      <c r="P277" s="187" t="s">
        <v>38</v>
      </c>
      <c r="Q277" s="187" t="s">
        <v>38</v>
      </c>
      <c r="R277" s="186" t="s">
        <v>699</v>
      </c>
      <c r="S277" s="188" t="s">
        <v>38</v>
      </c>
      <c r="T277" s="188" t="s">
        <v>38</v>
      </c>
      <c r="U277" s="180"/>
      <c r="V277" s="391"/>
      <c r="W277" s="392"/>
      <c r="X277" s="392"/>
      <c r="Y277" s="392"/>
      <c r="Z277" s="199"/>
      <c r="AA277" s="199"/>
      <c r="AB277" s="199"/>
      <c r="AC277" s="199"/>
      <c r="AE277" s="39"/>
      <c r="AF277" s="30"/>
      <c r="AG277" s="30"/>
      <c r="AH277" s="30"/>
      <c r="AI277" s="30"/>
      <c r="AJ277" s="30"/>
      <c r="AK277" s="30"/>
      <c r="AL277" s="30"/>
      <c r="AM277" s="30"/>
      <c r="AN277" s="31"/>
    </row>
    <row r="278" spans="1:40" ht="13" hidden="1" customHeight="1">
      <c r="A278" s="186">
        <v>214</v>
      </c>
      <c r="B278" s="186" t="s">
        <v>79</v>
      </c>
      <c r="C278" s="186" t="s">
        <v>61</v>
      </c>
      <c r="D278" s="186" t="s">
        <v>62</v>
      </c>
      <c r="E278" s="186" t="s">
        <v>257</v>
      </c>
      <c r="F278" s="186" t="s">
        <v>63</v>
      </c>
      <c r="G278" s="186" t="s">
        <v>32</v>
      </c>
      <c r="H278" s="186" t="s">
        <v>33</v>
      </c>
      <c r="I278" s="186">
        <f>8*1000000</f>
        <v>8000000</v>
      </c>
      <c r="J278" s="186" t="s">
        <v>34</v>
      </c>
      <c r="K278" s="186">
        <v>1989</v>
      </c>
      <c r="L278" s="186" t="s">
        <v>80</v>
      </c>
      <c r="M278" s="186"/>
      <c r="N278" s="186"/>
      <c r="O278" s="186" t="s">
        <v>259</v>
      </c>
      <c r="P278" s="187" t="s">
        <v>38</v>
      </c>
      <c r="Q278" s="187" t="s">
        <v>38</v>
      </c>
      <c r="R278" s="186" t="s">
        <v>699</v>
      </c>
      <c r="S278" s="188" t="s">
        <v>38</v>
      </c>
      <c r="T278" s="188" t="s">
        <v>38</v>
      </c>
      <c r="U278" s="180"/>
      <c r="V278" s="391"/>
      <c r="W278" s="392"/>
      <c r="X278" s="392"/>
      <c r="Y278" s="392"/>
      <c r="Z278" s="199"/>
      <c r="AA278" s="199"/>
      <c r="AB278" s="199"/>
      <c r="AC278" s="199"/>
      <c r="AE278" s="39"/>
      <c r="AF278" s="30"/>
      <c r="AG278" s="30"/>
      <c r="AH278" s="30"/>
      <c r="AI278" s="30"/>
      <c r="AJ278" s="30"/>
      <c r="AK278" s="30"/>
      <c r="AL278" s="30"/>
      <c r="AM278" s="30"/>
      <c r="AN278" s="31"/>
    </row>
    <row r="279" spans="1:40" ht="13" hidden="1" customHeight="1">
      <c r="A279" s="186">
        <v>215</v>
      </c>
      <c r="B279" s="186" t="s">
        <v>79</v>
      </c>
      <c r="C279" s="186" t="s">
        <v>61</v>
      </c>
      <c r="D279" s="186" t="s">
        <v>62</v>
      </c>
      <c r="E279" s="186" t="s">
        <v>257</v>
      </c>
      <c r="F279" s="186" t="s">
        <v>116</v>
      </c>
      <c r="G279" s="186" t="s">
        <v>32</v>
      </c>
      <c r="H279" s="186" t="s">
        <v>33</v>
      </c>
      <c r="I279" s="186">
        <f>188*1000000</f>
        <v>188000000</v>
      </c>
      <c r="J279" s="186" t="s">
        <v>34</v>
      </c>
      <c r="K279" s="186">
        <v>1989</v>
      </c>
      <c r="L279" s="186" t="s">
        <v>80</v>
      </c>
      <c r="M279" s="186"/>
      <c r="N279" s="186"/>
      <c r="O279" s="186" t="s">
        <v>260</v>
      </c>
      <c r="P279" s="187" t="s">
        <v>38</v>
      </c>
      <c r="Q279" s="187" t="s">
        <v>38</v>
      </c>
      <c r="R279" s="186" t="s">
        <v>699</v>
      </c>
      <c r="S279" s="188" t="s">
        <v>38</v>
      </c>
      <c r="T279" s="188" t="s">
        <v>38</v>
      </c>
      <c r="U279" s="180"/>
      <c r="V279" s="391"/>
      <c r="W279" s="392"/>
      <c r="X279" s="392"/>
      <c r="Y279" s="392"/>
      <c r="Z279" s="199"/>
      <c r="AA279" s="199"/>
      <c r="AB279" s="199"/>
      <c r="AC279" s="199"/>
      <c r="AE279" s="39"/>
      <c r="AF279" s="30"/>
      <c r="AG279" s="30"/>
      <c r="AH279" s="30"/>
      <c r="AI279" s="30"/>
      <c r="AJ279" s="30"/>
      <c r="AK279" s="30"/>
      <c r="AL279" s="30"/>
      <c r="AM279" s="30"/>
      <c r="AN279" s="31"/>
    </row>
    <row r="280" spans="1:40" ht="13" customHeight="1">
      <c r="A280">
        <v>370</v>
      </c>
      <c r="B280" t="s">
        <v>365</v>
      </c>
      <c r="C280" t="s">
        <v>61</v>
      </c>
      <c r="D280" t="s">
        <v>62</v>
      </c>
      <c r="E280">
        <v>1449</v>
      </c>
      <c r="F280" t="s">
        <v>75</v>
      </c>
      <c r="G280" t="s">
        <v>32</v>
      </c>
      <c r="H280" t="s">
        <v>76</v>
      </c>
      <c r="I280">
        <v>70</v>
      </c>
      <c r="J280" t="s">
        <v>88</v>
      </c>
      <c r="K280">
        <v>2004</v>
      </c>
      <c r="L280" t="s">
        <v>358</v>
      </c>
      <c r="M280" s="80"/>
      <c r="P280" s="2">
        <v>0.75</v>
      </c>
      <c r="Q280" s="19" t="s">
        <v>38</v>
      </c>
      <c r="R280" s="19" t="s">
        <v>38</v>
      </c>
      <c r="S280" s="19" t="s">
        <v>38</v>
      </c>
      <c r="T280" s="55" t="s">
        <v>38</v>
      </c>
      <c r="U280" s="180"/>
      <c r="V280" s="391"/>
      <c r="W280" s="392"/>
      <c r="X280" s="392"/>
      <c r="Y280" s="392"/>
      <c r="Z280" s="199"/>
      <c r="AA280" s="199"/>
      <c r="AB280" s="199"/>
      <c r="AC280" s="199"/>
      <c r="AE280" s="39"/>
      <c r="AF280" s="30"/>
      <c r="AG280" s="30"/>
      <c r="AH280" s="30"/>
      <c r="AI280" s="30"/>
      <c r="AJ280" s="30"/>
      <c r="AK280" s="30"/>
      <c r="AL280" s="30"/>
      <c r="AM280" s="30"/>
      <c r="AN280" s="31"/>
    </row>
    <row r="281" spans="1:40" ht="13" hidden="1" customHeight="1">
      <c r="A281">
        <v>216</v>
      </c>
      <c r="B281" t="s">
        <v>261</v>
      </c>
      <c r="C281" t="s">
        <v>61</v>
      </c>
      <c r="D281" t="s">
        <v>62</v>
      </c>
      <c r="E281">
        <v>1600</v>
      </c>
      <c r="F281" t="s">
        <v>690</v>
      </c>
      <c r="G281" s="119" t="s">
        <v>57</v>
      </c>
      <c r="H281" t="s">
        <v>76</v>
      </c>
      <c r="I281">
        <v>0.5</v>
      </c>
      <c r="J281" t="s">
        <v>77</v>
      </c>
      <c r="K281">
        <v>2010</v>
      </c>
      <c r="L281" s="80" t="s">
        <v>262</v>
      </c>
      <c r="M281" s="80"/>
      <c r="N281" s="80"/>
      <c r="P281" s="19" t="s">
        <v>122</v>
      </c>
      <c r="Q281" s="55" t="s">
        <v>38</v>
      </c>
      <c r="R281" s="19" t="s">
        <v>38</v>
      </c>
      <c r="S281" s="19" t="s">
        <v>38</v>
      </c>
      <c r="T281" s="19" t="s">
        <v>38</v>
      </c>
      <c r="U281" s="180"/>
      <c r="V281" s="391"/>
      <c r="W281" s="392"/>
      <c r="X281" s="392"/>
      <c r="Y281" s="392"/>
      <c r="Z281" s="199"/>
      <c r="AA281" s="199"/>
      <c r="AB281" s="199"/>
      <c r="AC281" s="199"/>
      <c r="AE281" s="39"/>
      <c r="AF281" s="30"/>
      <c r="AG281" s="30"/>
      <c r="AH281" s="30"/>
      <c r="AI281" s="30"/>
      <c r="AJ281" s="30"/>
      <c r="AK281" s="30"/>
      <c r="AL281" s="30"/>
      <c r="AM281" s="30"/>
      <c r="AN281" s="31"/>
    </row>
    <row r="282" spans="1:40" ht="13" hidden="1" customHeight="1">
      <c r="A282">
        <v>217</v>
      </c>
      <c r="B282" t="s">
        <v>261</v>
      </c>
      <c r="C282" t="s">
        <v>61</v>
      </c>
      <c r="D282" t="s">
        <v>62</v>
      </c>
      <c r="E282">
        <v>1420</v>
      </c>
      <c r="F282" t="s">
        <v>690</v>
      </c>
      <c r="G282" s="119" t="s">
        <v>57</v>
      </c>
      <c r="H282" t="s">
        <v>76</v>
      </c>
      <c r="I282">
        <v>0.5</v>
      </c>
      <c r="J282" t="s">
        <v>77</v>
      </c>
      <c r="K282">
        <v>2010</v>
      </c>
      <c r="L282" s="80" t="s">
        <v>262</v>
      </c>
      <c r="M282" s="80"/>
      <c r="N282" s="80"/>
      <c r="P282" s="19" t="s">
        <v>122</v>
      </c>
      <c r="Q282" s="55" t="s">
        <v>38</v>
      </c>
      <c r="R282" s="19" t="s">
        <v>38</v>
      </c>
      <c r="S282" s="19" t="s">
        <v>38</v>
      </c>
      <c r="T282" s="19" t="s">
        <v>38</v>
      </c>
      <c r="U282" s="180"/>
      <c r="V282" s="391"/>
      <c r="W282" s="392"/>
      <c r="X282" s="392"/>
      <c r="Y282" s="392"/>
      <c r="Z282" s="199"/>
      <c r="AA282" s="199"/>
      <c r="AB282" s="199"/>
      <c r="AC282" s="199"/>
      <c r="AE282" s="39"/>
      <c r="AF282" s="30"/>
      <c r="AG282" s="30"/>
      <c r="AH282" s="30"/>
      <c r="AI282" s="30"/>
      <c r="AJ282" s="30"/>
      <c r="AK282" s="30"/>
      <c r="AL282" s="30"/>
      <c r="AM282" s="30"/>
      <c r="AN282" s="31"/>
    </row>
    <row r="283" spans="1:40" ht="13" hidden="1" customHeight="1">
      <c r="A283">
        <v>218</v>
      </c>
      <c r="B283" t="s">
        <v>261</v>
      </c>
      <c r="C283" t="s">
        <v>61</v>
      </c>
      <c r="D283" t="s">
        <v>62</v>
      </c>
      <c r="E283">
        <v>1000</v>
      </c>
      <c r="F283" t="s">
        <v>690</v>
      </c>
      <c r="G283" s="119" t="s">
        <v>57</v>
      </c>
      <c r="H283" t="s">
        <v>76</v>
      </c>
      <c r="I283">
        <v>0.5</v>
      </c>
      <c r="J283" t="s">
        <v>77</v>
      </c>
      <c r="K283">
        <v>2010</v>
      </c>
      <c r="L283" s="80" t="s">
        <v>262</v>
      </c>
      <c r="M283" s="80"/>
      <c r="N283" s="80"/>
      <c r="P283" s="19" t="s">
        <v>122</v>
      </c>
      <c r="Q283" s="55" t="s">
        <v>38</v>
      </c>
      <c r="R283" s="19" t="s">
        <v>38</v>
      </c>
      <c r="S283" s="19" t="s">
        <v>38</v>
      </c>
      <c r="T283" s="19" t="s">
        <v>38</v>
      </c>
      <c r="U283" s="180"/>
      <c r="V283" s="391"/>
      <c r="W283" s="392"/>
      <c r="X283" s="392"/>
      <c r="Y283" s="392"/>
      <c r="Z283" s="199"/>
      <c r="AA283" s="199"/>
      <c r="AB283" s="199"/>
      <c r="AC283" s="199"/>
      <c r="AE283" s="39"/>
      <c r="AF283" s="30"/>
      <c r="AG283" s="30"/>
      <c r="AH283" s="30"/>
      <c r="AI283" s="30"/>
      <c r="AJ283" s="30"/>
      <c r="AK283" s="30"/>
      <c r="AL283" s="30"/>
      <c r="AM283" s="30"/>
      <c r="AN283" s="31"/>
    </row>
    <row r="284" spans="1:40" ht="13" hidden="1" customHeight="1">
      <c r="A284">
        <v>219</v>
      </c>
      <c r="B284" t="s">
        <v>261</v>
      </c>
      <c r="C284" t="s">
        <v>61</v>
      </c>
      <c r="D284" t="s">
        <v>62</v>
      </c>
      <c r="E284">
        <v>1420</v>
      </c>
      <c r="F284" t="s">
        <v>493</v>
      </c>
      <c r="G284" s="119" t="s">
        <v>57</v>
      </c>
      <c r="H284" t="s">
        <v>76</v>
      </c>
      <c r="I284">
        <v>1</v>
      </c>
      <c r="J284" t="s">
        <v>77</v>
      </c>
      <c r="K284">
        <v>2010</v>
      </c>
      <c r="L284" s="80" t="s">
        <v>262</v>
      </c>
      <c r="M284" s="80"/>
      <c r="N284" s="80"/>
      <c r="P284" s="55" t="s">
        <v>38</v>
      </c>
      <c r="Q284" s="55" t="s">
        <v>38</v>
      </c>
      <c r="R284" s="19" t="s">
        <v>38</v>
      </c>
      <c r="S284" s="19" t="s">
        <v>38</v>
      </c>
      <c r="T284" s="19" t="s">
        <v>38</v>
      </c>
      <c r="U284" s="180"/>
      <c r="V284" s="426"/>
      <c r="W284" s="427"/>
      <c r="X284" s="427"/>
      <c r="Y284" s="428"/>
      <c r="Z284" s="227"/>
      <c r="AA284" s="227"/>
      <c r="AB284" s="227"/>
      <c r="AC284" s="227"/>
      <c r="AE284" s="39"/>
      <c r="AF284" s="30"/>
      <c r="AG284" s="30"/>
      <c r="AH284" s="30"/>
      <c r="AI284" s="30"/>
      <c r="AJ284" s="30"/>
      <c r="AK284" s="30"/>
      <c r="AL284" s="30"/>
      <c r="AM284" s="30"/>
      <c r="AN284" s="31"/>
    </row>
    <row r="285" spans="1:40" ht="13" hidden="1" customHeight="1">
      <c r="A285">
        <v>220</v>
      </c>
      <c r="B285" t="s">
        <v>261</v>
      </c>
      <c r="C285" t="s">
        <v>61</v>
      </c>
      <c r="D285" t="s">
        <v>62</v>
      </c>
      <c r="E285">
        <v>1600</v>
      </c>
      <c r="F285" t="s">
        <v>493</v>
      </c>
      <c r="G285" s="119" t="s">
        <v>57</v>
      </c>
      <c r="H285" t="s">
        <v>76</v>
      </c>
      <c r="I285">
        <v>1</v>
      </c>
      <c r="J285" t="s">
        <v>77</v>
      </c>
      <c r="K285">
        <v>2010</v>
      </c>
      <c r="L285" s="80" t="s">
        <v>262</v>
      </c>
      <c r="M285" s="80"/>
      <c r="N285" s="80"/>
      <c r="P285" s="55" t="s">
        <v>38</v>
      </c>
      <c r="Q285" s="55" t="s">
        <v>38</v>
      </c>
      <c r="R285" s="19" t="s">
        <v>38</v>
      </c>
      <c r="S285" s="19" t="s">
        <v>38</v>
      </c>
      <c r="T285" s="19" t="s">
        <v>38</v>
      </c>
      <c r="U285" s="180"/>
      <c r="V285" s="426"/>
      <c r="W285" s="427"/>
      <c r="X285" s="427"/>
      <c r="Y285" s="428"/>
      <c r="Z285" s="227"/>
      <c r="AA285" s="227"/>
      <c r="AB285" s="227"/>
      <c r="AC285" s="227"/>
      <c r="AE285" s="39"/>
      <c r="AF285" s="30"/>
      <c r="AG285" s="30"/>
      <c r="AH285" s="30"/>
      <c r="AI285" s="30"/>
      <c r="AJ285" s="30"/>
      <c r="AK285" s="30"/>
      <c r="AL285" s="30"/>
      <c r="AM285" s="30"/>
      <c r="AN285" s="31"/>
    </row>
    <row r="286" spans="1:40" ht="13" hidden="1" customHeight="1">
      <c r="A286">
        <v>221</v>
      </c>
      <c r="B286" t="s">
        <v>264</v>
      </c>
      <c r="C286" t="s">
        <v>61</v>
      </c>
      <c r="D286" t="s">
        <v>62</v>
      </c>
      <c r="E286">
        <v>1000</v>
      </c>
      <c r="F286" t="s">
        <v>493</v>
      </c>
      <c r="G286" s="119" t="s">
        <v>57</v>
      </c>
      <c r="H286" t="s">
        <v>76</v>
      </c>
      <c r="I286">
        <v>1</v>
      </c>
      <c r="J286" t="s">
        <v>77</v>
      </c>
      <c r="K286">
        <v>2010</v>
      </c>
      <c r="L286" s="80" t="s">
        <v>262</v>
      </c>
      <c r="M286" s="80"/>
      <c r="N286" s="80"/>
      <c r="P286" s="55" t="s">
        <v>38</v>
      </c>
      <c r="Q286" s="55" t="s">
        <v>38</v>
      </c>
      <c r="R286" s="19" t="s">
        <v>38</v>
      </c>
      <c r="S286" s="19" t="s">
        <v>38</v>
      </c>
      <c r="T286" s="19" t="s">
        <v>38</v>
      </c>
      <c r="U286" s="180"/>
      <c r="V286" s="426"/>
      <c r="W286" s="427"/>
      <c r="X286" s="427"/>
      <c r="Y286" s="428"/>
      <c r="Z286" s="227"/>
      <c r="AA286" s="227"/>
      <c r="AB286" s="227"/>
      <c r="AC286" s="227"/>
      <c r="AE286" s="39"/>
      <c r="AF286" s="30"/>
      <c r="AG286" s="30"/>
      <c r="AH286" s="30"/>
      <c r="AI286" s="30"/>
      <c r="AJ286" s="30"/>
      <c r="AK286" s="30"/>
      <c r="AL286" s="30"/>
      <c r="AM286" s="30"/>
      <c r="AN286" s="31"/>
    </row>
    <row r="287" spans="1:40" ht="13" hidden="1" customHeight="1">
      <c r="A287">
        <v>222</v>
      </c>
      <c r="B287" t="s">
        <v>265</v>
      </c>
      <c r="C287" t="s">
        <v>61</v>
      </c>
      <c r="D287" t="s">
        <v>62</v>
      </c>
      <c r="E287">
        <v>1600</v>
      </c>
      <c r="F287" t="s">
        <v>493</v>
      </c>
      <c r="G287" s="119" t="s">
        <v>57</v>
      </c>
      <c r="H287" t="s">
        <v>76</v>
      </c>
      <c r="I287">
        <v>1</v>
      </c>
      <c r="J287" t="s">
        <v>77</v>
      </c>
      <c r="K287">
        <v>2010</v>
      </c>
      <c r="L287" s="80" t="s">
        <v>262</v>
      </c>
      <c r="M287" s="80"/>
      <c r="N287" s="80"/>
      <c r="P287" s="55" t="s">
        <v>38</v>
      </c>
      <c r="Q287" s="55" t="s">
        <v>38</v>
      </c>
      <c r="R287" s="19" t="s">
        <v>38</v>
      </c>
      <c r="S287" s="19" t="s">
        <v>38</v>
      </c>
      <c r="T287" s="19" t="s">
        <v>38</v>
      </c>
      <c r="U287" s="180"/>
      <c r="V287" s="426"/>
      <c r="W287" s="427"/>
      <c r="X287" s="427"/>
      <c r="Y287" s="428"/>
      <c r="Z287" s="227"/>
      <c r="AA287" s="227"/>
      <c r="AB287" s="227"/>
      <c r="AC287" s="227"/>
      <c r="AE287" s="39"/>
      <c r="AF287" s="30"/>
      <c r="AG287" s="30"/>
      <c r="AH287" s="30"/>
      <c r="AI287" s="30"/>
      <c r="AJ287" s="30"/>
      <c r="AK287" s="30"/>
      <c r="AL287" s="30"/>
      <c r="AM287" s="30"/>
      <c r="AN287" s="31"/>
    </row>
    <row r="288" spans="1:40" ht="13" hidden="1" customHeight="1">
      <c r="A288">
        <v>223</v>
      </c>
      <c r="B288" t="s">
        <v>686</v>
      </c>
      <c r="C288" t="s">
        <v>61</v>
      </c>
      <c r="D288" t="s">
        <v>62</v>
      </c>
      <c r="E288">
        <v>1000</v>
      </c>
      <c r="F288" t="s">
        <v>493</v>
      </c>
      <c r="G288" s="119" t="s">
        <v>57</v>
      </c>
      <c r="H288" t="s">
        <v>76</v>
      </c>
      <c r="I288">
        <v>1</v>
      </c>
      <c r="J288" t="s">
        <v>77</v>
      </c>
      <c r="K288">
        <v>2010</v>
      </c>
      <c r="L288" s="80" t="s">
        <v>262</v>
      </c>
      <c r="M288" s="80"/>
      <c r="N288" s="80"/>
      <c r="P288" s="55" t="s">
        <v>38</v>
      </c>
      <c r="Q288" s="55" t="s">
        <v>38</v>
      </c>
      <c r="R288" s="19" t="s">
        <v>38</v>
      </c>
      <c r="S288" s="19" t="s">
        <v>38</v>
      </c>
      <c r="T288" s="19" t="s">
        <v>38</v>
      </c>
      <c r="U288" s="180"/>
      <c r="V288" s="425" t="s">
        <v>991</v>
      </c>
      <c r="W288" s="392" t="s">
        <v>989</v>
      </c>
      <c r="X288" s="392" t="s">
        <v>990</v>
      </c>
      <c r="Y288" s="396" t="s">
        <v>871</v>
      </c>
      <c r="Z288" s="202"/>
      <c r="AA288" s="202"/>
      <c r="AB288" s="202"/>
      <c r="AC288" s="202"/>
      <c r="AE288" s="40"/>
      <c r="AF288" s="34"/>
      <c r="AG288" s="34"/>
      <c r="AH288" s="34"/>
      <c r="AI288" s="34"/>
      <c r="AJ288" s="34"/>
      <c r="AK288" s="34"/>
      <c r="AL288" s="34"/>
      <c r="AM288" s="34"/>
      <c r="AN288" s="35"/>
    </row>
    <row r="289" spans="1:40" ht="13" hidden="1" customHeight="1">
      <c r="A289">
        <v>224</v>
      </c>
      <c r="B289" t="s">
        <v>687</v>
      </c>
      <c r="C289" t="s">
        <v>61</v>
      </c>
      <c r="D289" t="s">
        <v>62</v>
      </c>
      <c r="E289">
        <v>1420</v>
      </c>
      <c r="F289" t="s">
        <v>493</v>
      </c>
      <c r="G289" s="119" t="s">
        <v>57</v>
      </c>
      <c r="H289" t="s">
        <v>76</v>
      </c>
      <c r="I289">
        <v>1</v>
      </c>
      <c r="J289" t="s">
        <v>77</v>
      </c>
      <c r="K289">
        <v>2010</v>
      </c>
      <c r="L289" s="80" t="s">
        <v>262</v>
      </c>
      <c r="M289" s="80"/>
      <c r="N289" s="80"/>
      <c r="P289" s="55" t="s">
        <v>38</v>
      </c>
      <c r="Q289" s="55" t="s">
        <v>38</v>
      </c>
      <c r="R289" s="19" t="s">
        <v>38</v>
      </c>
      <c r="S289" s="19" t="s">
        <v>38</v>
      </c>
      <c r="T289" s="19" t="s">
        <v>38</v>
      </c>
      <c r="U289" s="180"/>
      <c r="V289" s="425"/>
      <c r="W289" s="392"/>
      <c r="X289" s="392"/>
      <c r="Y289" s="396"/>
      <c r="Z289" s="202"/>
      <c r="AA289" s="202"/>
      <c r="AB289" s="202"/>
      <c r="AC289" s="202"/>
      <c r="AE289" s="46"/>
      <c r="AF289" s="44"/>
      <c r="AG289" s="44"/>
      <c r="AH289" s="44"/>
      <c r="AI289" s="44"/>
      <c r="AJ289" s="44"/>
      <c r="AK289" s="44"/>
      <c r="AL289" s="44"/>
      <c r="AM289" s="44"/>
      <c r="AN289" s="45"/>
    </row>
    <row r="290" spans="1:40" ht="13" hidden="1" customHeight="1">
      <c r="A290">
        <v>225</v>
      </c>
      <c r="B290" t="s">
        <v>261</v>
      </c>
      <c r="C290" t="s">
        <v>61</v>
      </c>
      <c r="D290" t="s">
        <v>62</v>
      </c>
      <c r="E290">
        <v>1600</v>
      </c>
      <c r="F290" t="s">
        <v>115</v>
      </c>
      <c r="G290" s="119" t="s">
        <v>57</v>
      </c>
      <c r="H290" t="s">
        <v>33</v>
      </c>
      <c r="I290">
        <f>7.5*1000000</f>
        <v>7500000</v>
      </c>
      <c r="J290" t="s">
        <v>34</v>
      </c>
      <c r="K290">
        <v>2010</v>
      </c>
      <c r="L290" s="80" t="s">
        <v>262</v>
      </c>
      <c r="M290" s="80"/>
      <c r="N290" s="80"/>
      <c r="O290" t="s">
        <v>263</v>
      </c>
      <c r="P290" s="19" t="s">
        <v>122</v>
      </c>
      <c r="Q290" s="55" t="s">
        <v>38</v>
      </c>
      <c r="R290" s="19" t="s">
        <v>38</v>
      </c>
      <c r="S290" s="19" t="s">
        <v>38</v>
      </c>
      <c r="T290" s="19" t="s">
        <v>38</v>
      </c>
      <c r="U290" s="180"/>
      <c r="V290" s="425"/>
      <c r="W290" s="392"/>
      <c r="X290" s="392"/>
      <c r="Y290" s="396"/>
      <c r="Z290" s="202"/>
      <c r="AA290" s="202"/>
      <c r="AB290" s="202"/>
      <c r="AC290" s="202"/>
      <c r="AE290" s="46"/>
      <c r="AF290" s="44"/>
      <c r="AG290" s="44"/>
      <c r="AH290" s="44"/>
      <c r="AI290" s="44"/>
      <c r="AJ290" s="44"/>
      <c r="AK290" s="44"/>
      <c r="AL290" s="44"/>
      <c r="AM290" s="44"/>
      <c r="AN290" s="45"/>
    </row>
    <row r="291" spans="1:40" ht="13" hidden="1" customHeight="1">
      <c r="A291">
        <v>226</v>
      </c>
      <c r="B291" t="s">
        <v>261</v>
      </c>
      <c r="C291" t="s">
        <v>61</v>
      </c>
      <c r="D291" t="s">
        <v>62</v>
      </c>
      <c r="E291">
        <v>1420</v>
      </c>
      <c r="F291" t="s">
        <v>115</v>
      </c>
      <c r="G291" s="119" t="s">
        <v>57</v>
      </c>
      <c r="H291" t="s">
        <v>33</v>
      </c>
      <c r="I291">
        <f>7.5*1000000</f>
        <v>7500000</v>
      </c>
      <c r="J291" t="s">
        <v>34</v>
      </c>
      <c r="K291">
        <v>2010</v>
      </c>
      <c r="L291" s="80" t="s">
        <v>262</v>
      </c>
      <c r="M291" s="80"/>
      <c r="N291" s="80"/>
      <c r="O291" t="s">
        <v>263</v>
      </c>
      <c r="P291" s="19" t="s">
        <v>122</v>
      </c>
      <c r="Q291" s="55" t="s">
        <v>38</v>
      </c>
      <c r="R291" s="19" t="s">
        <v>38</v>
      </c>
      <c r="S291" s="19" t="s">
        <v>38</v>
      </c>
      <c r="T291" s="19" t="s">
        <v>38</v>
      </c>
      <c r="U291" s="180"/>
      <c r="V291" s="425"/>
      <c r="W291" s="392"/>
      <c r="X291" s="392"/>
      <c r="Y291" s="396"/>
      <c r="Z291" s="202"/>
      <c r="AA291" s="202"/>
      <c r="AB291" s="202"/>
      <c r="AC291" s="202"/>
      <c r="AE291" s="46"/>
      <c r="AF291" s="44"/>
      <c r="AG291" s="44"/>
      <c r="AH291" s="44"/>
      <c r="AI291" s="44"/>
      <c r="AJ291" s="44"/>
      <c r="AK291" s="44"/>
      <c r="AL291" s="44"/>
      <c r="AM291" s="44"/>
      <c r="AN291" s="45"/>
    </row>
    <row r="292" spans="1:40" ht="13" hidden="1" customHeight="1">
      <c r="A292">
        <v>227</v>
      </c>
      <c r="B292" t="s">
        <v>261</v>
      </c>
      <c r="C292" t="s">
        <v>61</v>
      </c>
      <c r="D292" t="s">
        <v>62</v>
      </c>
      <c r="E292">
        <v>1000</v>
      </c>
      <c r="F292" t="s">
        <v>115</v>
      </c>
      <c r="G292" s="119" t="s">
        <v>57</v>
      </c>
      <c r="H292" t="s">
        <v>33</v>
      </c>
      <c r="I292">
        <f>7.5*1000000</f>
        <v>7500000</v>
      </c>
      <c r="J292" t="s">
        <v>34</v>
      </c>
      <c r="K292">
        <v>2010</v>
      </c>
      <c r="L292" s="80" t="s">
        <v>262</v>
      </c>
      <c r="M292" s="80"/>
      <c r="N292" s="80"/>
      <c r="O292" t="s">
        <v>263</v>
      </c>
      <c r="P292" s="19" t="s">
        <v>122</v>
      </c>
      <c r="Q292" s="55" t="s">
        <v>38</v>
      </c>
      <c r="R292" s="19" t="s">
        <v>38</v>
      </c>
      <c r="S292" s="19" t="s">
        <v>38</v>
      </c>
      <c r="T292" s="19" t="s">
        <v>38</v>
      </c>
      <c r="U292" s="180"/>
      <c r="V292" s="425"/>
      <c r="W292" s="392"/>
      <c r="X292" s="392"/>
      <c r="Y292" s="396"/>
      <c r="Z292" s="202"/>
      <c r="AA292" s="202"/>
      <c r="AB292" s="202"/>
      <c r="AC292" s="202"/>
      <c r="AE292" s="46"/>
      <c r="AF292" s="44"/>
      <c r="AG292" s="44"/>
      <c r="AH292" s="44"/>
      <c r="AI292" s="44"/>
      <c r="AJ292" s="44"/>
      <c r="AK292" s="44"/>
      <c r="AL292" s="44"/>
      <c r="AM292" s="44"/>
      <c r="AN292" s="45"/>
    </row>
    <row r="293" spans="1:40" ht="13" hidden="1" customHeight="1">
      <c r="A293">
        <v>228</v>
      </c>
      <c r="B293" t="s">
        <v>264</v>
      </c>
      <c r="C293" t="s">
        <v>61</v>
      </c>
      <c r="D293" t="s">
        <v>62</v>
      </c>
      <c r="E293">
        <v>1000</v>
      </c>
      <c r="F293" t="s">
        <v>230</v>
      </c>
      <c r="G293" s="119" t="s">
        <v>57</v>
      </c>
      <c r="H293" t="s">
        <v>33</v>
      </c>
      <c r="I293">
        <f>5000*1000000 * 1.075 * 0.375</f>
        <v>2015625000</v>
      </c>
      <c r="J293" t="s">
        <v>34</v>
      </c>
      <c r="K293">
        <v>2010</v>
      </c>
      <c r="L293" s="80" t="s">
        <v>262</v>
      </c>
      <c r="M293" s="80"/>
      <c r="N293" s="80"/>
      <c r="P293" s="2">
        <v>0.75</v>
      </c>
      <c r="Q293" t="s">
        <v>84</v>
      </c>
      <c r="R293" s="19" t="s">
        <v>38</v>
      </c>
      <c r="S293" s="19" t="s">
        <v>38</v>
      </c>
      <c r="T293" s="19" t="s">
        <v>38</v>
      </c>
      <c r="U293" s="180"/>
      <c r="V293" s="425"/>
      <c r="W293" s="392"/>
      <c r="X293" s="392"/>
      <c r="Y293" s="396"/>
      <c r="Z293" s="202"/>
      <c r="AA293" s="202"/>
      <c r="AB293" s="202"/>
      <c r="AC293" s="202"/>
      <c r="AE293" s="46"/>
      <c r="AF293" s="44"/>
      <c r="AG293" s="44"/>
      <c r="AH293" s="44"/>
      <c r="AI293" s="44"/>
      <c r="AJ293" s="44"/>
      <c r="AK293" s="44"/>
      <c r="AL293" s="44"/>
      <c r="AM293" s="44"/>
      <c r="AN293" s="45"/>
    </row>
    <row r="294" spans="1:40" ht="13" hidden="1" customHeight="1">
      <c r="A294">
        <v>229</v>
      </c>
      <c r="B294" t="s">
        <v>265</v>
      </c>
      <c r="C294" t="s">
        <v>61</v>
      </c>
      <c r="D294" t="s">
        <v>62</v>
      </c>
      <c r="E294">
        <v>1600</v>
      </c>
      <c r="F294" t="s">
        <v>230</v>
      </c>
      <c r="G294" s="119" t="s">
        <v>57</v>
      </c>
      <c r="H294" t="s">
        <v>33</v>
      </c>
      <c r="I294">
        <f>6000*1000000 * 1.075 * 0.375</f>
        <v>2418750000</v>
      </c>
      <c r="J294" t="s">
        <v>34</v>
      </c>
      <c r="K294">
        <v>2010</v>
      </c>
      <c r="L294" s="80" t="s">
        <v>262</v>
      </c>
      <c r="M294" s="80"/>
      <c r="N294" s="80"/>
      <c r="P294" s="2">
        <v>0.75</v>
      </c>
      <c r="Q294" t="s">
        <v>84</v>
      </c>
      <c r="R294" s="19" t="s">
        <v>38</v>
      </c>
      <c r="S294" s="19" t="s">
        <v>38</v>
      </c>
      <c r="T294" s="19" t="s">
        <v>38</v>
      </c>
      <c r="U294" s="180"/>
      <c r="V294" s="425"/>
      <c r="W294" s="392"/>
      <c r="X294" s="392"/>
      <c r="Y294" s="396"/>
      <c r="Z294" s="202"/>
      <c r="AA294" s="202"/>
      <c r="AB294" s="202"/>
      <c r="AC294" s="202"/>
      <c r="AE294" s="46"/>
      <c r="AF294" s="44"/>
      <c r="AG294" s="44"/>
      <c r="AH294" s="44"/>
      <c r="AI294" s="44"/>
      <c r="AJ294" s="44"/>
      <c r="AK294" s="44"/>
      <c r="AL294" s="44"/>
      <c r="AM294" s="44"/>
      <c r="AN294" s="45"/>
    </row>
    <row r="295" spans="1:40" ht="13" hidden="1" customHeight="1">
      <c r="A295">
        <v>230</v>
      </c>
      <c r="B295" t="s">
        <v>688</v>
      </c>
      <c r="C295" t="s">
        <v>61</v>
      </c>
      <c r="D295" t="s">
        <v>62</v>
      </c>
      <c r="E295">
        <v>1200</v>
      </c>
      <c r="F295" t="s">
        <v>230</v>
      </c>
      <c r="G295" s="119" t="s">
        <v>57</v>
      </c>
      <c r="H295" t="s">
        <v>33</v>
      </c>
      <c r="I295">
        <f>4000*1000000 * 1.075 * 0.375</f>
        <v>1612500000</v>
      </c>
      <c r="J295" t="s">
        <v>34</v>
      </c>
      <c r="K295">
        <v>2010</v>
      </c>
      <c r="L295" s="80" t="s">
        <v>262</v>
      </c>
      <c r="M295" s="80"/>
      <c r="N295" s="80"/>
      <c r="P295" s="2">
        <v>0.75</v>
      </c>
      <c r="Q295" t="s">
        <v>84</v>
      </c>
      <c r="R295" s="19" t="s">
        <v>38</v>
      </c>
      <c r="S295" s="19" t="s">
        <v>38</v>
      </c>
      <c r="T295" s="19" t="s">
        <v>38</v>
      </c>
      <c r="U295" s="180"/>
      <c r="V295" s="425"/>
      <c r="W295" s="392"/>
      <c r="X295" s="392"/>
      <c r="Y295" s="396"/>
      <c r="Z295" s="202"/>
      <c r="AA295" s="202"/>
      <c r="AB295" s="202"/>
      <c r="AC295" s="202"/>
      <c r="AE295" s="46"/>
      <c r="AF295" s="44"/>
      <c r="AG295" s="44"/>
      <c r="AH295" s="44"/>
      <c r="AI295" s="44"/>
      <c r="AJ295" s="44"/>
      <c r="AK295" s="44"/>
      <c r="AL295" s="44"/>
      <c r="AM295" s="44"/>
      <c r="AN295" s="45"/>
    </row>
    <row r="296" spans="1:40" ht="13" hidden="1" customHeight="1" thickBot="1">
      <c r="A296">
        <v>231</v>
      </c>
      <c r="B296" t="s">
        <v>687</v>
      </c>
      <c r="C296" t="s">
        <v>61</v>
      </c>
      <c r="D296" t="s">
        <v>62</v>
      </c>
      <c r="E296">
        <v>1420</v>
      </c>
      <c r="F296" t="s">
        <v>230</v>
      </c>
      <c r="G296" s="119" t="s">
        <v>57</v>
      </c>
      <c r="H296" t="s">
        <v>33</v>
      </c>
      <c r="I296">
        <f>5000*1000000 * 1.075 * 0.375</f>
        <v>2015625000</v>
      </c>
      <c r="J296" t="s">
        <v>34</v>
      </c>
      <c r="K296">
        <v>2010</v>
      </c>
      <c r="L296" s="80" t="s">
        <v>262</v>
      </c>
      <c r="M296" s="80"/>
      <c r="N296" s="80"/>
      <c r="P296" s="2">
        <v>0.75</v>
      </c>
      <c r="Q296" t="s">
        <v>84</v>
      </c>
      <c r="R296" s="19" t="s">
        <v>38</v>
      </c>
      <c r="S296" s="19" t="s">
        <v>38</v>
      </c>
      <c r="T296" s="19" t="s">
        <v>38</v>
      </c>
      <c r="U296" s="180"/>
      <c r="V296" s="425"/>
      <c r="W296" s="392"/>
      <c r="X296" s="392"/>
      <c r="Y296" s="396"/>
      <c r="Z296" s="202"/>
      <c r="AA296" s="202"/>
      <c r="AB296" s="202"/>
      <c r="AC296" s="202"/>
      <c r="AE296" s="46"/>
      <c r="AF296" s="44"/>
      <c r="AG296" s="44"/>
      <c r="AH296" s="44"/>
      <c r="AI296" s="44"/>
      <c r="AJ296" s="44"/>
      <c r="AK296" s="44"/>
      <c r="AL296" s="44"/>
      <c r="AM296" s="44"/>
      <c r="AN296" s="45"/>
    </row>
    <row r="297" spans="1:40" ht="24.4" hidden="1" customHeight="1">
      <c r="A297">
        <v>236</v>
      </c>
      <c r="B297" t="s">
        <v>264</v>
      </c>
      <c r="C297" t="s">
        <v>61</v>
      </c>
      <c r="D297" t="s">
        <v>62</v>
      </c>
      <c r="E297">
        <v>1000</v>
      </c>
      <c r="F297" t="s">
        <v>266</v>
      </c>
      <c r="G297" s="119" t="s">
        <v>57</v>
      </c>
      <c r="H297" t="s">
        <v>33</v>
      </c>
      <c r="I297">
        <f>(5000000000/1.15)</f>
        <v>4347826086.956522</v>
      </c>
      <c r="J297" t="s">
        <v>34</v>
      </c>
      <c r="K297">
        <v>2010</v>
      </c>
      <c r="L297" s="80" t="s">
        <v>262</v>
      </c>
      <c r="M297" s="80"/>
      <c r="N297" s="80"/>
      <c r="O297" t="s">
        <v>267</v>
      </c>
      <c r="P297" s="2">
        <v>0.75</v>
      </c>
      <c r="Q297" t="s">
        <v>84</v>
      </c>
      <c r="R297" s="19" t="s">
        <v>38</v>
      </c>
      <c r="S297">
        <f>0.15*5000000</f>
        <v>750000</v>
      </c>
      <c r="T297" s="19" t="s">
        <v>38</v>
      </c>
      <c r="U297" s="180"/>
      <c r="V297" s="425"/>
      <c r="W297" s="392"/>
      <c r="X297" s="392"/>
      <c r="Y297" s="396"/>
      <c r="Z297" s="202"/>
      <c r="AA297" s="202"/>
      <c r="AB297" s="202"/>
      <c r="AC297" s="202"/>
      <c r="AE297" s="42"/>
      <c r="AF297" s="36"/>
      <c r="AG297" s="36"/>
      <c r="AH297" s="36"/>
      <c r="AI297" s="36"/>
      <c r="AJ297" s="36"/>
      <c r="AK297" s="36"/>
      <c r="AL297" s="36"/>
      <c r="AM297" s="36"/>
      <c r="AN297" s="37"/>
    </row>
    <row r="298" spans="1:40" s="146" customFormat="1" ht="15" hidden="1" customHeight="1">
      <c r="A298">
        <v>237</v>
      </c>
      <c r="B298" t="s">
        <v>265</v>
      </c>
      <c r="C298" t="s">
        <v>61</v>
      </c>
      <c r="D298" t="s">
        <v>62</v>
      </c>
      <c r="E298">
        <v>1600</v>
      </c>
      <c r="F298" t="s">
        <v>266</v>
      </c>
      <c r="G298" s="119" t="s">
        <v>57</v>
      </c>
      <c r="H298" t="s">
        <v>33</v>
      </c>
      <c r="I298">
        <f>(6000000000/1.15)</f>
        <v>5217391304.347827</v>
      </c>
      <c r="J298" t="s">
        <v>34</v>
      </c>
      <c r="K298">
        <v>2010</v>
      </c>
      <c r="L298" s="80" t="s">
        <v>262</v>
      </c>
      <c r="M298" s="80"/>
      <c r="N298" s="80"/>
      <c r="O298" t="s">
        <v>267</v>
      </c>
      <c r="P298" s="2">
        <v>0.75</v>
      </c>
      <c r="Q298" t="s">
        <v>84</v>
      </c>
      <c r="R298" s="19" t="s">
        <v>38</v>
      </c>
      <c r="S298">
        <f>0.15*6000000</f>
        <v>900000</v>
      </c>
      <c r="T298" s="19" t="s">
        <v>38</v>
      </c>
      <c r="U298" s="180"/>
      <c r="V298" s="425"/>
      <c r="W298" s="392"/>
      <c r="X298" s="392"/>
      <c r="Y298" s="396"/>
      <c r="Z298" s="202"/>
      <c r="AA298" s="202"/>
      <c r="AB298" s="202"/>
      <c r="AC298" s="202"/>
      <c r="AD298"/>
      <c r="AE298" s="166"/>
      <c r="AF298" s="167"/>
      <c r="AG298" s="30"/>
      <c r="AH298" s="30"/>
      <c r="AI298" s="30"/>
      <c r="AJ298" s="167"/>
      <c r="AK298" s="30"/>
      <c r="AL298" s="167"/>
      <c r="AM298" s="30"/>
      <c r="AN298" s="168"/>
    </row>
    <row r="299" spans="1:40" s="133" customFormat="1" ht="13" hidden="1" customHeight="1">
      <c r="A299">
        <v>238</v>
      </c>
      <c r="B299" t="s">
        <v>686</v>
      </c>
      <c r="C299" t="s">
        <v>61</v>
      </c>
      <c r="D299" t="s">
        <v>62</v>
      </c>
      <c r="E299">
        <v>1000</v>
      </c>
      <c r="F299" t="s">
        <v>266</v>
      </c>
      <c r="G299" s="119" t="s">
        <v>57</v>
      </c>
      <c r="H299" t="s">
        <v>33</v>
      </c>
      <c r="I299">
        <f>(4000000000/1.15)</f>
        <v>3478260869.5652175</v>
      </c>
      <c r="J299" t="s">
        <v>34</v>
      </c>
      <c r="K299">
        <v>2010</v>
      </c>
      <c r="L299" s="80" t="s">
        <v>262</v>
      </c>
      <c r="M299" s="80"/>
      <c r="N299" s="80"/>
      <c r="O299" t="s">
        <v>267</v>
      </c>
      <c r="P299" s="2">
        <v>0.75</v>
      </c>
      <c r="Q299" t="s">
        <v>84</v>
      </c>
      <c r="R299" s="19" t="s">
        <v>38</v>
      </c>
      <c r="S299">
        <f>0.15*4000000</f>
        <v>600000</v>
      </c>
      <c r="T299" s="19" t="s">
        <v>38</v>
      </c>
      <c r="U299" s="55"/>
      <c r="V299" s="425"/>
      <c r="W299" s="392"/>
      <c r="X299" s="392"/>
      <c r="Y299" s="396"/>
      <c r="Z299" s="202"/>
      <c r="AA299" s="202"/>
      <c r="AB299" s="202"/>
      <c r="AC299" s="202"/>
      <c r="AD299"/>
      <c r="AE299" s="134"/>
      <c r="AF299" s="135"/>
      <c r="AG299" s="135"/>
      <c r="AH299" s="135"/>
      <c r="AI299" s="135"/>
      <c r="AJ299" s="135"/>
      <c r="AK299" s="135"/>
      <c r="AL299" s="135"/>
      <c r="AM299" s="135"/>
      <c r="AN299" s="137"/>
    </row>
    <row r="300" spans="1:40" s="133" customFormat="1" ht="13" hidden="1" customHeight="1">
      <c r="A300">
        <v>239</v>
      </c>
      <c r="B300" t="s">
        <v>687</v>
      </c>
      <c r="C300" t="s">
        <v>61</v>
      </c>
      <c r="D300" t="s">
        <v>62</v>
      </c>
      <c r="E300">
        <v>1420</v>
      </c>
      <c r="F300" t="s">
        <v>266</v>
      </c>
      <c r="G300" s="119" t="s">
        <v>57</v>
      </c>
      <c r="H300" t="s">
        <v>33</v>
      </c>
      <c r="I300">
        <f>(5000000000/1.15)</f>
        <v>4347826086.956522</v>
      </c>
      <c r="J300" t="s">
        <v>34</v>
      </c>
      <c r="K300">
        <v>2010</v>
      </c>
      <c r="L300" s="80" t="s">
        <v>262</v>
      </c>
      <c r="M300" s="80"/>
      <c r="N300" s="80"/>
      <c r="O300" t="s">
        <v>267</v>
      </c>
      <c r="P300" s="2">
        <v>0.75</v>
      </c>
      <c r="Q300" t="s">
        <v>84</v>
      </c>
      <c r="R300" s="19" t="s">
        <v>38</v>
      </c>
      <c r="S300">
        <f>0.15*5000000</f>
        <v>750000</v>
      </c>
      <c r="T300" s="19" t="s">
        <v>38</v>
      </c>
      <c r="U300" s="55"/>
      <c r="V300" s="425"/>
      <c r="W300" s="392"/>
      <c r="X300" s="392"/>
      <c r="Y300" s="396"/>
      <c r="Z300" s="202"/>
      <c r="AA300" s="202"/>
      <c r="AB300" s="202"/>
      <c r="AC300" s="202"/>
      <c r="AD300"/>
      <c r="AE300" s="134"/>
      <c r="AF300" s="135"/>
      <c r="AG300" s="135"/>
      <c r="AH300" s="135"/>
      <c r="AI300" s="135"/>
      <c r="AJ300" s="135"/>
      <c r="AK300" s="135"/>
      <c r="AL300" s="135"/>
      <c r="AM300" s="135"/>
      <c r="AN300" s="137"/>
    </row>
    <row r="301" spans="1:40" s="133" customFormat="1" ht="13" customHeight="1">
      <c r="A301">
        <v>371</v>
      </c>
      <c r="B301" t="s">
        <v>366</v>
      </c>
      <c r="C301" t="s">
        <v>61</v>
      </c>
      <c r="D301" t="s">
        <v>62</v>
      </c>
      <c r="E301">
        <v>1527</v>
      </c>
      <c r="F301" t="s">
        <v>75</v>
      </c>
      <c r="G301" t="s">
        <v>52</v>
      </c>
      <c r="H301" t="s">
        <v>76</v>
      </c>
      <c r="I301">
        <v>30</v>
      </c>
      <c r="J301" t="s">
        <v>88</v>
      </c>
      <c r="K301">
        <v>2004</v>
      </c>
      <c r="L301" t="s">
        <v>358</v>
      </c>
      <c r="M301" s="80"/>
      <c r="N301"/>
      <c r="O301" t="s">
        <v>367</v>
      </c>
      <c r="P301" s="2">
        <v>0.75</v>
      </c>
      <c r="Q301" s="19" t="s">
        <v>38</v>
      </c>
      <c r="R301" s="19" t="s">
        <v>38</v>
      </c>
      <c r="S301" s="19" t="s">
        <v>38</v>
      </c>
      <c r="T301" s="55" t="s">
        <v>38</v>
      </c>
      <c r="U301" s="55"/>
      <c r="V301" s="425"/>
      <c r="W301" s="392"/>
      <c r="X301" s="392"/>
      <c r="Y301" s="396"/>
      <c r="Z301" s="202"/>
      <c r="AA301" s="202"/>
      <c r="AB301" s="202"/>
      <c r="AC301" s="202"/>
      <c r="AD301"/>
      <c r="AE301" s="134"/>
      <c r="AF301" s="135"/>
      <c r="AG301" s="135"/>
      <c r="AH301" s="135"/>
      <c r="AI301" s="135"/>
      <c r="AJ301" s="135"/>
      <c r="AK301" s="135"/>
      <c r="AL301" s="135"/>
      <c r="AM301" s="135"/>
      <c r="AN301" s="137"/>
    </row>
    <row r="302" spans="1:40" s="133" customFormat="1" ht="13" customHeight="1">
      <c r="A302">
        <v>372</v>
      </c>
      <c r="B302" t="s">
        <v>368</v>
      </c>
      <c r="C302" t="s">
        <v>61</v>
      </c>
      <c r="D302" t="s">
        <v>62</v>
      </c>
      <c r="E302">
        <v>1527</v>
      </c>
      <c r="F302" t="s">
        <v>75</v>
      </c>
      <c r="G302" t="s">
        <v>32</v>
      </c>
      <c r="H302" t="s">
        <v>76</v>
      </c>
      <c r="I302">
        <v>50</v>
      </c>
      <c r="J302" t="s">
        <v>88</v>
      </c>
      <c r="K302">
        <v>2004</v>
      </c>
      <c r="L302" t="s">
        <v>358</v>
      </c>
      <c r="M302" s="80"/>
      <c r="N302"/>
      <c r="O302" t="s">
        <v>367</v>
      </c>
      <c r="P302" s="2">
        <v>0.75</v>
      </c>
      <c r="Q302" s="19" t="s">
        <v>38</v>
      </c>
      <c r="R302" s="19" t="s">
        <v>38</v>
      </c>
      <c r="S302" s="19" t="s">
        <v>38</v>
      </c>
      <c r="T302" s="55" t="s">
        <v>38</v>
      </c>
      <c r="U302" s="55"/>
      <c r="V302" s="425"/>
      <c r="W302" s="392"/>
      <c r="X302" s="392"/>
      <c r="Y302" s="396"/>
      <c r="Z302" s="202"/>
      <c r="AA302" s="202"/>
      <c r="AB302" s="202"/>
      <c r="AC302" s="202"/>
      <c r="AD302"/>
      <c r="AE302" s="134"/>
      <c r="AF302" s="135"/>
      <c r="AG302" s="135"/>
      <c r="AH302" s="135"/>
      <c r="AI302" s="135"/>
      <c r="AJ302" s="135"/>
      <c r="AK302" s="135"/>
      <c r="AL302" s="135"/>
      <c r="AM302" s="135"/>
      <c r="AN302" s="137"/>
    </row>
    <row r="303" spans="1:40" s="133" customFormat="1" ht="13" customHeight="1">
      <c r="A303">
        <v>41</v>
      </c>
      <c r="B303" t="s">
        <v>114</v>
      </c>
      <c r="C303" t="s">
        <v>61</v>
      </c>
      <c r="D303" t="s">
        <v>62</v>
      </c>
      <c r="E303">
        <v>1000</v>
      </c>
      <c r="F303" t="s">
        <v>75</v>
      </c>
      <c r="G303" t="s">
        <v>52</v>
      </c>
      <c r="H303" t="s">
        <v>76</v>
      </c>
      <c r="I303">
        <v>65.3</v>
      </c>
      <c r="J303" t="s">
        <v>77</v>
      </c>
      <c r="K303">
        <v>1988</v>
      </c>
      <c r="L303" t="s">
        <v>597</v>
      </c>
      <c r="M303" s="80"/>
      <c r="N303"/>
      <c r="O303" t="s">
        <v>700</v>
      </c>
      <c r="P303" s="2">
        <v>0.76</v>
      </c>
      <c r="Q303" t="s">
        <v>84</v>
      </c>
      <c r="R303" s="19" t="s">
        <v>38</v>
      </c>
      <c r="S303" s="19" t="s">
        <v>38</v>
      </c>
      <c r="T303" s="19" t="s">
        <v>38</v>
      </c>
      <c r="U303" s="55"/>
      <c r="V303" s="425"/>
      <c r="W303" s="392"/>
      <c r="X303" s="392"/>
      <c r="Y303" s="396"/>
      <c r="Z303" s="202"/>
      <c r="AA303" s="202"/>
      <c r="AB303" s="202"/>
      <c r="AC303" s="202"/>
      <c r="AD303"/>
      <c r="AE303" s="134"/>
      <c r="AF303" s="135"/>
      <c r="AG303" s="135"/>
      <c r="AH303" s="135"/>
      <c r="AI303" s="135"/>
      <c r="AJ303" s="135"/>
      <c r="AK303" s="135"/>
      <c r="AL303" s="135"/>
      <c r="AM303" s="135"/>
      <c r="AN303" s="137"/>
    </row>
    <row r="304" spans="1:40" s="133" customFormat="1" ht="13" customHeight="1">
      <c r="A304">
        <v>42</v>
      </c>
      <c r="B304" t="s">
        <v>79</v>
      </c>
      <c r="C304" t="s">
        <v>61</v>
      </c>
      <c r="D304" t="s">
        <v>62</v>
      </c>
      <c r="E304">
        <v>1000</v>
      </c>
      <c r="F304" t="s">
        <v>75</v>
      </c>
      <c r="G304" t="s">
        <v>32</v>
      </c>
      <c r="H304" t="s">
        <v>76</v>
      </c>
      <c r="I304">
        <v>90</v>
      </c>
      <c r="J304" t="s">
        <v>77</v>
      </c>
      <c r="K304">
        <v>1989</v>
      </c>
      <c r="L304" t="s">
        <v>597</v>
      </c>
      <c r="M304" s="80"/>
      <c r="N304"/>
      <c r="O304" t="s">
        <v>701</v>
      </c>
      <c r="P304" s="55" t="s">
        <v>38</v>
      </c>
      <c r="Q304" t="s">
        <v>104</v>
      </c>
      <c r="R304" s="19" t="s">
        <v>38</v>
      </c>
      <c r="S304" s="19" t="s">
        <v>38</v>
      </c>
      <c r="T304" s="19" t="s">
        <v>38</v>
      </c>
      <c r="U304" s="55"/>
      <c r="V304" s="425"/>
      <c r="W304" s="392"/>
      <c r="X304" s="392"/>
      <c r="Y304" s="396"/>
      <c r="Z304" s="202"/>
      <c r="AA304" s="202"/>
      <c r="AB304" s="202"/>
      <c r="AC304" s="202"/>
      <c r="AD304"/>
      <c r="AE304" s="134"/>
      <c r="AF304" s="135"/>
      <c r="AG304" s="135"/>
      <c r="AH304" s="135"/>
      <c r="AI304" s="135"/>
      <c r="AJ304" s="135"/>
      <c r="AK304" s="135"/>
      <c r="AL304" s="135"/>
      <c r="AM304" s="135"/>
      <c r="AN304" s="137"/>
    </row>
    <row r="305" spans="1:40" s="133" customFormat="1" ht="13" customHeight="1">
      <c r="A305">
        <v>447</v>
      </c>
      <c r="B305" s="5" t="s">
        <v>423</v>
      </c>
      <c r="C305" s="5" t="s">
        <v>61</v>
      </c>
      <c r="D305" s="5" t="s">
        <v>251</v>
      </c>
      <c r="E305" s="5">
        <v>1000</v>
      </c>
      <c r="F305" s="5" t="s">
        <v>75</v>
      </c>
      <c r="G305" s="5" t="s">
        <v>52</v>
      </c>
      <c r="H305" s="5" t="s">
        <v>76</v>
      </c>
      <c r="I305" s="5">
        <v>77.599999999999994</v>
      </c>
      <c r="J305" s="5" t="s">
        <v>77</v>
      </c>
      <c r="K305" s="5">
        <v>2004</v>
      </c>
      <c r="L305" s="5" t="s">
        <v>424</v>
      </c>
      <c r="M305" s="185"/>
      <c r="N305" s="5"/>
      <c r="O305" s="5" t="s">
        <v>425</v>
      </c>
      <c r="P305" s="55">
        <v>0.85</v>
      </c>
      <c r="Q305" s="5" t="s">
        <v>84</v>
      </c>
      <c r="R305" s="19" t="s">
        <v>38</v>
      </c>
      <c r="S305" s="19" t="s">
        <v>38</v>
      </c>
      <c r="T305" s="55" t="s">
        <v>38</v>
      </c>
      <c r="U305" s="55"/>
      <c r="V305" s="425"/>
      <c r="W305" s="392"/>
      <c r="X305" s="392"/>
      <c r="Y305" s="396"/>
      <c r="Z305" s="202"/>
      <c r="AA305" s="202"/>
      <c r="AB305" s="202"/>
      <c r="AC305" s="202"/>
      <c r="AD305"/>
      <c r="AE305" s="134"/>
      <c r="AF305" s="135"/>
      <c r="AG305" s="135"/>
      <c r="AH305" s="135"/>
      <c r="AI305" s="135"/>
      <c r="AJ305" s="135"/>
      <c r="AK305" s="135"/>
      <c r="AL305" s="135"/>
      <c r="AM305" s="135"/>
      <c r="AN305" s="137"/>
    </row>
    <row r="306" spans="1:40" s="133" customFormat="1" ht="13" customHeight="1">
      <c r="A306">
        <v>459</v>
      </c>
      <c r="B306" t="s">
        <v>434</v>
      </c>
      <c r="C306" t="s">
        <v>61</v>
      </c>
      <c r="D306" t="s">
        <v>62</v>
      </c>
      <c r="E306">
        <v>1000</v>
      </c>
      <c r="F306" t="s">
        <v>75</v>
      </c>
      <c r="G306" t="s">
        <v>57</v>
      </c>
      <c r="H306" t="s">
        <v>76</v>
      </c>
      <c r="I306">
        <v>52.35</v>
      </c>
      <c r="J306" t="s">
        <v>77</v>
      </c>
      <c r="K306">
        <v>2002</v>
      </c>
      <c r="L306" t="s">
        <v>435</v>
      </c>
      <c r="M306" s="80"/>
      <c r="N306"/>
      <c r="O306" t="s">
        <v>436</v>
      </c>
      <c r="P306" s="2">
        <v>0.83</v>
      </c>
      <c r="Q306" s="19" t="s">
        <v>38</v>
      </c>
      <c r="R306" s="19" t="s">
        <v>38</v>
      </c>
      <c r="S306" s="19" t="s">
        <v>38</v>
      </c>
      <c r="T306" s="55" t="s">
        <v>38</v>
      </c>
      <c r="U306" s="55"/>
      <c r="V306" s="425"/>
      <c r="W306" s="392"/>
      <c r="X306" s="392"/>
      <c r="Y306" s="396"/>
      <c r="Z306" s="202"/>
      <c r="AA306" s="202"/>
      <c r="AB306" s="202"/>
      <c r="AC306" s="202"/>
      <c r="AD306"/>
      <c r="AE306" s="134"/>
      <c r="AF306" s="135"/>
      <c r="AG306" s="135"/>
      <c r="AH306" s="135"/>
      <c r="AI306" s="135"/>
      <c r="AJ306" s="135"/>
      <c r="AK306" s="135"/>
      <c r="AL306" s="135"/>
      <c r="AM306" s="135"/>
      <c r="AN306" s="137"/>
    </row>
    <row r="307" spans="1:40" s="133" customFormat="1" ht="13" customHeight="1">
      <c r="A307">
        <v>460</v>
      </c>
      <c r="B307" t="s">
        <v>437</v>
      </c>
      <c r="C307" t="s">
        <v>61</v>
      </c>
      <c r="D307" t="s">
        <v>62</v>
      </c>
      <c r="E307">
        <v>1000</v>
      </c>
      <c r="F307" t="s">
        <v>75</v>
      </c>
      <c r="G307" t="s">
        <v>57</v>
      </c>
      <c r="H307" t="s">
        <v>76</v>
      </c>
      <c r="I307">
        <v>55.73</v>
      </c>
      <c r="J307" t="s">
        <v>77</v>
      </c>
      <c r="K307">
        <v>2002</v>
      </c>
      <c r="L307" t="s">
        <v>435</v>
      </c>
      <c r="M307" s="80"/>
      <c r="N307"/>
      <c r="O307" t="s">
        <v>436</v>
      </c>
      <c r="P307" s="2">
        <v>0.78</v>
      </c>
      <c r="Q307" s="19" t="s">
        <v>38</v>
      </c>
      <c r="R307" s="19" t="s">
        <v>38</v>
      </c>
      <c r="S307" s="19" t="s">
        <v>38</v>
      </c>
      <c r="T307" s="55" t="s">
        <v>38</v>
      </c>
      <c r="U307" s="55"/>
      <c r="V307" s="425"/>
      <c r="W307" s="392"/>
      <c r="X307" s="392"/>
      <c r="Y307" s="396"/>
      <c r="Z307" s="202"/>
      <c r="AA307" s="202"/>
      <c r="AB307" s="202"/>
      <c r="AC307" s="202"/>
      <c r="AD307"/>
      <c r="AE307" s="134"/>
      <c r="AF307" s="135"/>
      <c r="AG307" s="135"/>
      <c r="AH307" s="135"/>
      <c r="AI307" s="135"/>
      <c r="AJ307" s="135"/>
      <c r="AK307" s="135"/>
      <c r="AL307" s="135"/>
      <c r="AM307" s="135"/>
      <c r="AN307" s="137"/>
    </row>
    <row r="308" spans="1:40" s="133" customFormat="1" ht="13" customHeight="1">
      <c r="A308">
        <v>461</v>
      </c>
      <c r="B308" t="s">
        <v>438</v>
      </c>
      <c r="C308" t="s">
        <v>61</v>
      </c>
      <c r="D308" t="s">
        <v>62</v>
      </c>
      <c r="E308">
        <v>1000</v>
      </c>
      <c r="F308" t="s">
        <v>75</v>
      </c>
      <c r="G308" t="s">
        <v>32</v>
      </c>
      <c r="H308" t="s">
        <v>76</v>
      </c>
      <c r="I308">
        <v>101</v>
      </c>
      <c r="J308" t="s">
        <v>77</v>
      </c>
      <c r="K308">
        <v>2002</v>
      </c>
      <c r="L308" t="s">
        <v>435</v>
      </c>
      <c r="M308" s="80"/>
      <c r="N308"/>
      <c r="O308" s="13" t="s">
        <v>439</v>
      </c>
      <c r="P308" s="2">
        <v>0.6</v>
      </c>
      <c r="Q308" s="19" t="s">
        <v>38</v>
      </c>
      <c r="R308" s="19" t="s">
        <v>38</v>
      </c>
      <c r="S308" s="19" t="s">
        <v>38</v>
      </c>
      <c r="T308" s="55" t="s">
        <v>38</v>
      </c>
      <c r="U308" s="55"/>
      <c r="V308" s="425"/>
      <c r="W308" s="392"/>
      <c r="X308" s="392"/>
      <c r="Y308" s="396"/>
      <c r="Z308" s="202"/>
      <c r="AA308" s="202"/>
      <c r="AB308" s="202"/>
      <c r="AC308" s="202"/>
      <c r="AD308"/>
      <c r="AE308" s="134"/>
      <c r="AF308" s="135"/>
      <c r="AG308" s="135"/>
      <c r="AH308" s="135"/>
      <c r="AI308" s="135"/>
      <c r="AJ308" s="135"/>
      <c r="AK308" s="135"/>
      <c r="AL308" s="135"/>
      <c r="AM308" s="135"/>
      <c r="AN308" s="137"/>
    </row>
    <row r="309" spans="1:40" s="133" customFormat="1" ht="13" customHeight="1">
      <c r="A309"/>
      <c r="B309" s="6" t="s">
        <v>827</v>
      </c>
      <c r="C309" t="s">
        <v>30</v>
      </c>
      <c r="D309" s="6" t="s">
        <v>796</v>
      </c>
      <c r="E309" s="6">
        <v>1010</v>
      </c>
      <c r="F309" s="6" t="s">
        <v>116</v>
      </c>
      <c r="G309" t="s">
        <v>52</v>
      </c>
      <c r="H309" s="6" t="s">
        <v>76</v>
      </c>
      <c r="I309" s="6">
        <v>11</v>
      </c>
      <c r="J309" s="6" t="s">
        <v>77</v>
      </c>
      <c r="K309" s="6">
        <v>1983</v>
      </c>
      <c r="L309" s="6" t="s">
        <v>825</v>
      </c>
      <c r="M309" s="6"/>
      <c r="N309" s="6"/>
      <c r="O309" s="26"/>
      <c r="P309" s="55"/>
      <c r="Q309" s="19"/>
      <c r="R309" s="19"/>
      <c r="S309" s="19"/>
      <c r="T309" s="19"/>
      <c r="U309" s="55"/>
      <c r="V309" s="425"/>
      <c r="W309" s="392"/>
      <c r="X309" s="392"/>
      <c r="Y309" s="396"/>
      <c r="Z309" s="202"/>
      <c r="AA309" s="202"/>
      <c r="AB309" s="202"/>
      <c r="AC309" s="202"/>
      <c r="AD309"/>
      <c r="AE309" s="134"/>
      <c r="AF309" s="135"/>
      <c r="AG309" s="135"/>
      <c r="AH309" s="135"/>
      <c r="AI309" s="135"/>
      <c r="AJ309" s="135"/>
      <c r="AK309" s="135"/>
      <c r="AL309" s="135"/>
      <c r="AM309" s="135"/>
      <c r="AN309" s="137"/>
    </row>
    <row r="310" spans="1:40" s="133" customFormat="1" ht="21" customHeight="1">
      <c r="A310"/>
      <c r="B310" s="6" t="s">
        <v>828</v>
      </c>
      <c r="C310" t="s">
        <v>30</v>
      </c>
      <c r="D310" s="6" t="s">
        <v>796</v>
      </c>
      <c r="E310" s="6">
        <v>2000</v>
      </c>
      <c r="F310" s="6" t="s">
        <v>116</v>
      </c>
      <c r="G310" t="s">
        <v>52</v>
      </c>
      <c r="H310" s="6" t="s">
        <v>76</v>
      </c>
      <c r="I310" s="6">
        <v>8</v>
      </c>
      <c r="J310" s="6" t="s">
        <v>77</v>
      </c>
      <c r="K310" s="6">
        <v>1983</v>
      </c>
      <c r="L310" s="6" t="s">
        <v>825</v>
      </c>
      <c r="M310" s="6"/>
      <c r="N310" s="6"/>
      <c r="O310" s="26"/>
      <c r="P310" s="55"/>
      <c r="Q310" s="19"/>
      <c r="R310" s="19"/>
      <c r="S310"/>
      <c r="T310" s="19"/>
      <c r="U310" s="55"/>
      <c r="V310" s="425"/>
      <c r="W310" s="392"/>
      <c r="X310" s="392"/>
      <c r="Y310" s="396"/>
      <c r="Z310" s="202"/>
      <c r="AA310" s="202"/>
      <c r="AB310" s="202"/>
      <c r="AC310" s="202"/>
      <c r="AD310"/>
      <c r="AE310" s="134"/>
      <c r="AF310" s="135"/>
      <c r="AG310" s="135"/>
      <c r="AH310" s="135"/>
      <c r="AI310" s="136" t="s">
        <v>291</v>
      </c>
      <c r="AJ310" s="135"/>
      <c r="AK310" s="135"/>
      <c r="AL310" s="135"/>
      <c r="AM310" s="135"/>
      <c r="AN310" s="137"/>
    </row>
    <row r="311" spans="1:40" s="133" customFormat="1" ht="13" customHeight="1">
      <c r="A311">
        <v>8</v>
      </c>
      <c r="B311" t="s">
        <v>60</v>
      </c>
      <c r="C311" t="s">
        <v>61</v>
      </c>
      <c r="D311" t="s">
        <v>62</v>
      </c>
      <c r="E311">
        <v>1200</v>
      </c>
      <c r="F311" t="s">
        <v>116</v>
      </c>
      <c r="G311" t="s">
        <v>52</v>
      </c>
      <c r="H311" t="s">
        <v>33</v>
      </c>
      <c r="I311">
        <f>19.41*1000000</f>
        <v>19410000</v>
      </c>
      <c r="J311" t="s">
        <v>34</v>
      </c>
      <c r="K311">
        <v>1980</v>
      </c>
      <c r="L311" t="s">
        <v>975</v>
      </c>
      <c r="M311"/>
      <c r="N311"/>
      <c r="O311" s="13"/>
      <c r="P311" s="19" t="s">
        <v>38</v>
      </c>
      <c r="Q311" s="19" t="s">
        <v>38</v>
      </c>
      <c r="R311" s="19" t="s">
        <v>38</v>
      </c>
      <c r="S311" s="19" t="s">
        <v>38</v>
      </c>
      <c r="T311" s="19" t="s">
        <v>38</v>
      </c>
      <c r="U311"/>
      <c r="V311" s="425"/>
      <c r="W311" s="392"/>
      <c r="X311" s="392"/>
      <c r="Y311" s="396"/>
      <c r="Z311" s="202"/>
      <c r="AA311" s="202"/>
      <c r="AB311" s="202"/>
      <c r="AC311" s="202"/>
      <c r="AD311"/>
      <c r="AE311" s="134"/>
      <c r="AF311" s="135"/>
      <c r="AG311" s="135"/>
      <c r="AH311" s="135"/>
      <c r="AI311" s="135"/>
      <c r="AJ311" s="135"/>
      <c r="AK311" s="135"/>
      <c r="AL311" s="135"/>
      <c r="AM311" s="135"/>
      <c r="AN311" s="137"/>
    </row>
    <row r="312" spans="1:40" s="133" customFormat="1" ht="13" customHeight="1">
      <c r="A312">
        <v>55</v>
      </c>
      <c r="B312" t="s">
        <v>125</v>
      </c>
      <c r="C312" t="s">
        <v>30</v>
      </c>
      <c r="D312" t="s">
        <v>796</v>
      </c>
      <c r="E312">
        <v>815</v>
      </c>
      <c r="F312" t="s">
        <v>116</v>
      </c>
      <c r="G312" t="s">
        <v>52</v>
      </c>
      <c r="H312" t="s">
        <v>76</v>
      </c>
      <c r="I312">
        <v>7</v>
      </c>
      <c r="J312" t="s">
        <v>77</v>
      </c>
      <c r="K312">
        <v>1988</v>
      </c>
      <c r="L312" t="s">
        <v>120</v>
      </c>
      <c r="M312" s="287" t="s">
        <v>1252</v>
      </c>
      <c r="N312"/>
      <c r="O312" t="s">
        <v>121</v>
      </c>
      <c r="P312" s="19" t="s">
        <v>122</v>
      </c>
      <c r="Q312" s="19" t="s">
        <v>122</v>
      </c>
      <c r="R312" s="19" t="s">
        <v>38</v>
      </c>
      <c r="S312" s="19" t="s">
        <v>38</v>
      </c>
      <c r="T312" s="19" t="s">
        <v>38</v>
      </c>
      <c r="U312" s="55"/>
      <c r="V312" s="425"/>
      <c r="W312" s="392"/>
      <c r="X312" s="392"/>
      <c r="Y312" s="396"/>
      <c r="Z312" s="202"/>
      <c r="AA312" s="202"/>
      <c r="AB312" s="202"/>
      <c r="AC312" s="202"/>
      <c r="AD312"/>
      <c r="AE312" s="134"/>
      <c r="AF312" s="135"/>
      <c r="AG312" s="135"/>
      <c r="AH312" s="135"/>
      <c r="AI312" s="135"/>
      <c r="AJ312" s="135"/>
      <c r="AK312" s="135"/>
      <c r="AL312" s="135"/>
      <c r="AM312" s="135"/>
      <c r="AN312" s="137"/>
    </row>
    <row r="313" spans="1:40" s="133" customFormat="1" ht="13" hidden="1" customHeight="1">
      <c r="A313" s="186">
        <v>257</v>
      </c>
      <c r="B313" s="186" t="s">
        <v>232</v>
      </c>
      <c r="C313" s="186" t="s">
        <v>61</v>
      </c>
      <c r="D313" s="186" t="s">
        <v>62</v>
      </c>
      <c r="E313" s="186" t="s">
        <v>81</v>
      </c>
      <c r="F313" s="186" t="s">
        <v>217</v>
      </c>
      <c r="G313" s="186" t="s">
        <v>52</v>
      </c>
      <c r="H313" s="186" t="s">
        <v>76</v>
      </c>
      <c r="I313" s="186">
        <v>5616</v>
      </c>
      <c r="J313" s="186" t="s">
        <v>189</v>
      </c>
      <c r="K313" s="186">
        <v>2015</v>
      </c>
      <c r="L313" s="186" t="s">
        <v>289</v>
      </c>
      <c r="M313" s="186"/>
      <c r="N313" s="186"/>
      <c r="O313" s="186" t="s">
        <v>685</v>
      </c>
      <c r="P313" s="187" t="s">
        <v>38</v>
      </c>
      <c r="Q313" s="187" t="s">
        <v>38</v>
      </c>
      <c r="R313" s="188" t="s">
        <v>38</v>
      </c>
      <c r="S313" s="188" t="s">
        <v>38</v>
      </c>
      <c r="T313" s="186"/>
      <c r="U313" s="55"/>
      <c r="V313" s="425"/>
      <c r="W313" s="392"/>
      <c r="X313" s="392"/>
      <c r="Y313" s="396"/>
      <c r="Z313" s="202"/>
      <c r="AA313" s="202"/>
      <c r="AB313" s="202"/>
      <c r="AC313" s="202"/>
      <c r="AD313"/>
      <c r="AE313" s="134"/>
      <c r="AF313" s="135"/>
      <c r="AG313" s="135"/>
      <c r="AH313" s="135"/>
      <c r="AI313" s="135"/>
      <c r="AJ313" s="135"/>
      <c r="AK313" s="135"/>
      <c r="AL313" s="135"/>
      <c r="AM313" s="135"/>
      <c r="AN313" s="137"/>
    </row>
    <row r="314" spans="1:40" s="133" customFormat="1" ht="13" customHeight="1">
      <c r="A314">
        <v>58</v>
      </c>
      <c r="B314" t="s">
        <v>124</v>
      </c>
      <c r="C314" t="s">
        <v>30</v>
      </c>
      <c r="D314" t="s">
        <v>796</v>
      </c>
      <c r="E314">
        <v>1010</v>
      </c>
      <c r="F314" t="s">
        <v>116</v>
      </c>
      <c r="G314" t="s">
        <v>52</v>
      </c>
      <c r="H314" t="s">
        <v>76</v>
      </c>
      <c r="I314">
        <v>7</v>
      </c>
      <c r="J314" t="s">
        <v>77</v>
      </c>
      <c r="K314">
        <v>1988</v>
      </c>
      <c r="L314" t="s">
        <v>120</v>
      </c>
      <c r="M314" s="287" t="s">
        <v>1252</v>
      </c>
      <c r="N314"/>
      <c r="O314" t="s">
        <v>121</v>
      </c>
      <c r="P314" s="19" t="s">
        <v>122</v>
      </c>
      <c r="Q314" s="19" t="s">
        <v>122</v>
      </c>
      <c r="R314" s="19" t="s">
        <v>38</v>
      </c>
      <c r="S314" s="19" t="s">
        <v>38</v>
      </c>
      <c r="T314" s="19" t="s">
        <v>38</v>
      </c>
      <c r="U314" s="55"/>
      <c r="V314" s="425"/>
      <c r="W314" s="392"/>
      <c r="X314" s="392"/>
      <c r="Y314" s="396"/>
      <c r="Z314" s="202"/>
      <c r="AA314" s="202"/>
      <c r="AB314" s="202"/>
      <c r="AC314" s="202"/>
      <c r="AD314"/>
      <c r="AE314" s="134"/>
      <c r="AF314" s="135"/>
      <c r="AG314" s="135"/>
      <c r="AH314" s="135"/>
      <c r="AI314" s="135"/>
      <c r="AJ314" s="135"/>
      <c r="AK314" s="135"/>
      <c r="AL314" s="135"/>
      <c r="AM314" s="135"/>
      <c r="AN314" s="137"/>
    </row>
    <row r="315" spans="1:40" s="133" customFormat="1" ht="13" customHeight="1">
      <c r="A315">
        <v>56</v>
      </c>
      <c r="B315" t="s">
        <v>1242</v>
      </c>
      <c r="C315" t="s">
        <v>61</v>
      </c>
      <c r="D315" t="s">
        <v>113</v>
      </c>
      <c r="E315">
        <v>1200</v>
      </c>
      <c r="F315" t="s">
        <v>116</v>
      </c>
      <c r="G315" t="s">
        <v>52</v>
      </c>
      <c r="H315" t="s">
        <v>76</v>
      </c>
      <c r="I315">
        <v>10</v>
      </c>
      <c r="J315" t="s">
        <v>77</v>
      </c>
      <c r="K315">
        <v>1988</v>
      </c>
      <c r="L315" t="s">
        <v>120</v>
      </c>
      <c r="M315" s="287" t="s">
        <v>1252</v>
      </c>
      <c r="N315"/>
      <c r="O315" t="s">
        <v>121</v>
      </c>
      <c r="P315" s="19" t="s">
        <v>122</v>
      </c>
      <c r="Q315" s="19" t="s">
        <v>122</v>
      </c>
      <c r="R315" s="19" t="s">
        <v>38</v>
      </c>
      <c r="S315" s="19" t="s">
        <v>38</v>
      </c>
      <c r="T315">
        <v>0</v>
      </c>
      <c r="U315" s="55"/>
      <c r="V315" s="425"/>
      <c r="W315" s="392"/>
      <c r="X315" s="392"/>
      <c r="Y315" s="396"/>
      <c r="Z315" s="202"/>
      <c r="AA315" s="202"/>
      <c r="AB315" s="202"/>
      <c r="AC315" s="202"/>
      <c r="AD315"/>
      <c r="AE315" s="134"/>
      <c r="AF315" s="135"/>
      <c r="AG315" s="135"/>
      <c r="AH315" s="135"/>
      <c r="AI315" s="135"/>
      <c r="AJ315" s="135"/>
      <c r="AK315" s="135"/>
      <c r="AL315" s="135"/>
      <c r="AM315" s="135"/>
      <c r="AN315" s="137"/>
    </row>
    <row r="316" spans="1:40" s="133" customFormat="1" ht="13" hidden="1" customHeight="1">
      <c r="A316">
        <v>265</v>
      </c>
      <c r="B316" s="169" t="s">
        <v>286</v>
      </c>
      <c r="C316" t="s">
        <v>61</v>
      </c>
      <c r="D316" s="141" t="s">
        <v>278</v>
      </c>
      <c r="E316">
        <v>1604</v>
      </c>
      <c r="F316" t="s">
        <v>115</v>
      </c>
      <c r="G316" s="119" t="s">
        <v>57</v>
      </c>
      <c r="H316" t="s">
        <v>76</v>
      </c>
      <c r="I316">
        <v>8.18</v>
      </c>
      <c r="J316" t="s">
        <v>77</v>
      </c>
      <c r="K316">
        <v>2002</v>
      </c>
      <c r="L316" s="80" t="s">
        <v>287</v>
      </c>
      <c r="M316" s="80"/>
      <c r="N316" s="80"/>
      <c r="O316"/>
      <c r="P316" s="19" t="s">
        <v>122</v>
      </c>
      <c r="Q316" s="55" t="s">
        <v>38</v>
      </c>
      <c r="R316" s="19" t="s">
        <v>38</v>
      </c>
      <c r="S316" s="19" t="s">
        <v>38</v>
      </c>
      <c r="T316" s="55" t="s">
        <v>38</v>
      </c>
      <c r="U316" s="55"/>
      <c r="V316" s="397"/>
      <c r="W316" s="396" t="s">
        <v>871</v>
      </c>
      <c r="X316" s="392" t="s">
        <v>1021</v>
      </c>
      <c r="Y316" s="396" t="s">
        <v>871</v>
      </c>
      <c r="Z316" s="195"/>
      <c r="AA316" s="195"/>
      <c r="AB316" s="195"/>
      <c r="AC316" s="195"/>
      <c r="AD316"/>
      <c r="AE316" s="134"/>
      <c r="AF316" s="135"/>
      <c r="AG316" s="135"/>
      <c r="AH316" s="135"/>
      <c r="AI316" s="135"/>
      <c r="AJ316" s="135"/>
      <c r="AK316" s="135"/>
      <c r="AL316" s="135"/>
      <c r="AM316" s="135"/>
      <c r="AN316" s="137"/>
    </row>
    <row r="317" spans="1:40" s="133" customFormat="1" ht="13.15" hidden="1" customHeight="1" thickBot="1">
      <c r="A317">
        <v>266</v>
      </c>
      <c r="B317" s="169" t="s">
        <v>286</v>
      </c>
      <c r="C317" t="s">
        <v>61</v>
      </c>
      <c r="D317" s="141" t="s">
        <v>278</v>
      </c>
      <c r="E317">
        <v>1601</v>
      </c>
      <c r="F317" t="s">
        <v>115</v>
      </c>
      <c r="G317" s="119" t="s">
        <v>57</v>
      </c>
      <c r="H317" t="s">
        <v>76</v>
      </c>
      <c r="I317">
        <v>8.19</v>
      </c>
      <c r="J317" t="s">
        <v>77</v>
      </c>
      <c r="K317">
        <v>2002</v>
      </c>
      <c r="L317" s="80" t="s">
        <v>287</v>
      </c>
      <c r="M317" s="80"/>
      <c r="N317" s="80"/>
      <c r="O317"/>
      <c r="P317" s="19" t="s">
        <v>122</v>
      </c>
      <c r="Q317" s="55" t="s">
        <v>38</v>
      </c>
      <c r="R317" s="19" t="s">
        <v>38</v>
      </c>
      <c r="S317" s="19" t="s">
        <v>38</v>
      </c>
      <c r="T317" s="55" t="s">
        <v>38</v>
      </c>
      <c r="U317" s="55"/>
      <c r="V317" s="397"/>
      <c r="W317" s="396"/>
      <c r="X317" s="395"/>
      <c r="Y317" s="396"/>
      <c r="Z317" s="195"/>
      <c r="AA317" s="195"/>
      <c r="AB317" s="195"/>
      <c r="AC317" s="195"/>
      <c r="AD317"/>
      <c r="AE317" s="138"/>
      <c r="AF317" s="139"/>
      <c r="AG317" s="139"/>
      <c r="AH317" s="139"/>
      <c r="AI317" s="139"/>
      <c r="AJ317" s="139"/>
      <c r="AK317" s="139"/>
      <c r="AL317" s="139"/>
      <c r="AM317" s="139"/>
      <c r="AN317" s="140"/>
    </row>
    <row r="318" spans="1:40" ht="13" hidden="1" customHeight="1">
      <c r="A318">
        <v>267</v>
      </c>
      <c r="B318" s="169" t="s">
        <v>286</v>
      </c>
      <c r="C318" t="s">
        <v>61</v>
      </c>
      <c r="D318" s="141" t="s">
        <v>278</v>
      </c>
      <c r="E318">
        <v>1598</v>
      </c>
      <c r="F318" t="s">
        <v>115</v>
      </c>
      <c r="G318" s="119" t="s">
        <v>57</v>
      </c>
      <c r="H318" t="s">
        <v>76</v>
      </c>
      <c r="I318">
        <v>8.2100000000000009</v>
      </c>
      <c r="J318" t="s">
        <v>77</v>
      </c>
      <c r="K318">
        <v>2002</v>
      </c>
      <c r="L318" s="80" t="s">
        <v>287</v>
      </c>
      <c r="M318" s="80"/>
      <c r="N318" s="80"/>
      <c r="P318" s="19" t="s">
        <v>122</v>
      </c>
      <c r="Q318" s="55" t="s">
        <v>38</v>
      </c>
      <c r="R318" s="19" t="s">
        <v>38</v>
      </c>
      <c r="S318" s="19" t="s">
        <v>38</v>
      </c>
      <c r="T318" s="55" t="s">
        <v>38</v>
      </c>
      <c r="U318" s="55"/>
      <c r="V318" s="397"/>
      <c r="W318" s="396"/>
      <c r="X318" s="395"/>
      <c r="Y318" s="396"/>
      <c r="Z318" s="195"/>
      <c r="AA318" s="195"/>
      <c r="AB318" s="195"/>
      <c r="AC318" s="195"/>
      <c r="AE318" s="42"/>
      <c r="AF318" s="36"/>
      <c r="AG318" s="36"/>
      <c r="AH318" s="36"/>
      <c r="AI318" s="36"/>
      <c r="AJ318" s="36"/>
      <c r="AK318" s="36"/>
      <c r="AL318" s="36"/>
      <c r="AM318" s="36"/>
      <c r="AN318" s="37"/>
    </row>
    <row r="319" spans="1:40" ht="13" hidden="1" customHeight="1">
      <c r="A319">
        <v>268</v>
      </c>
      <c r="B319" s="169" t="s">
        <v>286</v>
      </c>
      <c r="C319" t="s">
        <v>61</v>
      </c>
      <c r="D319" s="141" t="s">
        <v>278</v>
      </c>
      <c r="E319">
        <v>1598</v>
      </c>
      <c r="F319" t="s">
        <v>115</v>
      </c>
      <c r="G319" s="119" t="s">
        <v>57</v>
      </c>
      <c r="H319" t="s">
        <v>76</v>
      </c>
      <c r="I319">
        <v>8.24</v>
      </c>
      <c r="J319" t="s">
        <v>77</v>
      </c>
      <c r="K319">
        <v>2002</v>
      </c>
      <c r="L319" s="80" t="s">
        <v>287</v>
      </c>
      <c r="M319" s="80"/>
      <c r="N319" s="80"/>
      <c r="P319" s="19" t="s">
        <v>122</v>
      </c>
      <c r="Q319" s="55" t="s">
        <v>38</v>
      </c>
      <c r="R319" s="19" t="s">
        <v>38</v>
      </c>
      <c r="S319" s="19" t="s">
        <v>38</v>
      </c>
      <c r="T319" s="55" t="s">
        <v>38</v>
      </c>
      <c r="U319" s="55"/>
      <c r="V319" s="397"/>
      <c r="W319" s="396"/>
      <c r="X319" s="395"/>
      <c r="Y319" s="396"/>
      <c r="Z319" s="195"/>
      <c r="AA319" s="195"/>
      <c r="AB319" s="195"/>
      <c r="AC319" s="195"/>
      <c r="AE319" s="39"/>
      <c r="AF319" s="30"/>
      <c r="AG319" s="30"/>
      <c r="AH319" s="30"/>
      <c r="AI319" s="30"/>
      <c r="AJ319" s="30"/>
      <c r="AK319" s="30"/>
      <c r="AL319" s="30"/>
      <c r="AM319" s="30"/>
      <c r="AN319" s="31"/>
    </row>
    <row r="320" spans="1:40" ht="13" customHeight="1">
      <c r="A320">
        <v>63</v>
      </c>
      <c r="B320" t="s">
        <v>112</v>
      </c>
      <c r="C320" t="s">
        <v>61</v>
      </c>
      <c r="D320" t="s">
        <v>113</v>
      </c>
      <c r="E320">
        <v>970</v>
      </c>
      <c r="F320" t="s">
        <v>116</v>
      </c>
      <c r="G320" t="s">
        <v>52</v>
      </c>
      <c r="H320" t="s">
        <v>76</v>
      </c>
      <c r="I320">
        <v>7</v>
      </c>
      <c r="J320" t="s">
        <v>77</v>
      </c>
      <c r="K320">
        <v>1988</v>
      </c>
      <c r="L320" t="s">
        <v>120</v>
      </c>
      <c r="M320" s="287" t="s">
        <v>1252</v>
      </c>
      <c r="O320" t="s">
        <v>121</v>
      </c>
      <c r="P320" s="19" t="s">
        <v>122</v>
      </c>
      <c r="Q320" s="19" t="s">
        <v>122</v>
      </c>
      <c r="R320" s="19" t="s">
        <v>38</v>
      </c>
      <c r="S320" s="19" t="s">
        <v>38</v>
      </c>
      <c r="T320" s="19" t="s">
        <v>38</v>
      </c>
      <c r="U320" s="55"/>
      <c r="V320" s="207"/>
      <c r="X320" s="207"/>
      <c r="Y320" s="207"/>
      <c r="AE320" s="39"/>
      <c r="AF320" s="30"/>
      <c r="AG320" s="30"/>
      <c r="AH320" s="30"/>
      <c r="AI320" s="30"/>
      <c r="AJ320" s="30"/>
      <c r="AK320" s="30"/>
      <c r="AL320" s="30"/>
      <c r="AM320" s="30"/>
      <c r="AN320" s="31"/>
    </row>
    <row r="321" spans="1:40" ht="70.2" customHeight="1">
      <c r="A321">
        <v>60</v>
      </c>
      <c r="B321" t="s">
        <v>126</v>
      </c>
      <c r="C321" t="s">
        <v>61</v>
      </c>
      <c r="D321" t="s">
        <v>62</v>
      </c>
      <c r="E321">
        <v>1000</v>
      </c>
      <c r="F321" t="s">
        <v>116</v>
      </c>
      <c r="G321" t="s">
        <v>52</v>
      </c>
      <c r="H321" t="s">
        <v>76</v>
      </c>
      <c r="I321">
        <v>7</v>
      </c>
      <c r="J321" t="s">
        <v>77</v>
      </c>
      <c r="K321">
        <v>1988</v>
      </c>
      <c r="L321" t="s">
        <v>120</v>
      </c>
      <c r="M321" s="287" t="s">
        <v>1252</v>
      </c>
      <c r="O321" t="s">
        <v>121</v>
      </c>
      <c r="P321" s="19" t="s">
        <v>122</v>
      </c>
      <c r="Q321" s="19" t="s">
        <v>122</v>
      </c>
      <c r="R321" s="19" t="s">
        <v>38</v>
      </c>
      <c r="S321" s="19" t="s">
        <v>38</v>
      </c>
      <c r="T321" s="19" t="s">
        <v>38</v>
      </c>
      <c r="U321" s="55"/>
      <c r="V321" s="391" t="s">
        <v>912</v>
      </c>
      <c r="W321" s="392" t="s">
        <v>908</v>
      </c>
      <c r="X321" s="392" t="s">
        <v>909</v>
      </c>
      <c r="Y321" s="392" t="s">
        <v>907</v>
      </c>
      <c r="Z321" s="199"/>
      <c r="AA321" s="199"/>
      <c r="AB321" s="199"/>
      <c r="AC321" s="199"/>
      <c r="AE321" s="39"/>
      <c r="AF321" s="30"/>
      <c r="AG321" s="30"/>
      <c r="AH321" s="30"/>
      <c r="AI321" s="30"/>
      <c r="AJ321" s="30"/>
      <c r="AK321" s="30"/>
      <c r="AL321" s="30"/>
      <c r="AM321" s="30"/>
      <c r="AN321" s="31"/>
    </row>
    <row r="322" spans="1:40" ht="70.8" customHeight="1">
      <c r="A322">
        <v>62</v>
      </c>
      <c r="B322" t="s">
        <v>114</v>
      </c>
      <c r="C322" t="s">
        <v>61</v>
      </c>
      <c r="D322" t="s">
        <v>62</v>
      </c>
      <c r="E322">
        <v>1000</v>
      </c>
      <c r="F322" t="s">
        <v>116</v>
      </c>
      <c r="G322" t="s">
        <v>52</v>
      </c>
      <c r="H322" t="s">
        <v>76</v>
      </c>
      <c r="I322">
        <v>7</v>
      </c>
      <c r="J322" t="s">
        <v>77</v>
      </c>
      <c r="K322">
        <v>1988</v>
      </c>
      <c r="L322" t="s">
        <v>120</v>
      </c>
      <c r="O322" t="s">
        <v>121</v>
      </c>
      <c r="P322" s="19" t="s">
        <v>122</v>
      </c>
      <c r="Q322" s="19" t="s">
        <v>122</v>
      </c>
      <c r="R322" s="19" t="s">
        <v>38</v>
      </c>
      <c r="S322" s="19" t="s">
        <v>38</v>
      </c>
      <c r="T322" s="19" t="s">
        <v>38</v>
      </c>
      <c r="U322" s="55"/>
      <c r="V322" s="391"/>
      <c r="W322" s="392"/>
      <c r="X322" s="392"/>
      <c r="Y322" s="392"/>
      <c r="Z322" s="199"/>
      <c r="AA322" s="199"/>
      <c r="AB322" s="199"/>
      <c r="AC322" s="199"/>
      <c r="AD322" s="25"/>
      <c r="AE322" s="39"/>
      <c r="AF322" s="30"/>
      <c r="AG322" s="30"/>
      <c r="AH322" s="30"/>
      <c r="AI322" s="30"/>
      <c r="AJ322" s="30"/>
      <c r="AK322" s="30"/>
      <c r="AL322" s="30"/>
      <c r="AM322" s="30"/>
      <c r="AN322" s="31"/>
    </row>
    <row r="323" spans="1:40" ht="13" customHeight="1">
      <c r="A323">
        <v>84</v>
      </c>
      <c r="B323" t="s">
        <v>1243</v>
      </c>
      <c r="C323" t="s">
        <v>61</v>
      </c>
      <c r="D323" t="s">
        <v>62</v>
      </c>
      <c r="E323">
        <v>1200</v>
      </c>
      <c r="F323" t="s">
        <v>116</v>
      </c>
      <c r="G323" t="s">
        <v>52</v>
      </c>
      <c r="H323" t="s">
        <v>76</v>
      </c>
      <c r="I323">
        <v>8.6999999999999993</v>
      </c>
      <c r="J323" t="s">
        <v>77</v>
      </c>
      <c r="K323">
        <v>1990</v>
      </c>
      <c r="L323" t="s">
        <v>140</v>
      </c>
      <c r="P323" s="19" t="s">
        <v>122</v>
      </c>
      <c r="Q323" s="55" t="s">
        <v>38</v>
      </c>
      <c r="R323" s="19" t="s">
        <v>38</v>
      </c>
      <c r="S323" s="19" t="s">
        <v>38</v>
      </c>
      <c r="T323" s="19" t="s">
        <v>38</v>
      </c>
      <c r="U323" s="55"/>
      <c r="V323" s="391" t="s">
        <v>1080</v>
      </c>
      <c r="W323" s="392" t="s">
        <v>905</v>
      </c>
      <c r="X323" s="392" t="s">
        <v>904</v>
      </c>
      <c r="Y323" s="392" t="s">
        <v>906</v>
      </c>
      <c r="Z323" s="199"/>
      <c r="AA323" s="199"/>
      <c r="AB323" s="199"/>
      <c r="AC323" s="199"/>
      <c r="AE323" s="39"/>
      <c r="AF323" s="30"/>
      <c r="AG323" s="30"/>
      <c r="AH323" s="30"/>
      <c r="AI323" s="30"/>
      <c r="AJ323" s="30"/>
      <c r="AK323" s="30"/>
      <c r="AL323" s="30"/>
      <c r="AM323" s="30"/>
      <c r="AN323" s="31"/>
    </row>
    <row r="324" spans="1:40" ht="13" hidden="1" customHeight="1">
      <c r="A324">
        <v>273</v>
      </c>
      <c r="B324" s="169" t="s">
        <v>286</v>
      </c>
      <c r="C324" t="s">
        <v>61</v>
      </c>
      <c r="D324" s="141" t="s">
        <v>278</v>
      </c>
      <c r="E324">
        <v>1604</v>
      </c>
      <c r="F324" t="s">
        <v>75</v>
      </c>
      <c r="G324" s="119" t="s">
        <v>57</v>
      </c>
      <c r="H324" t="s">
        <v>76</v>
      </c>
      <c r="I324">
        <v>79</v>
      </c>
      <c r="J324" t="s">
        <v>77</v>
      </c>
      <c r="K324">
        <v>2002</v>
      </c>
      <c r="L324" s="80" t="s">
        <v>287</v>
      </c>
      <c r="M324" s="80"/>
      <c r="N324" s="80"/>
      <c r="O324" t="s">
        <v>292</v>
      </c>
      <c r="P324" s="2">
        <v>0.68</v>
      </c>
      <c r="Q324" t="s">
        <v>84</v>
      </c>
      <c r="R324" s="19" t="s">
        <v>38</v>
      </c>
      <c r="S324" s="19" t="s">
        <v>38</v>
      </c>
      <c r="T324" s="55" t="s">
        <v>38</v>
      </c>
      <c r="U324" s="55"/>
      <c r="V324" s="391"/>
      <c r="W324" s="392"/>
      <c r="X324" s="392"/>
      <c r="Y324" s="392"/>
      <c r="Z324" s="199"/>
      <c r="AA324" s="199"/>
      <c r="AB324" s="199"/>
      <c r="AC324" s="199"/>
      <c r="AE324" s="39"/>
      <c r="AF324" s="30"/>
      <c r="AG324" s="30"/>
      <c r="AH324" s="30"/>
      <c r="AI324" s="30"/>
      <c r="AJ324" s="30"/>
      <c r="AK324" s="30"/>
      <c r="AL324" s="30"/>
      <c r="AM324" s="30"/>
      <c r="AN324" s="31"/>
    </row>
    <row r="325" spans="1:40" ht="13" hidden="1" customHeight="1">
      <c r="A325">
        <v>274</v>
      </c>
      <c r="B325" s="169" t="s">
        <v>286</v>
      </c>
      <c r="C325" t="s">
        <v>61</v>
      </c>
      <c r="D325" s="141" t="s">
        <v>278</v>
      </c>
      <c r="E325">
        <v>1601</v>
      </c>
      <c r="F325" t="s">
        <v>75</v>
      </c>
      <c r="G325" s="119" t="s">
        <v>57</v>
      </c>
      <c r="H325" t="s">
        <v>76</v>
      </c>
      <c r="I325">
        <v>78.5</v>
      </c>
      <c r="J325" t="s">
        <v>77</v>
      </c>
      <c r="K325">
        <v>2002</v>
      </c>
      <c r="L325" s="80" t="s">
        <v>287</v>
      </c>
      <c r="M325" s="80"/>
      <c r="N325" s="80"/>
      <c r="O325" t="s">
        <v>292</v>
      </c>
      <c r="P325" s="2">
        <v>0.70599999999999996</v>
      </c>
      <c r="Q325" t="s">
        <v>84</v>
      </c>
      <c r="R325" s="19" t="s">
        <v>38</v>
      </c>
      <c r="S325" s="19" t="s">
        <v>38</v>
      </c>
      <c r="T325" s="55" t="s">
        <v>38</v>
      </c>
      <c r="U325" s="55"/>
      <c r="V325" s="391"/>
      <c r="W325" s="392"/>
      <c r="X325" s="392"/>
      <c r="Y325" s="392"/>
      <c r="Z325" s="199"/>
      <c r="AA325" s="199"/>
      <c r="AB325" s="199"/>
      <c r="AC325" s="199"/>
      <c r="AE325" s="39"/>
      <c r="AF325" s="30"/>
      <c r="AG325" s="30"/>
      <c r="AH325" s="30"/>
      <c r="AI325" s="30"/>
      <c r="AJ325" s="30"/>
      <c r="AK325" s="30"/>
      <c r="AL325" s="30"/>
      <c r="AM325" s="30"/>
      <c r="AN325" s="31"/>
    </row>
    <row r="326" spans="1:40" ht="13" hidden="1" customHeight="1">
      <c r="A326">
        <v>275</v>
      </c>
      <c r="B326" s="169" t="s">
        <v>286</v>
      </c>
      <c r="C326" t="s">
        <v>61</v>
      </c>
      <c r="D326" s="141" t="s">
        <v>278</v>
      </c>
      <c r="E326">
        <v>1598</v>
      </c>
      <c r="F326" t="s">
        <v>75</v>
      </c>
      <c r="G326" s="119" t="s">
        <v>57</v>
      </c>
      <c r="H326" t="s">
        <v>76</v>
      </c>
      <c r="I326">
        <v>80.3</v>
      </c>
      <c r="J326" t="s">
        <v>77</v>
      </c>
      <c r="K326">
        <v>2002</v>
      </c>
      <c r="L326" s="80" t="s">
        <v>287</v>
      </c>
      <c r="M326" s="80"/>
      <c r="N326" s="80"/>
      <c r="O326" t="s">
        <v>292</v>
      </c>
      <c r="P326" s="2">
        <v>0.72699999999999998</v>
      </c>
      <c r="Q326" t="s">
        <v>84</v>
      </c>
      <c r="R326" s="19" t="s">
        <v>38</v>
      </c>
      <c r="S326" s="19" t="s">
        <v>38</v>
      </c>
      <c r="T326" s="55" t="s">
        <v>38</v>
      </c>
      <c r="U326" s="55"/>
      <c r="V326" s="391"/>
      <c r="W326" s="392"/>
      <c r="X326" s="392"/>
      <c r="Y326" s="392"/>
      <c r="Z326" s="199"/>
      <c r="AA326" s="199"/>
      <c r="AB326" s="199"/>
      <c r="AC326" s="199"/>
      <c r="AE326" s="39"/>
      <c r="AF326" s="30"/>
      <c r="AG326" s="30"/>
      <c r="AH326" s="30"/>
      <c r="AI326" s="30"/>
      <c r="AJ326" s="30"/>
      <c r="AK326" s="30"/>
      <c r="AL326" s="30"/>
      <c r="AM326" s="30"/>
      <c r="AN326" s="31"/>
    </row>
    <row r="327" spans="1:40" ht="13" hidden="1" customHeight="1">
      <c r="A327">
        <v>276</v>
      </c>
      <c r="B327" s="169" t="s">
        <v>286</v>
      </c>
      <c r="C327" t="s">
        <v>61</v>
      </c>
      <c r="D327" s="141" t="s">
        <v>278</v>
      </c>
      <c r="E327">
        <v>1598</v>
      </c>
      <c r="F327" t="s">
        <v>75</v>
      </c>
      <c r="G327" s="119" t="s">
        <v>57</v>
      </c>
      <c r="H327" t="s">
        <v>76</v>
      </c>
      <c r="I327">
        <v>90.9</v>
      </c>
      <c r="J327" t="s">
        <v>77</v>
      </c>
      <c r="K327">
        <v>2002</v>
      </c>
      <c r="L327" s="80" t="s">
        <v>287</v>
      </c>
      <c r="M327" s="80"/>
      <c r="N327" s="80"/>
      <c r="O327" t="s">
        <v>292</v>
      </c>
      <c r="P327" s="2">
        <v>0.72699999999999998</v>
      </c>
      <c r="Q327" t="s">
        <v>84</v>
      </c>
      <c r="R327" s="19" t="s">
        <v>38</v>
      </c>
      <c r="S327" s="19" t="s">
        <v>38</v>
      </c>
      <c r="T327" s="55" t="s">
        <v>38</v>
      </c>
      <c r="U327" s="55"/>
      <c r="V327" s="391"/>
      <c r="W327" s="392"/>
      <c r="X327" s="392"/>
      <c r="Y327" s="392"/>
      <c r="Z327" s="199"/>
      <c r="AA327" s="199"/>
      <c r="AB327" s="199"/>
      <c r="AC327" s="199"/>
      <c r="AE327" s="39"/>
      <c r="AF327" s="30"/>
      <c r="AG327" s="30"/>
      <c r="AH327" s="30"/>
      <c r="AI327" s="30"/>
      <c r="AJ327" s="30"/>
      <c r="AK327" s="30"/>
      <c r="AL327" s="30"/>
      <c r="AM327" s="30"/>
      <c r="AN327" s="31"/>
    </row>
    <row r="328" spans="1:40" ht="13" customHeight="1">
      <c r="A328">
        <v>85</v>
      </c>
      <c r="B328" t="s">
        <v>114</v>
      </c>
      <c r="C328" t="s">
        <v>61</v>
      </c>
      <c r="D328" t="s">
        <v>62</v>
      </c>
      <c r="E328">
        <v>1200</v>
      </c>
      <c r="F328" t="s">
        <v>116</v>
      </c>
      <c r="G328" t="s">
        <v>52</v>
      </c>
      <c r="H328" t="s">
        <v>76</v>
      </c>
      <c r="I328">
        <v>8.6999999999999993</v>
      </c>
      <c r="J328" t="s">
        <v>77</v>
      </c>
      <c r="K328">
        <v>1990</v>
      </c>
      <c r="L328" t="s">
        <v>140</v>
      </c>
      <c r="P328" s="19" t="s">
        <v>122</v>
      </c>
      <c r="Q328" s="55" t="s">
        <v>38</v>
      </c>
      <c r="R328" s="19" t="s">
        <v>38</v>
      </c>
      <c r="S328" s="19" t="s">
        <v>38</v>
      </c>
      <c r="T328" s="19" t="s">
        <v>38</v>
      </c>
      <c r="U328" s="55"/>
      <c r="V328" s="391"/>
      <c r="W328" s="392"/>
      <c r="X328" s="392"/>
      <c r="Y328" s="392"/>
      <c r="Z328" s="199"/>
      <c r="AA328" s="199"/>
      <c r="AB328" s="199"/>
      <c r="AC328" s="199"/>
      <c r="AE328" s="39"/>
      <c r="AF328" s="30"/>
      <c r="AG328" s="30"/>
      <c r="AH328" s="30"/>
      <c r="AI328" s="30"/>
      <c r="AJ328" s="30"/>
      <c r="AK328" s="30"/>
      <c r="AL328" s="30"/>
      <c r="AM328" s="30"/>
      <c r="AN328" s="31"/>
    </row>
    <row r="329" spans="1:40" ht="13" customHeight="1">
      <c r="A329">
        <v>89</v>
      </c>
      <c r="B329" t="s">
        <v>187</v>
      </c>
      <c r="C329" t="s">
        <v>61</v>
      </c>
      <c r="D329" t="s">
        <v>62</v>
      </c>
      <c r="E329">
        <v>1200</v>
      </c>
      <c r="F329" t="s">
        <v>116</v>
      </c>
      <c r="G329" t="s">
        <v>52</v>
      </c>
      <c r="H329" t="s">
        <v>33</v>
      </c>
      <c r="I329">
        <f>60610000+(5.3*1000000)</f>
        <v>65910000</v>
      </c>
      <c r="J329" t="s">
        <v>34</v>
      </c>
      <c r="K329">
        <v>1986</v>
      </c>
      <c r="L329" t="s">
        <v>147</v>
      </c>
      <c r="O329" s="13"/>
      <c r="P329" s="19" t="s">
        <v>122</v>
      </c>
      <c r="Q329" s="55" t="s">
        <v>38</v>
      </c>
      <c r="R329" s="19" t="s">
        <v>38</v>
      </c>
      <c r="S329" s="19" t="s">
        <v>38</v>
      </c>
      <c r="T329" s="19" t="s">
        <v>38</v>
      </c>
      <c r="U329" s="55"/>
      <c r="V329" s="391"/>
      <c r="W329" s="392"/>
      <c r="X329" s="392"/>
      <c r="Y329" s="392"/>
      <c r="Z329" s="199"/>
      <c r="AA329" s="199"/>
      <c r="AB329" s="199"/>
      <c r="AC329" s="199"/>
      <c r="AE329" s="39"/>
      <c r="AF329" s="30"/>
      <c r="AG329" s="30"/>
      <c r="AH329" s="30"/>
      <c r="AI329" s="30"/>
      <c r="AJ329" s="30"/>
      <c r="AK329" s="30"/>
      <c r="AL329" s="30"/>
      <c r="AM329" s="30"/>
      <c r="AN329" s="31"/>
    </row>
    <row r="330" spans="1:40" ht="13" customHeight="1">
      <c r="A330">
        <v>98</v>
      </c>
      <c r="B330" s="6" t="s">
        <v>165</v>
      </c>
      <c r="C330" t="s">
        <v>61</v>
      </c>
      <c r="D330" t="s">
        <v>62</v>
      </c>
      <c r="E330">
        <v>1200</v>
      </c>
      <c r="F330" t="s">
        <v>116</v>
      </c>
      <c r="G330" t="s">
        <v>52</v>
      </c>
      <c r="H330" t="s">
        <v>33</v>
      </c>
      <c r="I330">
        <f>(53.8+6.76)*1000000</f>
        <v>60559999.999999993</v>
      </c>
      <c r="J330" t="s">
        <v>34</v>
      </c>
      <c r="K330">
        <v>1986</v>
      </c>
      <c r="L330" t="s">
        <v>147</v>
      </c>
      <c r="O330" s="13"/>
      <c r="P330" s="19" t="s">
        <v>122</v>
      </c>
      <c r="Q330" s="55" t="s">
        <v>38</v>
      </c>
      <c r="R330" s="19" t="s">
        <v>38</v>
      </c>
      <c r="S330" s="19" t="s">
        <v>38</v>
      </c>
      <c r="T330" s="19" t="s">
        <v>38</v>
      </c>
      <c r="U330" s="55"/>
      <c r="V330" s="391"/>
      <c r="W330" s="392"/>
      <c r="X330" s="392"/>
      <c r="Y330" s="392"/>
      <c r="Z330" s="199"/>
      <c r="AA330" s="199"/>
      <c r="AB330" s="199"/>
      <c r="AC330" s="199"/>
      <c r="AE330" s="39"/>
      <c r="AF330" s="30"/>
      <c r="AG330" s="30"/>
      <c r="AH330" s="30"/>
      <c r="AI330" s="30"/>
      <c r="AJ330" s="30"/>
      <c r="AK330" s="30"/>
      <c r="AL330" s="30"/>
      <c r="AM330" s="30"/>
      <c r="AN330" s="31"/>
    </row>
    <row r="331" spans="1:40" ht="13" customHeight="1">
      <c r="A331">
        <v>108</v>
      </c>
      <c r="B331" s="6" t="s">
        <v>170</v>
      </c>
      <c r="C331" t="s">
        <v>61</v>
      </c>
      <c r="D331" t="s">
        <v>113</v>
      </c>
      <c r="E331">
        <v>1200</v>
      </c>
      <c r="F331" t="s">
        <v>116</v>
      </c>
      <c r="G331" t="s">
        <v>52</v>
      </c>
      <c r="H331" t="s">
        <v>33</v>
      </c>
      <c r="I331">
        <f>(60.61+4.65)*1000000</f>
        <v>65260000.000000007</v>
      </c>
      <c r="J331" t="s">
        <v>34</v>
      </c>
      <c r="K331">
        <v>1986</v>
      </c>
      <c r="L331" t="s">
        <v>147</v>
      </c>
      <c r="O331" s="13"/>
      <c r="P331" s="19" t="s">
        <v>122</v>
      </c>
      <c r="Q331" s="55" t="s">
        <v>38</v>
      </c>
      <c r="R331" s="19" t="s">
        <v>38</v>
      </c>
      <c r="S331" s="19" t="s">
        <v>38</v>
      </c>
      <c r="T331" s="19" t="s">
        <v>38</v>
      </c>
      <c r="U331" s="55"/>
      <c r="V331" s="391"/>
      <c r="W331" s="392"/>
      <c r="X331" s="392"/>
      <c r="Y331" s="392"/>
      <c r="Z331" s="199"/>
      <c r="AA331" s="199"/>
      <c r="AB331" s="199"/>
      <c r="AC331" s="199"/>
      <c r="AE331" s="39"/>
      <c r="AF331" s="30"/>
      <c r="AG331" s="30"/>
      <c r="AH331" s="30"/>
      <c r="AI331" s="30"/>
      <c r="AJ331" s="30"/>
      <c r="AK331" s="30"/>
      <c r="AL331" s="30"/>
      <c r="AM331" s="30"/>
      <c r="AN331" s="31"/>
    </row>
    <row r="332" spans="1:40" ht="13" customHeight="1">
      <c r="A332">
        <v>112</v>
      </c>
      <c r="B332" s="6" t="s">
        <v>172</v>
      </c>
      <c r="C332" t="s">
        <v>61</v>
      </c>
      <c r="D332" t="s">
        <v>113</v>
      </c>
      <c r="E332">
        <v>1200</v>
      </c>
      <c r="F332" t="s">
        <v>116</v>
      </c>
      <c r="G332" t="s">
        <v>52</v>
      </c>
      <c r="H332" t="s">
        <v>33</v>
      </c>
      <c r="I332">
        <f>(60.61+3.03)*1000000</f>
        <v>63640000</v>
      </c>
      <c r="J332" t="s">
        <v>34</v>
      </c>
      <c r="K332">
        <v>1986</v>
      </c>
      <c r="L332" t="s">
        <v>147</v>
      </c>
      <c r="O332" s="13"/>
      <c r="P332" s="19" t="s">
        <v>122</v>
      </c>
      <c r="Q332" s="55" t="s">
        <v>38</v>
      </c>
      <c r="R332" s="19" t="s">
        <v>38</v>
      </c>
      <c r="S332" s="19" t="s">
        <v>38</v>
      </c>
      <c r="T332" s="19" t="s">
        <v>38</v>
      </c>
      <c r="U332" s="55"/>
      <c r="V332" s="391"/>
      <c r="W332" s="392"/>
      <c r="X332" s="392"/>
      <c r="Y332" s="392"/>
      <c r="Z332" s="199"/>
      <c r="AA332" s="199"/>
      <c r="AB332" s="199"/>
      <c r="AC332" s="199"/>
      <c r="AE332" s="39"/>
      <c r="AF332" s="30"/>
      <c r="AG332" s="30"/>
      <c r="AH332" s="30"/>
      <c r="AI332" s="30"/>
      <c r="AJ332" s="30"/>
      <c r="AK332" s="30"/>
      <c r="AL332" s="30"/>
      <c r="AM332" s="30"/>
      <c r="AN332" s="31"/>
    </row>
    <row r="333" spans="1:40" ht="13" customHeight="1">
      <c r="A333">
        <v>114</v>
      </c>
      <c r="B333" s="6" t="s">
        <v>174</v>
      </c>
      <c r="C333" t="s">
        <v>61</v>
      </c>
      <c r="D333" t="s">
        <v>62</v>
      </c>
      <c r="E333">
        <v>1200</v>
      </c>
      <c r="F333" t="s">
        <v>116</v>
      </c>
      <c r="G333" t="s">
        <v>52</v>
      </c>
      <c r="H333" t="s">
        <v>33</v>
      </c>
      <c r="I333">
        <f>(53.8+5.95)*1000000</f>
        <v>59750000</v>
      </c>
      <c r="J333" t="s">
        <v>34</v>
      </c>
      <c r="K333">
        <v>1986</v>
      </c>
      <c r="L333" t="s">
        <v>147</v>
      </c>
      <c r="O333" s="13"/>
      <c r="P333" s="19" t="s">
        <v>122</v>
      </c>
      <c r="Q333" s="55" t="s">
        <v>38</v>
      </c>
      <c r="R333" s="19" t="s">
        <v>38</v>
      </c>
      <c r="S333" s="19" t="s">
        <v>38</v>
      </c>
      <c r="T333" s="19" t="s">
        <v>38</v>
      </c>
      <c r="U333" s="55"/>
      <c r="V333" s="391"/>
      <c r="W333" s="392"/>
      <c r="X333" s="392"/>
      <c r="Y333" s="392"/>
      <c r="Z333" s="199"/>
      <c r="AA333" s="199"/>
      <c r="AB333" s="199"/>
      <c r="AC333" s="199"/>
      <c r="AE333" s="39"/>
      <c r="AF333" s="30"/>
      <c r="AG333" s="30"/>
      <c r="AH333" s="30"/>
      <c r="AI333" s="30"/>
      <c r="AJ333" s="30"/>
      <c r="AK333" s="30"/>
      <c r="AL333" s="30"/>
      <c r="AM333" s="30"/>
      <c r="AN333" s="31"/>
    </row>
    <row r="334" spans="1:40" ht="13" customHeight="1">
      <c r="A334">
        <v>118</v>
      </c>
      <c r="B334" s="6" t="s">
        <v>176</v>
      </c>
      <c r="C334" t="s">
        <v>61</v>
      </c>
      <c r="D334" t="s">
        <v>62</v>
      </c>
      <c r="E334">
        <v>1200</v>
      </c>
      <c r="F334" t="s">
        <v>116</v>
      </c>
      <c r="G334" t="s">
        <v>52</v>
      </c>
      <c r="H334" t="s">
        <v>33</v>
      </c>
      <c r="I334">
        <f>(60.16+5.54)*1000000</f>
        <v>65700000</v>
      </c>
      <c r="J334" t="s">
        <v>34</v>
      </c>
      <c r="K334">
        <v>1986</v>
      </c>
      <c r="L334" t="s">
        <v>147</v>
      </c>
      <c r="O334" s="13"/>
      <c r="P334" s="19" t="s">
        <v>122</v>
      </c>
      <c r="Q334" s="55" t="s">
        <v>38</v>
      </c>
      <c r="R334" s="19" t="s">
        <v>38</v>
      </c>
      <c r="S334" s="19" t="s">
        <v>38</v>
      </c>
      <c r="T334" s="19" t="s">
        <v>38</v>
      </c>
      <c r="U334" s="55"/>
      <c r="V334" s="391"/>
      <c r="W334" s="392"/>
      <c r="X334" s="392"/>
      <c r="Y334" s="392"/>
      <c r="Z334" s="199"/>
      <c r="AA334" s="199"/>
      <c r="AB334" s="199"/>
      <c r="AC334" s="199"/>
      <c r="AE334" s="39"/>
      <c r="AF334" s="30"/>
      <c r="AG334" s="30"/>
      <c r="AH334" s="30"/>
      <c r="AI334" s="30"/>
      <c r="AJ334" s="30"/>
      <c r="AK334" s="30"/>
      <c r="AL334" s="30"/>
      <c r="AM334" s="30"/>
      <c r="AN334" s="31"/>
    </row>
    <row r="335" spans="1:40" ht="13" customHeight="1">
      <c r="A335">
        <v>122</v>
      </c>
      <c r="B335" s="6" t="s">
        <v>182</v>
      </c>
      <c r="C335" t="s">
        <v>61</v>
      </c>
      <c r="D335" t="s">
        <v>62</v>
      </c>
      <c r="E335">
        <v>1200</v>
      </c>
      <c r="F335" t="s">
        <v>116</v>
      </c>
      <c r="G335" t="s">
        <v>52</v>
      </c>
      <c r="H335" t="s">
        <v>33</v>
      </c>
      <c r="I335">
        <v>60700000</v>
      </c>
      <c r="J335" t="s">
        <v>34</v>
      </c>
      <c r="K335">
        <v>1986</v>
      </c>
      <c r="L335" t="s">
        <v>147</v>
      </c>
      <c r="O335" s="13"/>
      <c r="P335" s="19" t="s">
        <v>122</v>
      </c>
      <c r="Q335" s="55" t="s">
        <v>38</v>
      </c>
      <c r="R335" s="19" t="s">
        <v>38</v>
      </c>
      <c r="S335" s="19" t="s">
        <v>38</v>
      </c>
      <c r="T335" s="19" t="s">
        <v>38</v>
      </c>
      <c r="U335" s="55"/>
      <c r="V335" s="391"/>
      <c r="W335" s="392"/>
      <c r="X335" s="392"/>
      <c r="Y335" s="392"/>
      <c r="Z335" s="199"/>
      <c r="AA335" s="199"/>
      <c r="AB335" s="199"/>
      <c r="AC335" s="199"/>
      <c r="AE335" s="39"/>
      <c r="AF335" s="30"/>
      <c r="AG335" s="30"/>
      <c r="AH335" s="30"/>
      <c r="AI335" s="30"/>
      <c r="AJ335" s="30"/>
      <c r="AK335" s="30"/>
      <c r="AL335" s="30"/>
      <c r="AM335" s="30"/>
      <c r="AN335" s="31"/>
    </row>
    <row r="336" spans="1:40" ht="13" customHeight="1">
      <c r="A336">
        <v>126</v>
      </c>
      <c r="B336" s="6" t="s">
        <v>183</v>
      </c>
      <c r="C336" t="s">
        <v>61</v>
      </c>
      <c r="D336" t="s">
        <v>62</v>
      </c>
      <c r="E336">
        <v>1200</v>
      </c>
      <c r="F336" t="s">
        <v>116</v>
      </c>
      <c r="G336" t="s">
        <v>52</v>
      </c>
      <c r="H336" t="s">
        <v>33</v>
      </c>
      <c r="I336">
        <v>40500000</v>
      </c>
      <c r="J336" t="s">
        <v>34</v>
      </c>
      <c r="K336">
        <v>1986</v>
      </c>
      <c r="L336" t="s">
        <v>147</v>
      </c>
      <c r="O336" s="13"/>
      <c r="P336" s="19" t="s">
        <v>122</v>
      </c>
      <c r="Q336" s="55" t="s">
        <v>38</v>
      </c>
      <c r="R336" s="19" t="s">
        <v>38</v>
      </c>
      <c r="S336" s="19" t="s">
        <v>38</v>
      </c>
      <c r="T336" s="19" t="s">
        <v>38</v>
      </c>
      <c r="U336" s="55"/>
      <c r="V336" s="391"/>
      <c r="W336" s="392"/>
      <c r="X336" s="392"/>
      <c r="Y336" s="392"/>
      <c r="Z336" s="199"/>
      <c r="AA336" s="199"/>
      <c r="AB336" s="199"/>
      <c r="AC336" s="199"/>
      <c r="AE336" s="39"/>
      <c r="AF336" s="30"/>
      <c r="AG336" s="30"/>
      <c r="AH336" s="30"/>
      <c r="AI336" s="30"/>
      <c r="AJ336" s="30"/>
      <c r="AK336" s="30"/>
      <c r="AL336" s="30"/>
      <c r="AM336" s="30"/>
      <c r="AN336" s="31"/>
    </row>
    <row r="337" spans="1:40" ht="13" customHeight="1">
      <c r="A337">
        <v>505</v>
      </c>
      <c r="B337" t="s">
        <v>479</v>
      </c>
      <c r="C337" t="s">
        <v>61</v>
      </c>
      <c r="D337" t="s">
        <v>62</v>
      </c>
      <c r="E337">
        <v>1200</v>
      </c>
      <c r="F337" t="s">
        <v>116</v>
      </c>
      <c r="G337" t="s">
        <v>52</v>
      </c>
      <c r="H337" t="s">
        <v>76</v>
      </c>
      <c r="I337">
        <v>8.9</v>
      </c>
      <c r="J337" t="s">
        <v>77</v>
      </c>
      <c r="K337">
        <v>1986</v>
      </c>
      <c r="L337" t="s">
        <v>480</v>
      </c>
      <c r="P337" s="55" t="s">
        <v>38</v>
      </c>
      <c r="Q337" s="55" t="s">
        <v>38</v>
      </c>
      <c r="R337" s="19" t="s">
        <v>38</v>
      </c>
      <c r="S337" s="19" t="s">
        <v>38</v>
      </c>
      <c r="T337" s="55" t="s">
        <v>38</v>
      </c>
      <c r="U337" s="55"/>
      <c r="V337" s="391"/>
      <c r="W337" s="392"/>
      <c r="X337" s="392"/>
      <c r="Y337" s="392"/>
      <c r="Z337" s="199"/>
      <c r="AA337" s="199"/>
      <c r="AB337" s="199"/>
      <c r="AC337" s="199"/>
      <c r="AE337" s="39"/>
      <c r="AF337" s="30"/>
      <c r="AG337" s="30"/>
      <c r="AH337" s="30"/>
      <c r="AI337" s="30"/>
      <c r="AJ337" s="30"/>
      <c r="AK337" s="30"/>
      <c r="AL337" s="30"/>
      <c r="AM337" s="30"/>
      <c r="AN337" s="31"/>
    </row>
    <row r="338" spans="1:40" ht="13" customHeight="1">
      <c r="A338">
        <v>251</v>
      </c>
      <c r="B338" t="s">
        <v>281</v>
      </c>
      <c r="C338" t="s">
        <v>61</v>
      </c>
      <c r="D338" s="141" t="s">
        <v>278</v>
      </c>
      <c r="E338">
        <v>1940</v>
      </c>
      <c r="F338" t="s">
        <v>116</v>
      </c>
      <c r="G338" t="s">
        <v>57</v>
      </c>
      <c r="H338" t="s">
        <v>33</v>
      </c>
      <c r="I338">
        <f>100.364*1000000</f>
        <v>100364000</v>
      </c>
      <c r="J338" t="s">
        <v>34</v>
      </c>
      <c r="K338">
        <v>2003</v>
      </c>
      <c r="L338" s="5" t="s">
        <v>279</v>
      </c>
      <c r="M338" s="5"/>
      <c r="N338" s="5"/>
      <c r="P338" s="19" t="s">
        <v>122</v>
      </c>
      <c r="Q338" s="55" t="s">
        <v>38</v>
      </c>
      <c r="R338" s="19" t="s">
        <v>38</v>
      </c>
      <c r="S338" s="19" t="s">
        <v>38</v>
      </c>
      <c r="T338" s="55" t="s">
        <v>38</v>
      </c>
      <c r="U338" s="55"/>
      <c r="V338" s="391"/>
      <c r="W338" s="392"/>
      <c r="X338" s="392"/>
      <c r="Y338" s="392"/>
      <c r="Z338" s="199"/>
      <c r="AA338" s="199"/>
      <c r="AB338" s="199"/>
      <c r="AC338" s="199"/>
      <c r="AE338" s="39"/>
      <c r="AF338" s="30"/>
      <c r="AG338" s="30"/>
      <c r="AH338" s="30"/>
      <c r="AI338" s="30"/>
      <c r="AJ338" s="30"/>
      <c r="AK338" s="30"/>
      <c r="AL338" s="30"/>
      <c r="AM338" s="30"/>
      <c r="AN338" s="31"/>
    </row>
    <row r="339" spans="1:40" ht="13" customHeight="1">
      <c r="A339">
        <v>162</v>
      </c>
      <c r="B339" t="s">
        <v>207</v>
      </c>
      <c r="C339" t="s">
        <v>61</v>
      </c>
      <c r="D339" t="s">
        <v>62</v>
      </c>
      <c r="E339">
        <v>1000</v>
      </c>
      <c r="F339" t="s">
        <v>116</v>
      </c>
      <c r="G339" t="s">
        <v>52</v>
      </c>
      <c r="H339" t="s">
        <v>76</v>
      </c>
      <c r="I339">
        <v>6.87</v>
      </c>
      <c r="J339" t="s">
        <v>77</v>
      </c>
      <c r="K339">
        <v>1992</v>
      </c>
      <c r="L339" t="s">
        <v>1206</v>
      </c>
      <c r="P339" s="19" t="s">
        <v>122</v>
      </c>
      <c r="Q339" s="55" t="s">
        <v>38</v>
      </c>
      <c r="R339" s="19" t="s">
        <v>38</v>
      </c>
      <c r="S339" s="19" t="s">
        <v>38</v>
      </c>
      <c r="T339" s="19" t="s">
        <v>122</v>
      </c>
      <c r="U339" s="55"/>
      <c r="V339" s="391"/>
      <c r="W339" s="392"/>
      <c r="X339" s="392"/>
      <c r="Y339" s="392"/>
      <c r="Z339" s="199"/>
      <c r="AA339" s="199"/>
      <c r="AB339" s="199"/>
      <c r="AC339" s="199"/>
      <c r="AE339" s="39"/>
      <c r="AF339" s="30"/>
      <c r="AG339" s="30"/>
      <c r="AH339" s="30"/>
      <c r="AI339" s="30"/>
      <c r="AJ339" s="30"/>
      <c r="AK339" s="30"/>
      <c r="AL339" s="30"/>
      <c r="AM339" s="30"/>
      <c r="AN339" s="31"/>
    </row>
    <row r="340" spans="1:40" ht="13" customHeight="1">
      <c r="A340">
        <v>182</v>
      </c>
      <c r="B340" t="s">
        <v>222</v>
      </c>
      <c r="C340" t="s">
        <v>61</v>
      </c>
      <c r="D340" t="s">
        <v>62</v>
      </c>
      <c r="E340">
        <v>953</v>
      </c>
      <c r="F340" t="s">
        <v>116</v>
      </c>
      <c r="G340" t="s">
        <v>32</v>
      </c>
      <c r="H340" t="s">
        <v>76</v>
      </c>
      <c r="I340">
        <v>9.81</v>
      </c>
      <c r="J340" t="s">
        <v>77</v>
      </c>
      <c r="K340">
        <v>2015</v>
      </c>
      <c r="L340" t="s">
        <v>223</v>
      </c>
      <c r="P340" s="55" t="s">
        <v>38</v>
      </c>
      <c r="Q340" s="55" t="s">
        <v>38</v>
      </c>
      <c r="R340" s="19" t="s">
        <v>38</v>
      </c>
      <c r="S340" s="19" t="s">
        <v>38</v>
      </c>
      <c r="T340" s="19" t="s">
        <v>122</v>
      </c>
      <c r="U340" s="55"/>
      <c r="V340" s="391"/>
      <c r="W340" s="392"/>
      <c r="X340" s="392"/>
      <c r="Y340" s="392"/>
      <c r="Z340" s="199"/>
      <c r="AA340" s="199"/>
      <c r="AB340" s="199"/>
      <c r="AC340" s="199"/>
      <c r="AE340" s="39"/>
      <c r="AF340" s="30"/>
      <c r="AG340" s="30"/>
      <c r="AH340" s="30"/>
      <c r="AI340" s="30"/>
      <c r="AJ340" s="30"/>
      <c r="AK340" s="30"/>
      <c r="AL340" s="30"/>
      <c r="AM340" s="30"/>
      <c r="AN340" s="31"/>
    </row>
    <row r="341" spans="1:40" ht="13" customHeight="1">
      <c r="A341">
        <v>398</v>
      </c>
      <c r="B341" t="s">
        <v>398</v>
      </c>
      <c r="C341" t="s">
        <v>61</v>
      </c>
      <c r="D341" t="s">
        <v>251</v>
      </c>
      <c r="E341">
        <v>1204</v>
      </c>
      <c r="F341" t="s">
        <v>116</v>
      </c>
      <c r="G341" t="s">
        <v>32</v>
      </c>
      <c r="H341" t="s">
        <v>33</v>
      </c>
      <c r="I341">
        <f>113.8*1000000</f>
        <v>113800000</v>
      </c>
      <c r="J341" t="s">
        <v>34</v>
      </c>
      <c r="K341">
        <v>2023</v>
      </c>
      <c r="L341" t="s">
        <v>399</v>
      </c>
      <c r="O341" s="13"/>
      <c r="P341" s="19" t="s">
        <v>122</v>
      </c>
      <c r="Q341" s="55" t="s">
        <v>38</v>
      </c>
      <c r="R341" s="19" t="s">
        <v>38</v>
      </c>
      <c r="S341" s="19" t="s">
        <v>38</v>
      </c>
      <c r="T341" s="55" t="s">
        <v>38</v>
      </c>
      <c r="U341" s="55"/>
      <c r="V341" s="391"/>
      <c r="W341" s="392"/>
      <c r="X341" s="392"/>
      <c r="Y341" s="392"/>
      <c r="Z341" s="199"/>
      <c r="AA341" s="199"/>
      <c r="AB341" s="199"/>
      <c r="AC341" s="199"/>
      <c r="AE341" s="39"/>
      <c r="AF341" s="30"/>
      <c r="AG341" s="30"/>
      <c r="AH341" s="30"/>
      <c r="AI341" s="30"/>
      <c r="AJ341" s="30"/>
      <c r="AK341" s="30"/>
      <c r="AL341" s="30"/>
      <c r="AM341" s="30"/>
      <c r="AN341" s="31"/>
    </row>
    <row r="342" spans="1:40" ht="13" hidden="1" customHeight="1">
      <c r="A342">
        <v>283</v>
      </c>
      <c r="B342" t="s">
        <v>301</v>
      </c>
      <c r="C342" t="s">
        <v>61</v>
      </c>
      <c r="D342" t="s">
        <v>62</v>
      </c>
      <c r="E342">
        <v>1000</v>
      </c>
      <c r="F342" t="s">
        <v>75</v>
      </c>
      <c r="G342" s="119" t="s">
        <v>52</v>
      </c>
      <c r="H342" t="s">
        <v>76</v>
      </c>
      <c r="I342">
        <v>82</v>
      </c>
      <c r="J342" t="s">
        <v>77</v>
      </c>
      <c r="K342">
        <v>1992</v>
      </c>
      <c r="L342" s="80" t="s">
        <v>294</v>
      </c>
      <c r="M342" s="80"/>
      <c r="N342" s="80"/>
      <c r="O342" t="s">
        <v>295</v>
      </c>
      <c r="P342" s="2">
        <v>0.75</v>
      </c>
      <c r="Q342" t="s">
        <v>84</v>
      </c>
      <c r="R342" s="19" t="s">
        <v>38</v>
      </c>
      <c r="S342" s="19" t="s">
        <v>38</v>
      </c>
      <c r="T342" s="55" t="s">
        <v>38</v>
      </c>
      <c r="U342" s="55"/>
      <c r="V342" s="391"/>
      <c r="W342" s="392"/>
      <c r="X342" s="392"/>
      <c r="Y342" s="392"/>
      <c r="Z342" s="199"/>
      <c r="AA342" s="199"/>
      <c r="AB342" s="199"/>
      <c r="AC342" s="199"/>
      <c r="AE342" s="39"/>
      <c r="AF342" s="30"/>
      <c r="AG342" s="30"/>
      <c r="AH342" s="30"/>
      <c r="AI342" s="30"/>
      <c r="AJ342" s="30"/>
      <c r="AK342" s="30"/>
      <c r="AL342" s="30"/>
      <c r="AM342" s="30"/>
      <c r="AN342" s="31"/>
    </row>
    <row r="343" spans="1:40" ht="13" hidden="1" customHeight="1">
      <c r="A343">
        <v>284</v>
      </c>
      <c r="B343" t="s">
        <v>302</v>
      </c>
      <c r="C343" t="s">
        <v>61</v>
      </c>
      <c r="D343" t="s">
        <v>62</v>
      </c>
      <c r="E343">
        <v>1000</v>
      </c>
      <c r="F343" t="s">
        <v>75</v>
      </c>
      <c r="G343" s="119" t="s">
        <v>52</v>
      </c>
      <c r="H343" t="s">
        <v>76</v>
      </c>
      <c r="I343">
        <v>56</v>
      </c>
      <c r="J343" t="s">
        <v>77</v>
      </c>
      <c r="K343">
        <v>1992</v>
      </c>
      <c r="L343" s="80" t="s">
        <v>294</v>
      </c>
      <c r="M343" s="80"/>
      <c r="N343" s="80"/>
      <c r="O343" t="s">
        <v>303</v>
      </c>
      <c r="P343" s="2">
        <v>0.75</v>
      </c>
      <c r="Q343" t="s">
        <v>84</v>
      </c>
      <c r="R343" s="19" t="s">
        <v>38</v>
      </c>
      <c r="S343" s="19" t="s">
        <v>38</v>
      </c>
      <c r="T343" s="55" t="s">
        <v>38</v>
      </c>
      <c r="U343" s="55"/>
      <c r="V343" s="424" t="s">
        <v>1081</v>
      </c>
      <c r="W343" s="408" t="s">
        <v>924</v>
      </c>
      <c r="X343" s="408" t="s">
        <v>923</v>
      </c>
      <c r="Y343" s="408" t="s">
        <v>922</v>
      </c>
      <c r="Z343" s="199"/>
      <c r="AA343" s="199"/>
      <c r="AB343" s="199"/>
      <c r="AC343" s="199"/>
      <c r="AE343" s="39"/>
      <c r="AF343" s="30"/>
      <c r="AG343" s="30"/>
      <c r="AH343" s="30"/>
      <c r="AI343" s="30"/>
      <c r="AJ343" s="30"/>
      <c r="AK343" s="30"/>
      <c r="AL343" s="30"/>
      <c r="AM343" s="30"/>
      <c r="AN343" s="31"/>
    </row>
    <row r="344" spans="1:40" ht="13" hidden="1" customHeight="1">
      <c r="A344">
        <v>285</v>
      </c>
      <c r="B344" t="s">
        <v>126</v>
      </c>
      <c r="C344" t="s">
        <v>61</v>
      </c>
      <c r="D344" t="s">
        <v>62</v>
      </c>
      <c r="E344">
        <v>1000</v>
      </c>
      <c r="F344" t="s">
        <v>493</v>
      </c>
      <c r="G344" s="119" t="s">
        <v>52</v>
      </c>
      <c r="H344" t="s">
        <v>76</v>
      </c>
      <c r="I344">
        <v>0.5</v>
      </c>
      <c r="J344" t="s">
        <v>77</v>
      </c>
      <c r="K344">
        <v>1992</v>
      </c>
      <c r="L344" s="80" t="s">
        <v>294</v>
      </c>
      <c r="M344" s="80"/>
      <c r="N344" s="80"/>
      <c r="P344" s="55" t="s">
        <v>38</v>
      </c>
      <c r="Q344" s="55" t="s">
        <v>38</v>
      </c>
      <c r="R344" s="19" t="s">
        <v>38</v>
      </c>
      <c r="S344" s="19" t="s">
        <v>38</v>
      </c>
      <c r="T344" s="55" t="s">
        <v>38</v>
      </c>
      <c r="U344" s="55"/>
      <c r="V344" s="424"/>
      <c r="W344" s="408"/>
      <c r="X344" s="408"/>
      <c r="Y344" s="408"/>
      <c r="Z344" s="199"/>
      <c r="AA344" s="199"/>
      <c r="AB344" s="199"/>
      <c r="AC344" s="199"/>
      <c r="AE344" s="39"/>
      <c r="AF344" s="30"/>
      <c r="AG344" s="30"/>
      <c r="AH344" s="30"/>
      <c r="AI344" s="30"/>
      <c r="AJ344" s="30"/>
      <c r="AK344" s="30"/>
      <c r="AL344" s="30"/>
      <c r="AM344" s="30"/>
      <c r="AN344" s="31"/>
    </row>
    <row r="345" spans="1:40" ht="13" hidden="1" customHeight="1">
      <c r="A345">
        <v>286</v>
      </c>
      <c r="B345" t="s">
        <v>304</v>
      </c>
      <c r="C345" t="s">
        <v>61</v>
      </c>
      <c r="D345" t="s">
        <v>62</v>
      </c>
      <c r="E345">
        <v>1000</v>
      </c>
      <c r="F345" t="s">
        <v>493</v>
      </c>
      <c r="G345" s="119" t="s">
        <v>52</v>
      </c>
      <c r="H345" t="s">
        <v>76</v>
      </c>
      <c r="I345">
        <v>0.3</v>
      </c>
      <c r="J345" t="s">
        <v>77</v>
      </c>
      <c r="K345">
        <v>1992</v>
      </c>
      <c r="L345" s="80" t="s">
        <v>294</v>
      </c>
      <c r="M345" s="80"/>
      <c r="N345" s="80"/>
      <c r="P345" s="55" t="s">
        <v>38</v>
      </c>
      <c r="Q345" s="55" t="s">
        <v>38</v>
      </c>
      <c r="R345" s="19" t="s">
        <v>38</v>
      </c>
      <c r="S345" s="19" t="s">
        <v>38</v>
      </c>
      <c r="T345" s="55" t="s">
        <v>38</v>
      </c>
      <c r="U345" s="55"/>
      <c r="V345" s="424"/>
      <c r="W345" s="408"/>
      <c r="X345" s="408"/>
      <c r="Y345" s="408"/>
      <c r="Z345" s="199"/>
      <c r="AA345" s="199"/>
      <c r="AB345" s="199"/>
      <c r="AC345" s="199"/>
      <c r="AE345" s="39"/>
      <c r="AF345" s="30"/>
      <c r="AG345" s="30"/>
      <c r="AH345" s="30"/>
      <c r="AI345" s="30"/>
      <c r="AJ345" s="30"/>
      <c r="AK345" s="30"/>
      <c r="AL345" s="30"/>
      <c r="AM345" s="30"/>
      <c r="AN345" s="31"/>
    </row>
    <row r="346" spans="1:40" ht="13" hidden="1" customHeight="1">
      <c r="A346">
        <v>287</v>
      </c>
      <c r="B346" t="s">
        <v>114</v>
      </c>
      <c r="C346" t="s">
        <v>61</v>
      </c>
      <c r="D346" t="s">
        <v>62</v>
      </c>
      <c r="E346">
        <v>1000</v>
      </c>
      <c r="F346" t="s">
        <v>493</v>
      </c>
      <c r="G346" s="119" t="s">
        <v>52</v>
      </c>
      <c r="H346" t="s">
        <v>76</v>
      </c>
      <c r="I346">
        <v>0.3</v>
      </c>
      <c r="J346" t="s">
        <v>77</v>
      </c>
      <c r="K346">
        <v>1992</v>
      </c>
      <c r="L346" s="80" t="s">
        <v>294</v>
      </c>
      <c r="M346" s="80"/>
      <c r="N346" s="80"/>
      <c r="P346" s="55" t="s">
        <v>38</v>
      </c>
      <c r="Q346" s="55" t="s">
        <v>38</v>
      </c>
      <c r="R346" s="19" t="s">
        <v>38</v>
      </c>
      <c r="S346" s="19" t="s">
        <v>38</v>
      </c>
      <c r="T346" s="55" t="s">
        <v>38</v>
      </c>
      <c r="U346" s="55"/>
      <c r="V346" s="424"/>
      <c r="W346" s="408"/>
      <c r="X346" s="408"/>
      <c r="Y346" s="408"/>
      <c r="Z346" s="199"/>
      <c r="AA346" s="199"/>
      <c r="AB346" s="199"/>
      <c r="AC346" s="199"/>
      <c r="AE346" s="39"/>
      <c r="AF346" s="30"/>
      <c r="AG346" s="30"/>
      <c r="AH346" s="30"/>
      <c r="AI346" s="30"/>
      <c r="AJ346" s="30"/>
      <c r="AK346" s="30"/>
      <c r="AL346" s="30"/>
      <c r="AM346" s="30"/>
      <c r="AN346" s="31"/>
    </row>
    <row r="347" spans="1:40" ht="13" hidden="1" customHeight="1">
      <c r="A347">
        <v>288</v>
      </c>
      <c r="B347" t="s">
        <v>301</v>
      </c>
      <c r="C347" t="s">
        <v>61</v>
      </c>
      <c r="D347" t="s">
        <v>62</v>
      </c>
      <c r="E347">
        <v>1000</v>
      </c>
      <c r="F347" t="s">
        <v>75</v>
      </c>
      <c r="G347" s="119" t="s">
        <v>52</v>
      </c>
      <c r="H347" t="s">
        <v>76</v>
      </c>
      <c r="I347">
        <v>0.5</v>
      </c>
      <c r="J347" t="s">
        <v>77</v>
      </c>
      <c r="K347">
        <v>1992</v>
      </c>
      <c r="L347" s="80" t="s">
        <v>294</v>
      </c>
      <c r="M347" s="80"/>
      <c r="N347" s="80"/>
      <c r="P347" s="55" t="s">
        <v>38</v>
      </c>
      <c r="Q347" s="55" t="s">
        <v>38</v>
      </c>
      <c r="R347" s="19" t="s">
        <v>38</v>
      </c>
      <c r="S347" s="19" t="s">
        <v>38</v>
      </c>
      <c r="T347" s="55" t="s">
        <v>38</v>
      </c>
      <c r="U347" s="55"/>
      <c r="V347" s="424"/>
      <c r="W347" s="408"/>
      <c r="X347" s="408"/>
      <c r="Y347" s="408"/>
      <c r="Z347" s="199"/>
      <c r="AA347" s="199"/>
      <c r="AB347" s="199"/>
      <c r="AC347" s="199"/>
      <c r="AE347" s="39"/>
      <c r="AF347" s="30"/>
      <c r="AG347" s="30"/>
      <c r="AH347" s="30"/>
      <c r="AI347" s="30"/>
      <c r="AJ347" s="30"/>
      <c r="AK347" s="30"/>
      <c r="AL347" s="30"/>
      <c r="AM347" s="30"/>
      <c r="AN347" s="31"/>
    </row>
    <row r="348" spans="1:40" ht="13" hidden="1" customHeight="1">
      <c r="A348">
        <v>289</v>
      </c>
      <c r="B348" t="s">
        <v>126</v>
      </c>
      <c r="C348" t="s">
        <v>61</v>
      </c>
      <c r="D348" t="s">
        <v>62</v>
      </c>
      <c r="E348">
        <v>1000</v>
      </c>
      <c r="F348" t="s">
        <v>75</v>
      </c>
      <c r="G348" s="119" t="s">
        <v>52</v>
      </c>
      <c r="H348" t="s">
        <v>76</v>
      </c>
      <c r="I348">
        <v>70</v>
      </c>
      <c r="J348" t="s">
        <v>77</v>
      </c>
      <c r="K348">
        <v>1992</v>
      </c>
      <c r="L348" s="80" t="s">
        <v>294</v>
      </c>
      <c r="M348" s="80"/>
      <c r="N348" s="80"/>
      <c r="O348" t="s">
        <v>295</v>
      </c>
      <c r="P348" s="2">
        <v>0.75</v>
      </c>
      <c r="Q348" t="s">
        <v>84</v>
      </c>
      <c r="R348" s="19" t="s">
        <v>38</v>
      </c>
      <c r="S348" s="19" t="s">
        <v>38</v>
      </c>
      <c r="T348" s="55" t="s">
        <v>38</v>
      </c>
      <c r="U348" s="55"/>
      <c r="V348" s="424"/>
      <c r="W348" s="408"/>
      <c r="X348" s="408"/>
      <c r="Y348" s="408"/>
      <c r="Z348" s="199"/>
      <c r="AA348" s="199"/>
      <c r="AB348" s="199"/>
      <c r="AC348" s="199"/>
      <c r="AE348" s="39"/>
      <c r="AF348" s="30"/>
      <c r="AG348" s="30"/>
      <c r="AH348" s="30"/>
      <c r="AI348" s="30"/>
      <c r="AJ348" s="30"/>
      <c r="AK348" s="30"/>
      <c r="AL348" s="30"/>
      <c r="AM348" s="30"/>
      <c r="AN348" s="31"/>
    </row>
    <row r="349" spans="1:40" ht="13" hidden="1" customHeight="1">
      <c r="A349">
        <v>290</v>
      </c>
      <c r="B349" t="s">
        <v>304</v>
      </c>
      <c r="C349" t="s">
        <v>61</v>
      </c>
      <c r="D349" t="s">
        <v>62</v>
      </c>
      <c r="E349">
        <v>1000</v>
      </c>
      <c r="F349" t="s">
        <v>75</v>
      </c>
      <c r="G349" s="119" t="s">
        <v>52</v>
      </c>
      <c r="H349" t="s">
        <v>76</v>
      </c>
      <c r="I349">
        <v>69</v>
      </c>
      <c r="J349" t="s">
        <v>77</v>
      </c>
      <c r="K349">
        <v>1992</v>
      </c>
      <c r="L349" s="80" t="s">
        <v>294</v>
      </c>
      <c r="M349" s="80"/>
      <c r="N349" s="80"/>
      <c r="O349" t="s">
        <v>295</v>
      </c>
      <c r="P349" s="2">
        <v>0.75</v>
      </c>
      <c r="Q349" t="s">
        <v>84</v>
      </c>
      <c r="R349" s="19" t="s">
        <v>38</v>
      </c>
      <c r="S349" s="19" t="s">
        <v>38</v>
      </c>
      <c r="T349" s="55" t="s">
        <v>38</v>
      </c>
      <c r="U349" s="55"/>
      <c r="V349" s="424"/>
      <c r="W349" s="408"/>
      <c r="X349" s="408"/>
      <c r="Y349" s="408"/>
      <c r="Z349" s="199"/>
      <c r="AA349" s="199"/>
      <c r="AB349" s="199"/>
      <c r="AC349" s="199"/>
      <c r="AE349" s="39"/>
      <c r="AF349" s="30"/>
      <c r="AG349" s="30"/>
      <c r="AH349" s="30"/>
      <c r="AI349" s="30"/>
      <c r="AJ349" s="30"/>
      <c r="AK349" s="30"/>
      <c r="AL349" s="30"/>
      <c r="AM349" s="30"/>
      <c r="AN349" s="31"/>
    </row>
    <row r="350" spans="1:40" ht="13" hidden="1" customHeight="1">
      <c r="A350">
        <v>291</v>
      </c>
      <c r="B350" t="s">
        <v>114</v>
      </c>
      <c r="C350" t="s">
        <v>61</v>
      </c>
      <c r="D350" t="s">
        <v>62</v>
      </c>
      <c r="E350">
        <v>1000</v>
      </c>
      <c r="F350" t="s">
        <v>75</v>
      </c>
      <c r="G350" s="119" t="s">
        <v>52</v>
      </c>
      <c r="H350" t="s">
        <v>76</v>
      </c>
      <c r="I350">
        <v>86</v>
      </c>
      <c r="J350" t="s">
        <v>77</v>
      </c>
      <c r="K350">
        <v>1992</v>
      </c>
      <c r="L350" s="80" t="s">
        <v>294</v>
      </c>
      <c r="M350" s="80"/>
      <c r="N350" s="80"/>
      <c r="O350" t="s">
        <v>295</v>
      </c>
      <c r="P350" s="2">
        <v>0.75</v>
      </c>
      <c r="Q350" t="s">
        <v>84</v>
      </c>
      <c r="R350" s="19" t="s">
        <v>38</v>
      </c>
      <c r="S350" s="19" t="s">
        <v>38</v>
      </c>
      <c r="T350" s="55" t="s">
        <v>38</v>
      </c>
      <c r="U350" s="55"/>
      <c r="V350" s="424"/>
      <c r="W350" s="408"/>
      <c r="X350" s="408"/>
      <c r="Y350" s="408"/>
      <c r="Z350" s="199"/>
      <c r="AA350" s="199"/>
      <c r="AB350" s="199"/>
      <c r="AC350" s="199"/>
      <c r="AE350" s="39"/>
      <c r="AF350" s="30"/>
      <c r="AG350" s="30"/>
      <c r="AH350" s="30"/>
      <c r="AI350" s="30"/>
      <c r="AJ350" s="30"/>
      <c r="AK350" s="30"/>
      <c r="AL350" s="30"/>
      <c r="AM350" s="30"/>
      <c r="AN350" s="31"/>
    </row>
    <row r="351" spans="1:40" ht="13" hidden="1" customHeight="1">
      <c r="A351">
        <v>292</v>
      </c>
      <c r="B351" t="s">
        <v>301</v>
      </c>
      <c r="C351" t="s">
        <v>61</v>
      </c>
      <c r="D351" t="s">
        <v>62</v>
      </c>
      <c r="E351">
        <v>1000</v>
      </c>
      <c r="F351" t="s">
        <v>75</v>
      </c>
      <c r="G351" s="119" t="s">
        <v>52</v>
      </c>
      <c r="H351" t="s">
        <v>76</v>
      </c>
      <c r="I351">
        <v>99</v>
      </c>
      <c r="J351" t="s">
        <v>77</v>
      </c>
      <c r="K351">
        <v>1992</v>
      </c>
      <c r="L351" s="80" t="s">
        <v>294</v>
      </c>
      <c r="M351" s="80"/>
      <c r="N351" s="80"/>
      <c r="O351" t="s">
        <v>305</v>
      </c>
      <c r="P351" s="2">
        <v>0.75</v>
      </c>
      <c r="Q351" t="s">
        <v>84</v>
      </c>
      <c r="R351" s="19" t="s">
        <v>38</v>
      </c>
      <c r="S351" s="19" t="s">
        <v>38</v>
      </c>
      <c r="T351" s="55" t="s">
        <v>38</v>
      </c>
      <c r="U351" s="55"/>
      <c r="V351" s="424"/>
      <c r="W351" s="408"/>
      <c r="X351" s="408"/>
      <c r="Y351" s="408"/>
      <c r="Z351" s="199"/>
      <c r="AA351" s="199"/>
      <c r="AB351" s="199"/>
      <c r="AC351" s="199"/>
      <c r="AE351" s="39"/>
      <c r="AF351" s="30"/>
      <c r="AG351" s="30"/>
      <c r="AH351" s="30"/>
      <c r="AI351" s="30"/>
      <c r="AJ351" s="30"/>
      <c r="AK351" s="30"/>
      <c r="AL351" s="30"/>
      <c r="AM351" s="30"/>
      <c r="AN351" s="31"/>
    </row>
    <row r="352" spans="1:40" ht="16.899999999999999" hidden="1" customHeight="1" thickBot="1">
      <c r="A352">
        <v>293</v>
      </c>
      <c r="B352" t="s">
        <v>126</v>
      </c>
      <c r="C352" t="s">
        <v>61</v>
      </c>
      <c r="D352" t="s">
        <v>62</v>
      </c>
      <c r="E352">
        <v>1000</v>
      </c>
      <c r="F352" t="s">
        <v>75</v>
      </c>
      <c r="G352" s="119" t="s">
        <v>52</v>
      </c>
      <c r="H352" t="s">
        <v>76</v>
      </c>
      <c r="I352">
        <v>84</v>
      </c>
      <c r="J352" t="s">
        <v>77</v>
      </c>
      <c r="K352">
        <v>1992</v>
      </c>
      <c r="L352" s="80" t="s">
        <v>294</v>
      </c>
      <c r="M352" s="80"/>
      <c r="N352" s="80"/>
      <c r="O352" t="s">
        <v>305</v>
      </c>
      <c r="P352" s="2">
        <v>0.75</v>
      </c>
      <c r="Q352" t="s">
        <v>84</v>
      </c>
      <c r="R352" s="19" t="s">
        <v>38</v>
      </c>
      <c r="S352" s="19" t="s">
        <v>38</v>
      </c>
      <c r="T352" s="55" t="s">
        <v>38</v>
      </c>
      <c r="U352" s="55"/>
      <c r="V352" s="424"/>
      <c r="W352" s="408"/>
      <c r="X352" s="408"/>
      <c r="Y352" s="408"/>
      <c r="Z352" s="199"/>
      <c r="AA352" s="199"/>
      <c r="AB352" s="199"/>
      <c r="AC352" s="199"/>
      <c r="AE352" s="43"/>
      <c r="AF352" s="32"/>
      <c r="AG352" s="32"/>
      <c r="AH352" s="32"/>
      <c r="AI352" s="32"/>
      <c r="AJ352" s="32"/>
      <c r="AK352" s="32"/>
      <c r="AL352" s="32"/>
      <c r="AM352" s="32"/>
      <c r="AN352" s="33"/>
    </row>
    <row r="353" spans="1:40" s="81" customFormat="1" ht="13" hidden="1" customHeight="1">
      <c r="A353">
        <v>294</v>
      </c>
      <c r="B353" t="s">
        <v>304</v>
      </c>
      <c r="C353" t="s">
        <v>61</v>
      </c>
      <c r="D353" t="s">
        <v>62</v>
      </c>
      <c r="E353">
        <v>1000</v>
      </c>
      <c r="F353" t="s">
        <v>75</v>
      </c>
      <c r="G353" s="119" t="s">
        <v>52</v>
      </c>
      <c r="H353" t="s">
        <v>76</v>
      </c>
      <c r="I353">
        <v>90</v>
      </c>
      <c r="J353" t="s">
        <v>77</v>
      </c>
      <c r="K353">
        <v>1992</v>
      </c>
      <c r="L353" s="80" t="s">
        <v>294</v>
      </c>
      <c r="M353" s="80"/>
      <c r="N353" s="80"/>
      <c r="O353" t="s">
        <v>305</v>
      </c>
      <c r="P353" s="2">
        <v>0.75</v>
      </c>
      <c r="Q353" t="s">
        <v>84</v>
      </c>
      <c r="R353" s="19" t="s">
        <v>38</v>
      </c>
      <c r="S353" s="19" t="s">
        <v>38</v>
      </c>
      <c r="T353" s="55" t="s">
        <v>38</v>
      </c>
      <c r="U353" s="55"/>
      <c r="V353" s="424"/>
      <c r="W353" s="408"/>
      <c r="X353" s="408"/>
      <c r="Y353" s="408"/>
      <c r="Z353" s="199"/>
      <c r="AA353" s="199"/>
      <c r="AB353" s="199"/>
      <c r="AC353" s="199"/>
      <c r="AD353"/>
      <c r="AE353" s="129"/>
      <c r="AF353" s="130"/>
      <c r="AG353" s="130"/>
      <c r="AH353" s="130"/>
      <c r="AI353" s="130"/>
      <c r="AJ353" s="130"/>
      <c r="AK353" s="130"/>
      <c r="AL353" s="130"/>
      <c r="AM353" s="130"/>
      <c r="AN353" s="131"/>
    </row>
    <row r="354" spans="1:40" ht="13" hidden="1" customHeight="1">
      <c r="A354">
        <v>295</v>
      </c>
      <c r="B354" t="s">
        <v>114</v>
      </c>
      <c r="C354" t="s">
        <v>61</v>
      </c>
      <c r="D354" t="s">
        <v>62</v>
      </c>
      <c r="E354">
        <v>1000</v>
      </c>
      <c r="F354" t="s">
        <v>75</v>
      </c>
      <c r="G354" s="119" t="s">
        <v>52</v>
      </c>
      <c r="H354" t="s">
        <v>76</v>
      </c>
      <c r="I354">
        <v>101</v>
      </c>
      <c r="J354" t="s">
        <v>77</v>
      </c>
      <c r="K354">
        <v>1992</v>
      </c>
      <c r="L354" s="80" t="s">
        <v>294</v>
      </c>
      <c r="M354" s="80"/>
      <c r="N354" s="80"/>
      <c r="O354" t="s">
        <v>305</v>
      </c>
      <c r="P354" s="2">
        <v>0.75</v>
      </c>
      <c r="Q354" t="s">
        <v>84</v>
      </c>
      <c r="R354" s="19" t="s">
        <v>38</v>
      </c>
      <c r="S354" s="19" t="s">
        <v>38</v>
      </c>
      <c r="T354" s="55" t="s">
        <v>38</v>
      </c>
      <c r="U354" s="55"/>
      <c r="V354" s="424"/>
      <c r="W354" s="408"/>
      <c r="X354" s="408"/>
      <c r="Y354" s="408"/>
      <c r="Z354" s="199"/>
      <c r="AA354" s="199"/>
      <c r="AB354" s="199"/>
      <c r="AC354" s="199"/>
      <c r="AE354" s="39"/>
      <c r="AF354" s="30"/>
      <c r="AG354" s="30"/>
      <c r="AH354" s="30"/>
      <c r="AI354" s="30"/>
      <c r="AJ354" s="30"/>
      <c r="AK354" s="30"/>
      <c r="AL354" s="30"/>
      <c r="AM354" s="30"/>
      <c r="AN354" s="31"/>
    </row>
    <row r="355" spans="1:40" s="133" customFormat="1" ht="13" hidden="1" customHeight="1">
      <c r="A355">
        <v>298</v>
      </c>
      <c r="B355" t="s">
        <v>114</v>
      </c>
      <c r="C355" t="s">
        <v>61</v>
      </c>
      <c r="D355" t="s">
        <v>62</v>
      </c>
      <c r="E355">
        <v>1000</v>
      </c>
      <c r="F355" t="s">
        <v>115</v>
      </c>
      <c r="G355" s="119" t="s">
        <v>52</v>
      </c>
      <c r="H355" t="s">
        <v>76</v>
      </c>
      <c r="I355">
        <v>5</v>
      </c>
      <c r="J355" t="s">
        <v>77</v>
      </c>
      <c r="K355">
        <v>1992</v>
      </c>
      <c r="L355" s="80" t="s">
        <v>294</v>
      </c>
      <c r="M355" s="80"/>
      <c r="N355" s="80"/>
      <c r="O355"/>
      <c r="P355" s="19" t="s">
        <v>122</v>
      </c>
      <c r="Q355" s="55" t="s">
        <v>38</v>
      </c>
      <c r="R355" s="19" t="s">
        <v>38</v>
      </c>
      <c r="S355" s="19" t="s">
        <v>38</v>
      </c>
      <c r="T355" s="55" t="s">
        <v>38</v>
      </c>
      <c r="U355" s="55"/>
      <c r="V355" s="424"/>
      <c r="W355" s="408"/>
      <c r="X355" s="408"/>
      <c r="Y355" s="408"/>
      <c r="Z355" s="199"/>
      <c r="AA355" s="199"/>
      <c r="AB355" s="199"/>
      <c r="AC355" s="199"/>
      <c r="AD355"/>
      <c r="AE355" s="134"/>
      <c r="AF355" s="135"/>
      <c r="AG355" s="135"/>
      <c r="AH355" s="135"/>
      <c r="AI355" s="135"/>
      <c r="AJ355" s="135"/>
      <c r="AK355" s="135"/>
      <c r="AL355" s="135"/>
      <c r="AM355" s="135"/>
      <c r="AN355" s="137"/>
    </row>
    <row r="356" spans="1:40" s="133" customFormat="1" ht="13" hidden="1" customHeight="1">
      <c r="A356">
        <v>299</v>
      </c>
      <c r="B356" t="s">
        <v>126</v>
      </c>
      <c r="C356" t="s">
        <v>61</v>
      </c>
      <c r="D356" t="s">
        <v>62</v>
      </c>
      <c r="E356">
        <v>1000</v>
      </c>
      <c r="F356" t="s">
        <v>115</v>
      </c>
      <c r="G356" s="119" t="s">
        <v>52</v>
      </c>
      <c r="H356" t="s">
        <v>76</v>
      </c>
      <c r="I356">
        <v>3.6</v>
      </c>
      <c r="J356" t="s">
        <v>77</v>
      </c>
      <c r="K356">
        <v>1992</v>
      </c>
      <c r="L356" s="80" t="s">
        <v>294</v>
      </c>
      <c r="M356" s="80"/>
      <c r="N356" s="80"/>
      <c r="O356"/>
      <c r="P356" s="19" t="s">
        <v>122</v>
      </c>
      <c r="Q356" s="55" t="s">
        <v>38</v>
      </c>
      <c r="R356" s="19" t="s">
        <v>38</v>
      </c>
      <c r="S356" s="19" t="s">
        <v>38</v>
      </c>
      <c r="T356" s="55" t="s">
        <v>38</v>
      </c>
      <c r="U356" s="55"/>
      <c r="V356" s="424"/>
      <c r="W356" s="408"/>
      <c r="X356" s="408"/>
      <c r="Y356" s="408"/>
      <c r="Z356" s="199"/>
      <c r="AA356" s="199"/>
      <c r="AB356" s="199"/>
      <c r="AC356" s="199"/>
      <c r="AD356"/>
      <c r="AE356" s="134"/>
      <c r="AF356" s="135"/>
      <c r="AG356" s="135"/>
      <c r="AH356" s="135"/>
      <c r="AI356" s="135"/>
      <c r="AJ356" s="135"/>
      <c r="AK356" s="135"/>
      <c r="AL356" s="135"/>
      <c r="AM356" s="135"/>
      <c r="AN356" s="137"/>
    </row>
    <row r="357" spans="1:40" s="133" customFormat="1" ht="13" hidden="1" customHeight="1">
      <c r="A357">
        <v>300</v>
      </c>
      <c r="B357" t="s">
        <v>301</v>
      </c>
      <c r="C357" t="s">
        <v>61</v>
      </c>
      <c r="D357" t="s">
        <v>62</v>
      </c>
      <c r="E357">
        <v>1000</v>
      </c>
      <c r="F357" t="s">
        <v>115</v>
      </c>
      <c r="G357" s="119" t="s">
        <v>52</v>
      </c>
      <c r="H357" t="s">
        <v>76</v>
      </c>
      <c r="I357">
        <v>0.01</v>
      </c>
      <c r="J357" t="s">
        <v>77</v>
      </c>
      <c r="K357">
        <v>1992</v>
      </c>
      <c r="L357" s="80" t="s">
        <v>294</v>
      </c>
      <c r="M357" s="80"/>
      <c r="N357" s="80"/>
      <c r="O357"/>
      <c r="P357" s="19" t="s">
        <v>122</v>
      </c>
      <c r="Q357" s="55" t="s">
        <v>38</v>
      </c>
      <c r="R357" s="19" t="s">
        <v>38</v>
      </c>
      <c r="S357" s="19" t="s">
        <v>38</v>
      </c>
      <c r="T357" s="55" t="s">
        <v>38</v>
      </c>
      <c r="U357" s="55"/>
      <c r="V357" s="424"/>
      <c r="W357" s="408"/>
      <c r="X357" s="408"/>
      <c r="Y357" s="408"/>
      <c r="Z357" s="199"/>
      <c r="AA357" s="199"/>
      <c r="AB357" s="199"/>
      <c r="AC357" s="199"/>
      <c r="AD357"/>
      <c r="AE357" s="134"/>
      <c r="AF357" s="135"/>
      <c r="AG357" s="135"/>
      <c r="AH357" s="135"/>
      <c r="AI357" s="135"/>
      <c r="AJ357" s="135"/>
      <c r="AK357" s="135"/>
      <c r="AL357" s="135"/>
      <c r="AM357" s="135"/>
      <c r="AN357" s="137"/>
    </row>
    <row r="358" spans="1:40" s="133" customFormat="1" ht="13" hidden="1" customHeight="1">
      <c r="A358">
        <v>301</v>
      </c>
      <c r="B358" t="s">
        <v>304</v>
      </c>
      <c r="C358" t="s">
        <v>61</v>
      </c>
      <c r="D358" t="s">
        <v>62</v>
      </c>
      <c r="E358">
        <v>1000</v>
      </c>
      <c r="F358" t="s">
        <v>115</v>
      </c>
      <c r="G358" s="119" t="s">
        <v>52</v>
      </c>
      <c r="H358" t="s">
        <v>76</v>
      </c>
      <c r="I358">
        <v>6.6</v>
      </c>
      <c r="J358" t="s">
        <v>77</v>
      </c>
      <c r="K358">
        <v>1992</v>
      </c>
      <c r="L358" s="80" t="s">
        <v>294</v>
      </c>
      <c r="M358" s="80"/>
      <c r="N358" s="80"/>
      <c r="O358"/>
      <c r="P358" s="19" t="s">
        <v>122</v>
      </c>
      <c r="Q358" s="55" t="s">
        <v>38</v>
      </c>
      <c r="R358" s="19" t="s">
        <v>38</v>
      </c>
      <c r="S358" s="19" t="s">
        <v>38</v>
      </c>
      <c r="T358" s="55" t="s">
        <v>38</v>
      </c>
      <c r="U358" s="55"/>
      <c r="V358" s="424"/>
      <c r="W358" s="408"/>
      <c r="X358" s="408"/>
      <c r="Y358" s="408"/>
      <c r="Z358" s="199"/>
      <c r="AA358" s="199"/>
      <c r="AB358" s="199"/>
      <c r="AC358" s="199"/>
      <c r="AD358"/>
      <c r="AE358" s="134"/>
      <c r="AF358" s="135"/>
      <c r="AG358" s="135"/>
      <c r="AH358" s="135"/>
      <c r="AI358" s="135"/>
      <c r="AJ358" s="135"/>
      <c r="AK358" s="135"/>
      <c r="AL358" s="135"/>
      <c r="AM358" s="135"/>
      <c r="AN358" s="137"/>
    </row>
    <row r="359" spans="1:40" s="133" customFormat="1" ht="13" customHeight="1">
      <c r="A359">
        <v>399</v>
      </c>
      <c r="B359" t="s">
        <v>401</v>
      </c>
      <c r="C359" t="s">
        <v>61</v>
      </c>
      <c r="D359" t="s">
        <v>251</v>
      </c>
      <c r="E359">
        <v>1313</v>
      </c>
      <c r="F359" t="s">
        <v>116</v>
      </c>
      <c r="G359" t="s">
        <v>32</v>
      </c>
      <c r="H359" t="s">
        <v>33</v>
      </c>
      <c r="I359">
        <f>118.1*1000000</f>
        <v>118100000</v>
      </c>
      <c r="J359" t="s">
        <v>34</v>
      </c>
      <c r="K359">
        <v>2023</v>
      </c>
      <c r="L359" t="s">
        <v>399</v>
      </c>
      <c r="M359"/>
      <c r="N359"/>
      <c r="O359" s="13"/>
      <c r="P359" s="19" t="s">
        <v>122</v>
      </c>
      <c r="Q359" s="55" t="s">
        <v>38</v>
      </c>
      <c r="R359" s="19" t="s">
        <v>38</v>
      </c>
      <c r="S359" s="19" t="s">
        <v>38</v>
      </c>
      <c r="T359" s="55" t="s">
        <v>38</v>
      </c>
      <c r="U359" s="55"/>
      <c r="V359" s="424"/>
      <c r="W359" s="408"/>
      <c r="X359" s="408"/>
      <c r="Y359" s="408"/>
      <c r="Z359" s="199"/>
      <c r="AA359" s="199"/>
      <c r="AB359" s="199"/>
      <c r="AC359" s="199"/>
      <c r="AD359"/>
      <c r="AE359" s="134"/>
      <c r="AF359" s="135"/>
      <c r="AG359" s="135"/>
      <c r="AH359" s="135"/>
      <c r="AI359" s="135"/>
      <c r="AJ359" s="135"/>
      <c r="AK359" s="135"/>
      <c r="AL359" s="135"/>
      <c r="AM359" s="135"/>
      <c r="AN359" s="137"/>
    </row>
    <row r="360" spans="1:40" s="133" customFormat="1" ht="13" customHeight="1">
      <c r="A360">
        <v>400</v>
      </c>
      <c r="B360" t="s">
        <v>402</v>
      </c>
      <c r="C360" t="s">
        <v>61</v>
      </c>
      <c r="D360" t="s">
        <v>251</v>
      </c>
      <c r="E360">
        <v>2272</v>
      </c>
      <c r="F360" t="s">
        <v>116</v>
      </c>
      <c r="G360" t="s">
        <v>32</v>
      </c>
      <c r="H360" t="s">
        <v>33</v>
      </c>
      <c r="I360">
        <f>155.7*1000000</f>
        <v>155700000</v>
      </c>
      <c r="J360" t="s">
        <v>34</v>
      </c>
      <c r="K360">
        <v>2023</v>
      </c>
      <c r="L360" t="s">
        <v>399</v>
      </c>
      <c r="M360"/>
      <c r="N360"/>
      <c r="O360" s="13"/>
      <c r="P360" s="19" t="s">
        <v>122</v>
      </c>
      <c r="Q360" s="55" t="s">
        <v>38</v>
      </c>
      <c r="R360" s="19" t="s">
        <v>38</v>
      </c>
      <c r="S360" s="19" t="s">
        <v>38</v>
      </c>
      <c r="T360" s="55" t="s">
        <v>38</v>
      </c>
      <c r="U360" s="55"/>
      <c r="V360" s="424"/>
      <c r="W360" s="408"/>
      <c r="X360" s="408"/>
      <c r="Y360" s="408"/>
      <c r="Z360" s="199"/>
      <c r="AA360" s="199"/>
      <c r="AB360" s="199"/>
      <c r="AC360" s="199"/>
      <c r="AD360"/>
      <c r="AE360" s="134"/>
      <c r="AF360" s="135"/>
      <c r="AG360" s="135"/>
      <c r="AH360" s="135"/>
      <c r="AI360" s="135"/>
      <c r="AJ360" s="135"/>
      <c r="AK360" s="135"/>
      <c r="AL360" s="135"/>
      <c r="AM360" s="135"/>
      <c r="AN360" s="137"/>
    </row>
    <row r="361" spans="1:40" s="133" customFormat="1" ht="13" customHeight="1">
      <c r="A361">
        <v>401</v>
      </c>
      <c r="B361" t="s">
        <v>403</v>
      </c>
      <c r="C361" t="s">
        <v>61</v>
      </c>
      <c r="D361" t="s">
        <v>251</v>
      </c>
      <c r="E361">
        <v>1368</v>
      </c>
      <c r="F361" t="s">
        <v>116</v>
      </c>
      <c r="G361" t="s">
        <v>32</v>
      </c>
      <c r="H361" t="s">
        <v>33</v>
      </c>
      <c r="I361">
        <f>120.65*1000000</f>
        <v>120650000</v>
      </c>
      <c r="J361" t="s">
        <v>34</v>
      </c>
      <c r="K361">
        <v>2023</v>
      </c>
      <c r="L361" t="s">
        <v>399</v>
      </c>
      <c r="M361"/>
      <c r="N361"/>
      <c r="O361" s="13"/>
      <c r="P361" s="19" t="s">
        <v>122</v>
      </c>
      <c r="Q361" s="55" t="s">
        <v>38</v>
      </c>
      <c r="R361" s="19" t="s">
        <v>38</v>
      </c>
      <c r="S361" s="19" t="s">
        <v>38</v>
      </c>
      <c r="T361" s="55" t="s">
        <v>38</v>
      </c>
      <c r="U361" s="55"/>
      <c r="V361" s="424"/>
      <c r="W361" s="408"/>
      <c r="X361" s="408"/>
      <c r="Y361" s="408"/>
      <c r="Z361" s="199"/>
      <c r="AA361" s="199"/>
      <c r="AB361" s="199"/>
      <c r="AC361" s="199"/>
      <c r="AD361"/>
      <c r="AE361" s="134"/>
      <c r="AF361" s="135"/>
      <c r="AG361" s="135"/>
      <c r="AH361" s="135"/>
      <c r="AI361" s="135"/>
      <c r="AJ361" s="135"/>
      <c r="AK361" s="135"/>
      <c r="AL361" s="135"/>
      <c r="AM361" s="135"/>
      <c r="AN361" s="137"/>
    </row>
    <row r="362" spans="1:40" s="133" customFormat="1" ht="13" customHeight="1">
      <c r="A362">
        <v>402</v>
      </c>
      <c r="B362" t="s">
        <v>404</v>
      </c>
      <c r="C362" t="s">
        <v>61</v>
      </c>
      <c r="D362" t="s">
        <v>251</v>
      </c>
      <c r="E362">
        <v>914</v>
      </c>
      <c r="F362" t="s">
        <v>116</v>
      </c>
      <c r="G362" t="s">
        <v>32</v>
      </c>
      <c r="H362" t="s">
        <v>33</v>
      </c>
      <c r="I362">
        <f>98.61*1000000</f>
        <v>98610000</v>
      </c>
      <c r="J362" t="s">
        <v>34</v>
      </c>
      <c r="K362">
        <v>2023</v>
      </c>
      <c r="L362" t="s">
        <v>399</v>
      </c>
      <c r="M362"/>
      <c r="N362"/>
      <c r="O362" s="13"/>
      <c r="P362" s="19" t="s">
        <v>122</v>
      </c>
      <c r="Q362" s="55" t="s">
        <v>38</v>
      </c>
      <c r="R362" s="19" t="s">
        <v>38</v>
      </c>
      <c r="S362" s="19" t="s">
        <v>38</v>
      </c>
      <c r="T362" s="55" t="s">
        <v>38</v>
      </c>
      <c r="U362" s="55"/>
      <c r="V362" s="424"/>
      <c r="W362" s="408"/>
      <c r="X362" s="408"/>
      <c r="Y362" s="408"/>
      <c r="Z362" s="199"/>
      <c r="AA362" s="199"/>
      <c r="AB362" s="199"/>
      <c r="AC362" s="199"/>
      <c r="AD362"/>
      <c r="AE362" s="134"/>
      <c r="AF362" s="135"/>
      <c r="AG362" s="135"/>
      <c r="AH362" s="135"/>
      <c r="AI362" s="135"/>
      <c r="AJ362" s="135"/>
      <c r="AK362" s="135"/>
      <c r="AL362" s="135"/>
      <c r="AM362" s="135"/>
      <c r="AN362" s="137"/>
    </row>
    <row r="363" spans="1:40" s="133" customFormat="1" ht="13" customHeight="1">
      <c r="A363">
        <v>403</v>
      </c>
      <c r="B363" t="s">
        <v>405</v>
      </c>
      <c r="C363" t="s">
        <v>61</v>
      </c>
      <c r="D363" t="s">
        <v>251</v>
      </c>
      <c r="E363">
        <v>774</v>
      </c>
      <c r="F363" t="s">
        <v>116</v>
      </c>
      <c r="G363" t="s">
        <v>32</v>
      </c>
      <c r="H363" t="s">
        <v>33</v>
      </c>
      <c r="I363">
        <f>90.75*1000000</f>
        <v>90750000</v>
      </c>
      <c r="J363" t="s">
        <v>34</v>
      </c>
      <c r="K363">
        <v>2023</v>
      </c>
      <c r="L363" t="s">
        <v>399</v>
      </c>
      <c r="M363"/>
      <c r="N363"/>
      <c r="O363" s="13"/>
      <c r="P363" s="19" t="s">
        <v>122</v>
      </c>
      <c r="Q363" s="55" t="s">
        <v>38</v>
      </c>
      <c r="R363" s="19" t="s">
        <v>38</v>
      </c>
      <c r="S363" s="19" t="s">
        <v>38</v>
      </c>
      <c r="T363" s="55" t="s">
        <v>38</v>
      </c>
      <c r="U363" s="55"/>
      <c r="V363" s="424"/>
      <c r="W363" s="408"/>
      <c r="X363" s="408"/>
      <c r="Y363" s="408"/>
      <c r="Z363" s="199"/>
      <c r="AA363" s="199"/>
      <c r="AB363" s="199"/>
      <c r="AC363" s="199"/>
      <c r="AD363"/>
      <c r="AE363" s="134"/>
      <c r="AF363" s="135"/>
      <c r="AG363" s="135"/>
      <c r="AH363" s="135"/>
      <c r="AI363" s="135"/>
      <c r="AJ363" s="135"/>
      <c r="AK363" s="135"/>
      <c r="AL363" s="135"/>
      <c r="AM363" s="135"/>
      <c r="AN363" s="137"/>
    </row>
    <row r="364" spans="1:40" s="133" customFormat="1" ht="13" customHeight="1">
      <c r="A364">
        <v>404</v>
      </c>
      <c r="B364" t="s">
        <v>406</v>
      </c>
      <c r="C364" t="s">
        <v>61</v>
      </c>
      <c r="D364" t="s">
        <v>251</v>
      </c>
      <c r="E364">
        <v>1945</v>
      </c>
      <c r="F364" t="s">
        <v>116</v>
      </c>
      <c r="G364" t="s">
        <v>32</v>
      </c>
      <c r="H364" t="s">
        <v>33</v>
      </c>
      <c r="I364">
        <f>143.85*1000000</f>
        <v>143850000</v>
      </c>
      <c r="J364" t="s">
        <v>34</v>
      </c>
      <c r="K364">
        <v>2023</v>
      </c>
      <c r="L364" t="s">
        <v>399</v>
      </c>
      <c r="M364"/>
      <c r="N364"/>
      <c r="O364" s="13"/>
      <c r="P364" s="19" t="s">
        <v>122</v>
      </c>
      <c r="Q364" s="55" t="s">
        <v>38</v>
      </c>
      <c r="R364" s="19" t="s">
        <v>38</v>
      </c>
      <c r="S364" s="19" t="s">
        <v>38</v>
      </c>
      <c r="T364" s="55" t="s">
        <v>38</v>
      </c>
      <c r="U364" s="55"/>
      <c r="V364" s="424"/>
      <c r="W364" s="408"/>
      <c r="X364" s="408"/>
      <c r="Y364" s="408"/>
      <c r="Z364" s="199"/>
      <c r="AA364" s="199"/>
      <c r="AB364" s="199"/>
      <c r="AC364" s="199"/>
      <c r="AD364"/>
      <c r="AE364" s="134"/>
      <c r="AF364" s="135"/>
      <c r="AG364" s="135"/>
      <c r="AH364" s="135"/>
      <c r="AI364" s="135"/>
      <c r="AJ364" s="135"/>
      <c r="AK364" s="135"/>
      <c r="AL364" s="135"/>
      <c r="AM364" s="135"/>
      <c r="AN364" s="137"/>
    </row>
    <row r="365" spans="1:40" s="133" customFormat="1" ht="13" customHeight="1">
      <c r="A365">
        <v>405</v>
      </c>
      <c r="B365" t="s">
        <v>407</v>
      </c>
      <c r="C365" t="s">
        <v>61</v>
      </c>
      <c r="D365" t="s">
        <v>251</v>
      </c>
      <c r="E365">
        <v>1165</v>
      </c>
      <c r="F365" t="s">
        <v>116</v>
      </c>
      <c r="G365" t="s">
        <v>32</v>
      </c>
      <c r="H365" t="s">
        <v>33</v>
      </c>
      <c r="I365">
        <f>111.34*1000000</f>
        <v>111340000</v>
      </c>
      <c r="J365" t="s">
        <v>34</v>
      </c>
      <c r="K365">
        <v>2023</v>
      </c>
      <c r="L365" t="s">
        <v>399</v>
      </c>
      <c r="M365"/>
      <c r="N365"/>
      <c r="O365" s="13"/>
      <c r="P365" s="19" t="s">
        <v>122</v>
      </c>
      <c r="Q365" s="55" t="s">
        <v>38</v>
      </c>
      <c r="R365" s="19" t="s">
        <v>38</v>
      </c>
      <c r="S365" s="19" t="s">
        <v>38</v>
      </c>
      <c r="T365" s="55" t="s">
        <v>38</v>
      </c>
      <c r="U365" s="55"/>
      <c r="V365" s="424"/>
      <c r="W365" s="408"/>
      <c r="X365" s="408"/>
      <c r="Y365" s="408"/>
      <c r="Z365" s="199"/>
      <c r="AA365" s="199"/>
      <c r="AB365" s="199"/>
      <c r="AC365" s="199"/>
      <c r="AD365"/>
      <c r="AE365" s="134"/>
      <c r="AF365" s="135"/>
      <c r="AG365" s="135"/>
      <c r="AH365" s="135"/>
      <c r="AI365" s="135"/>
      <c r="AJ365" s="135"/>
      <c r="AK365" s="135"/>
      <c r="AL365" s="135"/>
      <c r="AM365" s="135"/>
      <c r="AN365" s="137"/>
    </row>
    <row r="366" spans="1:40" s="133" customFormat="1" ht="13" customHeight="1">
      <c r="A366">
        <v>517</v>
      </c>
      <c r="B366" t="s">
        <v>488</v>
      </c>
      <c r="C366" t="s">
        <v>470</v>
      </c>
      <c r="D366" t="s">
        <v>471</v>
      </c>
      <c r="E366">
        <v>383.1</v>
      </c>
      <c r="F366" t="s">
        <v>116</v>
      </c>
      <c r="G366" t="s">
        <v>754</v>
      </c>
      <c r="H366" t="s">
        <v>33</v>
      </c>
      <c r="I366">
        <f>42*1000000</f>
        <v>42000000</v>
      </c>
      <c r="J366" t="s">
        <v>34</v>
      </c>
      <c r="K366">
        <v>2020</v>
      </c>
      <c r="L366" t="s">
        <v>486</v>
      </c>
      <c r="M366"/>
      <c r="N366"/>
      <c r="O366"/>
      <c r="P366" s="19" t="s">
        <v>122</v>
      </c>
      <c r="Q366" s="55" t="s">
        <v>38</v>
      </c>
      <c r="R366" s="19" t="s">
        <v>38</v>
      </c>
      <c r="S366" s="19" t="s">
        <v>38</v>
      </c>
      <c r="T366" s="55" t="s">
        <v>38</v>
      </c>
      <c r="U366" s="55"/>
      <c r="V366" s="424"/>
      <c r="W366" s="408"/>
      <c r="X366" s="408"/>
      <c r="Y366" s="408"/>
      <c r="Z366" s="199"/>
      <c r="AA366" s="199"/>
      <c r="AB366" s="199"/>
      <c r="AC366" s="199"/>
      <c r="AD366"/>
      <c r="AE366" s="134"/>
      <c r="AF366" s="135"/>
      <c r="AG366" s="135"/>
      <c r="AH366" s="135"/>
      <c r="AI366" s="135"/>
      <c r="AJ366" s="135"/>
      <c r="AK366" s="135"/>
      <c r="AL366" s="135"/>
      <c r="AM366" s="135"/>
      <c r="AN366" s="137"/>
    </row>
    <row r="367" spans="1:40" s="133" customFormat="1" ht="13" customHeight="1">
      <c r="A367">
        <v>526</v>
      </c>
      <c r="B367" t="s">
        <v>492</v>
      </c>
      <c r="C367" t="s">
        <v>470</v>
      </c>
      <c r="D367" t="s">
        <v>471</v>
      </c>
      <c r="E367">
        <v>814.4</v>
      </c>
      <c r="F367" t="s">
        <v>116</v>
      </c>
      <c r="G367" t="s">
        <v>754</v>
      </c>
      <c r="H367" t="s">
        <v>33</v>
      </c>
      <c r="I367">
        <f>61.3*1000000</f>
        <v>61300000</v>
      </c>
      <c r="J367" t="s">
        <v>34</v>
      </c>
      <c r="K367">
        <v>2020</v>
      </c>
      <c r="L367" t="s">
        <v>486</v>
      </c>
      <c r="M367"/>
      <c r="N367"/>
      <c r="O367"/>
      <c r="P367" s="19" t="s">
        <v>122</v>
      </c>
      <c r="Q367" s="55" t="s">
        <v>38</v>
      </c>
      <c r="R367" s="19" t="s">
        <v>38</v>
      </c>
      <c r="S367" s="19" t="s">
        <v>38</v>
      </c>
      <c r="T367" s="55" t="s">
        <v>38</v>
      </c>
      <c r="U367" s="55"/>
      <c r="V367" s="424"/>
      <c r="W367" s="408"/>
      <c r="X367" s="408"/>
      <c r="Y367" s="408"/>
      <c r="Z367" s="199"/>
      <c r="AA367" s="199"/>
      <c r="AB367" s="199"/>
      <c r="AC367" s="199"/>
      <c r="AD367"/>
      <c r="AE367" s="134"/>
      <c r="AF367" s="135"/>
      <c r="AG367" s="135"/>
      <c r="AH367" s="135"/>
      <c r="AI367" s="135"/>
      <c r="AJ367" s="135"/>
      <c r="AK367" s="135"/>
      <c r="AL367" s="135"/>
      <c r="AM367" s="135"/>
      <c r="AN367" s="137"/>
    </row>
    <row r="368" spans="1:40" s="133" customFormat="1" ht="13" customHeight="1">
      <c r="A368">
        <v>232</v>
      </c>
      <c r="B368" t="s">
        <v>264</v>
      </c>
      <c r="C368" t="s">
        <v>61</v>
      </c>
      <c r="D368" t="s">
        <v>62</v>
      </c>
      <c r="E368">
        <v>1000</v>
      </c>
      <c r="F368" t="s">
        <v>116</v>
      </c>
      <c r="G368" t="s">
        <v>57</v>
      </c>
      <c r="H368" t="s">
        <v>33</v>
      </c>
      <c r="I368" s="127">
        <f>(108 * (1000/1200)^0.5)*1000000</f>
        <v>98590060.350929901</v>
      </c>
      <c r="J368" t="s">
        <v>34</v>
      </c>
      <c r="K368">
        <v>2010</v>
      </c>
      <c r="L368" t="s">
        <v>262</v>
      </c>
      <c r="M368"/>
      <c r="N368"/>
      <c r="O368"/>
      <c r="P368" s="55" t="s">
        <v>38</v>
      </c>
      <c r="Q368" s="55" t="s">
        <v>38</v>
      </c>
      <c r="R368" s="19" t="s">
        <v>38</v>
      </c>
      <c r="S368" s="19" t="s">
        <v>38</v>
      </c>
      <c r="T368" s="19" t="s">
        <v>38</v>
      </c>
      <c r="U368" s="55"/>
      <c r="V368" s="424"/>
      <c r="W368" s="408"/>
      <c r="X368" s="408"/>
      <c r="Y368" s="408"/>
      <c r="Z368" s="199"/>
      <c r="AA368" s="199"/>
      <c r="AB368" s="199"/>
      <c r="AC368" s="199"/>
      <c r="AD368"/>
      <c r="AE368" s="134"/>
      <c r="AF368" s="135"/>
      <c r="AG368" s="135"/>
      <c r="AH368" s="135"/>
      <c r="AI368" s="135"/>
      <c r="AJ368" s="135"/>
      <c r="AK368" s="135"/>
      <c r="AL368" s="135"/>
      <c r="AM368" s="135"/>
      <c r="AN368" s="137"/>
    </row>
    <row r="369" spans="1:40" s="133" customFormat="1" ht="13" customHeight="1">
      <c r="A369">
        <v>233</v>
      </c>
      <c r="B369" t="s">
        <v>265</v>
      </c>
      <c r="C369" t="s">
        <v>61</v>
      </c>
      <c r="D369" t="s">
        <v>62</v>
      </c>
      <c r="E369">
        <v>1600</v>
      </c>
      <c r="F369" t="s">
        <v>116</v>
      </c>
      <c r="G369" t="s">
        <v>57</v>
      </c>
      <c r="H369" t="s">
        <v>33</v>
      </c>
      <c r="I369" s="18">
        <f>(108 * (1600/1200)^0.5)*1000000</f>
        <v>124707658.14495915</v>
      </c>
      <c r="J369" t="s">
        <v>34</v>
      </c>
      <c r="K369">
        <v>2010</v>
      </c>
      <c r="L369" t="s">
        <v>262</v>
      </c>
      <c r="M369"/>
      <c r="N369"/>
      <c r="O369"/>
      <c r="P369" s="55" t="s">
        <v>38</v>
      </c>
      <c r="Q369" s="55" t="s">
        <v>38</v>
      </c>
      <c r="R369" s="19" t="s">
        <v>38</v>
      </c>
      <c r="S369" s="19" t="s">
        <v>38</v>
      </c>
      <c r="T369" s="19" t="s">
        <v>38</v>
      </c>
      <c r="U369" s="55"/>
      <c r="V369" s="424"/>
      <c r="W369" s="408"/>
      <c r="X369" s="408"/>
      <c r="Y369" s="408"/>
      <c r="Z369" s="199"/>
      <c r="AA369" s="199"/>
      <c r="AB369" s="199"/>
      <c r="AC369" s="199"/>
      <c r="AD369"/>
      <c r="AE369" s="134"/>
      <c r="AF369" s="135"/>
      <c r="AG369" s="135"/>
      <c r="AH369" s="135"/>
      <c r="AI369" s="135"/>
      <c r="AJ369" s="135"/>
      <c r="AK369" s="135"/>
      <c r="AL369" s="135"/>
      <c r="AM369" s="135"/>
      <c r="AN369" s="137"/>
    </row>
    <row r="370" spans="1:40" ht="13" customHeight="1">
      <c r="A370">
        <v>234</v>
      </c>
      <c r="B370" t="s">
        <v>686</v>
      </c>
      <c r="C370" t="s">
        <v>61</v>
      </c>
      <c r="D370" t="s">
        <v>62</v>
      </c>
      <c r="E370">
        <v>1200</v>
      </c>
      <c r="F370" t="s">
        <v>116</v>
      </c>
      <c r="G370" t="s">
        <v>57</v>
      </c>
      <c r="H370" t="s">
        <v>33</v>
      </c>
      <c r="I370">
        <f>(108*(1200/1200)^0.5)*1000000</f>
        <v>108000000</v>
      </c>
      <c r="J370" t="s">
        <v>34</v>
      </c>
      <c r="K370">
        <v>2010</v>
      </c>
      <c r="L370" t="s">
        <v>262</v>
      </c>
      <c r="P370" s="55" t="s">
        <v>38</v>
      </c>
      <c r="Q370" s="55" t="s">
        <v>38</v>
      </c>
      <c r="R370" s="19" t="s">
        <v>38</v>
      </c>
      <c r="S370" s="19" t="s">
        <v>38</v>
      </c>
      <c r="T370" s="19" t="s">
        <v>38</v>
      </c>
      <c r="U370" s="55"/>
      <c r="V370" s="424"/>
      <c r="W370" s="408"/>
      <c r="X370" s="408"/>
      <c r="Y370" s="408"/>
      <c r="Z370" s="199"/>
      <c r="AA370" s="199"/>
      <c r="AB370" s="199"/>
      <c r="AC370" s="199"/>
      <c r="AE370" s="39"/>
      <c r="AF370" s="30"/>
      <c r="AG370" s="30"/>
      <c r="AH370" s="30"/>
      <c r="AI370" s="30"/>
      <c r="AJ370" s="30"/>
      <c r="AK370" s="30"/>
      <c r="AL370" s="30"/>
      <c r="AM370" s="30"/>
      <c r="AN370" s="31"/>
    </row>
    <row r="371" spans="1:40" ht="13" customHeight="1">
      <c r="A371">
        <v>235</v>
      </c>
      <c r="B371" t="s">
        <v>687</v>
      </c>
      <c r="C371" t="s">
        <v>61</v>
      </c>
      <c r="D371" t="s">
        <v>62</v>
      </c>
      <c r="E371">
        <v>1420</v>
      </c>
      <c r="F371" t="s">
        <v>116</v>
      </c>
      <c r="G371" t="s">
        <v>57</v>
      </c>
      <c r="H371" t="s">
        <v>33</v>
      </c>
      <c r="I371" s="127">
        <f>(108*(1420/1200)^0.5)*1000000</f>
        <v>117483615.87898119</v>
      </c>
      <c r="J371" t="s">
        <v>34</v>
      </c>
      <c r="K371">
        <v>2010</v>
      </c>
      <c r="L371" t="s">
        <v>262</v>
      </c>
      <c r="P371" s="55" t="s">
        <v>38</v>
      </c>
      <c r="Q371" s="55" t="s">
        <v>38</v>
      </c>
      <c r="R371" s="19" t="s">
        <v>38</v>
      </c>
      <c r="S371" s="19" t="s">
        <v>38</v>
      </c>
      <c r="T371" s="19" t="s">
        <v>38</v>
      </c>
      <c r="U371" s="55"/>
      <c r="V371" s="424"/>
      <c r="W371" s="408"/>
      <c r="X371" s="408"/>
      <c r="Y371" s="408"/>
      <c r="Z371" s="199"/>
      <c r="AA371" s="199"/>
      <c r="AB371" s="199"/>
      <c r="AC371" s="199"/>
      <c r="AE371" s="39"/>
      <c r="AF371" s="30"/>
      <c r="AG371" s="30"/>
      <c r="AH371" s="30"/>
      <c r="AI371" s="30"/>
      <c r="AJ371" s="30"/>
      <c r="AK371" s="30"/>
      <c r="AL371" s="30"/>
      <c r="AM371" s="30"/>
      <c r="AN371" s="31"/>
    </row>
    <row r="372" spans="1:40" ht="13" customHeight="1">
      <c r="A372">
        <v>261</v>
      </c>
      <c r="B372" t="s">
        <v>286</v>
      </c>
      <c r="C372" t="s">
        <v>61</v>
      </c>
      <c r="D372" s="141" t="s">
        <v>278</v>
      </c>
      <c r="E372">
        <v>1604</v>
      </c>
      <c r="F372" t="s">
        <v>116</v>
      </c>
      <c r="G372" t="s">
        <v>57</v>
      </c>
      <c r="H372" t="s">
        <v>76</v>
      </c>
      <c r="I372">
        <v>26.8</v>
      </c>
      <c r="J372" t="s">
        <v>77</v>
      </c>
      <c r="K372">
        <v>2002</v>
      </c>
      <c r="L372" t="s">
        <v>287</v>
      </c>
      <c r="P372" s="19" t="s">
        <v>122</v>
      </c>
      <c r="Q372" s="55" t="s">
        <v>38</v>
      </c>
      <c r="R372" s="19" t="s">
        <v>38</v>
      </c>
      <c r="S372" s="19" t="s">
        <v>38</v>
      </c>
      <c r="T372" s="55" t="s">
        <v>38</v>
      </c>
      <c r="U372" s="55"/>
      <c r="V372" s="424"/>
      <c r="W372" s="408"/>
      <c r="X372" s="408"/>
      <c r="Y372" s="408"/>
      <c r="Z372" s="199"/>
      <c r="AA372" s="199"/>
      <c r="AB372" s="199"/>
      <c r="AC372" s="199"/>
      <c r="AE372" s="39"/>
      <c r="AF372" s="30"/>
      <c r="AG372" s="30"/>
      <c r="AH372" s="30"/>
      <c r="AI372" s="30"/>
      <c r="AJ372" s="30"/>
      <c r="AK372" s="30"/>
      <c r="AL372" s="30"/>
      <c r="AM372" s="30"/>
      <c r="AN372" s="31"/>
    </row>
    <row r="373" spans="1:40" ht="13" customHeight="1">
      <c r="A373">
        <v>262</v>
      </c>
      <c r="B373" t="s">
        <v>286</v>
      </c>
      <c r="C373" t="s">
        <v>61</v>
      </c>
      <c r="D373" s="141" t="s">
        <v>278</v>
      </c>
      <c r="E373">
        <v>1601</v>
      </c>
      <c r="F373" t="s">
        <v>116</v>
      </c>
      <c r="G373" t="s">
        <v>57</v>
      </c>
      <c r="H373" t="s">
        <v>76</v>
      </c>
      <c r="I373">
        <v>27.1</v>
      </c>
      <c r="J373" t="s">
        <v>77</v>
      </c>
      <c r="K373">
        <v>2002</v>
      </c>
      <c r="L373" t="s">
        <v>287</v>
      </c>
      <c r="P373" s="19" t="s">
        <v>122</v>
      </c>
      <c r="Q373" s="55" t="s">
        <v>38</v>
      </c>
      <c r="R373" s="19" t="s">
        <v>38</v>
      </c>
      <c r="S373" s="19" t="s">
        <v>38</v>
      </c>
      <c r="T373" s="55" t="s">
        <v>38</v>
      </c>
      <c r="U373" s="55"/>
      <c r="V373" s="424"/>
      <c r="W373" s="408"/>
      <c r="X373" s="408"/>
      <c r="Y373" s="408"/>
      <c r="Z373" s="199"/>
      <c r="AA373" s="199"/>
      <c r="AB373" s="199"/>
      <c r="AC373" s="199"/>
      <c r="AE373" s="39"/>
      <c r="AF373" s="30"/>
      <c r="AG373" s="30"/>
      <c r="AH373" s="30"/>
      <c r="AI373" s="30"/>
      <c r="AJ373" s="30"/>
      <c r="AK373" s="30"/>
      <c r="AL373" s="30"/>
      <c r="AM373" s="30"/>
      <c r="AN373" s="31"/>
    </row>
    <row r="374" spans="1:40" ht="13" customHeight="1">
      <c r="A374">
        <v>263</v>
      </c>
      <c r="B374" t="s">
        <v>286</v>
      </c>
      <c r="C374" t="s">
        <v>61</v>
      </c>
      <c r="D374" s="141" t="s">
        <v>278</v>
      </c>
      <c r="E374">
        <v>1598</v>
      </c>
      <c r="F374" t="s">
        <v>116</v>
      </c>
      <c r="G374" t="s">
        <v>57</v>
      </c>
      <c r="H374" t="s">
        <v>76</v>
      </c>
      <c r="I374">
        <v>28.2</v>
      </c>
      <c r="J374" t="s">
        <v>77</v>
      </c>
      <c r="K374">
        <v>2002</v>
      </c>
      <c r="L374" t="s">
        <v>287</v>
      </c>
      <c r="P374" s="19" t="s">
        <v>122</v>
      </c>
      <c r="Q374" s="55" t="s">
        <v>38</v>
      </c>
      <c r="R374" s="19" t="s">
        <v>38</v>
      </c>
      <c r="S374" s="19" t="s">
        <v>38</v>
      </c>
      <c r="T374" s="55" t="s">
        <v>38</v>
      </c>
      <c r="U374" s="55"/>
      <c r="V374" s="424"/>
      <c r="W374" s="408"/>
      <c r="X374" s="408"/>
      <c r="Y374" s="408"/>
      <c r="Z374" s="199"/>
      <c r="AA374" s="199"/>
      <c r="AB374" s="199"/>
      <c r="AC374" s="199"/>
      <c r="AE374" s="39"/>
      <c r="AF374" s="30"/>
      <c r="AG374" s="30"/>
      <c r="AH374" s="30"/>
      <c r="AI374" s="30"/>
      <c r="AJ374" s="30"/>
      <c r="AK374" s="30"/>
      <c r="AL374" s="30"/>
      <c r="AM374" s="30"/>
      <c r="AN374" s="31"/>
    </row>
    <row r="375" spans="1:40" ht="13" customHeight="1">
      <c r="A375">
        <v>264</v>
      </c>
      <c r="B375" t="s">
        <v>286</v>
      </c>
      <c r="C375" t="s">
        <v>61</v>
      </c>
      <c r="D375" s="141" t="s">
        <v>278</v>
      </c>
      <c r="E375">
        <v>1598</v>
      </c>
      <c r="F375" t="s">
        <v>116</v>
      </c>
      <c r="G375" t="s">
        <v>57</v>
      </c>
      <c r="H375" t="s">
        <v>76</v>
      </c>
      <c r="I375">
        <v>31.4</v>
      </c>
      <c r="J375" t="s">
        <v>77</v>
      </c>
      <c r="K375">
        <v>2002</v>
      </c>
      <c r="L375" t="s">
        <v>287</v>
      </c>
      <c r="P375" s="19" t="s">
        <v>122</v>
      </c>
      <c r="Q375" s="55" t="s">
        <v>38</v>
      </c>
      <c r="R375" s="19" t="s">
        <v>38</v>
      </c>
      <c r="S375" s="19" t="s">
        <v>38</v>
      </c>
      <c r="T375" s="55" t="s">
        <v>38</v>
      </c>
      <c r="U375" s="55"/>
      <c r="V375" s="424"/>
      <c r="W375" s="408"/>
      <c r="X375" s="408"/>
      <c r="Y375" s="408"/>
      <c r="Z375" s="199"/>
      <c r="AA375" s="199"/>
      <c r="AB375" s="199"/>
      <c r="AC375" s="199"/>
      <c r="AE375" s="39"/>
      <c r="AF375" s="30"/>
      <c r="AG375" s="30"/>
      <c r="AH375" s="30"/>
      <c r="AI375" s="30"/>
      <c r="AJ375" s="30"/>
      <c r="AK375" s="30"/>
      <c r="AL375" s="30"/>
      <c r="AM375" s="30"/>
      <c r="AN375" s="31"/>
    </row>
    <row r="376" spans="1:40" ht="13" customHeight="1">
      <c r="A376">
        <v>313</v>
      </c>
      <c r="B376" t="s">
        <v>81</v>
      </c>
      <c r="C376" t="s">
        <v>61</v>
      </c>
      <c r="D376" t="s">
        <v>62</v>
      </c>
      <c r="E376">
        <v>1000</v>
      </c>
      <c r="F376" t="s">
        <v>116</v>
      </c>
      <c r="G376" t="s">
        <v>57</v>
      </c>
      <c r="H376" t="s">
        <v>76</v>
      </c>
      <c r="I376">
        <v>270</v>
      </c>
      <c r="J376" t="s">
        <v>82</v>
      </c>
      <c r="K376">
        <v>1998</v>
      </c>
      <c r="L376" t="s">
        <v>311</v>
      </c>
      <c r="M376" s="80"/>
      <c r="O376" t="s">
        <v>312</v>
      </c>
      <c r="P376" s="19" t="s">
        <v>122</v>
      </c>
      <c r="Q376" s="55" t="s">
        <v>38</v>
      </c>
      <c r="R376" s="19" t="s">
        <v>38</v>
      </c>
      <c r="S376" s="19" t="s">
        <v>38</v>
      </c>
      <c r="T376" s="55" t="s">
        <v>38</v>
      </c>
      <c r="U376" s="55"/>
      <c r="V376" s="424"/>
      <c r="W376" s="408"/>
      <c r="X376" s="408"/>
      <c r="Y376" s="408"/>
      <c r="Z376" s="199"/>
      <c r="AA376" s="199"/>
      <c r="AB376" s="199"/>
      <c r="AC376" s="199"/>
      <c r="AE376" s="39"/>
      <c r="AF376" s="30"/>
      <c r="AG376" s="30"/>
      <c r="AH376" s="30"/>
      <c r="AI376" s="30"/>
      <c r="AJ376" s="30"/>
      <c r="AK376" s="30"/>
      <c r="AL376" s="30"/>
      <c r="AM376" s="30"/>
      <c r="AN376" s="31"/>
    </row>
    <row r="377" spans="1:40" ht="13" customHeight="1">
      <c r="A377">
        <v>319</v>
      </c>
      <c r="B377" t="s">
        <v>81</v>
      </c>
      <c r="C377" t="s">
        <v>61</v>
      </c>
      <c r="D377" t="s">
        <v>62</v>
      </c>
      <c r="E377">
        <v>1000</v>
      </c>
      <c r="F377" t="s">
        <v>116</v>
      </c>
      <c r="G377" t="s">
        <v>32</v>
      </c>
      <c r="H377" t="s">
        <v>76</v>
      </c>
      <c r="I377">
        <v>430</v>
      </c>
      <c r="J377" t="s">
        <v>82</v>
      </c>
      <c r="K377">
        <v>1998</v>
      </c>
      <c r="L377" t="s">
        <v>311</v>
      </c>
      <c r="M377" s="80"/>
      <c r="O377" t="s">
        <v>320</v>
      </c>
      <c r="P377" s="55" t="s">
        <v>38</v>
      </c>
      <c r="Q377" s="55" t="s">
        <v>38</v>
      </c>
      <c r="R377" s="19" t="s">
        <v>38</v>
      </c>
      <c r="S377" s="19" t="s">
        <v>38</v>
      </c>
      <c r="T377" s="55" t="s">
        <v>38</v>
      </c>
      <c r="U377" s="55"/>
      <c r="V377" s="424"/>
      <c r="W377" s="408"/>
      <c r="X377" s="408"/>
      <c r="Y377" s="408"/>
      <c r="Z377" s="199"/>
      <c r="AA377" s="199"/>
      <c r="AB377" s="199"/>
      <c r="AC377" s="199"/>
      <c r="AE377" s="39"/>
      <c r="AF377" s="30"/>
      <c r="AG377" s="30"/>
      <c r="AH377" s="30"/>
      <c r="AI377" s="30"/>
      <c r="AJ377" s="30"/>
      <c r="AK377" s="30"/>
      <c r="AL377" s="30"/>
      <c r="AM377" s="30"/>
      <c r="AN377" s="31"/>
    </row>
    <row r="378" spans="1:40" ht="13" hidden="1" customHeight="1">
      <c r="A378" s="186">
        <v>312</v>
      </c>
      <c r="B378" s="186" t="s">
        <v>79</v>
      </c>
      <c r="C378" s="186" t="s">
        <v>61</v>
      </c>
      <c r="D378" s="186" t="s">
        <v>62</v>
      </c>
      <c r="E378" s="186" t="s">
        <v>257</v>
      </c>
      <c r="F378" s="186" t="s">
        <v>308</v>
      </c>
      <c r="G378" s="186" t="s">
        <v>32</v>
      </c>
      <c r="H378" s="186" t="s">
        <v>33</v>
      </c>
      <c r="I378" s="186">
        <f>25*1000000000</f>
        <v>25000000000</v>
      </c>
      <c r="J378" s="186" t="s">
        <v>34</v>
      </c>
      <c r="K378" s="186">
        <v>2017</v>
      </c>
      <c r="L378" s="186" t="s">
        <v>309</v>
      </c>
      <c r="M378" s="186"/>
      <c r="N378" s="186"/>
      <c r="O378" s="186" t="s">
        <v>310</v>
      </c>
      <c r="P378" s="187" t="s">
        <v>38</v>
      </c>
      <c r="Q378" s="187" t="s">
        <v>38</v>
      </c>
      <c r="R378" s="188" t="s">
        <v>38</v>
      </c>
      <c r="S378" s="188" t="s">
        <v>38</v>
      </c>
      <c r="T378" s="187" t="s">
        <v>38</v>
      </c>
      <c r="U378" s="55"/>
      <c r="V378" s="208"/>
      <c r="X378" s="207"/>
      <c r="Y378" s="207"/>
      <c r="AE378" s="39"/>
      <c r="AF378" s="30"/>
      <c r="AG378" s="30"/>
      <c r="AH378" s="30"/>
      <c r="AI378" s="30"/>
      <c r="AJ378" s="30"/>
      <c r="AK378" s="30"/>
      <c r="AL378" s="30"/>
      <c r="AM378" s="30"/>
      <c r="AN378" s="31"/>
    </row>
    <row r="379" spans="1:40" ht="13" customHeight="1">
      <c r="A379">
        <v>321</v>
      </c>
      <c r="B379" t="s">
        <v>81</v>
      </c>
      <c r="C379" t="s">
        <v>61</v>
      </c>
      <c r="D379" t="s">
        <v>62</v>
      </c>
      <c r="E379">
        <v>1000</v>
      </c>
      <c r="F379" t="s">
        <v>116</v>
      </c>
      <c r="G379" t="s">
        <v>32</v>
      </c>
      <c r="H379" t="s">
        <v>76</v>
      </c>
      <c r="I379">
        <v>377</v>
      </c>
      <c r="J379" t="s">
        <v>82</v>
      </c>
      <c r="K379">
        <v>1998</v>
      </c>
      <c r="L379" t="s">
        <v>311</v>
      </c>
      <c r="M379" s="80"/>
      <c r="O379" t="s">
        <v>321</v>
      </c>
      <c r="P379" s="19" t="s">
        <v>122</v>
      </c>
      <c r="Q379" s="55" t="s">
        <v>38</v>
      </c>
      <c r="R379" s="19" t="s">
        <v>38</v>
      </c>
      <c r="S379" s="19" t="s">
        <v>38</v>
      </c>
      <c r="T379" s="55" t="s">
        <v>38</v>
      </c>
      <c r="U379" s="55"/>
      <c r="V379" s="425" t="s">
        <v>911</v>
      </c>
      <c r="W379" s="392" t="s">
        <v>901</v>
      </c>
      <c r="X379" s="392" t="s">
        <v>1022</v>
      </c>
      <c r="Y379" s="392" t="s">
        <v>1023</v>
      </c>
      <c r="Z379" s="202"/>
      <c r="AA379" s="202"/>
      <c r="AB379" s="202"/>
      <c r="AC379" s="202"/>
      <c r="AE379" s="39"/>
      <c r="AF379" s="30"/>
      <c r="AG379" s="30"/>
      <c r="AH379" s="30"/>
      <c r="AI379" s="30"/>
      <c r="AJ379" s="30"/>
      <c r="AK379" s="30"/>
      <c r="AL379" s="30"/>
      <c r="AM379" s="30"/>
      <c r="AN379" s="31"/>
    </row>
    <row r="380" spans="1:40" ht="13" customHeight="1">
      <c r="A380">
        <v>322</v>
      </c>
      <c r="B380" t="s">
        <v>81</v>
      </c>
      <c r="C380" t="s">
        <v>61</v>
      </c>
      <c r="D380" t="s">
        <v>62</v>
      </c>
      <c r="E380">
        <v>1000</v>
      </c>
      <c r="F380" t="s">
        <v>116</v>
      </c>
      <c r="G380" t="s">
        <v>57</v>
      </c>
      <c r="H380" t="s">
        <v>76</v>
      </c>
      <c r="I380">
        <v>377</v>
      </c>
      <c r="J380" t="s">
        <v>82</v>
      </c>
      <c r="K380">
        <v>1998</v>
      </c>
      <c r="L380" t="s">
        <v>311</v>
      </c>
      <c r="M380" s="80"/>
      <c r="O380" t="s">
        <v>322</v>
      </c>
      <c r="P380" s="19" t="s">
        <v>122</v>
      </c>
      <c r="Q380" s="55" t="s">
        <v>38</v>
      </c>
      <c r="R380" s="19" t="s">
        <v>38</v>
      </c>
      <c r="S380" s="19" t="s">
        <v>38</v>
      </c>
      <c r="T380" s="55" t="s">
        <v>38</v>
      </c>
      <c r="U380" s="55"/>
      <c r="V380" s="425"/>
      <c r="W380" s="392"/>
      <c r="X380" s="395"/>
      <c r="Y380" s="395"/>
      <c r="Z380" s="202"/>
      <c r="AA380" s="202"/>
      <c r="AB380" s="202"/>
      <c r="AC380" s="202"/>
      <c r="AE380" s="39"/>
      <c r="AF380" s="30"/>
      <c r="AG380" s="30"/>
      <c r="AH380" s="30"/>
      <c r="AI380" s="30"/>
      <c r="AJ380" s="30"/>
      <c r="AK380" s="30"/>
      <c r="AL380" s="30"/>
      <c r="AM380" s="30"/>
      <c r="AN380" s="31"/>
    </row>
    <row r="381" spans="1:40" ht="13" customHeight="1">
      <c r="A381">
        <v>326</v>
      </c>
      <c r="B381" t="s">
        <v>81</v>
      </c>
      <c r="C381" t="s">
        <v>61</v>
      </c>
      <c r="D381" t="s">
        <v>62</v>
      </c>
      <c r="E381">
        <v>1000</v>
      </c>
      <c r="F381" t="s">
        <v>116</v>
      </c>
      <c r="G381" t="s">
        <v>52</v>
      </c>
      <c r="H381" t="s">
        <v>76</v>
      </c>
      <c r="I381">
        <v>190</v>
      </c>
      <c r="J381" t="s">
        <v>82</v>
      </c>
      <c r="K381">
        <v>1998</v>
      </c>
      <c r="L381" t="s">
        <v>311</v>
      </c>
      <c r="M381" s="80"/>
      <c r="O381" t="s">
        <v>323</v>
      </c>
      <c r="P381" s="19" t="s">
        <v>122</v>
      </c>
      <c r="Q381" s="55" t="s">
        <v>38</v>
      </c>
      <c r="R381" s="19" t="s">
        <v>38</v>
      </c>
      <c r="S381" s="19" t="s">
        <v>38</v>
      </c>
      <c r="T381" s="55" t="s">
        <v>38</v>
      </c>
      <c r="U381" s="55"/>
      <c r="V381" s="425"/>
      <c r="W381" s="392"/>
      <c r="X381" s="395"/>
      <c r="Y381" s="395"/>
      <c r="Z381" s="202"/>
      <c r="AA381" s="202"/>
      <c r="AB381" s="202"/>
      <c r="AC381" s="202"/>
      <c r="AE381" s="39"/>
      <c r="AF381" s="30"/>
      <c r="AG381" s="30"/>
      <c r="AH381" s="30"/>
      <c r="AI381" s="30"/>
      <c r="AJ381" s="30"/>
      <c r="AK381" s="30"/>
      <c r="AL381" s="30"/>
      <c r="AM381" s="30"/>
      <c r="AN381" s="31"/>
    </row>
    <row r="382" spans="1:40" ht="13" customHeight="1">
      <c r="A382">
        <v>327</v>
      </c>
      <c r="B382" t="s">
        <v>81</v>
      </c>
      <c r="C382" t="s">
        <v>61</v>
      </c>
      <c r="D382" t="s">
        <v>62</v>
      </c>
      <c r="E382">
        <v>1000</v>
      </c>
      <c r="F382" t="s">
        <v>116</v>
      </c>
      <c r="G382" t="s">
        <v>754</v>
      </c>
      <c r="H382" t="s">
        <v>76</v>
      </c>
      <c r="I382">
        <v>184</v>
      </c>
      <c r="J382" t="s">
        <v>82</v>
      </c>
      <c r="K382">
        <v>1998</v>
      </c>
      <c r="L382" t="s">
        <v>311</v>
      </c>
      <c r="M382" s="80"/>
      <c r="O382" t="s">
        <v>324</v>
      </c>
      <c r="P382" s="19" t="s">
        <v>122</v>
      </c>
      <c r="Q382" s="55" t="s">
        <v>38</v>
      </c>
      <c r="R382" s="19" t="s">
        <v>38</v>
      </c>
      <c r="S382" s="19" t="s">
        <v>38</v>
      </c>
      <c r="T382" s="55" t="s">
        <v>38</v>
      </c>
      <c r="U382" s="55"/>
      <c r="V382" s="425"/>
      <c r="W382" s="392"/>
      <c r="X382" s="395"/>
      <c r="Y382" s="395"/>
      <c r="Z382" s="202"/>
      <c r="AA382" s="202"/>
      <c r="AB382" s="202"/>
      <c r="AC382" s="202"/>
      <c r="AE382" s="39"/>
      <c r="AF382" s="30"/>
      <c r="AG382" s="30"/>
      <c r="AH382" s="30"/>
      <c r="AI382" s="30"/>
      <c r="AJ382" s="30"/>
      <c r="AK382" s="30"/>
      <c r="AL382" s="30"/>
      <c r="AM382" s="30"/>
      <c r="AN382" s="31"/>
    </row>
    <row r="383" spans="1:40" ht="13" hidden="1" customHeight="1">
      <c r="A383">
        <v>329</v>
      </c>
      <c r="B383" t="s">
        <v>325</v>
      </c>
      <c r="C383" t="s">
        <v>61</v>
      </c>
      <c r="D383" t="s">
        <v>326</v>
      </c>
      <c r="E383">
        <v>1100</v>
      </c>
      <c r="F383" t="s">
        <v>115</v>
      </c>
      <c r="G383" s="117" t="s">
        <v>52</v>
      </c>
      <c r="H383" t="s">
        <v>33</v>
      </c>
      <c r="I383">
        <f>70*1000000</f>
        <v>70000000</v>
      </c>
      <c r="J383" t="s">
        <v>34</v>
      </c>
      <c r="K383">
        <v>1982</v>
      </c>
      <c r="L383" s="80" t="s">
        <v>327</v>
      </c>
      <c r="M383" s="80"/>
      <c r="N383" s="80"/>
      <c r="O383" t="s">
        <v>328</v>
      </c>
      <c r="P383" s="19" t="s">
        <v>122</v>
      </c>
      <c r="Q383" s="19" t="s">
        <v>38</v>
      </c>
      <c r="R383" s="19" t="s">
        <v>38</v>
      </c>
      <c r="S383" s="19" t="s">
        <v>38</v>
      </c>
      <c r="T383" s="55" t="s">
        <v>38</v>
      </c>
      <c r="U383" s="55"/>
      <c r="V383" s="425"/>
      <c r="W383" s="392"/>
      <c r="X383" s="395"/>
      <c r="Y383" s="395"/>
      <c r="Z383" s="202"/>
      <c r="AA383" s="202"/>
      <c r="AB383" s="202"/>
      <c r="AC383" s="202"/>
      <c r="AE383" s="39"/>
      <c r="AF383" s="30"/>
      <c r="AG383" s="30"/>
      <c r="AH383" s="30"/>
      <c r="AI383" s="30"/>
      <c r="AJ383" s="30"/>
      <c r="AK383" s="30"/>
      <c r="AL383" s="30"/>
      <c r="AM383" s="30"/>
      <c r="AN383" s="31"/>
    </row>
    <row r="384" spans="1:40" ht="13" customHeight="1">
      <c r="A384">
        <v>330</v>
      </c>
      <c r="B384" t="s">
        <v>325</v>
      </c>
      <c r="C384" t="s">
        <v>61</v>
      </c>
      <c r="D384" t="s">
        <v>326</v>
      </c>
      <c r="E384">
        <v>1100</v>
      </c>
      <c r="F384" t="s">
        <v>116</v>
      </c>
      <c r="G384" t="s">
        <v>52</v>
      </c>
      <c r="H384" t="s">
        <v>33</v>
      </c>
      <c r="I384">
        <f>73*1000000</f>
        <v>73000000</v>
      </c>
      <c r="J384" t="s">
        <v>34</v>
      </c>
      <c r="K384">
        <v>1982</v>
      </c>
      <c r="L384" t="s">
        <v>327</v>
      </c>
      <c r="P384" s="19" t="s">
        <v>122</v>
      </c>
      <c r="Q384" s="19" t="s">
        <v>38</v>
      </c>
      <c r="R384" s="19" t="s">
        <v>38</v>
      </c>
      <c r="S384" s="19" t="s">
        <v>38</v>
      </c>
      <c r="T384" s="55" t="s">
        <v>38</v>
      </c>
      <c r="U384" s="55"/>
      <c r="V384" s="425"/>
      <c r="W384" s="392"/>
      <c r="X384" s="395"/>
      <c r="Y384" s="395"/>
      <c r="Z384" s="202"/>
      <c r="AA384" s="202"/>
      <c r="AB384" s="202"/>
      <c r="AC384" s="202"/>
      <c r="AE384" s="39"/>
      <c r="AF384" s="30"/>
      <c r="AG384" s="30"/>
      <c r="AH384" s="30"/>
      <c r="AI384" s="30"/>
      <c r="AJ384" s="30"/>
      <c r="AK384" s="30"/>
      <c r="AL384" s="30"/>
      <c r="AM384" s="30"/>
      <c r="AN384" s="31"/>
    </row>
    <row r="385" spans="1:40" ht="13" customHeight="1">
      <c r="B385" t="s">
        <v>187</v>
      </c>
      <c r="C385" t="s">
        <v>61</v>
      </c>
      <c r="D385" t="s">
        <v>62</v>
      </c>
      <c r="E385">
        <v>1200</v>
      </c>
      <c r="F385" t="s">
        <v>116</v>
      </c>
      <c r="G385" t="s">
        <v>52</v>
      </c>
      <c r="H385" t="s">
        <v>76</v>
      </c>
      <c r="I385">
        <v>18.100000000000001</v>
      </c>
      <c r="J385" t="s">
        <v>77</v>
      </c>
      <c r="K385">
        <v>1986</v>
      </c>
      <c r="L385" s="5" t="s">
        <v>1105</v>
      </c>
      <c r="M385" s="5"/>
      <c r="N385" s="5"/>
      <c r="O385" t="s">
        <v>1230</v>
      </c>
      <c r="P385" s="55"/>
      <c r="Q385" s="55"/>
      <c r="R385" s="19"/>
      <c r="S385" s="19"/>
      <c r="T385" s="19"/>
      <c r="U385" s="55"/>
      <c r="V385" s="425"/>
      <c r="W385" s="392"/>
      <c r="X385" s="395"/>
      <c r="Y385" s="395"/>
      <c r="Z385" s="202"/>
      <c r="AA385" s="202"/>
      <c r="AB385" s="202"/>
      <c r="AC385" s="202"/>
      <c r="AE385" s="39"/>
      <c r="AF385" s="30"/>
      <c r="AG385" s="30"/>
      <c r="AH385" s="30"/>
      <c r="AI385" s="30"/>
      <c r="AJ385" s="30"/>
      <c r="AK385" s="30"/>
      <c r="AL385" s="30"/>
      <c r="AM385" s="30"/>
      <c r="AN385" s="31"/>
    </row>
    <row r="386" spans="1:40" ht="13" customHeight="1">
      <c r="B386" t="s">
        <v>165</v>
      </c>
      <c r="C386" t="s">
        <v>61</v>
      </c>
      <c r="D386" t="s">
        <v>62</v>
      </c>
      <c r="E386">
        <v>1200</v>
      </c>
      <c r="F386" t="s">
        <v>116</v>
      </c>
      <c r="G386" t="s">
        <v>52</v>
      </c>
      <c r="H386" t="s">
        <v>76</v>
      </c>
      <c r="I386">
        <v>13.2</v>
      </c>
      <c r="J386" t="s">
        <v>77</v>
      </c>
      <c r="K386">
        <v>1986</v>
      </c>
      <c r="L386" s="5" t="s">
        <v>1105</v>
      </c>
      <c r="M386" s="5"/>
      <c r="N386" s="5"/>
      <c r="O386" t="s">
        <v>1230</v>
      </c>
      <c r="P386" s="55"/>
      <c r="Q386" s="55"/>
      <c r="R386" s="19"/>
      <c r="S386" s="19"/>
      <c r="T386" s="19"/>
      <c r="U386" s="55"/>
      <c r="V386" s="425"/>
      <c r="W386" s="392"/>
      <c r="X386" s="395"/>
      <c r="Y386" s="395"/>
      <c r="Z386" s="202"/>
      <c r="AA386" s="202"/>
      <c r="AB386" s="202"/>
      <c r="AC386" s="202"/>
      <c r="AE386" s="39"/>
      <c r="AF386" s="30"/>
      <c r="AG386" s="30"/>
      <c r="AH386" s="30"/>
      <c r="AI386" s="30"/>
      <c r="AJ386" s="30"/>
      <c r="AK386" s="30"/>
      <c r="AL386" s="30"/>
      <c r="AM386" s="30"/>
      <c r="AN386" s="31"/>
    </row>
    <row r="387" spans="1:40" ht="13" customHeight="1">
      <c r="B387" t="s">
        <v>170</v>
      </c>
      <c r="C387" t="s">
        <v>61</v>
      </c>
      <c r="D387" t="s">
        <v>113</v>
      </c>
      <c r="E387">
        <v>970</v>
      </c>
      <c r="F387" t="s">
        <v>116</v>
      </c>
      <c r="G387" t="s">
        <v>52</v>
      </c>
      <c r="H387" t="s">
        <v>76</v>
      </c>
      <c r="I387">
        <v>13.5</v>
      </c>
      <c r="J387" t="s">
        <v>77</v>
      </c>
      <c r="K387">
        <v>1986</v>
      </c>
      <c r="L387" s="5" t="s">
        <v>1105</v>
      </c>
      <c r="M387" s="5"/>
      <c r="N387" s="5"/>
      <c r="O387" t="s">
        <v>1230</v>
      </c>
      <c r="P387" s="55"/>
      <c r="Q387" s="55"/>
      <c r="R387" s="19"/>
      <c r="S387" s="19"/>
      <c r="T387" s="19"/>
      <c r="U387" s="55"/>
      <c r="V387" s="425"/>
      <c r="W387" s="392"/>
      <c r="X387" s="395"/>
      <c r="Y387" s="395"/>
      <c r="Z387" s="202"/>
      <c r="AA387" s="202"/>
      <c r="AB387" s="202"/>
      <c r="AC387" s="202"/>
      <c r="AE387" s="39"/>
      <c r="AF387" s="30"/>
      <c r="AG387" s="30"/>
      <c r="AH387" s="30"/>
      <c r="AI387" s="30"/>
      <c r="AJ387" s="30"/>
      <c r="AK387" s="30"/>
      <c r="AL387" s="30"/>
      <c r="AM387" s="30"/>
      <c r="AN387" s="31"/>
    </row>
    <row r="388" spans="1:40" ht="13" customHeight="1">
      <c r="B388" t="s">
        <v>172</v>
      </c>
      <c r="C388" t="s">
        <v>61</v>
      </c>
      <c r="D388" t="s">
        <v>113</v>
      </c>
      <c r="E388">
        <v>970</v>
      </c>
      <c r="F388" t="s">
        <v>116</v>
      </c>
      <c r="G388" t="s">
        <v>52</v>
      </c>
      <c r="H388" t="s">
        <v>76</v>
      </c>
      <c r="I388">
        <v>12.8</v>
      </c>
      <c r="J388" t="s">
        <v>77</v>
      </c>
      <c r="K388">
        <v>1986</v>
      </c>
      <c r="L388" s="5" t="s">
        <v>1105</v>
      </c>
      <c r="M388" s="5"/>
      <c r="N388" s="5"/>
      <c r="O388" t="s">
        <v>1230</v>
      </c>
      <c r="P388" s="55"/>
      <c r="Q388" s="55"/>
      <c r="R388" s="19"/>
      <c r="S388" s="19"/>
      <c r="T388" s="19"/>
      <c r="U388" s="55"/>
      <c r="V388" s="425"/>
      <c r="W388" s="392"/>
      <c r="X388" s="395"/>
      <c r="Y388" s="395"/>
      <c r="Z388" s="202"/>
      <c r="AA388" s="202"/>
      <c r="AB388" s="202"/>
      <c r="AC388" s="202"/>
      <c r="AE388" s="39"/>
      <c r="AF388" s="30"/>
      <c r="AG388" s="30"/>
      <c r="AH388" s="30"/>
      <c r="AI388" s="30"/>
      <c r="AJ388" s="30"/>
      <c r="AK388" s="30"/>
      <c r="AL388" s="30"/>
      <c r="AM388" s="30"/>
      <c r="AN388" s="31"/>
    </row>
    <row r="389" spans="1:40" ht="13" customHeight="1">
      <c r="B389" t="s">
        <v>174</v>
      </c>
      <c r="C389" t="s">
        <v>61</v>
      </c>
      <c r="D389" t="s">
        <v>62</v>
      </c>
      <c r="E389">
        <v>1200</v>
      </c>
      <c r="F389" t="s">
        <v>116</v>
      </c>
      <c r="G389" t="s">
        <v>52</v>
      </c>
      <c r="H389" t="s">
        <v>76</v>
      </c>
      <c r="I389">
        <v>13.4</v>
      </c>
      <c r="J389" t="s">
        <v>77</v>
      </c>
      <c r="K389">
        <v>1986</v>
      </c>
      <c r="L389" s="5" t="s">
        <v>1105</v>
      </c>
      <c r="M389" s="5"/>
      <c r="N389" s="5"/>
      <c r="O389" t="s">
        <v>1230</v>
      </c>
      <c r="P389" s="55"/>
      <c r="Q389" s="55"/>
      <c r="R389" s="19"/>
      <c r="S389" s="19"/>
      <c r="T389" s="19"/>
      <c r="U389" s="55"/>
      <c r="V389" s="425"/>
      <c r="W389" s="392"/>
      <c r="X389" s="395"/>
      <c r="Y389" s="395"/>
      <c r="Z389" s="202"/>
      <c r="AA389" s="202"/>
      <c r="AB389" s="202"/>
      <c r="AC389" s="202"/>
      <c r="AE389" s="39"/>
      <c r="AF389" s="30"/>
      <c r="AG389" s="30"/>
      <c r="AH389" s="30"/>
      <c r="AI389" s="30"/>
      <c r="AJ389" s="30"/>
      <c r="AK389" s="30"/>
      <c r="AL389" s="30"/>
      <c r="AM389" s="30"/>
      <c r="AN389" s="31"/>
    </row>
    <row r="390" spans="1:40" ht="13" customHeight="1">
      <c r="B390" t="s">
        <v>176</v>
      </c>
      <c r="C390" t="s">
        <v>61</v>
      </c>
      <c r="D390" t="s">
        <v>62</v>
      </c>
      <c r="E390">
        <v>1200</v>
      </c>
      <c r="F390" t="s">
        <v>116</v>
      </c>
      <c r="G390" t="s">
        <v>52</v>
      </c>
      <c r="H390" t="s">
        <v>76</v>
      </c>
      <c r="I390">
        <v>17.8</v>
      </c>
      <c r="J390" t="s">
        <v>77</v>
      </c>
      <c r="K390">
        <v>1986</v>
      </c>
      <c r="L390" s="5" t="s">
        <v>1105</v>
      </c>
      <c r="M390" s="5"/>
      <c r="N390" s="5"/>
      <c r="O390" t="s">
        <v>1230</v>
      </c>
      <c r="P390" s="55"/>
      <c r="Q390" s="55"/>
      <c r="R390" s="19"/>
      <c r="S390" s="19"/>
      <c r="T390" s="19"/>
      <c r="U390" s="55"/>
      <c r="V390" s="391" t="s">
        <v>910</v>
      </c>
      <c r="W390" s="392" t="s">
        <v>900</v>
      </c>
      <c r="X390" s="392" t="s">
        <v>899</v>
      </c>
      <c r="Y390" s="392" t="s">
        <v>898</v>
      </c>
      <c r="Z390" s="199"/>
      <c r="AA390" s="199"/>
      <c r="AB390" s="199"/>
      <c r="AC390" s="199"/>
      <c r="AE390" s="39"/>
      <c r="AF390" s="30"/>
      <c r="AG390" s="30"/>
      <c r="AH390" s="30"/>
      <c r="AI390" s="30"/>
      <c r="AJ390" s="30"/>
      <c r="AK390" s="30"/>
      <c r="AL390" s="30"/>
      <c r="AM390" s="30"/>
      <c r="AN390" s="31"/>
    </row>
    <row r="391" spans="1:40" ht="13" customHeight="1">
      <c r="B391" t="s">
        <v>182</v>
      </c>
      <c r="C391" t="s">
        <v>61</v>
      </c>
      <c r="D391" t="s">
        <v>62</v>
      </c>
      <c r="E391">
        <v>1200</v>
      </c>
      <c r="F391" t="s">
        <v>116</v>
      </c>
      <c r="G391" t="s">
        <v>52</v>
      </c>
      <c r="H391" t="s">
        <v>76</v>
      </c>
      <c r="I391">
        <v>16.100000000000001</v>
      </c>
      <c r="J391" t="s">
        <v>77</v>
      </c>
      <c r="K391">
        <v>1986</v>
      </c>
      <c r="L391" s="5" t="s">
        <v>1105</v>
      </c>
      <c r="M391" s="5"/>
      <c r="N391" s="5"/>
      <c r="O391" t="s">
        <v>1230</v>
      </c>
      <c r="P391" s="55"/>
      <c r="Q391" s="55"/>
      <c r="R391" s="19"/>
      <c r="S391" s="19"/>
      <c r="T391" s="19"/>
      <c r="U391" s="55"/>
      <c r="V391" s="391"/>
      <c r="W391" s="392"/>
      <c r="X391" s="392"/>
      <c r="Y391" s="392"/>
      <c r="Z391" s="199"/>
      <c r="AA391" s="199"/>
      <c r="AB391" s="199"/>
      <c r="AC391" s="199"/>
      <c r="AE391" s="39"/>
      <c r="AF391" s="30"/>
      <c r="AG391" s="30"/>
      <c r="AH391" s="30"/>
      <c r="AI391" s="30"/>
      <c r="AJ391" s="30"/>
      <c r="AK391" s="30"/>
      <c r="AL391" s="30"/>
      <c r="AM391" s="30"/>
      <c r="AN391" s="31"/>
    </row>
    <row r="392" spans="1:40" ht="13" customHeight="1">
      <c r="B392" t="s">
        <v>1100</v>
      </c>
      <c r="C392" t="s">
        <v>61</v>
      </c>
      <c r="D392" t="s">
        <v>62</v>
      </c>
      <c r="E392">
        <v>1200</v>
      </c>
      <c r="F392" t="s">
        <v>116</v>
      </c>
      <c r="G392" t="s">
        <v>52</v>
      </c>
      <c r="H392" t="s">
        <v>76</v>
      </c>
      <c r="I392">
        <v>8.9</v>
      </c>
      <c r="J392" t="s">
        <v>77</v>
      </c>
      <c r="K392">
        <v>1986</v>
      </c>
      <c r="L392" s="5" t="s">
        <v>1105</v>
      </c>
      <c r="M392" s="5"/>
      <c r="N392" s="5"/>
      <c r="O392" t="s">
        <v>1230</v>
      </c>
      <c r="P392" s="55"/>
      <c r="Q392" s="55"/>
      <c r="R392" s="19"/>
      <c r="S392" s="19"/>
      <c r="T392" s="19"/>
      <c r="U392" s="55"/>
      <c r="V392" s="391"/>
      <c r="W392" s="392"/>
      <c r="X392" s="392"/>
      <c r="Y392" s="392"/>
      <c r="Z392" s="199"/>
      <c r="AA392" s="199"/>
      <c r="AB392" s="199"/>
      <c r="AC392" s="199"/>
      <c r="AE392" s="39"/>
      <c r="AF392" s="30"/>
      <c r="AG392" s="30"/>
      <c r="AH392" s="30"/>
      <c r="AI392" s="30"/>
      <c r="AJ392" s="30"/>
      <c r="AK392" s="30"/>
      <c r="AL392" s="30"/>
      <c r="AM392" s="30"/>
      <c r="AN392" s="31"/>
    </row>
    <row r="393" spans="1:40" ht="13" customHeight="1">
      <c r="A393">
        <v>378</v>
      </c>
      <c r="B393" t="s">
        <v>695</v>
      </c>
      <c r="C393" t="s">
        <v>61</v>
      </c>
      <c r="D393" t="s">
        <v>62</v>
      </c>
      <c r="E393">
        <v>1200</v>
      </c>
      <c r="F393" t="s">
        <v>116</v>
      </c>
      <c r="G393" t="s">
        <v>52</v>
      </c>
      <c r="H393" t="s">
        <v>76</v>
      </c>
      <c r="I393">
        <v>6.7</v>
      </c>
      <c r="J393" t="s">
        <v>77</v>
      </c>
      <c r="K393">
        <v>1990</v>
      </c>
      <c r="L393" t="s">
        <v>369</v>
      </c>
      <c r="P393" s="19" t="s">
        <v>122</v>
      </c>
      <c r="Q393" s="55" t="s">
        <v>38</v>
      </c>
      <c r="R393" s="19" t="s">
        <v>38</v>
      </c>
      <c r="S393" s="19" t="s">
        <v>38</v>
      </c>
      <c r="T393" s="55" t="s">
        <v>38</v>
      </c>
      <c r="U393" s="55"/>
      <c r="V393" s="423"/>
      <c r="W393" s="408" t="s">
        <v>1025</v>
      </c>
      <c r="X393" s="408" t="s">
        <v>1024</v>
      </c>
      <c r="Y393" s="407" t="s">
        <v>871</v>
      </c>
      <c r="Z393" s="195"/>
      <c r="AA393" s="195"/>
      <c r="AB393" s="195"/>
      <c r="AC393" s="195"/>
      <c r="AE393" s="39"/>
      <c r="AF393" s="30"/>
      <c r="AG393" s="30"/>
      <c r="AH393" s="30"/>
      <c r="AI393" s="30"/>
      <c r="AJ393" s="30"/>
      <c r="AK393" s="30"/>
      <c r="AL393" s="30"/>
      <c r="AM393" s="30"/>
      <c r="AN393" s="31"/>
    </row>
    <row r="394" spans="1:40" ht="13" customHeight="1">
      <c r="A394">
        <v>382</v>
      </c>
      <c r="B394" t="s">
        <v>696</v>
      </c>
      <c r="C394" t="s">
        <v>61</v>
      </c>
      <c r="D394" t="s">
        <v>62</v>
      </c>
      <c r="E394">
        <v>1200</v>
      </c>
      <c r="F394" t="s">
        <v>116</v>
      </c>
      <c r="G394" t="s">
        <v>32</v>
      </c>
      <c r="H394" t="s">
        <v>76</v>
      </c>
      <c r="I394">
        <v>5.2</v>
      </c>
      <c r="J394" t="s">
        <v>77</v>
      </c>
      <c r="K394">
        <v>1990</v>
      </c>
      <c r="L394" t="s">
        <v>369</v>
      </c>
      <c r="O394" t="s">
        <v>375</v>
      </c>
      <c r="P394" s="19" t="s">
        <v>122</v>
      </c>
      <c r="Q394" s="55" t="s">
        <v>38</v>
      </c>
      <c r="R394" s="19" t="s">
        <v>38</v>
      </c>
      <c r="S394" s="19" t="s">
        <v>38</v>
      </c>
      <c r="T394" s="55" t="s">
        <v>38</v>
      </c>
      <c r="U394" s="55"/>
      <c r="V394" s="423"/>
      <c r="W394" s="409"/>
      <c r="X394" s="409"/>
      <c r="Y394" s="407"/>
      <c r="Z394" s="195"/>
      <c r="AA394" s="195"/>
      <c r="AB394" s="195"/>
      <c r="AC394" s="195"/>
      <c r="AE394" s="39"/>
      <c r="AF394" s="30"/>
      <c r="AG394" s="30"/>
      <c r="AH394" s="30"/>
      <c r="AI394" s="30"/>
      <c r="AJ394" s="30"/>
      <c r="AK394" s="30"/>
      <c r="AL394" s="30"/>
      <c r="AM394" s="30"/>
      <c r="AN394" s="31"/>
    </row>
    <row r="395" spans="1:40" ht="13" customHeight="1">
      <c r="A395">
        <v>389</v>
      </c>
      <c r="B395" s="6" t="s">
        <v>385</v>
      </c>
      <c r="C395" s="6" t="s">
        <v>61</v>
      </c>
      <c r="D395" s="6" t="s">
        <v>62</v>
      </c>
      <c r="E395" s="6">
        <v>1200</v>
      </c>
      <c r="F395" s="6" t="s">
        <v>116</v>
      </c>
      <c r="G395" t="s">
        <v>52</v>
      </c>
      <c r="H395" s="6" t="s">
        <v>33</v>
      </c>
      <c r="I395" s="6">
        <v>49100000</v>
      </c>
      <c r="J395" s="6" t="s">
        <v>34</v>
      </c>
      <c r="K395" s="6">
        <v>1982</v>
      </c>
      <c r="L395" s="6" t="s">
        <v>693</v>
      </c>
      <c r="M395" s="6"/>
      <c r="N395" s="6"/>
      <c r="O395" s="6"/>
      <c r="P395" s="19" t="s">
        <v>122</v>
      </c>
      <c r="Q395" s="19" t="s">
        <v>38</v>
      </c>
      <c r="R395" s="19" t="s">
        <v>38</v>
      </c>
      <c r="S395" s="19" t="s">
        <v>38</v>
      </c>
      <c r="T395" s="55" t="s">
        <v>38</v>
      </c>
      <c r="U395" s="55"/>
      <c r="V395" s="423"/>
      <c r="W395" s="409"/>
      <c r="X395" s="409"/>
      <c r="Y395" s="407"/>
      <c r="Z395" s="195"/>
      <c r="AA395" s="195"/>
      <c r="AB395" s="195"/>
      <c r="AC395" s="195"/>
      <c r="AE395" s="39"/>
      <c r="AF395" s="30"/>
      <c r="AG395" s="30"/>
      <c r="AH395" s="30"/>
      <c r="AI395" s="30"/>
      <c r="AJ395" s="30"/>
      <c r="AK395" s="30"/>
      <c r="AL395" s="30"/>
      <c r="AM395" s="30"/>
      <c r="AN395" s="31"/>
    </row>
    <row r="396" spans="1:40" ht="13" customHeight="1">
      <c r="A396">
        <v>39</v>
      </c>
      <c r="B396" t="s">
        <v>114</v>
      </c>
      <c r="C396" t="s">
        <v>61</v>
      </c>
      <c r="D396" t="s">
        <v>62</v>
      </c>
      <c r="E396">
        <v>1000</v>
      </c>
      <c r="F396" t="s">
        <v>116</v>
      </c>
      <c r="G396" t="s">
        <v>52</v>
      </c>
      <c r="H396" t="s">
        <v>76</v>
      </c>
      <c r="I396">
        <v>6.7</v>
      </c>
      <c r="J396" t="s">
        <v>77</v>
      </c>
      <c r="K396">
        <v>1988</v>
      </c>
      <c r="L396" t="s">
        <v>597</v>
      </c>
      <c r="P396" s="55" t="s">
        <v>38</v>
      </c>
      <c r="Q396" s="55" t="s">
        <v>38</v>
      </c>
      <c r="R396" s="19" t="s">
        <v>38</v>
      </c>
      <c r="S396" s="19" t="s">
        <v>38</v>
      </c>
      <c r="T396" s="19" t="s">
        <v>38</v>
      </c>
      <c r="U396" s="55"/>
      <c r="V396" s="423"/>
      <c r="W396" s="409"/>
      <c r="X396" s="409"/>
      <c r="Y396" s="407"/>
      <c r="Z396" s="195"/>
      <c r="AA396" s="195"/>
      <c r="AB396" s="195"/>
      <c r="AC396" s="195"/>
      <c r="AE396" s="39"/>
      <c r="AF396" s="30"/>
      <c r="AG396" s="30"/>
      <c r="AH396" s="30"/>
      <c r="AI396" s="30"/>
      <c r="AJ396" s="30"/>
      <c r="AK396" s="30"/>
      <c r="AL396" s="30"/>
      <c r="AM396" s="30"/>
      <c r="AN396" s="31"/>
    </row>
    <row r="397" spans="1:40" ht="13" customHeight="1">
      <c r="A397">
        <v>438</v>
      </c>
      <c r="B397" t="s">
        <v>232</v>
      </c>
      <c r="C397" t="s">
        <v>61</v>
      </c>
      <c r="D397" t="s">
        <v>62</v>
      </c>
      <c r="E397">
        <v>1000</v>
      </c>
      <c r="F397" t="s">
        <v>116</v>
      </c>
      <c r="G397" t="s">
        <v>52</v>
      </c>
      <c r="H397" t="s">
        <v>76</v>
      </c>
      <c r="I397">
        <v>6.87</v>
      </c>
      <c r="J397" t="s">
        <v>77</v>
      </c>
      <c r="K397">
        <v>1992</v>
      </c>
      <c r="L397" t="s">
        <v>420</v>
      </c>
      <c r="P397" s="19" t="s">
        <v>122</v>
      </c>
      <c r="Q397" s="19" t="s">
        <v>38</v>
      </c>
      <c r="R397" s="19" t="s">
        <v>38</v>
      </c>
      <c r="S397" s="19" t="s">
        <v>38</v>
      </c>
      <c r="T397" s="55" t="s">
        <v>38</v>
      </c>
      <c r="U397" s="55"/>
      <c r="V397" s="423"/>
      <c r="W397" s="409"/>
      <c r="X397" s="409"/>
      <c r="Y397" s="407"/>
      <c r="Z397" s="195"/>
      <c r="AA397" s="195"/>
      <c r="AB397" s="195"/>
      <c r="AC397" s="195"/>
      <c r="AE397" s="39"/>
      <c r="AF397" s="30"/>
      <c r="AG397" s="30"/>
      <c r="AH397" s="30"/>
      <c r="AI397" s="30"/>
      <c r="AJ397" s="30"/>
      <c r="AK397" s="30"/>
      <c r="AL397" s="30"/>
      <c r="AM397" s="30"/>
      <c r="AN397" s="31"/>
    </row>
    <row r="398" spans="1:40" ht="13" customHeight="1">
      <c r="B398" t="s">
        <v>741</v>
      </c>
      <c r="C398" t="s">
        <v>61</v>
      </c>
      <c r="D398" t="s">
        <v>62</v>
      </c>
      <c r="E398">
        <v>1200</v>
      </c>
      <c r="F398" t="s">
        <v>116</v>
      </c>
      <c r="G398" t="s">
        <v>52</v>
      </c>
      <c r="H398" s="5" t="s">
        <v>33</v>
      </c>
      <c r="I398" s="5">
        <f>108*1000000</f>
        <v>108000000</v>
      </c>
      <c r="J398" s="5" t="s">
        <v>34</v>
      </c>
      <c r="K398">
        <v>2010</v>
      </c>
      <c r="L398" t="s">
        <v>732</v>
      </c>
      <c r="O398" s="5"/>
      <c r="P398" s="148"/>
      <c r="Q398" s="5"/>
      <c r="R398" s="19"/>
      <c r="S398" s="5"/>
      <c r="T398" s="55"/>
      <c r="U398" s="55"/>
      <c r="V398" s="423"/>
      <c r="W398" s="409"/>
      <c r="X398" s="409"/>
      <c r="Y398" s="407"/>
      <c r="Z398" s="195"/>
      <c r="AA398" s="195"/>
      <c r="AB398" s="195"/>
      <c r="AC398" s="195"/>
      <c r="AE398" s="39"/>
      <c r="AF398" s="30"/>
      <c r="AG398" s="30"/>
      <c r="AH398" s="30"/>
      <c r="AI398" s="30"/>
      <c r="AJ398" s="30"/>
      <c r="AK398" s="30"/>
      <c r="AL398" s="30"/>
      <c r="AM398" s="30"/>
      <c r="AN398" s="31"/>
    </row>
    <row r="399" spans="1:40" ht="13" hidden="1" customHeight="1">
      <c r="A399">
        <v>351</v>
      </c>
      <c r="B399" t="s">
        <v>343</v>
      </c>
      <c r="C399" t="s">
        <v>61</v>
      </c>
      <c r="D399" t="s">
        <v>62</v>
      </c>
      <c r="E399">
        <v>1500</v>
      </c>
      <c r="F399" t="s">
        <v>75</v>
      </c>
      <c r="G399" t="s">
        <v>52</v>
      </c>
      <c r="H399" t="s">
        <v>76</v>
      </c>
      <c r="I399">
        <v>157</v>
      </c>
      <c r="J399" t="s">
        <v>128</v>
      </c>
      <c r="K399">
        <v>2020</v>
      </c>
      <c r="L399" s="80" t="s">
        <v>344</v>
      </c>
      <c r="M399" s="80"/>
      <c r="N399" s="80"/>
      <c r="O399" t="s">
        <v>352</v>
      </c>
      <c r="P399" s="2" t="s">
        <v>712</v>
      </c>
      <c r="Q399" t="s">
        <v>104</v>
      </c>
      <c r="R399" s="19" t="s">
        <v>38</v>
      </c>
      <c r="S399" s="19" t="s">
        <v>38</v>
      </c>
      <c r="T399" s="55" t="s">
        <v>38</v>
      </c>
      <c r="U399" s="55"/>
      <c r="V399" s="423"/>
      <c r="W399" s="409"/>
      <c r="X399" s="409"/>
      <c r="Y399" s="407"/>
      <c r="Z399" s="195"/>
      <c r="AA399" s="195"/>
      <c r="AB399" s="195"/>
      <c r="AC399" s="195"/>
      <c r="AE399" s="39"/>
      <c r="AF399" s="30"/>
      <c r="AG399" s="30"/>
      <c r="AH399" s="30"/>
      <c r="AI399" s="30"/>
      <c r="AJ399" s="30"/>
      <c r="AK399" s="30"/>
      <c r="AL399" s="30"/>
      <c r="AM399" s="30"/>
      <c r="AN399" s="31"/>
    </row>
    <row r="400" spans="1:40" ht="13" hidden="1" customHeight="1">
      <c r="A400">
        <v>352</v>
      </c>
      <c r="B400" t="s">
        <v>347</v>
      </c>
      <c r="C400" t="s">
        <v>61</v>
      </c>
      <c r="D400" t="s">
        <v>62</v>
      </c>
      <c r="E400">
        <v>1500</v>
      </c>
      <c r="F400" t="s">
        <v>75</v>
      </c>
      <c r="G400" t="s">
        <v>52</v>
      </c>
      <c r="H400" t="s">
        <v>76</v>
      </c>
      <c r="I400">
        <v>84</v>
      </c>
      <c r="J400" t="s">
        <v>128</v>
      </c>
      <c r="K400">
        <v>2020</v>
      </c>
      <c r="L400" s="80" t="s">
        <v>344</v>
      </c>
      <c r="M400" s="80"/>
      <c r="N400" s="80"/>
      <c r="O400" t="s">
        <v>352</v>
      </c>
      <c r="P400" s="2" t="s">
        <v>708</v>
      </c>
      <c r="Q400" t="s">
        <v>84</v>
      </c>
      <c r="R400" s="19" t="s">
        <v>38</v>
      </c>
      <c r="S400" s="19" t="s">
        <v>38</v>
      </c>
      <c r="T400" s="55" t="s">
        <v>38</v>
      </c>
      <c r="U400" s="55"/>
      <c r="V400" s="423"/>
      <c r="W400" s="409"/>
      <c r="X400" s="409"/>
      <c r="Y400" s="407"/>
      <c r="Z400" s="195"/>
      <c r="AA400" s="195"/>
      <c r="AB400" s="195"/>
      <c r="AC400" s="195"/>
      <c r="AE400" s="39"/>
      <c r="AF400" s="30"/>
      <c r="AG400" s="30"/>
      <c r="AH400" s="30"/>
      <c r="AI400" s="30"/>
      <c r="AJ400" s="30"/>
      <c r="AK400" s="30"/>
      <c r="AL400" s="30"/>
      <c r="AM400" s="30"/>
      <c r="AN400" s="31"/>
    </row>
    <row r="401" spans="1:40" ht="13" hidden="1" customHeight="1">
      <c r="A401">
        <v>353</v>
      </c>
      <c r="B401" t="s">
        <v>348</v>
      </c>
      <c r="C401" t="s">
        <v>61</v>
      </c>
      <c r="D401" t="s">
        <v>62</v>
      </c>
      <c r="E401">
        <v>200</v>
      </c>
      <c r="F401" t="s">
        <v>75</v>
      </c>
      <c r="G401" s="117" t="s">
        <v>754</v>
      </c>
      <c r="H401" t="s">
        <v>76</v>
      </c>
      <c r="I401">
        <v>100</v>
      </c>
      <c r="J401" t="s">
        <v>128</v>
      </c>
      <c r="K401">
        <v>2020</v>
      </c>
      <c r="L401" s="80" t="s">
        <v>344</v>
      </c>
      <c r="M401" s="80"/>
      <c r="N401" s="80"/>
      <c r="O401" t="s">
        <v>352</v>
      </c>
      <c r="P401" s="55" t="s">
        <v>38</v>
      </c>
      <c r="Q401" t="s">
        <v>350</v>
      </c>
      <c r="R401" s="19" t="s">
        <v>38</v>
      </c>
      <c r="S401" s="19" t="s">
        <v>38</v>
      </c>
      <c r="T401" s="55" t="s">
        <v>38</v>
      </c>
      <c r="U401" s="55"/>
      <c r="V401" s="423"/>
      <c r="W401" s="409"/>
      <c r="X401" s="409"/>
      <c r="Y401" s="407"/>
      <c r="Z401" s="195"/>
      <c r="AA401" s="195"/>
      <c r="AB401" s="195"/>
      <c r="AC401" s="195"/>
      <c r="AE401" s="39"/>
      <c r="AF401" s="30"/>
      <c r="AG401" s="30"/>
      <c r="AH401" s="30"/>
      <c r="AI401" s="30"/>
      <c r="AJ401" s="30"/>
      <c r="AK401" s="30"/>
      <c r="AL401" s="30"/>
      <c r="AM401" s="30"/>
      <c r="AN401" s="31"/>
    </row>
    <row r="402" spans="1:40" ht="13" hidden="1" customHeight="1">
      <c r="A402">
        <v>354</v>
      </c>
      <c r="B402" t="s">
        <v>343</v>
      </c>
      <c r="C402" t="s">
        <v>61</v>
      </c>
      <c r="D402" t="s">
        <v>62</v>
      </c>
      <c r="E402">
        <v>1500</v>
      </c>
      <c r="F402" t="s">
        <v>75</v>
      </c>
      <c r="G402" t="s">
        <v>52</v>
      </c>
      <c r="H402" t="s">
        <v>76</v>
      </c>
      <c r="I402">
        <v>200</v>
      </c>
      <c r="J402" t="s">
        <v>128</v>
      </c>
      <c r="K402">
        <v>2020</v>
      </c>
      <c r="L402" s="80" t="s">
        <v>344</v>
      </c>
      <c r="M402" s="80"/>
      <c r="N402" s="80"/>
      <c r="O402" t="s">
        <v>353</v>
      </c>
      <c r="P402" s="2" t="s">
        <v>712</v>
      </c>
      <c r="Q402" t="s">
        <v>104</v>
      </c>
      <c r="R402" s="19" t="s">
        <v>38</v>
      </c>
      <c r="S402" s="19" t="s">
        <v>38</v>
      </c>
      <c r="T402" s="55" t="s">
        <v>38</v>
      </c>
      <c r="U402" s="55"/>
      <c r="V402" s="423"/>
      <c r="W402" s="409"/>
      <c r="X402" s="409"/>
      <c r="Y402" s="407"/>
      <c r="Z402" s="195"/>
      <c r="AA402" s="195"/>
      <c r="AB402" s="195"/>
      <c r="AC402" s="195"/>
      <c r="AE402" s="39"/>
      <c r="AF402" s="30"/>
      <c r="AG402" s="30"/>
      <c r="AH402" s="30"/>
      <c r="AI402" s="30"/>
      <c r="AJ402" s="30"/>
      <c r="AK402" s="30"/>
      <c r="AL402" s="30"/>
      <c r="AM402" s="30"/>
      <c r="AN402" s="31"/>
    </row>
    <row r="403" spans="1:40" ht="13" hidden="1" customHeight="1">
      <c r="A403">
        <v>355</v>
      </c>
      <c r="B403" t="s">
        <v>347</v>
      </c>
      <c r="C403" t="s">
        <v>61</v>
      </c>
      <c r="D403" t="s">
        <v>62</v>
      </c>
      <c r="E403">
        <v>1500</v>
      </c>
      <c r="F403" t="s">
        <v>75</v>
      </c>
      <c r="G403" t="s">
        <v>52</v>
      </c>
      <c r="H403" t="s">
        <v>76</v>
      </c>
      <c r="I403">
        <v>106</v>
      </c>
      <c r="J403" t="s">
        <v>128</v>
      </c>
      <c r="K403">
        <v>2020</v>
      </c>
      <c r="L403" s="80" t="s">
        <v>344</v>
      </c>
      <c r="M403" s="80"/>
      <c r="N403" s="80"/>
      <c r="O403" t="s">
        <v>353</v>
      </c>
      <c r="P403" s="2" t="s">
        <v>708</v>
      </c>
      <c r="Q403" t="s">
        <v>84</v>
      </c>
      <c r="R403" s="19" t="s">
        <v>38</v>
      </c>
      <c r="S403" s="19" t="s">
        <v>38</v>
      </c>
      <c r="T403" s="55" t="s">
        <v>38</v>
      </c>
      <c r="U403" s="55"/>
      <c r="V403" s="423"/>
      <c r="W403" s="409"/>
      <c r="X403" s="409"/>
      <c r="Y403" s="407"/>
      <c r="Z403" s="195"/>
      <c r="AA403" s="195"/>
      <c r="AB403" s="195"/>
      <c r="AC403" s="195"/>
      <c r="AE403" s="39"/>
      <c r="AF403" s="30"/>
      <c r="AG403" s="30"/>
      <c r="AH403" s="30"/>
      <c r="AI403" s="30"/>
      <c r="AJ403" s="30"/>
      <c r="AK403" s="30"/>
      <c r="AL403" s="30"/>
      <c r="AM403" s="30"/>
      <c r="AN403" s="31"/>
    </row>
    <row r="404" spans="1:40" ht="13" hidden="1" customHeight="1">
      <c r="A404">
        <v>356</v>
      </c>
      <c r="B404" t="s">
        <v>348</v>
      </c>
      <c r="C404" t="s">
        <v>61</v>
      </c>
      <c r="D404" t="s">
        <v>62</v>
      </c>
      <c r="E404">
        <v>200</v>
      </c>
      <c r="F404" t="s">
        <v>75</v>
      </c>
      <c r="G404" s="117" t="s">
        <v>754</v>
      </c>
      <c r="H404" t="s">
        <v>76</v>
      </c>
      <c r="I404">
        <v>121</v>
      </c>
      <c r="J404" t="s">
        <v>128</v>
      </c>
      <c r="K404">
        <v>2020</v>
      </c>
      <c r="L404" s="80" t="s">
        <v>344</v>
      </c>
      <c r="M404" s="80"/>
      <c r="N404" s="80"/>
      <c r="O404" t="s">
        <v>353</v>
      </c>
      <c r="P404" s="55" t="s">
        <v>38</v>
      </c>
      <c r="Q404" t="s">
        <v>350</v>
      </c>
      <c r="R404" s="19" t="s">
        <v>38</v>
      </c>
      <c r="S404" s="19" t="s">
        <v>38</v>
      </c>
      <c r="T404" s="55" t="s">
        <v>38</v>
      </c>
      <c r="U404" s="55"/>
      <c r="V404" s="423"/>
      <c r="W404" s="409"/>
      <c r="X404" s="409"/>
      <c r="Y404" s="407"/>
      <c r="Z404" s="195"/>
      <c r="AA404" s="195"/>
      <c r="AB404" s="195"/>
      <c r="AC404" s="195"/>
      <c r="AE404" s="39"/>
      <c r="AF404" s="30"/>
      <c r="AG404" s="30"/>
      <c r="AH404" s="30"/>
      <c r="AI404" s="30"/>
      <c r="AJ404" s="30"/>
      <c r="AK404" s="30"/>
      <c r="AL404" s="30"/>
      <c r="AM404" s="30"/>
      <c r="AN404" s="31"/>
    </row>
    <row r="405" spans="1:40" ht="13" hidden="1" customHeight="1">
      <c r="A405">
        <v>357</v>
      </c>
      <c r="B405" t="s">
        <v>343</v>
      </c>
      <c r="C405" t="s">
        <v>61</v>
      </c>
      <c r="D405" t="s">
        <v>62</v>
      </c>
      <c r="E405">
        <v>1500</v>
      </c>
      <c r="F405" t="s">
        <v>75</v>
      </c>
      <c r="G405" t="s">
        <v>52</v>
      </c>
      <c r="H405" t="s">
        <v>76</v>
      </c>
      <c r="I405">
        <v>255</v>
      </c>
      <c r="J405" t="s">
        <v>128</v>
      </c>
      <c r="K405">
        <v>2020</v>
      </c>
      <c r="L405" s="80" t="s">
        <v>344</v>
      </c>
      <c r="M405" s="80"/>
      <c r="N405" s="80"/>
      <c r="O405" t="s">
        <v>354</v>
      </c>
      <c r="P405" s="2" t="s">
        <v>712</v>
      </c>
      <c r="Q405" t="s">
        <v>104</v>
      </c>
      <c r="R405" s="19" t="s">
        <v>38</v>
      </c>
      <c r="S405" s="19" t="s">
        <v>38</v>
      </c>
      <c r="T405" s="55" t="s">
        <v>38</v>
      </c>
      <c r="U405" s="55"/>
      <c r="V405" s="423"/>
      <c r="W405" s="409"/>
      <c r="X405" s="409"/>
      <c r="Y405" s="407"/>
      <c r="Z405" s="195"/>
      <c r="AA405" s="195"/>
      <c r="AB405" s="195"/>
      <c r="AC405" s="195"/>
      <c r="AE405" s="39"/>
      <c r="AF405" s="30"/>
      <c r="AG405" s="30"/>
      <c r="AH405" s="30"/>
      <c r="AI405" s="30"/>
      <c r="AJ405" s="30"/>
      <c r="AK405" s="30"/>
      <c r="AL405" s="30"/>
      <c r="AM405" s="30"/>
      <c r="AN405" s="31"/>
    </row>
    <row r="406" spans="1:40" ht="13" hidden="1" customHeight="1">
      <c r="A406">
        <v>358</v>
      </c>
      <c r="B406" t="s">
        <v>347</v>
      </c>
      <c r="C406" t="s">
        <v>61</v>
      </c>
      <c r="D406" t="s">
        <v>62</v>
      </c>
      <c r="E406">
        <v>1500</v>
      </c>
      <c r="F406" t="s">
        <v>75</v>
      </c>
      <c r="G406" t="s">
        <v>52</v>
      </c>
      <c r="H406" t="s">
        <v>76</v>
      </c>
      <c r="I406">
        <v>122</v>
      </c>
      <c r="J406" t="s">
        <v>128</v>
      </c>
      <c r="K406">
        <v>2020</v>
      </c>
      <c r="L406" s="80" t="s">
        <v>344</v>
      </c>
      <c r="M406" s="80"/>
      <c r="N406" s="80"/>
      <c r="O406" t="s">
        <v>354</v>
      </c>
      <c r="P406" s="2" t="s">
        <v>708</v>
      </c>
      <c r="Q406" t="s">
        <v>84</v>
      </c>
      <c r="R406" s="19" t="s">
        <v>38</v>
      </c>
      <c r="S406" s="19" t="s">
        <v>38</v>
      </c>
      <c r="T406" s="55" t="s">
        <v>38</v>
      </c>
      <c r="U406" s="55"/>
      <c r="V406" s="410" t="s">
        <v>1041</v>
      </c>
      <c r="W406" s="408" t="s">
        <v>896</v>
      </c>
      <c r="X406" s="408" t="s">
        <v>897</v>
      </c>
      <c r="Y406" s="407" t="s">
        <v>871</v>
      </c>
      <c r="Z406" s="202"/>
      <c r="AA406" s="202"/>
      <c r="AB406" s="202"/>
      <c r="AC406" s="202"/>
      <c r="AE406" s="39"/>
      <c r="AF406" s="30"/>
      <c r="AG406" s="30"/>
      <c r="AH406" s="30"/>
      <c r="AI406" s="30"/>
      <c r="AJ406" s="30"/>
      <c r="AK406" s="30"/>
      <c r="AL406" s="30"/>
      <c r="AM406" s="30"/>
      <c r="AN406" s="31"/>
    </row>
    <row r="407" spans="1:40" ht="13" hidden="1" customHeight="1">
      <c r="A407">
        <v>359</v>
      </c>
      <c r="B407" t="s">
        <v>348</v>
      </c>
      <c r="C407" t="s">
        <v>61</v>
      </c>
      <c r="D407" t="s">
        <v>62</v>
      </c>
      <c r="E407">
        <v>200</v>
      </c>
      <c r="F407" t="s">
        <v>75</v>
      </c>
      <c r="G407" s="117" t="s">
        <v>754</v>
      </c>
      <c r="H407" t="s">
        <v>76</v>
      </c>
      <c r="I407">
        <v>145</v>
      </c>
      <c r="J407" t="s">
        <v>128</v>
      </c>
      <c r="K407">
        <v>2020</v>
      </c>
      <c r="L407" s="80" t="s">
        <v>344</v>
      </c>
      <c r="M407" s="80"/>
      <c r="N407" s="80"/>
      <c r="O407" t="s">
        <v>354</v>
      </c>
      <c r="P407" s="55" t="s">
        <v>38</v>
      </c>
      <c r="Q407" t="s">
        <v>350</v>
      </c>
      <c r="R407" s="19" t="s">
        <v>38</v>
      </c>
      <c r="S407" s="19" t="s">
        <v>38</v>
      </c>
      <c r="T407" s="55" t="s">
        <v>38</v>
      </c>
      <c r="V407" s="410"/>
      <c r="W407" s="408"/>
      <c r="X407" s="408"/>
      <c r="Y407" s="407"/>
      <c r="Z407" s="202"/>
      <c r="AA407" s="202"/>
      <c r="AB407" s="202"/>
      <c r="AC407" s="202"/>
      <c r="AE407" s="39"/>
      <c r="AF407" s="30"/>
      <c r="AG407" s="30"/>
      <c r="AH407" s="30"/>
      <c r="AI407" s="30"/>
      <c r="AJ407" s="30"/>
      <c r="AK407" s="30"/>
      <c r="AL407" s="30"/>
      <c r="AM407" s="30"/>
      <c r="AN407" s="31"/>
    </row>
    <row r="408" spans="1:40" ht="13" customHeight="1">
      <c r="B408" t="s">
        <v>741</v>
      </c>
      <c r="C408" t="s">
        <v>61</v>
      </c>
      <c r="D408" t="s">
        <v>62</v>
      </c>
      <c r="E408">
        <v>1500</v>
      </c>
      <c r="F408" t="s">
        <v>116</v>
      </c>
      <c r="G408" t="s">
        <v>52</v>
      </c>
      <c r="H408" s="5" t="s">
        <v>33</v>
      </c>
      <c r="I408" s="5">
        <f>121*1000000</f>
        <v>121000000</v>
      </c>
      <c r="J408" s="5" t="s">
        <v>34</v>
      </c>
      <c r="K408">
        <v>2010</v>
      </c>
      <c r="L408" t="s">
        <v>732</v>
      </c>
      <c r="O408" s="5"/>
      <c r="P408" s="148"/>
      <c r="Q408" s="5"/>
      <c r="R408" s="19"/>
      <c r="S408" s="5"/>
      <c r="T408" s="55"/>
      <c r="V408" s="410"/>
      <c r="W408" s="408"/>
      <c r="X408" s="408"/>
      <c r="Y408" s="407"/>
      <c r="Z408" s="202"/>
      <c r="AA408" s="202"/>
      <c r="AB408" s="202"/>
      <c r="AC408" s="202"/>
      <c r="AE408" s="39"/>
      <c r="AF408" s="30"/>
      <c r="AG408" s="30"/>
      <c r="AH408" s="30"/>
      <c r="AI408" s="30"/>
      <c r="AJ408" s="30"/>
      <c r="AK408" s="30"/>
      <c r="AL408" s="30"/>
      <c r="AM408" s="30"/>
      <c r="AN408" s="31"/>
    </row>
    <row r="409" spans="1:40" ht="13" customHeight="1">
      <c r="B409" t="s">
        <v>741</v>
      </c>
      <c r="C409" t="s">
        <v>61</v>
      </c>
      <c r="D409" t="s">
        <v>62</v>
      </c>
      <c r="E409">
        <v>2000</v>
      </c>
      <c r="F409" t="s">
        <v>116</v>
      </c>
      <c r="G409" t="s">
        <v>52</v>
      </c>
      <c r="H409" s="5" t="s">
        <v>33</v>
      </c>
      <c r="I409" s="5">
        <f>139*1000000</f>
        <v>139000000</v>
      </c>
      <c r="J409" s="5" t="s">
        <v>34</v>
      </c>
      <c r="K409">
        <v>2010</v>
      </c>
      <c r="L409" t="s">
        <v>732</v>
      </c>
      <c r="O409" s="5"/>
      <c r="P409" s="148"/>
      <c r="Q409" s="5"/>
      <c r="R409" s="19"/>
      <c r="S409" s="5"/>
      <c r="T409" s="55"/>
      <c r="V409" s="410"/>
      <c r="W409" s="408"/>
      <c r="X409" s="408"/>
      <c r="Y409" s="407"/>
      <c r="Z409" s="202"/>
      <c r="AA409" s="202"/>
      <c r="AB409" s="202"/>
      <c r="AC409" s="202"/>
      <c r="AE409" s="39"/>
      <c r="AF409" s="30"/>
      <c r="AG409" s="30"/>
      <c r="AH409" s="30"/>
      <c r="AI409" s="30"/>
      <c r="AJ409" s="30"/>
      <c r="AK409" s="30"/>
      <c r="AL409" s="30"/>
      <c r="AM409" s="30"/>
      <c r="AN409" s="31"/>
    </row>
    <row r="410" spans="1:40" ht="13" customHeight="1">
      <c r="B410" t="s">
        <v>741</v>
      </c>
      <c r="C410" t="s">
        <v>61</v>
      </c>
      <c r="D410" t="s">
        <v>62</v>
      </c>
      <c r="E410">
        <v>2500</v>
      </c>
      <c r="F410" t="s">
        <v>116</v>
      </c>
      <c r="G410" t="s">
        <v>52</v>
      </c>
      <c r="H410" s="5" t="s">
        <v>33</v>
      </c>
      <c r="I410" s="5">
        <f>156*1000000</f>
        <v>156000000</v>
      </c>
      <c r="J410" s="5" t="s">
        <v>34</v>
      </c>
      <c r="K410">
        <v>2010</v>
      </c>
      <c r="L410" t="s">
        <v>732</v>
      </c>
      <c r="O410" s="5"/>
      <c r="P410" s="148"/>
      <c r="Q410" s="5"/>
      <c r="R410" s="19"/>
      <c r="S410" s="5"/>
      <c r="T410" s="55"/>
      <c r="V410" s="410"/>
      <c r="W410" s="408"/>
      <c r="X410" s="408"/>
      <c r="Y410" s="407"/>
      <c r="Z410" s="202"/>
      <c r="AA410" s="202"/>
      <c r="AB410" s="202"/>
      <c r="AC410" s="202"/>
      <c r="AE410" s="39"/>
      <c r="AF410" s="30"/>
      <c r="AG410" s="30"/>
      <c r="AH410" s="30"/>
      <c r="AI410" s="30"/>
      <c r="AJ410" s="30"/>
      <c r="AK410" s="30"/>
      <c r="AL410" s="30"/>
      <c r="AM410" s="30"/>
      <c r="AN410" s="31"/>
    </row>
    <row r="411" spans="1:40" ht="13" customHeight="1">
      <c r="B411" t="s">
        <v>741</v>
      </c>
      <c r="C411" t="s">
        <v>61</v>
      </c>
      <c r="D411" t="s">
        <v>62</v>
      </c>
      <c r="E411">
        <v>3000</v>
      </c>
      <c r="F411" t="s">
        <v>116</v>
      </c>
      <c r="G411" t="s">
        <v>52</v>
      </c>
      <c r="H411" s="5" t="s">
        <v>33</v>
      </c>
      <c r="I411" s="5">
        <f>171*1000000</f>
        <v>171000000</v>
      </c>
      <c r="J411" s="5" t="s">
        <v>34</v>
      </c>
      <c r="K411">
        <v>2010</v>
      </c>
      <c r="L411" t="s">
        <v>732</v>
      </c>
      <c r="O411" s="5"/>
      <c r="P411" s="148"/>
      <c r="Q411" s="5"/>
      <c r="R411" s="19"/>
      <c r="S411" s="5"/>
      <c r="T411" s="55"/>
      <c r="V411" s="410"/>
      <c r="W411" s="408"/>
      <c r="X411" s="408"/>
      <c r="Y411" s="407"/>
      <c r="Z411" s="202"/>
      <c r="AA411" s="202"/>
      <c r="AB411" s="202"/>
      <c r="AC411" s="202"/>
      <c r="AE411" s="39"/>
      <c r="AF411" s="30"/>
      <c r="AG411" s="30"/>
      <c r="AH411" s="30"/>
      <c r="AI411" s="30"/>
      <c r="AJ411" s="30"/>
      <c r="AK411" s="30"/>
      <c r="AL411" s="30"/>
      <c r="AM411" s="30"/>
      <c r="AN411" s="31"/>
    </row>
    <row r="412" spans="1:40" ht="13" customHeight="1">
      <c r="B412" t="s">
        <v>741</v>
      </c>
      <c r="C412" t="s">
        <v>61</v>
      </c>
      <c r="D412" t="s">
        <v>62</v>
      </c>
      <c r="E412">
        <v>1000</v>
      </c>
      <c r="F412" t="s">
        <v>116</v>
      </c>
      <c r="G412" t="s">
        <v>52</v>
      </c>
      <c r="H412" s="5" t="s">
        <v>33</v>
      </c>
      <c r="I412" s="5">
        <f>99*1000000</f>
        <v>99000000</v>
      </c>
      <c r="J412" s="5" t="s">
        <v>34</v>
      </c>
      <c r="K412">
        <v>2010</v>
      </c>
      <c r="L412" t="s">
        <v>732</v>
      </c>
      <c r="O412" s="5"/>
      <c r="P412" s="148"/>
      <c r="Q412" s="5"/>
      <c r="R412" s="19"/>
      <c r="S412" s="5"/>
      <c r="T412" s="55"/>
      <c r="V412" s="410"/>
      <c r="W412" s="408"/>
      <c r="X412" s="408"/>
      <c r="Y412" s="407"/>
      <c r="Z412" s="202"/>
      <c r="AA412" s="202"/>
      <c r="AB412" s="202"/>
      <c r="AC412" s="202"/>
      <c r="AE412" s="39"/>
      <c r="AF412" s="30"/>
      <c r="AG412" s="30"/>
      <c r="AH412" s="30"/>
      <c r="AI412" s="30"/>
      <c r="AJ412" s="30"/>
      <c r="AK412" s="30"/>
      <c r="AL412" s="30"/>
      <c r="AM412" s="30"/>
      <c r="AN412" s="31"/>
    </row>
    <row r="413" spans="1:40" ht="13" customHeight="1">
      <c r="B413" t="s">
        <v>200</v>
      </c>
      <c r="C413" t="s">
        <v>61</v>
      </c>
      <c r="D413" t="s">
        <v>62</v>
      </c>
      <c r="E413">
        <v>1000</v>
      </c>
      <c r="F413" t="s">
        <v>116</v>
      </c>
      <c r="G413" t="s">
        <v>52</v>
      </c>
      <c r="H413" s="5" t="s">
        <v>33</v>
      </c>
      <c r="I413" s="5">
        <f>99*1000000</f>
        <v>99000000</v>
      </c>
      <c r="J413" s="5" t="s">
        <v>34</v>
      </c>
      <c r="K413">
        <v>2010</v>
      </c>
      <c r="L413" t="s">
        <v>732</v>
      </c>
      <c r="O413" s="5"/>
      <c r="P413" s="148"/>
      <c r="Q413" s="5"/>
      <c r="R413" s="19"/>
      <c r="S413" s="5"/>
      <c r="T413" s="55"/>
      <c r="V413" s="410"/>
      <c r="W413" s="408"/>
      <c r="X413" s="408"/>
      <c r="Y413" s="407"/>
      <c r="Z413" s="202"/>
      <c r="AA413" s="202"/>
      <c r="AB413" s="202"/>
      <c r="AC413" s="202"/>
      <c r="AE413" s="39"/>
      <c r="AF413" s="30"/>
      <c r="AG413" s="30"/>
      <c r="AH413" s="30"/>
      <c r="AI413" s="30"/>
      <c r="AJ413" s="30"/>
      <c r="AK413" s="30"/>
      <c r="AL413" s="30"/>
      <c r="AM413" s="30"/>
      <c r="AN413" s="31"/>
    </row>
    <row r="414" spans="1:40" ht="13" customHeight="1">
      <c r="B414" t="s">
        <v>737</v>
      </c>
      <c r="C414" t="s">
        <v>61</v>
      </c>
      <c r="D414" t="s">
        <v>62</v>
      </c>
      <c r="E414">
        <v>1000</v>
      </c>
      <c r="F414" t="s">
        <v>116</v>
      </c>
      <c r="G414" t="s">
        <v>52</v>
      </c>
      <c r="H414" s="5" t="s">
        <v>33</v>
      </c>
      <c r="I414" s="5">
        <f>99*1000000</f>
        <v>99000000</v>
      </c>
      <c r="J414" s="5" t="s">
        <v>34</v>
      </c>
      <c r="K414">
        <v>2010</v>
      </c>
      <c r="L414" t="s">
        <v>732</v>
      </c>
      <c r="O414" s="5"/>
      <c r="P414" s="148"/>
      <c r="Q414" s="5"/>
      <c r="R414" s="19"/>
      <c r="S414" s="5"/>
      <c r="T414" s="55"/>
      <c r="V414" s="410"/>
      <c r="W414" s="408"/>
      <c r="X414" s="408"/>
      <c r="Y414" s="407"/>
      <c r="Z414" s="202"/>
      <c r="AA414" s="202"/>
      <c r="AB414" s="202"/>
      <c r="AC414" s="202"/>
      <c r="AE414" s="39"/>
      <c r="AF414" s="30"/>
      <c r="AG414" s="30"/>
      <c r="AH414" s="30"/>
      <c r="AI414" s="30"/>
      <c r="AJ414" s="30"/>
      <c r="AK414" s="30"/>
      <c r="AL414" s="30"/>
      <c r="AM414" s="30"/>
      <c r="AN414" s="31"/>
    </row>
    <row r="415" spans="1:40" ht="13" customHeight="1">
      <c r="B415" t="s">
        <v>736</v>
      </c>
      <c r="C415" t="s">
        <v>61</v>
      </c>
      <c r="D415" t="s">
        <v>62</v>
      </c>
      <c r="E415">
        <v>1000</v>
      </c>
      <c r="F415" t="s">
        <v>116</v>
      </c>
      <c r="G415" t="s">
        <v>52</v>
      </c>
      <c r="H415" s="5" t="s">
        <v>33</v>
      </c>
      <c r="I415" s="5">
        <f>99*1000000</f>
        <v>99000000</v>
      </c>
      <c r="J415" s="5" t="s">
        <v>34</v>
      </c>
      <c r="K415">
        <v>2010</v>
      </c>
      <c r="L415" t="s">
        <v>732</v>
      </c>
      <c r="O415" s="5"/>
      <c r="P415" s="148"/>
      <c r="Q415" s="5"/>
      <c r="R415" s="19"/>
      <c r="S415" s="5"/>
      <c r="T415" s="55"/>
      <c r="V415" s="410"/>
      <c r="W415" s="408"/>
      <c r="X415" s="408"/>
      <c r="Y415" s="407"/>
      <c r="Z415" s="202"/>
      <c r="AA415" s="202"/>
      <c r="AB415" s="202"/>
      <c r="AC415" s="202"/>
      <c r="AE415" s="39"/>
      <c r="AF415" s="30"/>
      <c r="AG415" s="30"/>
      <c r="AH415" s="30"/>
      <c r="AI415" s="30"/>
      <c r="AJ415" s="30"/>
      <c r="AK415" s="30"/>
      <c r="AL415" s="30"/>
      <c r="AM415" s="30"/>
      <c r="AN415" s="31"/>
    </row>
    <row r="416" spans="1:40" ht="13" customHeight="1">
      <c r="B416" t="s">
        <v>735</v>
      </c>
      <c r="C416" t="s">
        <v>61</v>
      </c>
      <c r="D416" t="s">
        <v>62</v>
      </c>
      <c r="E416">
        <v>1450</v>
      </c>
      <c r="F416" t="s">
        <v>116</v>
      </c>
      <c r="G416" t="s">
        <v>52</v>
      </c>
      <c r="H416" s="5" t="s">
        <v>33</v>
      </c>
      <c r="I416" s="5">
        <f>119*1000000</f>
        <v>119000000</v>
      </c>
      <c r="J416" s="5" t="s">
        <v>34</v>
      </c>
      <c r="K416">
        <v>2010</v>
      </c>
      <c r="L416" t="s">
        <v>732</v>
      </c>
      <c r="O416" s="5"/>
      <c r="P416" s="148"/>
      <c r="Q416" s="5"/>
      <c r="R416" s="19"/>
      <c r="S416" s="5"/>
      <c r="T416" s="55"/>
      <c r="V416" s="410"/>
      <c r="W416" s="408"/>
      <c r="X416" s="408"/>
      <c r="Y416" s="407"/>
      <c r="Z416" s="202"/>
      <c r="AA416" s="202"/>
      <c r="AB416" s="202"/>
      <c r="AC416" s="202"/>
      <c r="AE416" s="39"/>
      <c r="AF416" s="30"/>
      <c r="AG416" s="30"/>
      <c r="AH416" s="30"/>
      <c r="AI416" s="30"/>
      <c r="AJ416" s="30"/>
      <c r="AK416" s="30"/>
      <c r="AL416" s="30"/>
      <c r="AM416" s="30"/>
      <c r="AN416" s="31"/>
    </row>
    <row r="417" spans="1:40" ht="13" customHeight="1">
      <c r="B417" t="s">
        <v>1102</v>
      </c>
      <c r="C417" t="s">
        <v>61</v>
      </c>
      <c r="D417" t="s">
        <v>62</v>
      </c>
      <c r="E417">
        <v>1164</v>
      </c>
      <c r="F417" t="s">
        <v>116</v>
      </c>
      <c r="G417" t="s">
        <v>32</v>
      </c>
      <c r="H417" t="s">
        <v>33</v>
      </c>
      <c r="I417">
        <f>((1730*1000000)/25)*0.789</f>
        <v>54598800</v>
      </c>
      <c r="J417" t="s">
        <v>34</v>
      </c>
      <c r="K417">
        <v>1984</v>
      </c>
      <c r="L417" s="5" t="s">
        <v>938</v>
      </c>
      <c r="M417" s="5"/>
      <c r="N417" s="5"/>
      <c r="O417" t="s">
        <v>1235</v>
      </c>
      <c r="P417" s="55"/>
      <c r="Q417" s="55"/>
      <c r="R417" s="19"/>
      <c r="S417" s="19"/>
      <c r="T417" s="19"/>
      <c r="V417" s="410"/>
      <c r="W417" s="408"/>
      <c r="X417" s="408"/>
      <c r="Y417" s="407"/>
      <c r="Z417" s="202"/>
      <c r="AA417" s="202"/>
      <c r="AB417" s="202"/>
      <c r="AC417" s="202"/>
      <c r="AE417" s="39"/>
      <c r="AF417" s="30"/>
      <c r="AG417" s="30"/>
      <c r="AH417" s="30"/>
      <c r="AI417" s="30"/>
      <c r="AJ417" s="30"/>
      <c r="AK417" s="30"/>
      <c r="AL417" s="30"/>
      <c r="AM417" s="30"/>
      <c r="AN417" s="31"/>
    </row>
    <row r="418" spans="1:40" ht="13" customHeight="1">
      <c r="B418" t="s">
        <v>939</v>
      </c>
      <c r="C418" t="s">
        <v>61</v>
      </c>
      <c r="D418" t="s">
        <v>62</v>
      </c>
      <c r="E418">
        <v>1247</v>
      </c>
      <c r="F418" t="s">
        <v>116</v>
      </c>
      <c r="G418" t="s">
        <v>32</v>
      </c>
      <c r="H418" t="s">
        <v>33</v>
      </c>
      <c r="I418">
        <f>((2071*1000000)/25)*0.789</f>
        <v>65360760</v>
      </c>
      <c r="J418" t="s">
        <v>34</v>
      </c>
      <c r="K418">
        <v>1984</v>
      </c>
      <c r="L418" s="5" t="s">
        <v>938</v>
      </c>
      <c r="M418" s="5"/>
      <c r="N418" s="5"/>
      <c r="O418" t="s">
        <v>1101</v>
      </c>
      <c r="P418" s="19" t="s">
        <v>122</v>
      </c>
      <c r="Q418" s="55" t="s">
        <v>38</v>
      </c>
      <c r="R418" s="19"/>
      <c r="S418" s="19"/>
      <c r="T418" s="19" t="s">
        <v>122</v>
      </c>
      <c r="V418" s="410"/>
      <c r="W418" s="408"/>
      <c r="X418" s="408"/>
      <c r="Y418" s="407"/>
      <c r="Z418" s="202"/>
      <c r="AA418" s="202"/>
      <c r="AB418" s="202"/>
      <c r="AC418" s="202"/>
      <c r="AE418" s="39"/>
      <c r="AF418" s="30"/>
      <c r="AG418" s="30"/>
      <c r="AH418" s="30"/>
      <c r="AI418" s="30"/>
      <c r="AJ418" s="30"/>
      <c r="AK418" s="30"/>
      <c r="AL418" s="30"/>
      <c r="AM418" s="30"/>
      <c r="AN418" s="31"/>
    </row>
    <row r="419" spans="1:40" ht="13" customHeight="1">
      <c r="B419" t="s">
        <v>940</v>
      </c>
      <c r="C419" t="s">
        <v>61</v>
      </c>
      <c r="D419" t="s">
        <v>62</v>
      </c>
      <c r="E419">
        <v>1203</v>
      </c>
      <c r="F419" t="s">
        <v>116</v>
      </c>
      <c r="G419" t="s">
        <v>32</v>
      </c>
      <c r="H419" t="s">
        <v>33</v>
      </c>
      <c r="I419">
        <f>((2174*1000000)/25)*0.789</f>
        <v>68611440</v>
      </c>
      <c r="J419" t="s">
        <v>34</v>
      </c>
      <c r="K419">
        <v>1984</v>
      </c>
      <c r="L419" s="5" t="s">
        <v>938</v>
      </c>
      <c r="M419" s="5"/>
      <c r="N419" s="5"/>
      <c r="O419" t="s">
        <v>1101</v>
      </c>
      <c r="P419" s="19" t="s">
        <v>122</v>
      </c>
      <c r="Q419" s="55" t="s">
        <v>38</v>
      </c>
      <c r="R419" s="19"/>
      <c r="S419" s="19"/>
      <c r="T419" s="19" t="s">
        <v>122</v>
      </c>
      <c r="V419" s="410"/>
      <c r="W419" s="408"/>
      <c r="X419" s="408"/>
      <c r="Y419" s="407"/>
      <c r="Z419" s="202"/>
      <c r="AA419" s="202"/>
      <c r="AB419" s="202"/>
      <c r="AC419" s="202"/>
      <c r="AE419" s="39"/>
      <c r="AF419" s="30"/>
      <c r="AG419" s="30"/>
      <c r="AH419" s="30"/>
      <c r="AI419" s="30"/>
      <c r="AJ419" s="30"/>
      <c r="AK419" s="30"/>
      <c r="AL419" s="30"/>
      <c r="AM419" s="30"/>
      <c r="AN419" s="31"/>
    </row>
    <row r="420" spans="1:40" ht="13" customHeight="1">
      <c r="B420" t="s">
        <v>941</v>
      </c>
      <c r="C420" t="s">
        <v>61</v>
      </c>
      <c r="D420" t="s">
        <v>62</v>
      </c>
      <c r="E420">
        <v>1209</v>
      </c>
      <c r="F420" t="s">
        <v>116</v>
      </c>
      <c r="G420" t="s">
        <v>32</v>
      </c>
      <c r="H420" t="s">
        <v>33</v>
      </c>
      <c r="I420">
        <f>((1806*1000000)/25)*0.789</f>
        <v>56997360</v>
      </c>
      <c r="J420" t="s">
        <v>34</v>
      </c>
      <c r="K420">
        <v>1984</v>
      </c>
      <c r="L420" s="5" t="s">
        <v>938</v>
      </c>
      <c r="M420" s="5"/>
      <c r="N420" s="5"/>
      <c r="O420" t="s">
        <v>1101</v>
      </c>
      <c r="P420" s="19" t="s">
        <v>122</v>
      </c>
      <c r="Q420" s="55" t="s">
        <v>38</v>
      </c>
      <c r="R420" s="19"/>
      <c r="S420" s="19"/>
      <c r="T420" s="19" t="s">
        <v>122</v>
      </c>
      <c r="V420" s="410"/>
      <c r="W420" s="408"/>
      <c r="X420" s="408"/>
      <c r="Y420" s="407"/>
      <c r="Z420" s="202"/>
      <c r="AA420" s="202"/>
      <c r="AB420" s="202"/>
      <c r="AC420" s="202"/>
      <c r="AE420" s="39"/>
      <c r="AF420" s="30"/>
      <c r="AG420" s="30"/>
      <c r="AH420" s="30"/>
      <c r="AI420" s="30"/>
      <c r="AJ420" s="30"/>
      <c r="AK420" s="30"/>
      <c r="AL420" s="30"/>
      <c r="AM420" s="30"/>
      <c r="AN420" s="31"/>
    </row>
    <row r="421" spans="1:40" ht="13" customHeight="1">
      <c r="A421">
        <v>457</v>
      </c>
      <c r="B421" t="s">
        <v>674</v>
      </c>
      <c r="C421" t="s">
        <v>61</v>
      </c>
      <c r="D421" t="s">
        <v>62</v>
      </c>
      <c r="E421">
        <v>1200</v>
      </c>
      <c r="F421" t="s">
        <v>116</v>
      </c>
      <c r="G421" t="s">
        <v>57</v>
      </c>
      <c r="H421" t="s">
        <v>33</v>
      </c>
      <c r="I421">
        <f>236*1000000</f>
        <v>236000000</v>
      </c>
      <c r="J421" t="s">
        <v>34</v>
      </c>
      <c r="K421">
        <v>2020</v>
      </c>
      <c r="L421" t="s">
        <v>433</v>
      </c>
      <c r="O421" s="13"/>
      <c r="P421" s="55" t="s">
        <v>38</v>
      </c>
      <c r="Q421" s="55" t="s">
        <v>38</v>
      </c>
      <c r="R421" s="19" t="s">
        <v>38</v>
      </c>
      <c r="S421" s="19" t="s">
        <v>38</v>
      </c>
      <c r="T421" s="55" t="s">
        <v>38</v>
      </c>
      <c r="V421" s="410"/>
      <c r="W421" s="408"/>
      <c r="X421" s="408"/>
      <c r="Y421" s="407"/>
      <c r="Z421" s="202"/>
      <c r="AA421" s="202"/>
      <c r="AB421" s="202"/>
      <c r="AC421" s="202"/>
      <c r="AE421" s="39"/>
      <c r="AF421" s="30"/>
      <c r="AG421" s="30"/>
      <c r="AH421" s="30"/>
      <c r="AI421" s="30"/>
      <c r="AJ421" s="30"/>
      <c r="AK421" s="30"/>
      <c r="AL421" s="30"/>
      <c r="AM421" s="30"/>
      <c r="AN421" s="31"/>
    </row>
    <row r="422" spans="1:40" s="81" customFormat="1" ht="13" hidden="1" customHeight="1">
      <c r="A422" s="196">
        <v>360</v>
      </c>
      <c r="B422" s="196" t="s">
        <v>81</v>
      </c>
      <c r="C422" s="196" t="s">
        <v>61</v>
      </c>
      <c r="D422" s="196" t="s">
        <v>62</v>
      </c>
      <c r="E422" s="196">
        <v>1500</v>
      </c>
      <c r="F422" s="196" t="s">
        <v>75</v>
      </c>
      <c r="G422" s="196" t="s">
        <v>57</v>
      </c>
      <c r="H422" s="196" t="s">
        <v>76</v>
      </c>
      <c r="I422" s="196">
        <v>45</v>
      </c>
      <c r="J422" s="196" t="s">
        <v>128</v>
      </c>
      <c r="K422" s="196">
        <v>2004</v>
      </c>
      <c r="L422" s="196" t="s">
        <v>355</v>
      </c>
      <c r="M422" s="196"/>
      <c r="N422" s="196"/>
      <c r="O422" s="196" t="s">
        <v>356</v>
      </c>
      <c r="P422" s="198" t="s">
        <v>38</v>
      </c>
      <c r="Q422" s="197" t="s">
        <v>38</v>
      </c>
      <c r="R422" s="197" t="s">
        <v>38</v>
      </c>
      <c r="S422" s="197" t="s">
        <v>38</v>
      </c>
      <c r="T422" s="198" t="s">
        <v>38</v>
      </c>
      <c r="U422" s="55"/>
      <c r="V422" s="420"/>
      <c r="W422" s="420"/>
      <c r="X422" s="420"/>
      <c r="Y422" s="420"/>
      <c r="Z422" s="225"/>
      <c r="AA422" s="225"/>
      <c r="AB422" s="225"/>
      <c r="AC422" s="225"/>
      <c r="AD422"/>
      <c r="AE422" s="82"/>
      <c r="AF422" s="83"/>
      <c r="AG422" s="83"/>
      <c r="AH422" s="83"/>
      <c r="AI422" s="83"/>
      <c r="AJ422" s="83"/>
      <c r="AK422" s="83"/>
      <c r="AL422" s="83"/>
      <c r="AM422" s="83"/>
      <c r="AN422" s="84"/>
    </row>
    <row r="423" spans="1:40" s="81" customFormat="1" ht="13" hidden="1" customHeight="1">
      <c r="A423" s="196">
        <v>361</v>
      </c>
      <c r="B423" s="196" t="s">
        <v>81</v>
      </c>
      <c r="C423" s="196" t="s">
        <v>61</v>
      </c>
      <c r="D423" s="196" t="s">
        <v>62</v>
      </c>
      <c r="E423" s="196">
        <v>1500</v>
      </c>
      <c r="F423" s="196" t="s">
        <v>75</v>
      </c>
      <c r="G423" s="196" t="s">
        <v>57</v>
      </c>
      <c r="H423" s="196" t="s">
        <v>76</v>
      </c>
      <c r="I423" s="196">
        <v>65</v>
      </c>
      <c r="J423" s="196" t="s">
        <v>128</v>
      </c>
      <c r="K423" s="196">
        <v>2004</v>
      </c>
      <c r="L423" s="196" t="s">
        <v>355</v>
      </c>
      <c r="M423" s="196"/>
      <c r="N423" s="196"/>
      <c r="O423" s="196" t="s">
        <v>356</v>
      </c>
      <c r="P423" s="198" t="s">
        <v>38</v>
      </c>
      <c r="Q423" s="197" t="s">
        <v>38</v>
      </c>
      <c r="R423" s="197" t="s">
        <v>38</v>
      </c>
      <c r="S423" s="197" t="s">
        <v>38</v>
      </c>
      <c r="T423" s="198" t="s">
        <v>38</v>
      </c>
      <c r="U423" s="55"/>
      <c r="V423" s="420"/>
      <c r="W423" s="420"/>
      <c r="X423" s="420"/>
      <c r="Y423" s="420"/>
      <c r="Z423" s="225"/>
      <c r="AA423" s="225"/>
      <c r="AB423" s="225"/>
      <c r="AC423" s="225"/>
      <c r="AD423"/>
      <c r="AE423" s="82"/>
      <c r="AF423" s="83"/>
      <c r="AG423" s="83"/>
      <c r="AH423" s="83"/>
      <c r="AI423" s="83"/>
      <c r="AJ423" s="83"/>
      <c r="AK423" s="83"/>
      <c r="AL423" s="83"/>
      <c r="AM423" s="83"/>
      <c r="AN423" s="84"/>
    </row>
    <row r="424" spans="1:40" s="81" customFormat="1" ht="15" hidden="1" customHeight="1">
      <c r="A424" s="196">
        <v>362</v>
      </c>
      <c r="B424" s="196" t="s">
        <v>81</v>
      </c>
      <c r="C424" s="196" t="s">
        <v>61</v>
      </c>
      <c r="D424" s="196" t="s">
        <v>62</v>
      </c>
      <c r="E424" s="196">
        <v>1500</v>
      </c>
      <c r="F424" s="196" t="s">
        <v>75</v>
      </c>
      <c r="G424" s="196" t="s">
        <v>57</v>
      </c>
      <c r="H424" s="196" t="s">
        <v>76</v>
      </c>
      <c r="I424" s="196">
        <v>90</v>
      </c>
      <c r="J424" s="196" t="s">
        <v>128</v>
      </c>
      <c r="K424" s="196">
        <v>2004</v>
      </c>
      <c r="L424" s="196" t="s">
        <v>355</v>
      </c>
      <c r="M424" s="196"/>
      <c r="N424" s="196"/>
      <c r="O424" s="196" t="s">
        <v>356</v>
      </c>
      <c r="P424" s="198" t="s">
        <v>38</v>
      </c>
      <c r="Q424" s="197" t="s">
        <v>38</v>
      </c>
      <c r="R424" s="197" t="s">
        <v>38</v>
      </c>
      <c r="S424" s="197" t="s">
        <v>38</v>
      </c>
      <c r="T424" s="198" t="s">
        <v>38</v>
      </c>
      <c r="U424" s="55"/>
      <c r="V424" s="420"/>
      <c r="W424" s="420"/>
      <c r="X424" s="420"/>
      <c r="Y424" s="420"/>
      <c r="Z424" s="225"/>
      <c r="AA424" s="225"/>
      <c r="AB424" s="225"/>
      <c r="AC424" s="225"/>
      <c r="AD424"/>
      <c r="AE424" s="82"/>
      <c r="AF424" s="83"/>
      <c r="AG424" s="83"/>
      <c r="AH424" s="83"/>
      <c r="AI424" s="83"/>
      <c r="AJ424" s="83"/>
      <c r="AK424" s="83"/>
      <c r="AL424" s="83"/>
      <c r="AM424" s="83"/>
      <c r="AN424" s="84"/>
    </row>
    <row r="425" spans="1:40" s="81" customFormat="1" ht="13" customHeight="1">
      <c r="A425">
        <v>464</v>
      </c>
      <c r="B425" t="s">
        <v>81</v>
      </c>
      <c r="C425" t="s">
        <v>61</v>
      </c>
      <c r="D425" t="s">
        <v>62</v>
      </c>
      <c r="E425">
        <v>1000</v>
      </c>
      <c r="F425" t="s">
        <v>116</v>
      </c>
      <c r="G425" t="s">
        <v>57</v>
      </c>
      <c r="H425" t="s">
        <v>76</v>
      </c>
      <c r="I425">
        <v>14</v>
      </c>
      <c r="J425" t="s">
        <v>77</v>
      </c>
      <c r="K425">
        <v>2003</v>
      </c>
      <c r="L425" t="s">
        <v>440</v>
      </c>
      <c r="M425"/>
      <c r="N425"/>
      <c r="O425" t="s">
        <v>441</v>
      </c>
      <c r="P425" s="55" t="s">
        <v>38</v>
      </c>
      <c r="Q425" s="55" t="s">
        <v>38</v>
      </c>
      <c r="R425" s="19" t="s">
        <v>38</v>
      </c>
      <c r="S425" s="19" t="s">
        <v>38</v>
      </c>
      <c r="T425" s="55" t="s">
        <v>38</v>
      </c>
      <c r="U425" s="55"/>
      <c r="V425" s="421"/>
      <c r="W425" s="421"/>
      <c r="X425" s="421"/>
      <c r="Y425" s="422"/>
      <c r="Z425" s="226"/>
      <c r="AA425" s="226"/>
      <c r="AB425" s="226"/>
      <c r="AC425" s="226"/>
      <c r="AD425"/>
      <c r="AE425" s="82"/>
      <c r="AF425" s="83"/>
      <c r="AG425" s="83"/>
      <c r="AH425" s="83"/>
      <c r="AI425" s="83"/>
      <c r="AJ425" s="83"/>
      <c r="AK425" s="83"/>
      <c r="AL425" s="83"/>
      <c r="AM425" s="83"/>
      <c r="AN425" s="84"/>
    </row>
    <row r="426" spans="1:40" s="6" customFormat="1" ht="13" customHeight="1">
      <c r="A426">
        <v>465</v>
      </c>
      <c r="B426" t="s">
        <v>81</v>
      </c>
      <c r="C426" t="s">
        <v>61</v>
      </c>
      <c r="D426" t="s">
        <v>62</v>
      </c>
      <c r="E426">
        <v>1000</v>
      </c>
      <c r="F426" t="s">
        <v>116</v>
      </c>
      <c r="G426" t="s">
        <v>32</v>
      </c>
      <c r="H426" t="s">
        <v>76</v>
      </c>
      <c r="I426">
        <v>38</v>
      </c>
      <c r="J426" t="s">
        <v>77</v>
      </c>
      <c r="K426">
        <v>2003</v>
      </c>
      <c r="L426" t="s">
        <v>440</v>
      </c>
      <c r="M426"/>
      <c r="N426"/>
      <c r="O426" t="s">
        <v>442</v>
      </c>
      <c r="P426" s="55" t="s">
        <v>38</v>
      </c>
      <c r="Q426" s="55" t="s">
        <v>38</v>
      </c>
      <c r="R426" s="19" t="s">
        <v>38</v>
      </c>
      <c r="S426" s="19" t="s">
        <v>38</v>
      </c>
      <c r="T426" s="55" t="s">
        <v>38</v>
      </c>
      <c r="U426" s="55"/>
      <c r="V426" s="421"/>
      <c r="W426" s="421"/>
      <c r="X426" s="421"/>
      <c r="Y426" s="422"/>
      <c r="Z426" s="226"/>
      <c r="AA426" s="226"/>
      <c r="AB426" s="226"/>
      <c r="AC426" s="226"/>
      <c r="AD426"/>
      <c r="AE426" s="113"/>
      <c r="AF426" s="114"/>
      <c r="AG426" s="114"/>
      <c r="AH426" s="114"/>
      <c r="AI426" s="114"/>
      <c r="AJ426" s="114"/>
      <c r="AK426" s="114"/>
      <c r="AL426" s="114"/>
      <c r="AM426" s="114"/>
      <c r="AN426" s="115"/>
    </row>
    <row r="427" spans="1:40" s="6" customFormat="1" ht="13" customHeight="1">
      <c r="A427">
        <v>592</v>
      </c>
      <c r="B427" s="6" t="s">
        <v>443</v>
      </c>
      <c r="C427" s="6" t="s">
        <v>61</v>
      </c>
      <c r="D427" s="6" t="s">
        <v>62</v>
      </c>
      <c r="E427" s="6">
        <v>1185</v>
      </c>
      <c r="F427" s="6" t="s">
        <v>116</v>
      </c>
      <c r="G427" s="6" t="s">
        <v>52</v>
      </c>
      <c r="H427" s="6" t="s">
        <v>33</v>
      </c>
      <c r="I427" s="18">
        <f>(96.8*1000000)/30</f>
        <v>3226666.6666666665</v>
      </c>
      <c r="J427" s="6" t="s">
        <v>34</v>
      </c>
      <c r="K427" s="6">
        <v>1967</v>
      </c>
      <c r="L427" s="6" t="s">
        <v>444</v>
      </c>
      <c r="O427" s="6" t="s">
        <v>389</v>
      </c>
      <c r="P427" s="24" t="s">
        <v>709</v>
      </c>
      <c r="Q427" s="112" t="s">
        <v>38</v>
      </c>
      <c r="R427" s="112" t="s">
        <v>38</v>
      </c>
      <c r="S427" s="19" t="s">
        <v>38</v>
      </c>
      <c r="T427" s="112" t="s">
        <v>38</v>
      </c>
      <c r="U427" s="55"/>
      <c r="V427" s="421"/>
      <c r="W427" s="421"/>
      <c r="X427" s="421"/>
      <c r="Y427" s="422"/>
      <c r="Z427" s="226"/>
      <c r="AA427" s="226"/>
      <c r="AB427" s="226"/>
      <c r="AC427" s="226"/>
      <c r="AD427"/>
      <c r="AE427" s="113"/>
      <c r="AF427" s="114"/>
      <c r="AG427" s="114"/>
      <c r="AH427" s="114"/>
      <c r="AI427" s="114"/>
      <c r="AJ427" s="114"/>
      <c r="AK427" s="114"/>
      <c r="AL427" s="114"/>
      <c r="AM427" s="114"/>
      <c r="AN427" s="115"/>
    </row>
    <row r="428" spans="1:40" s="6" customFormat="1" ht="13" customHeight="1">
      <c r="A428"/>
      <c r="B428" t="s">
        <v>795</v>
      </c>
      <c r="C428" t="s">
        <v>30</v>
      </c>
      <c r="D428" t="s">
        <v>796</v>
      </c>
      <c r="E428">
        <v>972</v>
      </c>
      <c r="F428" t="s">
        <v>116</v>
      </c>
      <c r="G428" t="s">
        <v>52</v>
      </c>
      <c r="H428" t="s">
        <v>33</v>
      </c>
      <c r="I428">
        <f>(49.71+12.32)*1000000</f>
        <v>62030000</v>
      </c>
      <c r="J428" t="s">
        <v>34</v>
      </c>
      <c r="K428">
        <v>1991</v>
      </c>
      <c r="L428" t="s">
        <v>799</v>
      </c>
      <c r="M428"/>
      <c r="N428"/>
      <c r="O428"/>
      <c r="P428" s="19" t="s">
        <v>38</v>
      </c>
      <c r="Q428" s="19" t="s">
        <v>38</v>
      </c>
      <c r="R428" s="19" t="s">
        <v>38</v>
      </c>
      <c r="S428" s="19" t="s">
        <v>38</v>
      </c>
      <c r="T428" s="19" t="s">
        <v>38</v>
      </c>
      <c r="U428" s="55"/>
      <c r="V428" s="421"/>
      <c r="W428" s="421"/>
      <c r="X428" s="421"/>
      <c r="Y428" s="422"/>
      <c r="Z428" s="226"/>
      <c r="AA428" s="226"/>
      <c r="AB428" s="226"/>
      <c r="AC428" s="226"/>
      <c r="AD428"/>
      <c r="AE428" s="113"/>
      <c r="AF428" s="114"/>
      <c r="AG428" s="114"/>
      <c r="AH428" s="114"/>
      <c r="AI428" s="114"/>
      <c r="AJ428" s="114"/>
      <c r="AK428" s="114"/>
      <c r="AL428" s="114"/>
      <c r="AM428" s="114"/>
      <c r="AN428" s="115"/>
    </row>
    <row r="429" spans="1:40" s="6" customFormat="1" ht="13" customHeight="1">
      <c r="A429"/>
      <c r="B429" t="s">
        <v>797</v>
      </c>
      <c r="C429" t="s">
        <v>30</v>
      </c>
      <c r="D429" t="s">
        <v>798</v>
      </c>
      <c r="E429">
        <v>999</v>
      </c>
      <c r="F429" t="s">
        <v>116</v>
      </c>
      <c r="G429" t="s">
        <v>52</v>
      </c>
      <c r="H429" t="s">
        <v>33</v>
      </c>
      <c r="I429">
        <f>(50.39+11.8)*1000000</f>
        <v>62190000</v>
      </c>
      <c r="J429" t="s">
        <v>34</v>
      </c>
      <c r="K429">
        <v>1991</v>
      </c>
      <c r="L429" t="s">
        <v>799</v>
      </c>
      <c r="M429"/>
      <c r="N429"/>
      <c r="O429"/>
      <c r="P429" s="19" t="s">
        <v>38</v>
      </c>
      <c r="Q429" s="19" t="s">
        <v>38</v>
      </c>
      <c r="R429" s="19" t="s">
        <v>38</v>
      </c>
      <c r="S429" s="19" t="s">
        <v>38</v>
      </c>
      <c r="T429" s="19" t="s">
        <v>38</v>
      </c>
      <c r="U429" s="55"/>
      <c r="V429" s="421"/>
      <c r="W429" s="421"/>
      <c r="X429" s="421"/>
      <c r="Y429" s="422"/>
      <c r="Z429" s="226"/>
      <c r="AA429" s="226"/>
      <c r="AB429" s="226"/>
      <c r="AC429" s="226"/>
      <c r="AD429"/>
      <c r="AE429" s="113"/>
      <c r="AF429" s="114"/>
      <c r="AG429" s="114"/>
      <c r="AH429" s="114"/>
      <c r="AI429" s="114"/>
      <c r="AJ429" s="114"/>
      <c r="AK429" s="114"/>
      <c r="AL429" s="114"/>
      <c r="AM429" s="114"/>
      <c r="AN429" s="115"/>
    </row>
    <row r="430" spans="1:40" s="6" customFormat="1" ht="13" customHeight="1">
      <c r="A430">
        <v>168</v>
      </c>
      <c r="B430" s="128" t="s">
        <v>211</v>
      </c>
      <c r="C430" t="s">
        <v>61</v>
      </c>
      <c r="D430" s="128" t="s">
        <v>62</v>
      </c>
      <c r="E430" s="128">
        <v>1546</v>
      </c>
      <c r="F430" s="128" t="s">
        <v>116</v>
      </c>
      <c r="G430" s="128" t="s">
        <v>52</v>
      </c>
      <c r="H430" t="s">
        <v>76</v>
      </c>
      <c r="I430" s="128">
        <f>(0.095*9)/100</f>
        <v>8.5500000000000003E-3</v>
      </c>
      <c r="J430" s="128" t="s">
        <v>1111</v>
      </c>
      <c r="K430" s="128">
        <v>2005</v>
      </c>
      <c r="L430" s="128" t="s">
        <v>1110</v>
      </c>
      <c r="M430" s="128"/>
      <c r="N430" s="128"/>
      <c r="O430"/>
      <c r="P430" s="19" t="s">
        <v>122</v>
      </c>
      <c r="Q430" s="55" t="s">
        <v>38</v>
      </c>
      <c r="R430" s="19" t="s">
        <v>38</v>
      </c>
      <c r="S430" s="19" t="s">
        <v>38</v>
      </c>
      <c r="T430" s="19" t="s">
        <v>122</v>
      </c>
      <c r="U430" s="55"/>
      <c r="V430" s="421"/>
      <c r="W430" s="421"/>
      <c r="X430" s="421"/>
      <c r="Y430" s="422"/>
      <c r="Z430" s="226"/>
      <c r="AA430" s="226"/>
      <c r="AB430" s="226"/>
      <c r="AC430" s="226"/>
      <c r="AD430"/>
      <c r="AE430" s="113"/>
      <c r="AF430" s="114"/>
      <c r="AG430" s="114"/>
      <c r="AH430" s="114"/>
      <c r="AI430" s="114"/>
      <c r="AJ430" s="114"/>
      <c r="AK430" s="114"/>
      <c r="AL430" s="114"/>
      <c r="AM430" s="114"/>
      <c r="AN430" s="115"/>
    </row>
    <row r="431" spans="1:40" s="6" customFormat="1" ht="13" customHeight="1">
      <c r="A431">
        <v>169</v>
      </c>
      <c r="B431" s="128" t="s">
        <v>213</v>
      </c>
      <c r="C431" t="s">
        <v>61</v>
      </c>
      <c r="D431" s="128" t="s">
        <v>62</v>
      </c>
      <c r="E431" s="128">
        <v>1332</v>
      </c>
      <c r="F431" s="128" t="s">
        <v>116</v>
      </c>
      <c r="G431" s="128" t="s">
        <v>52</v>
      </c>
      <c r="H431" t="s">
        <v>76</v>
      </c>
      <c r="I431" s="128">
        <f>(0.1*8)/100</f>
        <v>8.0000000000000002E-3</v>
      </c>
      <c r="J431" s="128" t="s">
        <v>1111</v>
      </c>
      <c r="K431" s="128">
        <v>2005</v>
      </c>
      <c r="L431" s="128" t="s">
        <v>1110</v>
      </c>
      <c r="M431" s="128"/>
      <c r="N431" s="128"/>
      <c r="O431"/>
      <c r="P431" s="19" t="s">
        <v>122</v>
      </c>
      <c r="Q431" s="55" t="s">
        <v>38</v>
      </c>
      <c r="R431" s="19" t="s">
        <v>38</v>
      </c>
      <c r="S431" s="19" t="s">
        <v>38</v>
      </c>
      <c r="T431" s="19" t="s">
        <v>122</v>
      </c>
      <c r="U431" s="55"/>
      <c r="V431" s="421"/>
      <c r="W431" s="421"/>
      <c r="X431" s="421"/>
      <c r="Y431" s="422"/>
      <c r="Z431" s="226"/>
      <c r="AA431" s="226"/>
      <c r="AB431" s="226"/>
      <c r="AC431" s="226"/>
      <c r="AD431"/>
      <c r="AE431" s="113"/>
      <c r="AF431" s="114"/>
      <c r="AG431" s="114"/>
      <c r="AH431" s="114"/>
      <c r="AI431" s="114"/>
      <c r="AJ431" s="114"/>
      <c r="AK431" s="114"/>
      <c r="AL431" s="114"/>
      <c r="AM431" s="114"/>
      <c r="AN431" s="115"/>
    </row>
    <row r="432" spans="1:40" s="6" customFormat="1" ht="13" customHeight="1">
      <c r="A432">
        <v>170</v>
      </c>
      <c r="B432" s="128" t="s">
        <v>214</v>
      </c>
      <c r="C432" t="s">
        <v>61</v>
      </c>
      <c r="D432" s="128" t="s">
        <v>62</v>
      </c>
      <c r="E432" s="128">
        <v>1449</v>
      </c>
      <c r="F432" s="128" t="s">
        <v>116</v>
      </c>
      <c r="G432" s="128" t="s">
        <v>52</v>
      </c>
      <c r="H432" t="s">
        <v>76</v>
      </c>
      <c r="I432" s="128">
        <f>(0.12*7)/100</f>
        <v>8.3999999999999995E-3</v>
      </c>
      <c r="J432" s="128" t="s">
        <v>1111</v>
      </c>
      <c r="K432" s="128">
        <v>2005</v>
      </c>
      <c r="L432" s="128" t="s">
        <v>1110</v>
      </c>
      <c r="M432" s="128"/>
      <c r="N432" s="128"/>
      <c r="O432"/>
      <c r="P432" s="19" t="s">
        <v>122</v>
      </c>
      <c r="Q432" s="55" t="s">
        <v>38</v>
      </c>
      <c r="R432" s="19" t="s">
        <v>38</v>
      </c>
      <c r="S432" s="19" t="s">
        <v>38</v>
      </c>
      <c r="T432" s="19" t="s">
        <v>122</v>
      </c>
      <c r="U432" s="55"/>
      <c r="V432" s="421"/>
      <c r="W432" s="421"/>
      <c r="X432" s="421"/>
      <c r="Y432" s="422"/>
      <c r="Z432" s="226"/>
      <c r="AA432" s="226"/>
      <c r="AB432" s="226"/>
      <c r="AC432" s="226"/>
      <c r="AD432"/>
      <c r="AE432" s="113"/>
      <c r="AF432" s="114"/>
      <c r="AG432" s="114"/>
      <c r="AH432" s="114"/>
      <c r="AI432" s="114"/>
      <c r="AJ432" s="114"/>
      <c r="AK432" s="114"/>
      <c r="AL432" s="114"/>
      <c r="AM432" s="114"/>
      <c r="AN432" s="115"/>
    </row>
    <row r="433" spans="1:40" s="6" customFormat="1" ht="13" customHeight="1">
      <c r="A433">
        <v>171</v>
      </c>
      <c r="B433" s="128" t="s">
        <v>215</v>
      </c>
      <c r="C433" t="s">
        <v>61</v>
      </c>
      <c r="D433" s="128" t="s">
        <v>62</v>
      </c>
      <c r="E433" s="128">
        <v>1527</v>
      </c>
      <c r="F433" s="128" t="s">
        <v>116</v>
      </c>
      <c r="G433" s="128" t="s">
        <v>52</v>
      </c>
      <c r="H433" t="s">
        <v>76</v>
      </c>
      <c r="I433" s="128">
        <f>(0.17*5)/100</f>
        <v>8.5000000000000006E-3</v>
      </c>
      <c r="J433" s="128" t="s">
        <v>1111</v>
      </c>
      <c r="K433" s="128">
        <v>2005</v>
      </c>
      <c r="L433" s="128" t="s">
        <v>1110</v>
      </c>
      <c r="M433" s="128"/>
      <c r="N433" s="128"/>
      <c r="O433"/>
      <c r="P433" s="19" t="s">
        <v>122</v>
      </c>
      <c r="Q433" s="55" t="s">
        <v>38</v>
      </c>
      <c r="R433" s="19" t="s">
        <v>38</v>
      </c>
      <c r="S433" s="19" t="s">
        <v>38</v>
      </c>
      <c r="T433" s="19" t="s">
        <v>122</v>
      </c>
      <c r="U433" s="55"/>
      <c r="V433" s="421"/>
      <c r="W433" s="421"/>
      <c r="X433" s="421"/>
      <c r="Y433" s="422"/>
      <c r="Z433" s="226"/>
      <c r="AA433" s="226"/>
      <c r="AB433" s="226"/>
      <c r="AC433" s="226"/>
      <c r="AD433"/>
      <c r="AE433" s="113"/>
      <c r="AF433" s="114"/>
      <c r="AG433" s="114"/>
      <c r="AH433" s="114"/>
      <c r="AI433" s="114"/>
      <c r="AJ433" s="114"/>
      <c r="AK433" s="114"/>
      <c r="AL433" s="114"/>
      <c r="AM433" s="114"/>
      <c r="AN433" s="115"/>
    </row>
    <row r="434" spans="1:40" s="6" customFormat="1" ht="13" hidden="1" customHeight="1">
      <c r="A434"/>
      <c r="B434" t="s">
        <v>187</v>
      </c>
      <c r="C434" t="s">
        <v>61</v>
      </c>
      <c r="D434" t="s">
        <v>62</v>
      </c>
      <c r="E434">
        <v>1200</v>
      </c>
      <c r="F434" t="s">
        <v>75</v>
      </c>
      <c r="G434" s="133" t="s">
        <v>52</v>
      </c>
      <c r="H434" t="s">
        <v>76</v>
      </c>
      <c r="I434"/>
      <c r="J434" t="s">
        <v>77</v>
      </c>
      <c r="K434">
        <v>1986</v>
      </c>
      <c r="L434" s="185" t="s">
        <v>1105</v>
      </c>
      <c r="M434" s="185"/>
      <c r="N434" s="185"/>
      <c r="O434" t="s">
        <v>1099</v>
      </c>
      <c r="P434" s="55"/>
      <c r="Q434" s="55"/>
      <c r="R434" s="19"/>
      <c r="S434" s="19"/>
      <c r="T434" s="19"/>
      <c r="U434" s="55"/>
      <c r="V434" s="421"/>
      <c r="W434" s="421"/>
      <c r="X434" s="421"/>
      <c r="Y434" s="422"/>
      <c r="Z434" s="226"/>
      <c r="AA434" s="226"/>
      <c r="AB434" s="226"/>
      <c r="AC434" s="226"/>
      <c r="AD434"/>
      <c r="AE434" s="113"/>
      <c r="AF434" s="114"/>
      <c r="AG434" s="114"/>
      <c r="AH434" s="114"/>
      <c r="AI434" s="114"/>
      <c r="AJ434" s="114"/>
      <c r="AK434" s="114"/>
      <c r="AL434" s="114"/>
      <c r="AM434" s="114"/>
      <c r="AN434" s="115"/>
    </row>
    <row r="435" spans="1:40" s="6" customFormat="1" ht="13" hidden="1" customHeight="1">
      <c r="A435"/>
      <c r="B435" t="s">
        <v>165</v>
      </c>
      <c r="C435" t="s">
        <v>61</v>
      </c>
      <c r="D435" t="s">
        <v>62</v>
      </c>
      <c r="E435">
        <v>1200</v>
      </c>
      <c r="F435" t="s">
        <v>75</v>
      </c>
      <c r="G435" s="133" t="s">
        <v>52</v>
      </c>
      <c r="H435" t="s">
        <v>76</v>
      </c>
      <c r="I435"/>
      <c r="J435" t="s">
        <v>77</v>
      </c>
      <c r="K435">
        <v>1986</v>
      </c>
      <c r="L435" s="185" t="s">
        <v>1105</v>
      </c>
      <c r="M435" s="185"/>
      <c r="N435" s="185"/>
      <c r="O435" t="s">
        <v>1099</v>
      </c>
      <c r="P435" s="55"/>
      <c r="Q435" s="55"/>
      <c r="R435" s="19"/>
      <c r="S435" s="19"/>
      <c r="T435" s="19"/>
      <c r="U435" s="55"/>
      <c r="V435" s="419" t="s">
        <v>1088</v>
      </c>
      <c r="W435" s="402" t="s">
        <v>845</v>
      </c>
      <c r="X435" s="402" t="s">
        <v>846</v>
      </c>
      <c r="Y435" s="392" t="s">
        <v>928</v>
      </c>
      <c r="Z435" s="199"/>
      <c r="AA435" s="199"/>
      <c r="AB435" s="199"/>
      <c r="AC435" s="199"/>
      <c r="AD435"/>
      <c r="AE435" s="113"/>
      <c r="AF435" s="114"/>
      <c r="AG435" s="114"/>
      <c r="AH435" s="114"/>
      <c r="AI435" s="114"/>
      <c r="AJ435" s="114"/>
      <c r="AK435" s="114"/>
      <c r="AL435" s="114"/>
      <c r="AM435" s="114"/>
      <c r="AN435" s="115"/>
    </row>
    <row r="436" spans="1:40" s="6" customFormat="1" ht="13" hidden="1" customHeight="1">
      <c r="A436"/>
      <c r="B436" t="s">
        <v>170</v>
      </c>
      <c r="C436" t="s">
        <v>61</v>
      </c>
      <c r="D436" t="s">
        <v>113</v>
      </c>
      <c r="E436">
        <v>970</v>
      </c>
      <c r="F436" t="s">
        <v>75</v>
      </c>
      <c r="G436" s="133" t="s">
        <v>52</v>
      </c>
      <c r="H436" t="s">
        <v>76</v>
      </c>
      <c r="I436"/>
      <c r="J436" t="s">
        <v>77</v>
      </c>
      <c r="K436">
        <v>1986</v>
      </c>
      <c r="L436" s="185" t="s">
        <v>1105</v>
      </c>
      <c r="M436" s="185"/>
      <c r="N436" s="185"/>
      <c r="O436" t="s">
        <v>1099</v>
      </c>
      <c r="P436" s="55"/>
      <c r="Q436" s="55"/>
      <c r="R436" s="19"/>
      <c r="S436" s="19"/>
      <c r="T436" s="19"/>
      <c r="U436" s="55"/>
      <c r="V436" s="419"/>
      <c r="W436" s="402"/>
      <c r="X436" s="402"/>
      <c r="Y436" s="395"/>
      <c r="Z436" s="200"/>
      <c r="AA436" s="200"/>
      <c r="AB436" s="200"/>
      <c r="AC436" s="200"/>
      <c r="AD436"/>
      <c r="AE436" s="113"/>
      <c r="AF436" s="114"/>
      <c r="AG436" s="114"/>
      <c r="AH436" s="114"/>
      <c r="AI436" s="114"/>
      <c r="AJ436" s="114"/>
      <c r="AK436" s="114"/>
      <c r="AL436" s="114"/>
      <c r="AM436" s="114"/>
      <c r="AN436" s="115"/>
    </row>
    <row r="437" spans="1:40" s="6" customFormat="1" ht="13" hidden="1" customHeight="1">
      <c r="A437"/>
      <c r="B437" t="s">
        <v>172</v>
      </c>
      <c r="C437" t="s">
        <v>61</v>
      </c>
      <c r="D437" t="s">
        <v>113</v>
      </c>
      <c r="E437">
        <v>970</v>
      </c>
      <c r="F437" t="s">
        <v>75</v>
      </c>
      <c r="G437" s="133" t="s">
        <v>52</v>
      </c>
      <c r="H437" t="s">
        <v>76</v>
      </c>
      <c r="I437"/>
      <c r="J437" t="s">
        <v>77</v>
      </c>
      <c r="K437">
        <v>1986</v>
      </c>
      <c r="L437" s="185" t="s">
        <v>1105</v>
      </c>
      <c r="M437" s="185"/>
      <c r="N437" s="185"/>
      <c r="O437" t="s">
        <v>1099</v>
      </c>
      <c r="P437" s="55"/>
      <c r="Q437" s="55"/>
      <c r="R437" s="19"/>
      <c r="S437" s="19"/>
      <c r="T437" s="19"/>
      <c r="U437" s="55"/>
      <c r="V437" s="419"/>
      <c r="W437" s="402"/>
      <c r="X437" s="402"/>
      <c r="Y437" s="395"/>
      <c r="Z437" s="200"/>
      <c r="AA437" s="200"/>
      <c r="AB437" s="200"/>
      <c r="AC437" s="200"/>
      <c r="AD437"/>
      <c r="AE437" s="113"/>
      <c r="AF437" s="114"/>
      <c r="AG437" s="114"/>
      <c r="AH437" s="114"/>
      <c r="AI437" s="114"/>
      <c r="AJ437" s="114"/>
      <c r="AK437" s="114"/>
      <c r="AL437" s="114"/>
      <c r="AM437" s="114"/>
      <c r="AN437" s="115"/>
    </row>
    <row r="438" spans="1:40" s="6" customFormat="1" ht="13" hidden="1" customHeight="1">
      <c r="A438"/>
      <c r="B438" t="s">
        <v>174</v>
      </c>
      <c r="C438" t="s">
        <v>61</v>
      </c>
      <c r="D438" t="s">
        <v>62</v>
      </c>
      <c r="E438">
        <v>1200</v>
      </c>
      <c r="F438" t="s">
        <v>75</v>
      </c>
      <c r="G438" s="133" t="s">
        <v>52</v>
      </c>
      <c r="H438" t="s">
        <v>76</v>
      </c>
      <c r="I438"/>
      <c r="J438" t="s">
        <v>77</v>
      </c>
      <c r="K438">
        <v>1986</v>
      </c>
      <c r="L438" s="185" t="s">
        <v>1105</v>
      </c>
      <c r="M438" s="185"/>
      <c r="N438" s="185"/>
      <c r="O438" t="s">
        <v>1099</v>
      </c>
      <c r="P438" s="55"/>
      <c r="Q438" s="55"/>
      <c r="R438" s="19"/>
      <c r="S438" s="19"/>
      <c r="T438" s="19"/>
      <c r="U438" s="55"/>
      <c r="V438" s="419"/>
      <c r="W438" s="402"/>
      <c r="X438" s="402"/>
      <c r="Y438" s="395"/>
      <c r="Z438" s="200"/>
      <c r="AA438" s="200"/>
      <c r="AB438" s="200"/>
      <c r="AC438" s="200"/>
      <c r="AE438" s="113"/>
      <c r="AF438" s="114"/>
      <c r="AG438" s="114"/>
      <c r="AH438" s="114"/>
      <c r="AI438" s="114"/>
      <c r="AJ438" s="114"/>
      <c r="AK438" s="114"/>
      <c r="AL438" s="114"/>
      <c r="AM438" s="114"/>
      <c r="AN438" s="115"/>
    </row>
    <row r="439" spans="1:40" s="6" customFormat="1" ht="13" hidden="1" customHeight="1">
      <c r="A439"/>
      <c r="B439" t="s">
        <v>176</v>
      </c>
      <c r="C439" t="s">
        <v>61</v>
      </c>
      <c r="D439" t="s">
        <v>62</v>
      </c>
      <c r="E439">
        <v>1200</v>
      </c>
      <c r="F439" t="s">
        <v>75</v>
      </c>
      <c r="G439" s="133" t="s">
        <v>52</v>
      </c>
      <c r="H439" t="s">
        <v>76</v>
      </c>
      <c r="I439"/>
      <c r="J439" t="s">
        <v>77</v>
      </c>
      <c r="K439">
        <v>1986</v>
      </c>
      <c r="L439" s="185" t="s">
        <v>1105</v>
      </c>
      <c r="M439" s="185"/>
      <c r="N439" s="185"/>
      <c r="O439" t="s">
        <v>1099</v>
      </c>
      <c r="P439" s="55"/>
      <c r="Q439" s="55"/>
      <c r="R439" s="19"/>
      <c r="S439" s="19"/>
      <c r="T439" s="19"/>
      <c r="U439" s="55"/>
      <c r="V439" s="419"/>
      <c r="W439" s="402"/>
      <c r="X439" s="402"/>
      <c r="Y439" s="395"/>
      <c r="Z439" s="200"/>
      <c r="AA439" s="200"/>
      <c r="AB439" s="200"/>
      <c r="AC439" s="200"/>
      <c r="AE439" s="113"/>
      <c r="AF439" s="114"/>
      <c r="AG439" s="114"/>
      <c r="AH439" s="114"/>
      <c r="AI439" s="114"/>
      <c r="AJ439" s="114"/>
      <c r="AK439" s="114"/>
      <c r="AL439" s="114"/>
      <c r="AM439" s="114"/>
      <c r="AN439" s="115"/>
    </row>
    <row r="440" spans="1:40" s="6" customFormat="1" ht="13" hidden="1" customHeight="1">
      <c r="A440"/>
      <c r="B440" t="s">
        <v>182</v>
      </c>
      <c r="C440" t="s">
        <v>61</v>
      </c>
      <c r="D440" t="s">
        <v>62</v>
      </c>
      <c r="E440">
        <v>1200</v>
      </c>
      <c r="F440" t="s">
        <v>75</v>
      </c>
      <c r="G440" s="133" t="s">
        <v>52</v>
      </c>
      <c r="H440" t="s">
        <v>76</v>
      </c>
      <c r="I440"/>
      <c r="J440" t="s">
        <v>77</v>
      </c>
      <c r="K440">
        <v>1986</v>
      </c>
      <c r="L440" s="185" t="s">
        <v>1105</v>
      </c>
      <c r="M440" s="185"/>
      <c r="N440" s="185"/>
      <c r="O440" t="s">
        <v>1099</v>
      </c>
      <c r="P440" s="55"/>
      <c r="Q440" s="55"/>
      <c r="R440" s="19"/>
      <c r="S440" s="19"/>
      <c r="T440" s="19"/>
      <c r="U440" s="55"/>
      <c r="V440" s="419"/>
      <c r="W440" s="402"/>
      <c r="X440" s="402"/>
      <c r="Y440" s="395"/>
      <c r="Z440" s="200"/>
      <c r="AA440" s="200"/>
      <c r="AB440" s="200"/>
      <c r="AC440" s="200"/>
      <c r="AE440" s="113"/>
      <c r="AF440" s="114"/>
      <c r="AG440" s="114"/>
      <c r="AH440" s="114"/>
      <c r="AI440" s="114"/>
      <c r="AJ440" s="114"/>
      <c r="AK440" s="114"/>
      <c r="AL440" s="114"/>
      <c r="AM440" s="114"/>
      <c r="AN440" s="115"/>
    </row>
    <row r="441" spans="1:40" ht="13" hidden="1" customHeight="1">
      <c r="B441" t="s">
        <v>1100</v>
      </c>
      <c r="C441" t="s">
        <v>61</v>
      </c>
      <c r="D441" t="s">
        <v>62</v>
      </c>
      <c r="E441">
        <v>1200</v>
      </c>
      <c r="F441" t="s">
        <v>75</v>
      </c>
      <c r="G441" s="133" t="s">
        <v>52</v>
      </c>
      <c r="H441" t="s">
        <v>76</v>
      </c>
      <c r="J441" t="s">
        <v>77</v>
      </c>
      <c r="K441">
        <v>1986</v>
      </c>
      <c r="L441" s="185" t="s">
        <v>1105</v>
      </c>
      <c r="M441" s="185"/>
      <c r="N441" s="185"/>
      <c r="O441" t="s">
        <v>1099</v>
      </c>
      <c r="P441" s="55"/>
      <c r="Q441" s="55"/>
      <c r="R441" s="19"/>
      <c r="S441" s="19"/>
      <c r="T441" s="19"/>
      <c r="U441" s="55"/>
      <c r="V441" s="419"/>
      <c r="W441" s="402"/>
      <c r="X441" s="402"/>
      <c r="Y441" s="395"/>
      <c r="Z441" s="200"/>
      <c r="AA441" s="200"/>
      <c r="AB441" s="200"/>
      <c r="AC441" s="200"/>
      <c r="AD441" s="6"/>
      <c r="AE441" s="39"/>
      <c r="AF441" s="30"/>
      <c r="AG441" s="30"/>
      <c r="AH441" s="30"/>
      <c r="AI441" s="30"/>
      <c r="AJ441" s="30"/>
      <c r="AK441" s="30"/>
      <c r="AL441" s="30"/>
      <c r="AM441" s="30"/>
      <c r="AN441" s="31"/>
    </row>
    <row r="442" spans="1:40" ht="13" customHeight="1">
      <c r="A442">
        <v>509</v>
      </c>
      <c r="B442" t="s">
        <v>469</v>
      </c>
      <c r="C442" t="s">
        <v>470</v>
      </c>
      <c r="D442" t="s">
        <v>471</v>
      </c>
      <c r="E442">
        <v>150</v>
      </c>
      <c r="F442" t="s">
        <v>116</v>
      </c>
      <c r="G442" t="s">
        <v>52</v>
      </c>
      <c r="H442" t="s">
        <v>33</v>
      </c>
      <c r="I442">
        <f>18*1000000</f>
        <v>18000000</v>
      </c>
      <c r="J442" t="s">
        <v>34</v>
      </c>
      <c r="K442">
        <v>2016</v>
      </c>
      <c r="L442" t="s">
        <v>472</v>
      </c>
      <c r="O442" t="s">
        <v>482</v>
      </c>
      <c r="P442" s="55" t="s">
        <v>38</v>
      </c>
      <c r="Q442" s="55" t="s">
        <v>38</v>
      </c>
      <c r="R442" s="19" t="s">
        <v>38</v>
      </c>
      <c r="S442" s="19" t="s">
        <v>38</v>
      </c>
      <c r="T442" s="55" t="s">
        <v>38</v>
      </c>
      <c r="U442" s="55"/>
      <c r="V442" s="419"/>
      <c r="W442" s="402"/>
      <c r="X442" s="402"/>
      <c r="Y442" s="395"/>
      <c r="Z442" s="200"/>
      <c r="AA442" s="200"/>
      <c r="AB442" s="200"/>
      <c r="AC442" s="200"/>
      <c r="AD442" s="6"/>
      <c r="AE442" s="39"/>
      <c r="AF442" s="30"/>
      <c r="AG442" s="30"/>
      <c r="AH442" s="30"/>
      <c r="AI442" s="30"/>
      <c r="AJ442" s="30"/>
      <c r="AK442" s="30"/>
      <c r="AL442" s="30"/>
      <c r="AM442" s="30"/>
      <c r="AN442" s="31"/>
    </row>
    <row r="443" spans="1:40" ht="13" customHeight="1">
      <c r="A443">
        <v>510</v>
      </c>
      <c r="B443" t="s">
        <v>483</v>
      </c>
      <c r="C443" t="s">
        <v>470</v>
      </c>
      <c r="D443" t="s">
        <v>471</v>
      </c>
      <c r="E443">
        <v>150</v>
      </c>
      <c r="F443" t="s">
        <v>116</v>
      </c>
      <c r="G443" t="s">
        <v>52</v>
      </c>
      <c r="H443" t="s">
        <v>33</v>
      </c>
      <c r="I443">
        <f>38*1000000</f>
        <v>38000000</v>
      </c>
      <c r="J443" t="s">
        <v>34</v>
      </c>
      <c r="K443">
        <v>2016</v>
      </c>
      <c r="L443" t="s">
        <v>472</v>
      </c>
      <c r="O443" t="s">
        <v>482</v>
      </c>
      <c r="P443" s="55" t="s">
        <v>38</v>
      </c>
      <c r="Q443" s="55" t="s">
        <v>38</v>
      </c>
      <c r="R443" s="19" t="s">
        <v>38</v>
      </c>
      <c r="S443" s="19" t="s">
        <v>38</v>
      </c>
      <c r="T443" s="55" t="s">
        <v>38</v>
      </c>
      <c r="U443" s="55"/>
      <c r="V443" s="410" t="s">
        <v>1065</v>
      </c>
      <c r="W443" s="408" t="s">
        <v>1063</v>
      </c>
      <c r="X443" s="408" t="s">
        <v>1064</v>
      </c>
      <c r="Y443" s="408" t="s">
        <v>1066</v>
      </c>
      <c r="Z443" s="195"/>
      <c r="AA443" s="195"/>
      <c r="AB443" s="195"/>
      <c r="AC443" s="195"/>
      <c r="AD443" s="6"/>
      <c r="AE443" s="39"/>
      <c r="AF443" s="30"/>
      <c r="AG443" s="30"/>
      <c r="AH443" s="30"/>
      <c r="AI443" s="30"/>
      <c r="AJ443" s="30"/>
      <c r="AK443" s="30"/>
      <c r="AL443" s="30"/>
      <c r="AM443" s="30"/>
      <c r="AN443" s="31"/>
    </row>
    <row r="444" spans="1:40" ht="13" customHeight="1">
      <c r="A444">
        <v>546</v>
      </c>
      <c r="B444" s="141" t="s">
        <v>497</v>
      </c>
      <c r="C444" s="141" t="s">
        <v>61</v>
      </c>
      <c r="D444" s="141" t="s">
        <v>62</v>
      </c>
      <c r="E444" s="142">
        <v>1000</v>
      </c>
      <c r="F444" s="141" t="s">
        <v>116</v>
      </c>
      <c r="G444" s="6" t="s">
        <v>57</v>
      </c>
      <c r="H444" s="141" t="s">
        <v>76</v>
      </c>
      <c r="I444" s="142">
        <v>13</v>
      </c>
      <c r="J444" s="141" t="s">
        <v>77</v>
      </c>
      <c r="K444" s="142">
        <v>2003</v>
      </c>
      <c r="L444" s="141" t="s">
        <v>503</v>
      </c>
      <c r="M444" s="141"/>
      <c r="N444" s="141"/>
      <c r="O444" t="s">
        <v>389</v>
      </c>
      <c r="P444" s="19" t="s">
        <v>122</v>
      </c>
      <c r="Q444" s="55" t="s">
        <v>38</v>
      </c>
      <c r="R444" s="19" t="s">
        <v>38</v>
      </c>
      <c r="S444" s="19" t="s">
        <v>38</v>
      </c>
      <c r="T444" s="55" t="s">
        <v>38</v>
      </c>
      <c r="U444" s="55"/>
      <c r="V444" s="410"/>
      <c r="W444" s="409"/>
      <c r="X444" s="409"/>
      <c r="Y444" s="409"/>
      <c r="Z444" s="195"/>
      <c r="AA444" s="195"/>
      <c r="AB444" s="195"/>
      <c r="AC444" s="195"/>
      <c r="AD444" s="6"/>
      <c r="AE444" s="39"/>
      <c r="AF444" s="30"/>
      <c r="AG444" s="30"/>
      <c r="AH444" s="30"/>
      <c r="AI444" s="30"/>
      <c r="AJ444" s="30"/>
      <c r="AK444" s="30"/>
      <c r="AL444" s="30"/>
      <c r="AM444" s="30"/>
      <c r="AN444" s="31"/>
    </row>
    <row r="445" spans="1:40" s="103" customFormat="1" ht="13" customHeight="1">
      <c r="A445">
        <v>547</v>
      </c>
      <c r="B445" s="141" t="s">
        <v>505</v>
      </c>
      <c r="C445" s="141" t="s">
        <v>61</v>
      </c>
      <c r="D445" s="141" t="s">
        <v>107</v>
      </c>
      <c r="E445" s="142">
        <v>1000</v>
      </c>
      <c r="F445" s="141" t="s">
        <v>116</v>
      </c>
      <c r="G445" s="6" t="s">
        <v>57</v>
      </c>
      <c r="H445" s="141" t="s">
        <v>76</v>
      </c>
      <c r="I445" s="142">
        <v>14.4</v>
      </c>
      <c r="J445" s="141" t="s">
        <v>77</v>
      </c>
      <c r="K445" s="142">
        <v>2003</v>
      </c>
      <c r="L445" s="141" t="s">
        <v>503</v>
      </c>
      <c r="M445" s="141"/>
      <c r="N445" s="141"/>
      <c r="O445" t="s">
        <v>389</v>
      </c>
      <c r="P445" s="19" t="s">
        <v>122</v>
      </c>
      <c r="Q445" s="55" t="s">
        <v>38</v>
      </c>
      <c r="R445" s="19" t="s">
        <v>38</v>
      </c>
      <c r="S445" s="19" t="s">
        <v>38</v>
      </c>
      <c r="T445" s="55" t="s">
        <v>38</v>
      </c>
      <c r="U445" s="55"/>
      <c r="V445" s="410"/>
      <c r="W445" s="409"/>
      <c r="X445" s="409"/>
      <c r="Y445" s="409"/>
      <c r="Z445" s="195"/>
      <c r="AA445" s="195"/>
      <c r="AB445" s="195"/>
      <c r="AC445" s="195"/>
      <c r="AD445" s="6"/>
      <c r="AE445" s="104"/>
      <c r="AF445" s="105"/>
      <c r="AG445" s="105"/>
      <c r="AH445" s="105"/>
      <c r="AI445" s="105"/>
      <c r="AJ445" s="105"/>
      <c r="AK445" s="105"/>
      <c r="AL445" s="105"/>
      <c r="AM445" s="105"/>
      <c r="AN445" s="106"/>
    </row>
    <row r="446" spans="1:40" s="103" customFormat="1" ht="13" customHeight="1">
      <c r="A446">
        <v>548</v>
      </c>
      <c r="B446" s="141" t="s">
        <v>501</v>
      </c>
      <c r="C446" s="141" t="s">
        <v>61</v>
      </c>
      <c r="D446" s="141" t="s">
        <v>278</v>
      </c>
      <c r="E446" s="142">
        <v>1000</v>
      </c>
      <c r="F446" s="141" t="s">
        <v>116</v>
      </c>
      <c r="G446" s="6" t="s">
        <v>57</v>
      </c>
      <c r="H446" s="141" t="s">
        <v>76</v>
      </c>
      <c r="I446" s="142">
        <v>11</v>
      </c>
      <c r="J446" s="141" t="s">
        <v>77</v>
      </c>
      <c r="K446" s="142">
        <v>2003</v>
      </c>
      <c r="L446" s="141" t="s">
        <v>503</v>
      </c>
      <c r="M446" s="141"/>
      <c r="N446" s="141"/>
      <c r="O446" t="s">
        <v>389</v>
      </c>
      <c r="P446" s="19" t="s">
        <v>122</v>
      </c>
      <c r="Q446" s="55" t="s">
        <v>38</v>
      </c>
      <c r="R446" s="19" t="s">
        <v>38</v>
      </c>
      <c r="S446" s="19" t="s">
        <v>38</v>
      </c>
      <c r="T446" s="55" t="s">
        <v>38</v>
      </c>
      <c r="U446" s="55"/>
      <c r="V446" s="410"/>
      <c r="W446" s="409"/>
      <c r="X446" s="409"/>
      <c r="Y446" s="409"/>
      <c r="Z446" s="195"/>
      <c r="AA446" s="195"/>
      <c r="AB446" s="195"/>
      <c r="AC446" s="195"/>
      <c r="AD446" s="6"/>
      <c r="AE446" s="104"/>
      <c r="AF446" s="105"/>
      <c r="AG446" s="105"/>
      <c r="AH446" s="105"/>
      <c r="AI446" s="105"/>
      <c r="AJ446" s="105"/>
      <c r="AK446" s="105"/>
      <c r="AL446" s="105"/>
      <c r="AM446" s="105"/>
      <c r="AN446" s="106"/>
    </row>
    <row r="447" spans="1:40" s="103" customFormat="1" ht="13" customHeight="1">
      <c r="A447">
        <v>562</v>
      </c>
      <c r="B447" s="141" t="s">
        <v>506</v>
      </c>
      <c r="C447" s="141" t="s">
        <v>61</v>
      </c>
      <c r="D447" s="141" t="s">
        <v>62</v>
      </c>
      <c r="E447" s="142">
        <v>1000</v>
      </c>
      <c r="F447" s="141" t="s">
        <v>116</v>
      </c>
      <c r="G447" s="6" t="s">
        <v>57</v>
      </c>
      <c r="H447" s="141" t="s">
        <v>76</v>
      </c>
      <c r="I447" s="142">
        <v>11.7</v>
      </c>
      <c r="J447" s="141" t="s">
        <v>77</v>
      </c>
      <c r="K447" s="142">
        <v>2011</v>
      </c>
      <c r="L447" s="141" t="s">
        <v>507</v>
      </c>
      <c r="M447" s="184"/>
      <c r="N447" s="141"/>
      <c r="O447" t="s">
        <v>504</v>
      </c>
      <c r="P447" s="55" t="s">
        <v>38</v>
      </c>
      <c r="Q447" s="55" t="s">
        <v>38</v>
      </c>
      <c r="R447" s="19" t="s">
        <v>38</v>
      </c>
      <c r="S447" s="19" t="s">
        <v>38</v>
      </c>
      <c r="T447" s="55" t="s">
        <v>38</v>
      </c>
      <c r="U447" s="55"/>
      <c r="V447" s="410"/>
      <c r="W447" s="409"/>
      <c r="X447" s="409"/>
      <c r="Y447" s="409"/>
      <c r="Z447" s="195"/>
      <c r="AA447" s="195"/>
      <c r="AB447" s="195"/>
      <c r="AC447" s="195"/>
      <c r="AD447" s="6"/>
      <c r="AE447" s="104"/>
      <c r="AF447" s="105"/>
      <c r="AG447" s="105"/>
      <c r="AH447" s="105"/>
      <c r="AI447" s="105"/>
      <c r="AJ447" s="105"/>
      <c r="AK447" s="105"/>
      <c r="AL447" s="105"/>
      <c r="AM447" s="105"/>
      <c r="AN447" s="106"/>
    </row>
    <row r="448" spans="1:40" ht="13" customHeight="1">
      <c r="A448">
        <v>568</v>
      </c>
      <c r="B448" s="141" t="s">
        <v>508</v>
      </c>
      <c r="C448" s="141" t="s">
        <v>61</v>
      </c>
      <c r="D448" s="141" t="s">
        <v>62</v>
      </c>
      <c r="E448" s="142">
        <v>1000</v>
      </c>
      <c r="F448" s="141" t="s">
        <v>116</v>
      </c>
      <c r="G448" s="6" t="s">
        <v>57</v>
      </c>
      <c r="H448" s="141" t="s">
        <v>76</v>
      </c>
      <c r="I448" s="142">
        <v>11.9</v>
      </c>
      <c r="J448" s="141" t="s">
        <v>77</v>
      </c>
      <c r="K448" s="142">
        <v>2011</v>
      </c>
      <c r="L448" s="141" t="s">
        <v>507</v>
      </c>
      <c r="M448" s="141"/>
      <c r="N448" s="141"/>
      <c r="O448" t="s">
        <v>389</v>
      </c>
      <c r="P448" s="55" t="s">
        <v>38</v>
      </c>
      <c r="Q448" s="55" t="s">
        <v>38</v>
      </c>
      <c r="R448" s="19" t="s">
        <v>38</v>
      </c>
      <c r="S448" s="19" t="s">
        <v>38</v>
      </c>
      <c r="T448" s="55" t="s">
        <v>38</v>
      </c>
      <c r="U448" s="55"/>
      <c r="V448" s="410"/>
      <c r="W448" s="409"/>
      <c r="X448" s="409"/>
      <c r="Y448" s="409"/>
      <c r="Z448" s="195"/>
      <c r="AA448" s="195"/>
      <c r="AB448" s="195"/>
      <c r="AC448" s="195"/>
      <c r="AD448" s="6"/>
      <c r="AE448" s="39"/>
      <c r="AF448" s="30"/>
      <c r="AG448" s="30"/>
      <c r="AH448" s="30"/>
      <c r="AI448" s="30"/>
      <c r="AJ448" s="30"/>
      <c r="AK448" s="30"/>
      <c r="AL448" s="30"/>
      <c r="AM448" s="30"/>
      <c r="AN448" s="31"/>
    </row>
    <row r="449" spans="1:40" ht="13" customHeight="1">
      <c r="A449">
        <v>575</v>
      </c>
      <c r="B449" s="141" t="s">
        <v>513</v>
      </c>
      <c r="C449" s="141" t="s">
        <v>61</v>
      </c>
      <c r="D449" s="141" t="s">
        <v>62</v>
      </c>
      <c r="E449" s="142">
        <v>1000</v>
      </c>
      <c r="F449" s="141" t="s">
        <v>116</v>
      </c>
      <c r="G449" s="6" t="s">
        <v>57</v>
      </c>
      <c r="H449" s="141" t="s">
        <v>76</v>
      </c>
      <c r="I449" s="142">
        <v>13</v>
      </c>
      <c r="J449" s="141" t="s">
        <v>77</v>
      </c>
      <c r="K449" s="142">
        <v>2011</v>
      </c>
      <c r="L449" s="141" t="s">
        <v>507</v>
      </c>
      <c r="M449" s="141"/>
      <c r="N449" s="141"/>
      <c r="O449" t="s">
        <v>389</v>
      </c>
      <c r="P449" s="55" t="s">
        <v>38</v>
      </c>
      <c r="Q449" s="55" t="s">
        <v>38</v>
      </c>
      <c r="R449" s="19" t="s">
        <v>38</v>
      </c>
      <c r="S449" s="19" t="s">
        <v>38</v>
      </c>
      <c r="T449" s="55" t="s">
        <v>38</v>
      </c>
      <c r="U449" s="55"/>
      <c r="V449" s="410"/>
      <c r="W449" s="409"/>
      <c r="X449" s="409"/>
      <c r="Y449" s="409"/>
      <c r="Z449" s="195"/>
      <c r="AA449" s="195"/>
      <c r="AB449" s="195"/>
      <c r="AC449" s="195"/>
      <c r="AD449" s="6"/>
      <c r="AE449" s="39"/>
      <c r="AF449" s="30"/>
      <c r="AG449" s="30"/>
      <c r="AH449" s="30"/>
      <c r="AI449" s="30"/>
      <c r="AJ449" s="30"/>
      <c r="AK449" s="30"/>
      <c r="AL449" s="30"/>
      <c r="AM449" s="30"/>
      <c r="AN449" s="31"/>
    </row>
    <row r="450" spans="1:40" ht="13" customHeight="1">
      <c r="A450">
        <v>581</v>
      </c>
      <c r="B450" s="141" t="s">
        <v>514</v>
      </c>
      <c r="C450" s="141" t="s">
        <v>61</v>
      </c>
      <c r="D450" s="141" t="s">
        <v>107</v>
      </c>
      <c r="E450" s="142">
        <v>1000</v>
      </c>
      <c r="F450" s="141" t="s">
        <v>116</v>
      </c>
      <c r="G450" s="6" t="s">
        <v>57</v>
      </c>
      <c r="H450" s="141" t="s">
        <v>76</v>
      </c>
      <c r="I450" s="142">
        <v>14.4</v>
      </c>
      <c r="J450" s="141" t="s">
        <v>77</v>
      </c>
      <c r="K450" s="142">
        <v>2007</v>
      </c>
      <c r="L450" s="141" t="s">
        <v>507</v>
      </c>
      <c r="M450" s="141"/>
      <c r="N450" s="141"/>
      <c r="O450" t="s">
        <v>389</v>
      </c>
      <c r="P450" s="55" t="s">
        <v>38</v>
      </c>
      <c r="Q450" s="55" t="s">
        <v>38</v>
      </c>
      <c r="R450" s="19" t="s">
        <v>38</v>
      </c>
      <c r="S450" s="19" t="s">
        <v>38</v>
      </c>
      <c r="T450" s="55" t="s">
        <v>38</v>
      </c>
      <c r="U450" s="55"/>
      <c r="V450" s="410"/>
      <c r="W450" s="409"/>
      <c r="X450" s="409"/>
      <c r="Y450" s="409"/>
      <c r="Z450" s="195"/>
      <c r="AA450" s="195"/>
      <c r="AB450" s="195"/>
      <c r="AC450" s="195"/>
      <c r="AD450" s="6"/>
      <c r="AE450" s="39"/>
      <c r="AF450" s="30"/>
      <c r="AG450" s="30"/>
      <c r="AH450" s="30"/>
      <c r="AI450" s="30"/>
      <c r="AJ450" s="30"/>
      <c r="AK450" s="30"/>
      <c r="AL450" s="30"/>
      <c r="AM450" s="30"/>
      <c r="AN450" s="31"/>
    </row>
    <row r="451" spans="1:40" ht="13" customHeight="1">
      <c r="A451">
        <v>587</v>
      </c>
      <c r="B451" s="141" t="s">
        <v>515</v>
      </c>
      <c r="C451" s="141" t="s">
        <v>61</v>
      </c>
      <c r="D451" s="141" t="s">
        <v>278</v>
      </c>
      <c r="E451" s="142">
        <v>1000</v>
      </c>
      <c r="F451" s="141" t="s">
        <v>116</v>
      </c>
      <c r="G451" s="6" t="s">
        <v>57</v>
      </c>
      <c r="H451" s="141" t="s">
        <v>76</v>
      </c>
      <c r="I451" s="142">
        <v>11</v>
      </c>
      <c r="J451" s="141" t="s">
        <v>77</v>
      </c>
      <c r="K451" s="142">
        <v>2007</v>
      </c>
      <c r="L451" s="141" t="s">
        <v>507</v>
      </c>
      <c r="M451" s="141"/>
      <c r="N451" s="141"/>
      <c r="O451" t="s">
        <v>389</v>
      </c>
      <c r="P451" s="55" t="s">
        <v>38</v>
      </c>
      <c r="Q451" s="55" t="s">
        <v>38</v>
      </c>
      <c r="R451" s="19" t="s">
        <v>38</v>
      </c>
      <c r="S451" s="19" t="s">
        <v>38</v>
      </c>
      <c r="T451" s="55" t="s">
        <v>38</v>
      </c>
      <c r="U451" s="55"/>
      <c r="V451" s="410"/>
      <c r="W451" s="409"/>
      <c r="X451" s="409"/>
      <c r="Y451" s="409"/>
      <c r="Z451" s="195"/>
      <c r="AA451" s="195"/>
      <c r="AB451" s="195"/>
      <c r="AC451" s="195"/>
      <c r="AD451" s="6"/>
      <c r="AE451" s="39"/>
      <c r="AF451" s="30"/>
      <c r="AG451" s="30"/>
      <c r="AH451" s="30"/>
      <c r="AI451" s="30"/>
      <c r="AJ451" s="30"/>
      <c r="AK451" s="30"/>
      <c r="AL451" s="30"/>
      <c r="AM451" s="30"/>
      <c r="AN451" s="31"/>
    </row>
    <row r="452" spans="1:40" ht="13" hidden="1" customHeight="1">
      <c r="B452" s="241"/>
      <c r="D452" s="6"/>
      <c r="E452" s="6"/>
      <c r="F452" s="6"/>
      <c r="G452" s="221"/>
      <c r="H452" s="6"/>
      <c r="I452" s="6"/>
      <c r="J452" s="6"/>
      <c r="K452" s="6"/>
      <c r="L452" s="183" t="s">
        <v>842</v>
      </c>
      <c r="M452" s="183"/>
      <c r="N452" s="183"/>
      <c r="O452" s="6"/>
      <c r="P452" s="55"/>
      <c r="Q452" s="55"/>
      <c r="R452" s="19"/>
      <c r="S452" s="19"/>
      <c r="T452" s="19"/>
      <c r="U452" s="55"/>
      <c r="V452" s="410"/>
      <c r="W452" s="409"/>
      <c r="X452" s="409"/>
      <c r="Y452" s="409"/>
      <c r="Z452" s="195"/>
      <c r="AA452" s="195"/>
      <c r="AB452" s="195"/>
      <c r="AC452" s="195"/>
      <c r="AD452" s="6"/>
      <c r="AE452" s="39"/>
      <c r="AF452" s="30"/>
      <c r="AG452" s="30"/>
      <c r="AH452" s="30"/>
      <c r="AI452" s="30"/>
      <c r="AJ452" s="30"/>
      <c r="AK452" s="30"/>
      <c r="AL452" s="30"/>
      <c r="AM452" s="30"/>
      <c r="AN452" s="31"/>
    </row>
    <row r="453" spans="1:40" ht="13" hidden="1" customHeight="1">
      <c r="B453" s="241"/>
      <c r="D453" s="6"/>
      <c r="E453" s="6"/>
      <c r="F453" s="6"/>
      <c r="G453" s="221"/>
      <c r="H453" s="6"/>
      <c r="I453" s="6"/>
      <c r="J453" s="6"/>
      <c r="K453" s="6"/>
      <c r="L453" s="183" t="s">
        <v>842</v>
      </c>
      <c r="M453" s="183"/>
      <c r="N453" s="183"/>
      <c r="O453" s="6"/>
      <c r="P453" s="55"/>
      <c r="Q453" s="55"/>
      <c r="R453" s="19"/>
      <c r="S453" s="19"/>
      <c r="T453" s="19"/>
      <c r="U453" s="55"/>
      <c r="V453" s="410"/>
      <c r="W453" s="409"/>
      <c r="X453" s="409"/>
      <c r="Y453" s="409"/>
      <c r="Z453" s="195"/>
      <c r="AA453" s="195"/>
      <c r="AB453" s="195"/>
      <c r="AC453" s="195"/>
      <c r="AE453" s="39"/>
      <c r="AF453" s="30"/>
      <c r="AG453" s="30"/>
      <c r="AH453" s="30"/>
      <c r="AI453" s="30"/>
      <c r="AJ453" s="30"/>
      <c r="AK453" s="30"/>
      <c r="AL453" s="30"/>
      <c r="AM453" s="30"/>
      <c r="AN453" s="31"/>
    </row>
    <row r="454" spans="1:40" ht="13" customHeight="1">
      <c r="A454">
        <v>392</v>
      </c>
      <c r="B454" t="s">
        <v>387</v>
      </c>
      <c r="C454" t="s">
        <v>30</v>
      </c>
      <c r="D454" t="s">
        <v>815</v>
      </c>
      <c r="E454">
        <v>1083</v>
      </c>
      <c r="F454" t="s">
        <v>391</v>
      </c>
      <c r="G454" s="6" t="s">
        <v>52</v>
      </c>
      <c r="H454" t="s">
        <v>76</v>
      </c>
      <c r="I454">
        <v>2.2400000000000002</v>
      </c>
      <c r="J454" t="s">
        <v>77</v>
      </c>
      <c r="K454">
        <v>1988</v>
      </c>
      <c r="L454" t="s">
        <v>386</v>
      </c>
      <c r="O454" s="13"/>
      <c r="P454" s="55" t="s">
        <v>38</v>
      </c>
      <c r="Q454" s="55" t="s">
        <v>38</v>
      </c>
      <c r="R454" s="19" t="s">
        <v>38</v>
      </c>
      <c r="S454" s="19" t="s">
        <v>38</v>
      </c>
      <c r="T454" s="55" t="s">
        <v>38</v>
      </c>
      <c r="U454" s="55"/>
      <c r="V454" s="410"/>
      <c r="W454" s="409"/>
      <c r="X454" s="409"/>
      <c r="Y454" s="409"/>
      <c r="Z454" s="195"/>
      <c r="AA454" s="195"/>
      <c r="AB454" s="195"/>
      <c r="AC454" s="195"/>
      <c r="AE454" s="39"/>
      <c r="AF454" s="30"/>
      <c r="AG454" s="30"/>
      <c r="AH454" s="30"/>
      <c r="AI454" s="30"/>
      <c r="AJ454" s="30"/>
      <c r="AK454" s="30"/>
      <c r="AL454" s="30"/>
      <c r="AM454" s="30"/>
      <c r="AN454" s="31"/>
    </row>
    <row r="455" spans="1:40" ht="13" customHeight="1">
      <c r="A455">
        <v>93</v>
      </c>
      <c r="B455" t="s">
        <v>146</v>
      </c>
      <c r="C455" s="6" t="s">
        <v>61</v>
      </c>
      <c r="D455" s="6" t="s">
        <v>62</v>
      </c>
      <c r="E455" s="6">
        <v>1200</v>
      </c>
      <c r="F455" s="6" t="s">
        <v>669</v>
      </c>
      <c r="G455" t="s">
        <v>52</v>
      </c>
      <c r="H455" s="6" t="s">
        <v>33</v>
      </c>
      <c r="I455" s="6">
        <f>57.7*1000000</f>
        <v>57700000</v>
      </c>
      <c r="J455" s="6" t="s">
        <v>34</v>
      </c>
      <c r="K455" s="6">
        <v>1986</v>
      </c>
      <c r="L455" s="6" t="s">
        <v>147</v>
      </c>
      <c r="M455" s="6"/>
      <c r="N455" s="6"/>
      <c r="O455" s="26"/>
      <c r="P455" s="19" t="s">
        <v>122</v>
      </c>
      <c r="Q455" s="55" t="s">
        <v>38</v>
      </c>
      <c r="R455" s="19" t="s">
        <v>38</v>
      </c>
      <c r="S455" s="19" t="s">
        <v>38</v>
      </c>
      <c r="T455" s="19" t="s">
        <v>38</v>
      </c>
      <c r="U455" s="55"/>
      <c r="V455" s="412"/>
      <c r="W455" s="412"/>
      <c r="X455" s="412"/>
      <c r="Y455" s="412"/>
      <c r="Z455" s="224"/>
      <c r="AA455" s="224"/>
      <c r="AB455" s="224"/>
      <c r="AC455" s="224"/>
      <c r="AD455" s="194"/>
      <c r="AE455" s="194"/>
      <c r="AF455" s="194"/>
      <c r="AG455" s="194"/>
      <c r="AH455" s="194"/>
      <c r="AI455" s="194"/>
      <c r="AJ455" s="194"/>
      <c r="AK455" s="194"/>
      <c r="AL455" s="194"/>
      <c r="AM455" s="194"/>
      <c r="AN455" s="222"/>
    </row>
    <row r="456" spans="1:40" ht="13" hidden="1" customHeight="1">
      <c r="A456" s="186">
        <v>386</v>
      </c>
      <c r="B456" s="186" t="s">
        <v>377</v>
      </c>
      <c r="C456" s="186" t="s">
        <v>61</v>
      </c>
      <c r="D456" s="186" t="s">
        <v>326</v>
      </c>
      <c r="E456" s="186" t="s">
        <v>378</v>
      </c>
      <c r="F456" s="186" t="s">
        <v>115</v>
      </c>
      <c r="G456" s="186" t="s">
        <v>32</v>
      </c>
      <c r="H456" s="186" t="s">
        <v>33</v>
      </c>
      <c r="I456" s="186">
        <f>17.2*1000000</f>
        <v>17200000</v>
      </c>
      <c r="J456" s="186" t="s">
        <v>34</v>
      </c>
      <c r="K456" s="186">
        <v>1982</v>
      </c>
      <c r="L456" s="186" t="s">
        <v>379</v>
      </c>
      <c r="M456" s="186"/>
      <c r="N456" s="186"/>
      <c r="O456" s="186" t="s">
        <v>720</v>
      </c>
      <c r="P456" s="188" t="s">
        <v>122</v>
      </c>
      <c r="Q456" s="188" t="s">
        <v>38</v>
      </c>
      <c r="R456" s="188" t="s">
        <v>38</v>
      </c>
      <c r="S456" s="188" t="s">
        <v>38</v>
      </c>
      <c r="T456" s="187" t="s">
        <v>38</v>
      </c>
      <c r="U456" s="55"/>
      <c r="V456" s="412"/>
      <c r="W456" s="412"/>
      <c r="X456" s="412"/>
      <c r="Y456" s="412"/>
      <c r="Z456" s="224"/>
      <c r="AA456" s="224"/>
      <c r="AB456" s="224"/>
      <c r="AC456" s="224"/>
      <c r="AD456" s="194"/>
      <c r="AE456" s="194"/>
      <c r="AF456" s="194"/>
      <c r="AG456" s="194"/>
      <c r="AH456" s="194"/>
      <c r="AI456" s="194"/>
      <c r="AJ456" s="194"/>
      <c r="AK456" s="194"/>
      <c r="AL456" s="194"/>
      <c r="AM456" s="194"/>
      <c r="AN456" s="222"/>
    </row>
    <row r="457" spans="1:40" ht="13" hidden="1" customHeight="1">
      <c r="A457" s="186">
        <v>387</v>
      </c>
      <c r="B457" s="186" t="s">
        <v>377</v>
      </c>
      <c r="C457" s="186" t="s">
        <v>61</v>
      </c>
      <c r="D457" s="186" t="s">
        <v>326</v>
      </c>
      <c r="E457" s="186" t="s">
        <v>378</v>
      </c>
      <c r="F457" s="186" t="s">
        <v>381</v>
      </c>
      <c r="G457" s="186" t="s">
        <v>32</v>
      </c>
      <c r="H457" s="186" t="s">
        <v>76</v>
      </c>
      <c r="I457" s="186">
        <f>((239.7-97.6)*1000000)/10800</f>
        <v>13157.407407407407</v>
      </c>
      <c r="J457" s="186" t="s">
        <v>382</v>
      </c>
      <c r="K457" s="186">
        <v>1982</v>
      </c>
      <c r="L457" s="186" t="s">
        <v>379</v>
      </c>
      <c r="M457" s="186"/>
      <c r="N457" s="186"/>
      <c r="O457" s="186" t="s">
        <v>383</v>
      </c>
      <c r="P457" s="187" t="s">
        <v>38</v>
      </c>
      <c r="Q457" s="187" t="s">
        <v>38</v>
      </c>
      <c r="R457" s="188" t="s">
        <v>38</v>
      </c>
      <c r="S457" s="188" t="s">
        <v>38</v>
      </c>
      <c r="T457" s="187" t="s">
        <v>38</v>
      </c>
      <c r="U457" s="55"/>
      <c r="V457" s="412"/>
      <c r="W457" s="412"/>
      <c r="X457" s="412"/>
      <c r="Y457" s="412"/>
      <c r="Z457" s="224"/>
      <c r="AA457" s="224"/>
      <c r="AB457" s="224"/>
      <c r="AC457" s="224"/>
      <c r="AD457" s="194"/>
      <c r="AE457" s="194"/>
      <c r="AF457" s="194"/>
      <c r="AG457" s="194"/>
      <c r="AH457" s="194"/>
      <c r="AI457" s="194"/>
      <c r="AJ457" s="194"/>
      <c r="AK457" s="194"/>
      <c r="AL457" s="194"/>
      <c r="AM457" s="194"/>
      <c r="AN457" s="222"/>
    </row>
    <row r="458" spans="1:40" ht="13" customHeight="1">
      <c r="A458">
        <v>140</v>
      </c>
      <c r="B458" s="6" t="s">
        <v>188</v>
      </c>
      <c r="C458" t="s">
        <v>61</v>
      </c>
      <c r="D458" t="s">
        <v>62</v>
      </c>
      <c r="E458">
        <v>1000</v>
      </c>
      <c r="F458" t="s">
        <v>669</v>
      </c>
      <c r="G458" t="s">
        <v>52</v>
      </c>
      <c r="H458" t="s">
        <v>33</v>
      </c>
      <c r="I458">
        <f>60*1000000</f>
        <v>60000000</v>
      </c>
      <c r="J458" t="s">
        <v>34</v>
      </c>
      <c r="K458">
        <v>1999</v>
      </c>
      <c r="L458" t="s">
        <v>1123</v>
      </c>
      <c r="P458" s="19" t="s">
        <v>122</v>
      </c>
      <c r="Q458" s="55" t="s">
        <v>38</v>
      </c>
      <c r="R458" s="19" t="s">
        <v>38</v>
      </c>
      <c r="S458" s="19" t="s">
        <v>38</v>
      </c>
      <c r="T458" s="19" t="s">
        <v>122</v>
      </c>
      <c r="U458" s="55"/>
      <c r="V458" s="412"/>
      <c r="W458" s="412"/>
      <c r="X458" s="412"/>
      <c r="Y458" s="412"/>
      <c r="Z458" s="224"/>
      <c r="AA458" s="224"/>
      <c r="AB458" s="224"/>
      <c r="AC458" s="224"/>
      <c r="AD458" s="6"/>
      <c r="AE458" s="39"/>
      <c r="AF458" s="30"/>
      <c r="AG458" s="30"/>
      <c r="AH458" s="30"/>
      <c r="AI458" s="30"/>
      <c r="AJ458" s="30"/>
      <c r="AK458" s="30"/>
      <c r="AL458" s="30"/>
      <c r="AM458" s="30"/>
      <c r="AN458" s="31"/>
    </row>
    <row r="459" spans="1:40" ht="13" customHeight="1">
      <c r="A459">
        <v>144</v>
      </c>
      <c r="B459" s="6" t="s">
        <v>200</v>
      </c>
      <c r="C459" t="s">
        <v>61</v>
      </c>
      <c r="D459" t="s">
        <v>62</v>
      </c>
      <c r="E459">
        <v>1000</v>
      </c>
      <c r="F459" t="s">
        <v>669</v>
      </c>
      <c r="G459" t="s">
        <v>52</v>
      </c>
      <c r="H459" t="s">
        <v>33</v>
      </c>
      <c r="I459">
        <f>60*1000000</f>
        <v>60000000</v>
      </c>
      <c r="J459" t="s">
        <v>34</v>
      </c>
      <c r="K459">
        <v>1999</v>
      </c>
      <c r="L459" t="s">
        <v>1123</v>
      </c>
      <c r="P459" s="19" t="s">
        <v>122</v>
      </c>
      <c r="Q459" s="55" t="s">
        <v>38</v>
      </c>
      <c r="R459" s="19" t="s">
        <v>38</v>
      </c>
      <c r="S459" s="19" t="s">
        <v>38</v>
      </c>
      <c r="T459" s="19" t="s">
        <v>122</v>
      </c>
      <c r="U459" s="55"/>
      <c r="V459" s="417"/>
      <c r="W459" s="417"/>
      <c r="X459" s="417"/>
      <c r="Y459" s="417"/>
      <c r="Z459" s="219"/>
      <c r="AA459" s="219"/>
      <c r="AB459" s="219"/>
      <c r="AC459" s="219"/>
      <c r="AD459" s="6"/>
      <c r="AE459" s="39"/>
      <c r="AF459" s="30"/>
      <c r="AG459" s="30"/>
      <c r="AH459" s="30"/>
      <c r="AI459" s="30"/>
      <c r="AJ459" s="30"/>
      <c r="AK459" s="30"/>
      <c r="AL459" s="30"/>
      <c r="AM459" s="30"/>
      <c r="AN459" s="31"/>
    </row>
    <row r="460" spans="1:40" ht="13" customHeight="1">
      <c r="A460">
        <v>190</v>
      </c>
      <c r="B460" t="s">
        <v>235</v>
      </c>
      <c r="C460" t="s">
        <v>61</v>
      </c>
      <c r="D460" t="s">
        <v>62</v>
      </c>
      <c r="E460">
        <v>1000</v>
      </c>
      <c r="F460" t="s">
        <v>669</v>
      </c>
      <c r="G460" t="s">
        <v>52</v>
      </c>
      <c r="H460" t="s">
        <v>33</v>
      </c>
      <c r="I460">
        <f>65.8*1000000</f>
        <v>65800000</v>
      </c>
      <c r="J460" t="s">
        <v>34</v>
      </c>
      <c r="K460">
        <v>2000</v>
      </c>
      <c r="L460" t="s">
        <v>233</v>
      </c>
      <c r="P460" s="144" t="s">
        <v>38</v>
      </c>
      <c r="Q460" s="144" t="s">
        <v>38</v>
      </c>
      <c r="R460" s="19" t="s">
        <v>38</v>
      </c>
      <c r="S460" s="19" t="s">
        <v>38</v>
      </c>
      <c r="T460" t="s">
        <v>234</v>
      </c>
      <c r="U460" s="55"/>
      <c r="V460" s="417"/>
      <c r="W460" s="417"/>
      <c r="X460" s="417"/>
      <c r="Y460" s="417"/>
      <c r="Z460" s="219"/>
      <c r="AA460" s="219"/>
      <c r="AB460" s="219"/>
      <c r="AC460" s="219"/>
      <c r="AE460" s="39"/>
      <c r="AF460" s="30"/>
      <c r="AG460" s="30"/>
      <c r="AH460" s="30"/>
      <c r="AI460" s="30"/>
      <c r="AJ460" s="30"/>
      <c r="AK460" s="30"/>
      <c r="AL460" s="30"/>
      <c r="AM460" s="30"/>
      <c r="AN460" s="31"/>
    </row>
    <row r="461" spans="1:40" ht="13" customHeight="1">
      <c r="A461">
        <v>191</v>
      </c>
      <c r="B461" t="s">
        <v>237</v>
      </c>
      <c r="C461" t="s">
        <v>61</v>
      </c>
      <c r="D461" t="s">
        <v>62</v>
      </c>
      <c r="E461">
        <v>1000</v>
      </c>
      <c r="F461" t="s">
        <v>669</v>
      </c>
      <c r="G461" t="s">
        <v>755</v>
      </c>
      <c r="H461" t="s">
        <v>33</v>
      </c>
      <c r="I461" t="s">
        <v>1132</v>
      </c>
      <c r="J461" t="s">
        <v>34</v>
      </c>
      <c r="K461">
        <v>2000</v>
      </c>
      <c r="L461" t="s">
        <v>233</v>
      </c>
      <c r="M461" s="80"/>
      <c r="O461" t="s">
        <v>236</v>
      </c>
      <c r="P461" s="144" t="s">
        <v>38</v>
      </c>
      <c r="Q461" s="144" t="s">
        <v>38</v>
      </c>
      <c r="R461" s="19" t="s">
        <v>38</v>
      </c>
      <c r="S461" s="19" t="s">
        <v>38</v>
      </c>
      <c r="T461" t="s">
        <v>234</v>
      </c>
      <c r="U461" s="55"/>
      <c r="V461" s="391" t="s">
        <v>831</v>
      </c>
      <c r="W461" s="392" t="s">
        <v>832</v>
      </c>
      <c r="X461" s="392" t="s">
        <v>833</v>
      </c>
      <c r="Y461" s="418"/>
      <c r="Z461" s="229"/>
      <c r="AA461" s="229"/>
      <c r="AB461" s="229"/>
      <c r="AC461" s="229"/>
      <c r="AE461" s="39"/>
      <c r="AF461" s="30"/>
      <c r="AG461" s="30"/>
      <c r="AH461" s="30"/>
      <c r="AI461" s="30"/>
      <c r="AJ461" s="30"/>
      <c r="AK461" s="30"/>
      <c r="AL461" s="30"/>
      <c r="AM461" s="30"/>
      <c r="AN461" s="31"/>
    </row>
    <row r="462" spans="1:40" ht="13" hidden="1" customHeight="1">
      <c r="A462">
        <v>373</v>
      </c>
      <c r="B462" t="s">
        <v>695</v>
      </c>
      <c r="C462" t="s">
        <v>61</v>
      </c>
      <c r="D462" t="s">
        <v>62</v>
      </c>
      <c r="E462">
        <v>1200</v>
      </c>
      <c r="F462" t="s">
        <v>493</v>
      </c>
      <c r="G462" t="s">
        <v>52</v>
      </c>
      <c r="H462" t="s">
        <v>76</v>
      </c>
      <c r="I462">
        <v>0.6</v>
      </c>
      <c r="J462" t="s">
        <v>77</v>
      </c>
      <c r="K462">
        <v>1990</v>
      </c>
      <c r="L462" s="80" t="s">
        <v>369</v>
      </c>
      <c r="M462" s="80"/>
      <c r="N462" s="80"/>
      <c r="P462" s="55" t="s">
        <v>38</v>
      </c>
      <c r="Q462" s="55" t="s">
        <v>38</v>
      </c>
      <c r="R462" s="19" t="s">
        <v>38</v>
      </c>
      <c r="S462" s="19" t="s">
        <v>38</v>
      </c>
      <c r="T462" s="55" t="s">
        <v>38</v>
      </c>
      <c r="U462" s="55"/>
      <c r="V462" s="391"/>
      <c r="W462" s="392"/>
      <c r="X462" s="392"/>
      <c r="Y462" s="418"/>
      <c r="Z462" s="229"/>
      <c r="AA462" s="229"/>
      <c r="AB462" s="229"/>
      <c r="AC462" s="229"/>
      <c r="AE462" s="39"/>
      <c r="AF462" s="30"/>
      <c r="AG462" s="30"/>
      <c r="AH462" s="30"/>
      <c r="AI462" s="30"/>
      <c r="AJ462" s="30"/>
      <c r="AK462" s="30"/>
      <c r="AL462" s="30"/>
      <c r="AM462" s="30"/>
      <c r="AN462" s="31"/>
    </row>
    <row r="463" spans="1:40" ht="13" hidden="1" customHeight="1">
      <c r="A463">
        <v>374</v>
      </c>
      <c r="B463" t="s">
        <v>696</v>
      </c>
      <c r="C463" t="s">
        <v>61</v>
      </c>
      <c r="D463" t="s">
        <v>62</v>
      </c>
      <c r="E463">
        <v>1200</v>
      </c>
      <c r="F463" t="s">
        <v>493</v>
      </c>
      <c r="G463" t="s">
        <v>32</v>
      </c>
      <c r="H463" t="s">
        <v>76</v>
      </c>
      <c r="I463">
        <v>3.1</v>
      </c>
      <c r="J463" t="s">
        <v>77</v>
      </c>
      <c r="K463">
        <v>1990</v>
      </c>
      <c r="L463" s="80" t="s">
        <v>369</v>
      </c>
      <c r="M463" s="80"/>
      <c r="N463" s="80"/>
      <c r="P463" s="55" t="s">
        <v>38</v>
      </c>
      <c r="Q463" s="55" t="s">
        <v>38</v>
      </c>
      <c r="R463" s="19" t="s">
        <v>38</v>
      </c>
      <c r="S463" s="19" t="s">
        <v>38</v>
      </c>
      <c r="T463" s="55" t="s">
        <v>38</v>
      </c>
      <c r="U463" s="55"/>
      <c r="V463" s="391"/>
      <c r="W463" s="392"/>
      <c r="X463" s="392"/>
      <c r="Y463" s="418"/>
      <c r="Z463" s="229"/>
      <c r="AA463" s="229"/>
      <c r="AB463" s="229"/>
      <c r="AC463" s="229"/>
      <c r="AE463" s="39"/>
      <c r="AF463" s="30"/>
      <c r="AG463" s="30"/>
      <c r="AH463" s="30"/>
      <c r="AI463" s="30"/>
      <c r="AJ463" s="30"/>
      <c r="AK463" s="30"/>
      <c r="AL463" s="30"/>
      <c r="AM463" s="30"/>
      <c r="AN463" s="31"/>
    </row>
    <row r="464" spans="1:40" ht="13" hidden="1" customHeight="1">
      <c r="A464">
        <v>376</v>
      </c>
      <c r="B464" t="s">
        <v>695</v>
      </c>
      <c r="C464" t="s">
        <v>61</v>
      </c>
      <c r="D464" t="s">
        <v>62</v>
      </c>
      <c r="E464">
        <v>1200</v>
      </c>
      <c r="F464" t="s">
        <v>115</v>
      </c>
      <c r="G464" t="s">
        <v>52</v>
      </c>
      <c r="H464" t="s">
        <v>76</v>
      </c>
      <c r="I464">
        <v>13.4</v>
      </c>
      <c r="J464" t="s">
        <v>77</v>
      </c>
      <c r="K464">
        <v>1990</v>
      </c>
      <c r="L464" s="80" t="s">
        <v>369</v>
      </c>
      <c r="M464" s="80"/>
      <c r="N464" s="80"/>
      <c r="O464" t="s">
        <v>372</v>
      </c>
      <c r="P464" s="19" t="s">
        <v>122</v>
      </c>
      <c r="Q464" s="55" t="s">
        <v>38</v>
      </c>
      <c r="R464" s="19" t="s">
        <v>38</v>
      </c>
      <c r="S464" s="19" t="s">
        <v>38</v>
      </c>
      <c r="T464" s="55" t="s">
        <v>38</v>
      </c>
      <c r="U464" s="55"/>
      <c r="V464" s="391"/>
      <c r="W464" s="392"/>
      <c r="X464" s="392"/>
      <c r="Y464" s="418"/>
      <c r="Z464" s="229"/>
      <c r="AA464" s="229"/>
      <c r="AB464" s="229"/>
      <c r="AC464" s="229"/>
      <c r="AE464" s="39"/>
      <c r="AF464" s="30"/>
      <c r="AG464" s="30"/>
      <c r="AH464" s="30"/>
      <c r="AI464" s="30"/>
      <c r="AJ464" s="30"/>
      <c r="AK464" s="30"/>
      <c r="AL464" s="30"/>
      <c r="AM464" s="30"/>
      <c r="AN464" s="31"/>
    </row>
    <row r="465" spans="1:40" ht="13" hidden="1" customHeight="1">
      <c r="A465">
        <v>381</v>
      </c>
      <c r="B465" t="s">
        <v>696</v>
      </c>
      <c r="C465" t="s">
        <v>61</v>
      </c>
      <c r="D465" t="s">
        <v>62</v>
      </c>
      <c r="E465">
        <v>1200</v>
      </c>
      <c r="F465" t="s">
        <v>115</v>
      </c>
      <c r="G465" t="s">
        <v>32</v>
      </c>
      <c r="H465" t="s">
        <v>76</v>
      </c>
      <c r="I465">
        <v>17.2</v>
      </c>
      <c r="J465" t="s">
        <v>77</v>
      </c>
      <c r="K465">
        <v>1990</v>
      </c>
      <c r="L465" s="80" t="s">
        <v>369</v>
      </c>
      <c r="M465" s="80"/>
      <c r="N465" s="80"/>
      <c r="P465" s="19" t="s">
        <v>122</v>
      </c>
      <c r="Q465" s="55" t="s">
        <v>38</v>
      </c>
      <c r="R465" s="19" t="s">
        <v>38</v>
      </c>
      <c r="S465" s="19" t="s">
        <v>38</v>
      </c>
      <c r="T465" s="55" t="s">
        <v>38</v>
      </c>
      <c r="U465" s="55"/>
      <c r="V465" s="413"/>
      <c r="W465" s="414"/>
      <c r="X465" s="414"/>
      <c r="Y465" s="415"/>
      <c r="Z465" s="223"/>
      <c r="AA465" s="223"/>
      <c r="AB465" s="223"/>
      <c r="AC465" s="223"/>
      <c r="AE465" s="39"/>
      <c r="AF465" s="30"/>
      <c r="AG465" s="30"/>
      <c r="AH465" s="30"/>
      <c r="AI465" s="30"/>
      <c r="AJ465" s="30"/>
      <c r="AK465" s="30"/>
      <c r="AL465" s="30"/>
      <c r="AM465" s="30"/>
      <c r="AN465" s="31"/>
    </row>
    <row r="466" spans="1:40" ht="13" hidden="1" customHeight="1">
      <c r="A466">
        <v>383</v>
      </c>
      <c r="B466" t="s">
        <v>695</v>
      </c>
      <c r="C466" t="s">
        <v>61</v>
      </c>
      <c r="D466" t="s">
        <v>62</v>
      </c>
      <c r="E466">
        <v>1200</v>
      </c>
      <c r="F466" t="s">
        <v>108</v>
      </c>
      <c r="G466" t="s">
        <v>52</v>
      </c>
      <c r="H466" t="s">
        <v>76</v>
      </c>
      <c r="I466">
        <v>78.7</v>
      </c>
      <c r="J466" t="s">
        <v>77</v>
      </c>
      <c r="K466">
        <v>1990</v>
      </c>
      <c r="L466" s="80" t="s">
        <v>369</v>
      </c>
      <c r="M466" s="80"/>
      <c r="N466" s="80"/>
      <c r="O466" t="s">
        <v>376</v>
      </c>
      <c r="P466" s="2">
        <v>0.75</v>
      </c>
      <c r="Q466" t="s">
        <v>371</v>
      </c>
      <c r="R466" s="19" t="s">
        <v>38</v>
      </c>
      <c r="S466" s="19" t="s">
        <v>38</v>
      </c>
      <c r="T466" s="55" t="s">
        <v>38</v>
      </c>
      <c r="U466" s="55"/>
      <c r="V466" s="413"/>
      <c r="W466" s="414"/>
      <c r="X466" s="414"/>
      <c r="Y466" s="415"/>
      <c r="Z466" s="223"/>
      <c r="AA466" s="223"/>
      <c r="AB466" s="223"/>
      <c r="AC466" s="223"/>
      <c r="AE466" s="39"/>
      <c r="AF466" s="30"/>
      <c r="AG466" s="30"/>
      <c r="AH466" s="30"/>
      <c r="AI466" s="30"/>
      <c r="AJ466" s="30"/>
      <c r="AK466" s="30"/>
      <c r="AL466" s="30"/>
      <c r="AM466" s="30"/>
      <c r="AN466" s="31"/>
    </row>
    <row r="467" spans="1:40" ht="13" hidden="1" customHeight="1">
      <c r="A467">
        <v>384</v>
      </c>
      <c r="B467" t="s">
        <v>696</v>
      </c>
      <c r="C467" t="s">
        <v>61</v>
      </c>
      <c r="D467" t="s">
        <v>62</v>
      </c>
      <c r="E467">
        <v>1200</v>
      </c>
      <c r="F467" t="s">
        <v>108</v>
      </c>
      <c r="G467" t="s">
        <v>32</v>
      </c>
      <c r="H467" t="s">
        <v>76</v>
      </c>
      <c r="I467">
        <v>105.1</v>
      </c>
      <c r="J467" t="s">
        <v>77</v>
      </c>
      <c r="K467">
        <v>1990</v>
      </c>
      <c r="L467" s="80" t="s">
        <v>369</v>
      </c>
      <c r="M467" s="80"/>
      <c r="N467" s="80"/>
      <c r="O467" t="s">
        <v>376</v>
      </c>
      <c r="P467" s="2">
        <v>0.75</v>
      </c>
      <c r="Q467" t="s">
        <v>371</v>
      </c>
      <c r="R467" s="19" t="s">
        <v>38</v>
      </c>
      <c r="S467" s="19" t="s">
        <v>38</v>
      </c>
      <c r="T467" s="55" t="s">
        <v>38</v>
      </c>
      <c r="U467" s="55"/>
      <c r="V467" s="413"/>
      <c r="W467" s="414"/>
      <c r="X467" s="414"/>
      <c r="Y467" s="415"/>
      <c r="Z467" s="223"/>
      <c r="AA467" s="223"/>
      <c r="AB467" s="223"/>
      <c r="AC467" s="223"/>
      <c r="AE467" s="39"/>
      <c r="AF467" s="30"/>
      <c r="AG467" s="30"/>
      <c r="AH467" s="30"/>
      <c r="AI467" s="30"/>
      <c r="AJ467" s="30"/>
      <c r="AK467" s="30"/>
      <c r="AL467" s="30"/>
      <c r="AM467" s="30"/>
      <c r="AN467" s="31"/>
    </row>
    <row r="468" spans="1:40" ht="13" customHeight="1">
      <c r="A468">
        <v>192</v>
      </c>
      <c r="B468" t="s">
        <v>239</v>
      </c>
      <c r="C468" t="s">
        <v>61</v>
      </c>
      <c r="D468" t="s">
        <v>62</v>
      </c>
      <c r="E468">
        <v>1000</v>
      </c>
      <c r="F468" t="s">
        <v>669</v>
      </c>
      <c r="G468" t="s">
        <v>52</v>
      </c>
      <c r="H468" t="s">
        <v>33</v>
      </c>
      <c r="I468">
        <f>65.3*1000000</f>
        <v>65300000</v>
      </c>
      <c r="J468" t="s">
        <v>34</v>
      </c>
      <c r="K468">
        <v>2000</v>
      </c>
      <c r="L468" t="s">
        <v>233</v>
      </c>
      <c r="P468" s="144" t="s">
        <v>38</v>
      </c>
      <c r="Q468" s="144" t="s">
        <v>38</v>
      </c>
      <c r="R468" s="19" t="s">
        <v>38</v>
      </c>
      <c r="S468" s="19" t="s">
        <v>38</v>
      </c>
      <c r="T468" t="s">
        <v>234</v>
      </c>
      <c r="U468" s="55"/>
      <c r="V468" s="416"/>
      <c r="W468" s="392" t="s">
        <v>891</v>
      </c>
      <c r="X468" s="392" t="s">
        <v>892</v>
      </c>
      <c r="Y468" s="392" t="s">
        <v>890</v>
      </c>
      <c r="Z468" s="199"/>
      <c r="AA468" s="199"/>
      <c r="AB468" s="199"/>
      <c r="AC468" s="199"/>
      <c r="AE468" s="39"/>
      <c r="AF468" s="30"/>
      <c r="AG468" s="30"/>
      <c r="AH468" s="30"/>
      <c r="AI468" s="30"/>
      <c r="AJ468" s="30"/>
      <c r="AK468" s="30"/>
      <c r="AL468" s="30"/>
      <c r="AM468" s="30"/>
      <c r="AN468" s="31"/>
    </row>
    <row r="469" spans="1:40" ht="13" customHeight="1">
      <c r="A469">
        <v>193</v>
      </c>
      <c r="B469" t="s">
        <v>240</v>
      </c>
      <c r="C469" t="s">
        <v>61</v>
      </c>
      <c r="D469" t="s">
        <v>62</v>
      </c>
      <c r="E469">
        <v>1000</v>
      </c>
      <c r="F469" t="s">
        <v>669</v>
      </c>
      <c r="G469" t="s">
        <v>755</v>
      </c>
      <c r="H469" t="s">
        <v>33</v>
      </c>
      <c r="I469">
        <f>65.3*1000000</f>
        <v>65300000</v>
      </c>
      <c r="J469" t="s">
        <v>34</v>
      </c>
      <c r="K469">
        <v>2000</v>
      </c>
      <c r="L469" t="s">
        <v>233</v>
      </c>
      <c r="P469" s="144" t="s">
        <v>38</v>
      </c>
      <c r="Q469" s="144" t="s">
        <v>38</v>
      </c>
      <c r="R469" s="19" t="s">
        <v>38</v>
      </c>
      <c r="S469" s="19" t="s">
        <v>38</v>
      </c>
      <c r="T469" t="s">
        <v>234</v>
      </c>
      <c r="U469" s="55"/>
      <c r="V469" s="416"/>
      <c r="W469" s="392"/>
      <c r="X469" s="392"/>
      <c r="Y469" s="392"/>
      <c r="Z469" s="199"/>
      <c r="AA469" s="199"/>
      <c r="AB469" s="199"/>
      <c r="AC469" s="199"/>
      <c r="AE469" s="39"/>
      <c r="AF469" s="30"/>
      <c r="AG469" s="30"/>
      <c r="AH469" s="30"/>
      <c r="AI469" s="30"/>
      <c r="AJ469" s="30"/>
      <c r="AK469" s="30"/>
      <c r="AL469" s="30"/>
      <c r="AM469" s="30"/>
      <c r="AN469" s="31"/>
    </row>
    <row r="470" spans="1:40" ht="13" customHeight="1">
      <c r="A470">
        <v>333</v>
      </c>
      <c r="B470" t="s">
        <v>330</v>
      </c>
      <c r="C470" t="s">
        <v>61</v>
      </c>
      <c r="D470" t="s">
        <v>62</v>
      </c>
      <c r="E470">
        <v>190</v>
      </c>
      <c r="F470" t="s">
        <v>669</v>
      </c>
      <c r="G470" t="s">
        <v>32</v>
      </c>
      <c r="H470" t="s">
        <v>33</v>
      </c>
      <c r="I470">
        <f>20*1000000</f>
        <v>20000000</v>
      </c>
      <c r="J470" t="s">
        <v>34</v>
      </c>
      <c r="K470">
        <v>2010</v>
      </c>
      <c r="L470" t="s">
        <v>331</v>
      </c>
      <c r="O470" t="s">
        <v>1226</v>
      </c>
      <c r="P470" s="19" t="s">
        <v>122</v>
      </c>
      <c r="Q470" s="55" t="s">
        <v>38</v>
      </c>
      <c r="R470" s="19" t="s">
        <v>38</v>
      </c>
      <c r="S470" s="19" t="s">
        <v>38</v>
      </c>
      <c r="T470" s="55" t="s">
        <v>38</v>
      </c>
      <c r="U470" s="55"/>
      <c r="V470" s="416"/>
      <c r="W470" s="392"/>
      <c r="X470" s="392"/>
      <c r="Y470" s="392"/>
      <c r="Z470" s="199"/>
      <c r="AA470" s="199"/>
      <c r="AB470" s="199"/>
      <c r="AC470" s="199"/>
      <c r="AE470" s="39"/>
      <c r="AF470" s="30"/>
      <c r="AG470" s="30"/>
      <c r="AH470" s="30"/>
      <c r="AI470" s="30"/>
      <c r="AJ470" s="30"/>
      <c r="AK470" s="30"/>
      <c r="AL470" s="30"/>
      <c r="AM470" s="30"/>
      <c r="AN470" s="31"/>
    </row>
    <row r="471" spans="1:40" ht="13" customHeight="1">
      <c r="B471" t="s">
        <v>337</v>
      </c>
      <c r="C471" t="s">
        <v>61</v>
      </c>
      <c r="D471" t="s">
        <v>62</v>
      </c>
      <c r="E471">
        <v>500</v>
      </c>
      <c r="F471" t="s">
        <v>669</v>
      </c>
      <c r="G471" s="6" t="s">
        <v>32</v>
      </c>
      <c r="H471" t="s">
        <v>33</v>
      </c>
      <c r="I471">
        <f>33*1000000</f>
        <v>33000000</v>
      </c>
      <c r="J471" t="s">
        <v>34</v>
      </c>
      <c r="K471">
        <v>2010</v>
      </c>
      <c r="L471" t="s">
        <v>331</v>
      </c>
      <c r="O471" t="s">
        <v>1227</v>
      </c>
      <c r="P471" s="19" t="s">
        <v>122</v>
      </c>
      <c r="Q471" s="55" t="s">
        <v>38</v>
      </c>
      <c r="R471" s="19" t="s">
        <v>38</v>
      </c>
      <c r="S471" s="19" t="s">
        <v>38</v>
      </c>
      <c r="T471" s="55" t="s">
        <v>38</v>
      </c>
      <c r="U471" s="55"/>
      <c r="V471" s="416"/>
      <c r="W471" s="392"/>
      <c r="X471" s="392"/>
      <c r="Y471" s="392"/>
      <c r="Z471" s="199"/>
      <c r="AA471" s="199"/>
      <c r="AB471" s="199"/>
      <c r="AC471" s="199"/>
      <c r="AE471" s="39"/>
      <c r="AF471" s="30"/>
      <c r="AG471" s="30"/>
      <c r="AH471" s="30"/>
      <c r="AI471" s="30"/>
      <c r="AJ471" s="30"/>
      <c r="AK471" s="30"/>
      <c r="AL471" s="30"/>
      <c r="AM471" s="30"/>
      <c r="AN471" s="31"/>
    </row>
    <row r="472" spans="1:40" ht="13" customHeight="1">
      <c r="A472">
        <v>340</v>
      </c>
      <c r="B472" t="s">
        <v>340</v>
      </c>
      <c r="C472" t="s">
        <v>61</v>
      </c>
      <c r="D472" t="s">
        <v>62</v>
      </c>
      <c r="E472">
        <v>500</v>
      </c>
      <c r="F472" t="s">
        <v>669</v>
      </c>
      <c r="G472" s="6" t="s">
        <v>57</v>
      </c>
      <c r="H472" t="s">
        <v>33</v>
      </c>
      <c r="I472">
        <f>33*1000000</f>
        <v>33000000</v>
      </c>
      <c r="J472" t="s">
        <v>34</v>
      </c>
      <c r="K472">
        <v>2010</v>
      </c>
      <c r="L472" t="s">
        <v>331</v>
      </c>
      <c r="O472" t="s">
        <v>1227</v>
      </c>
      <c r="P472" s="19" t="s">
        <v>122</v>
      </c>
      <c r="Q472" s="55" t="s">
        <v>38</v>
      </c>
      <c r="R472" s="19" t="s">
        <v>38</v>
      </c>
      <c r="S472" s="19" t="s">
        <v>38</v>
      </c>
      <c r="T472" s="55" t="s">
        <v>38</v>
      </c>
      <c r="U472" s="55"/>
      <c r="V472" s="416"/>
      <c r="W472" s="392"/>
      <c r="X472" s="392"/>
      <c r="Y472" s="392"/>
      <c r="Z472" s="199"/>
      <c r="AA472" s="199"/>
      <c r="AB472" s="199"/>
      <c r="AC472" s="199"/>
      <c r="AE472" s="39"/>
      <c r="AF472" s="30"/>
      <c r="AG472" s="30"/>
      <c r="AH472" s="30"/>
      <c r="AI472" s="30"/>
      <c r="AJ472" s="30"/>
      <c r="AK472" s="30"/>
      <c r="AL472" s="30"/>
      <c r="AM472" s="30"/>
      <c r="AN472" s="31"/>
    </row>
    <row r="473" spans="1:40" ht="13" customHeight="1">
      <c r="A473">
        <v>342</v>
      </c>
      <c r="B473" t="s">
        <v>342</v>
      </c>
      <c r="C473" t="s">
        <v>61</v>
      </c>
      <c r="D473" t="s">
        <v>62</v>
      </c>
      <c r="E473">
        <v>500</v>
      </c>
      <c r="F473" t="s">
        <v>669</v>
      </c>
      <c r="G473" t="s">
        <v>32</v>
      </c>
      <c r="H473" t="s">
        <v>33</v>
      </c>
      <c r="I473">
        <f>33*1000000</f>
        <v>33000000</v>
      </c>
      <c r="J473" t="s">
        <v>34</v>
      </c>
      <c r="K473">
        <v>2010</v>
      </c>
      <c r="L473" t="s">
        <v>331</v>
      </c>
      <c r="O473" t="s">
        <v>1228</v>
      </c>
      <c r="P473" s="19" t="s">
        <v>122</v>
      </c>
      <c r="Q473" s="55" t="s">
        <v>38</v>
      </c>
      <c r="R473" s="19" t="s">
        <v>38</v>
      </c>
      <c r="S473" s="19" t="s">
        <v>38</v>
      </c>
      <c r="T473" s="55" t="s">
        <v>38</v>
      </c>
      <c r="U473" s="55"/>
      <c r="V473" s="416"/>
      <c r="W473" s="392"/>
      <c r="X473" s="392"/>
      <c r="Y473" s="392"/>
      <c r="Z473" s="199"/>
      <c r="AA473" s="199"/>
      <c r="AB473" s="199"/>
      <c r="AC473" s="199"/>
      <c r="AE473" s="39"/>
      <c r="AF473" s="30"/>
      <c r="AG473" s="30"/>
      <c r="AH473" s="30"/>
      <c r="AI473" s="30"/>
      <c r="AJ473" s="30"/>
      <c r="AK473" s="30"/>
      <c r="AL473" s="30"/>
      <c r="AM473" s="30"/>
      <c r="AN473" s="31"/>
    </row>
    <row r="474" spans="1:40" ht="13" hidden="1" customHeight="1">
      <c r="A474">
        <v>507</v>
      </c>
      <c r="B474" t="s">
        <v>385</v>
      </c>
      <c r="C474" t="s">
        <v>61</v>
      </c>
      <c r="D474" t="s">
        <v>62</v>
      </c>
      <c r="E474">
        <v>1200</v>
      </c>
      <c r="F474" t="s">
        <v>690</v>
      </c>
      <c r="G474" s="117" t="s">
        <v>52</v>
      </c>
      <c r="H474" t="s">
        <v>76</v>
      </c>
      <c r="I474">
        <v>1</v>
      </c>
      <c r="J474" t="s">
        <v>77</v>
      </c>
      <c r="K474">
        <v>1983</v>
      </c>
      <c r="L474" s="80" t="s">
        <v>693</v>
      </c>
      <c r="M474" s="80"/>
      <c r="N474" s="80"/>
      <c r="P474" s="55" t="s">
        <v>38</v>
      </c>
      <c r="Q474" s="55" t="s">
        <v>38</v>
      </c>
      <c r="R474" s="19" t="s">
        <v>38</v>
      </c>
      <c r="S474" s="19" t="s">
        <v>38</v>
      </c>
      <c r="T474" s="55" t="s">
        <v>38</v>
      </c>
      <c r="U474" s="55"/>
      <c r="V474" s="416"/>
      <c r="W474" s="399"/>
      <c r="X474" s="392"/>
      <c r="Y474" s="392"/>
      <c r="Z474" s="199"/>
      <c r="AA474" s="199"/>
      <c r="AB474" s="199"/>
      <c r="AC474" s="199"/>
      <c r="AE474" s="39"/>
      <c r="AF474" s="30"/>
      <c r="AG474" s="30"/>
      <c r="AH474" s="30"/>
      <c r="AI474" s="30"/>
      <c r="AJ474" s="30"/>
      <c r="AK474" s="30"/>
      <c r="AL474" s="30"/>
      <c r="AM474" s="30"/>
      <c r="AN474" s="31"/>
    </row>
    <row r="475" spans="1:40" ht="13" hidden="1" customHeight="1">
      <c r="A475">
        <v>397</v>
      </c>
      <c r="B475" t="s">
        <v>200</v>
      </c>
      <c r="C475" t="s">
        <v>61</v>
      </c>
      <c r="D475" t="s">
        <v>62</v>
      </c>
      <c r="E475">
        <v>1000</v>
      </c>
      <c r="F475" t="s">
        <v>108</v>
      </c>
      <c r="G475" s="117" t="s">
        <v>52</v>
      </c>
      <c r="H475" t="s">
        <v>76</v>
      </c>
      <c r="I475">
        <v>75.790000000000006</v>
      </c>
      <c r="J475" t="s">
        <v>77</v>
      </c>
      <c r="K475">
        <v>1992</v>
      </c>
      <c r="L475" s="80" t="s">
        <v>397</v>
      </c>
      <c r="M475" s="80"/>
      <c r="N475" s="80"/>
      <c r="P475" s="2" t="s">
        <v>713</v>
      </c>
      <c r="Q475" t="s">
        <v>84</v>
      </c>
      <c r="R475" s="19" t="s">
        <v>38</v>
      </c>
      <c r="S475" s="19" t="s">
        <v>38</v>
      </c>
      <c r="T475" s="55" t="s">
        <v>38</v>
      </c>
      <c r="U475" s="55"/>
      <c r="V475" s="210"/>
      <c r="W475" s="199" t="s">
        <v>1046</v>
      </c>
      <c r="X475" s="214" t="s">
        <v>1045</v>
      </c>
      <c r="Y475" s="236" t="s">
        <v>871</v>
      </c>
      <c r="AE475" s="39"/>
      <c r="AF475" s="30"/>
      <c r="AG475" s="30"/>
      <c r="AH475" s="30"/>
      <c r="AI475" s="30"/>
      <c r="AJ475" s="30"/>
      <c r="AK475" s="30"/>
      <c r="AL475" s="30"/>
      <c r="AM475" s="30"/>
      <c r="AN475" s="31"/>
    </row>
    <row r="476" spans="1:40" ht="13" customHeight="1">
      <c r="B476" s="6" t="s">
        <v>839</v>
      </c>
      <c r="C476" t="s">
        <v>30</v>
      </c>
      <c r="D476" s="6" t="s">
        <v>796</v>
      </c>
      <c r="E476" s="6">
        <v>815</v>
      </c>
      <c r="F476" s="6" t="s">
        <v>669</v>
      </c>
      <c r="G476" s="6" t="s">
        <v>52</v>
      </c>
      <c r="H476" s="6" t="s">
        <v>33</v>
      </c>
      <c r="I476" s="6">
        <f>50*1000000</f>
        <v>50000000</v>
      </c>
      <c r="J476" s="6" t="s">
        <v>34</v>
      </c>
      <c r="K476" s="6">
        <v>1985</v>
      </c>
      <c r="L476" s="6" t="s">
        <v>842</v>
      </c>
      <c r="M476" s="6"/>
      <c r="N476" s="6"/>
      <c r="O476" s="6"/>
      <c r="P476" s="55">
        <v>0.75</v>
      </c>
      <c r="Q476" s="55" t="s">
        <v>38</v>
      </c>
      <c r="R476" s="19" t="s">
        <v>38</v>
      </c>
      <c r="S476" s="19" t="s">
        <v>38</v>
      </c>
      <c r="T476" s="19" t="s">
        <v>38</v>
      </c>
      <c r="U476" s="55"/>
      <c r="V476" s="391"/>
      <c r="W476" s="392" t="s">
        <v>1050</v>
      </c>
      <c r="X476" s="392" t="s">
        <v>1049</v>
      </c>
      <c r="Y476" s="392" t="s">
        <v>1051</v>
      </c>
      <c r="Z476" s="217"/>
      <c r="AA476" s="217"/>
      <c r="AB476" s="217"/>
      <c r="AC476" s="217"/>
      <c r="AE476" s="39"/>
      <c r="AF476" s="30"/>
      <c r="AG476" s="30"/>
      <c r="AH476" s="30"/>
      <c r="AI476" s="30"/>
      <c r="AJ476" s="30"/>
      <c r="AK476" s="30"/>
      <c r="AL476" s="30"/>
      <c r="AM476" s="30"/>
      <c r="AN476" s="31"/>
    </row>
    <row r="477" spans="1:40" ht="13" hidden="1" customHeight="1">
      <c r="A477">
        <v>391</v>
      </c>
      <c r="B477" s="4" t="s">
        <v>387</v>
      </c>
      <c r="C477" t="s">
        <v>30</v>
      </c>
      <c r="D477" t="s">
        <v>815</v>
      </c>
      <c r="E477">
        <v>1083</v>
      </c>
      <c r="F477" t="s">
        <v>108</v>
      </c>
      <c r="G477" s="221" t="s">
        <v>52</v>
      </c>
      <c r="H477" t="s">
        <v>76</v>
      </c>
      <c r="I477">
        <v>9.0399999999999991</v>
      </c>
      <c r="J477" t="s">
        <v>77</v>
      </c>
      <c r="K477">
        <v>1988</v>
      </c>
      <c r="L477" s="80" t="s">
        <v>386</v>
      </c>
      <c r="M477" s="80"/>
      <c r="N477" s="80"/>
      <c r="O477" t="s">
        <v>390</v>
      </c>
      <c r="P477" s="55" t="s">
        <v>38</v>
      </c>
      <c r="Q477" s="55" t="s">
        <v>38</v>
      </c>
      <c r="R477" s="19" t="s">
        <v>38</v>
      </c>
      <c r="S477" s="19" t="s">
        <v>38</v>
      </c>
      <c r="T477" s="55" t="s">
        <v>38</v>
      </c>
      <c r="U477" s="55"/>
      <c r="V477" s="391"/>
      <c r="W477" s="395"/>
      <c r="X477" s="392"/>
      <c r="Y477" s="392"/>
      <c r="Z477" s="217"/>
      <c r="AA477" s="217"/>
      <c r="AB477" s="217"/>
      <c r="AC477" s="217"/>
      <c r="AE477" s="39"/>
      <c r="AF477" s="30"/>
      <c r="AG477" s="30"/>
      <c r="AH477" s="30"/>
      <c r="AI477" s="30"/>
      <c r="AJ477" s="30"/>
      <c r="AK477" s="30"/>
      <c r="AL477" s="30"/>
      <c r="AM477" s="30"/>
      <c r="AN477" s="31"/>
    </row>
    <row r="478" spans="1:40" ht="13" customHeight="1">
      <c r="B478" s="6" t="s">
        <v>125</v>
      </c>
      <c r="C478" t="s">
        <v>30</v>
      </c>
      <c r="D478" s="6" t="s">
        <v>796</v>
      </c>
      <c r="E478" s="6">
        <v>815</v>
      </c>
      <c r="F478" s="6" t="s">
        <v>669</v>
      </c>
      <c r="G478" s="6" t="s">
        <v>52</v>
      </c>
      <c r="H478" s="6" t="s">
        <v>33</v>
      </c>
      <c r="I478" s="6">
        <f>60*1000000</f>
        <v>60000000</v>
      </c>
      <c r="J478" s="6" t="s">
        <v>34</v>
      </c>
      <c r="K478" s="6">
        <v>1985</v>
      </c>
      <c r="L478" s="6" t="s">
        <v>842</v>
      </c>
      <c r="M478" s="6"/>
      <c r="N478" s="6"/>
      <c r="O478" s="6"/>
      <c r="P478" s="55">
        <v>0.75</v>
      </c>
      <c r="Q478" s="55" t="s">
        <v>38</v>
      </c>
      <c r="R478" s="19" t="s">
        <v>38</v>
      </c>
      <c r="S478" s="19" t="s">
        <v>38</v>
      </c>
      <c r="T478" s="19" t="s">
        <v>38</v>
      </c>
      <c r="U478" s="55"/>
      <c r="V478" s="391"/>
      <c r="W478" s="395"/>
      <c r="X478" s="392"/>
      <c r="Y478" s="392"/>
      <c r="Z478" s="217"/>
      <c r="AA478" s="217"/>
      <c r="AB478" s="217"/>
      <c r="AC478" s="217"/>
      <c r="AE478" s="39"/>
      <c r="AF478" s="30"/>
      <c r="AG478" s="30"/>
      <c r="AH478" s="30"/>
      <c r="AI478" s="30"/>
      <c r="AJ478" s="30"/>
      <c r="AK478" s="30"/>
      <c r="AL478" s="30"/>
      <c r="AM478" s="30"/>
      <c r="AN478" s="31"/>
    </row>
    <row r="479" spans="1:40" ht="13" customHeight="1">
      <c r="A479">
        <v>473</v>
      </c>
      <c r="B479" s="141" t="s">
        <v>445</v>
      </c>
      <c r="C479" s="141" t="s">
        <v>61</v>
      </c>
      <c r="D479" s="141" t="s">
        <v>62</v>
      </c>
      <c r="E479" t="s">
        <v>81</v>
      </c>
      <c r="F479" t="s">
        <v>669</v>
      </c>
      <c r="G479" s="141" t="s">
        <v>57</v>
      </c>
      <c r="H479" s="141" t="s">
        <v>76</v>
      </c>
      <c r="I479" s="142">
        <v>51</v>
      </c>
      <c r="J479" s="141" t="s">
        <v>189</v>
      </c>
      <c r="K479" s="142">
        <v>2000</v>
      </c>
      <c r="L479" s="141" t="s">
        <v>446</v>
      </c>
      <c r="M479" s="141"/>
      <c r="N479" s="141"/>
      <c r="O479" s="6" t="s">
        <v>672</v>
      </c>
      <c r="P479" s="55" t="s">
        <v>38</v>
      </c>
      <c r="Q479" s="55" t="s">
        <v>38</v>
      </c>
      <c r="R479" s="19" t="s">
        <v>38</v>
      </c>
      <c r="S479" s="19" t="s">
        <v>38</v>
      </c>
      <c r="T479" s="55" t="s">
        <v>38</v>
      </c>
      <c r="U479" s="55"/>
      <c r="V479" s="391"/>
      <c r="W479" s="395"/>
      <c r="X479" s="392"/>
      <c r="Y479" s="392"/>
      <c r="Z479" s="217"/>
      <c r="AA479" s="217"/>
      <c r="AB479" s="217"/>
      <c r="AC479" s="217"/>
      <c r="AE479" s="39"/>
      <c r="AF479" s="30"/>
      <c r="AG479" s="30"/>
      <c r="AH479" s="30"/>
      <c r="AI479" s="30"/>
      <c r="AJ479" s="30"/>
      <c r="AK479" s="30"/>
      <c r="AL479" s="30"/>
      <c r="AM479" s="30"/>
      <c r="AN479" s="31"/>
    </row>
    <row r="480" spans="1:40" ht="14.4" customHeight="1">
      <c r="A480">
        <v>474</v>
      </c>
      <c r="B480" s="141" t="s">
        <v>445</v>
      </c>
      <c r="C480" s="141" t="s">
        <v>61</v>
      </c>
      <c r="D480" s="141" t="s">
        <v>62</v>
      </c>
      <c r="E480" t="s">
        <v>81</v>
      </c>
      <c r="F480" t="s">
        <v>669</v>
      </c>
      <c r="G480" s="141" t="s">
        <v>57</v>
      </c>
      <c r="H480" s="141" t="s">
        <v>76</v>
      </c>
      <c r="I480" s="142">
        <v>77</v>
      </c>
      <c r="J480" s="141" t="s">
        <v>189</v>
      </c>
      <c r="K480" s="142">
        <v>2000</v>
      </c>
      <c r="L480" s="141" t="s">
        <v>446</v>
      </c>
      <c r="M480" s="141"/>
      <c r="N480" s="141"/>
      <c r="O480" s="6" t="s">
        <v>673</v>
      </c>
      <c r="P480" s="55" t="s">
        <v>38</v>
      </c>
      <c r="Q480" s="55" t="s">
        <v>38</v>
      </c>
      <c r="R480" s="19" t="s">
        <v>38</v>
      </c>
      <c r="S480" s="19" t="s">
        <v>38</v>
      </c>
      <c r="T480" s="55" t="s">
        <v>38</v>
      </c>
      <c r="U480" s="55"/>
      <c r="V480" s="391"/>
      <c r="W480" s="395"/>
      <c r="X480" s="392"/>
      <c r="Y480" s="392"/>
      <c r="Z480" s="217"/>
      <c r="AA480" s="217"/>
      <c r="AB480" s="217"/>
      <c r="AC480" s="217"/>
      <c r="AE480" s="39"/>
      <c r="AF480" s="30"/>
      <c r="AG480" s="30"/>
      <c r="AH480" s="30"/>
      <c r="AI480" s="30"/>
      <c r="AJ480" s="30"/>
      <c r="AK480" s="30"/>
      <c r="AL480" s="30"/>
      <c r="AM480" s="30"/>
      <c r="AN480" s="31"/>
    </row>
    <row r="481" spans="1:40" ht="13" hidden="1" customHeight="1">
      <c r="A481">
        <v>36</v>
      </c>
      <c r="B481" t="s">
        <v>114</v>
      </c>
      <c r="C481" t="s">
        <v>61</v>
      </c>
      <c r="D481" t="s">
        <v>62</v>
      </c>
      <c r="E481">
        <v>1000</v>
      </c>
      <c r="F481" t="s">
        <v>493</v>
      </c>
      <c r="G481" s="117" t="s">
        <v>52</v>
      </c>
      <c r="H481" t="s">
        <v>76</v>
      </c>
      <c r="I481">
        <v>0.5</v>
      </c>
      <c r="J481" t="s">
        <v>77</v>
      </c>
      <c r="K481">
        <v>1988</v>
      </c>
      <c r="L481" s="80" t="s">
        <v>597</v>
      </c>
      <c r="M481" s="80"/>
      <c r="N481" s="80"/>
      <c r="P481" s="55" t="s">
        <v>38</v>
      </c>
      <c r="Q481" s="55" t="s">
        <v>38</v>
      </c>
      <c r="R481" s="19" t="s">
        <v>38</v>
      </c>
      <c r="S481" s="19" t="s">
        <v>38</v>
      </c>
      <c r="T481" s="19" t="s">
        <v>38</v>
      </c>
      <c r="U481" s="55"/>
      <c r="V481" s="391"/>
      <c r="W481" s="395"/>
      <c r="X481" s="392"/>
      <c r="Y481" s="392"/>
      <c r="Z481" s="217"/>
      <c r="AA481" s="217"/>
      <c r="AB481" s="217"/>
      <c r="AC481" s="217"/>
      <c r="AE481" s="39"/>
      <c r="AF481" s="30"/>
      <c r="AG481" s="30"/>
      <c r="AH481" s="30"/>
      <c r="AI481" s="30"/>
      <c r="AJ481" s="30"/>
      <c r="AK481" s="30"/>
      <c r="AL481" s="30"/>
      <c r="AM481" s="30"/>
      <c r="AN481" s="31"/>
    </row>
    <row r="482" spans="1:40" ht="13" hidden="1" customHeight="1">
      <c r="A482">
        <v>38</v>
      </c>
      <c r="B482" t="s">
        <v>114</v>
      </c>
      <c r="C482" t="s">
        <v>61</v>
      </c>
      <c r="D482" t="s">
        <v>62</v>
      </c>
      <c r="E482">
        <v>1000</v>
      </c>
      <c r="F482" t="s">
        <v>115</v>
      </c>
      <c r="G482" s="117" t="s">
        <v>52</v>
      </c>
      <c r="H482" t="s">
        <v>76</v>
      </c>
      <c r="I482">
        <v>5.6</v>
      </c>
      <c r="J482" t="s">
        <v>77</v>
      </c>
      <c r="K482">
        <v>1988</v>
      </c>
      <c r="L482" s="80" t="s">
        <v>597</v>
      </c>
      <c r="M482" s="80"/>
      <c r="N482" s="80"/>
      <c r="P482" s="55" t="s">
        <v>38</v>
      </c>
      <c r="Q482" s="55" t="s">
        <v>38</v>
      </c>
      <c r="R482" s="19" t="s">
        <v>38</v>
      </c>
      <c r="S482" s="19" t="s">
        <v>38</v>
      </c>
      <c r="T482" s="19" t="s">
        <v>38</v>
      </c>
      <c r="U482" s="55"/>
      <c r="V482" s="391"/>
      <c r="W482" s="395"/>
      <c r="X482" s="392"/>
      <c r="Y482" s="392"/>
      <c r="Z482" s="217"/>
      <c r="AA482" s="217"/>
      <c r="AB482" s="217"/>
      <c r="AC482" s="217"/>
      <c r="AE482" s="39"/>
      <c r="AF482" s="30"/>
      <c r="AG482" s="30"/>
      <c r="AH482" s="30"/>
      <c r="AI482" s="30"/>
      <c r="AJ482" s="30"/>
      <c r="AK482" s="30"/>
      <c r="AL482" s="30"/>
      <c r="AM482" s="30"/>
      <c r="AN482" s="31"/>
    </row>
    <row r="483" spans="1:40" ht="19.5" customHeight="1">
      <c r="A483">
        <v>94</v>
      </c>
      <c r="B483" t="s">
        <v>146</v>
      </c>
      <c r="C483" s="6" t="s">
        <v>61</v>
      </c>
      <c r="D483" s="6" t="s">
        <v>62</v>
      </c>
      <c r="E483" s="6">
        <v>1200</v>
      </c>
      <c r="F483" s="6" t="s">
        <v>670</v>
      </c>
      <c r="G483" t="s">
        <v>52</v>
      </c>
      <c r="H483" s="6" t="s">
        <v>76</v>
      </c>
      <c r="I483" s="6">
        <v>0.44</v>
      </c>
      <c r="J483" s="6" t="s">
        <v>77</v>
      </c>
      <c r="K483" s="6">
        <v>1986</v>
      </c>
      <c r="L483" s="6" t="s">
        <v>147</v>
      </c>
      <c r="M483" s="6"/>
      <c r="N483" s="6"/>
      <c r="O483" s="26"/>
      <c r="P483" s="19" t="s">
        <v>122</v>
      </c>
      <c r="Q483" s="55" t="s">
        <v>38</v>
      </c>
      <c r="R483" s="19" t="s">
        <v>38</v>
      </c>
      <c r="S483" s="19" t="s">
        <v>38</v>
      </c>
      <c r="T483" s="19" t="s">
        <v>38</v>
      </c>
      <c r="U483" s="55"/>
      <c r="V483" s="391"/>
      <c r="W483" s="395"/>
      <c r="X483" s="392"/>
      <c r="Y483" s="392"/>
      <c r="Z483" s="217"/>
      <c r="AA483" s="217"/>
      <c r="AB483" s="217"/>
      <c r="AC483" s="217"/>
      <c r="AE483" s="39"/>
      <c r="AF483" s="30"/>
      <c r="AG483" s="30"/>
      <c r="AH483" s="30"/>
      <c r="AI483" s="30"/>
      <c r="AJ483" s="30"/>
      <c r="AK483" s="30"/>
      <c r="AL483" s="30"/>
      <c r="AM483" s="30"/>
      <c r="AN483" s="31"/>
    </row>
    <row r="484" spans="1:40" ht="25.5" customHeight="1">
      <c r="A484">
        <v>143</v>
      </c>
      <c r="B484" s="6" t="s">
        <v>188</v>
      </c>
      <c r="C484" t="s">
        <v>61</v>
      </c>
      <c r="D484" t="s">
        <v>62</v>
      </c>
      <c r="E484">
        <v>1000</v>
      </c>
      <c r="F484" t="s">
        <v>670</v>
      </c>
      <c r="G484" t="s">
        <v>52</v>
      </c>
      <c r="H484" t="s">
        <v>76</v>
      </c>
      <c r="I484">
        <v>0.4</v>
      </c>
      <c r="J484" t="s">
        <v>77</v>
      </c>
      <c r="K484">
        <v>1999</v>
      </c>
      <c r="L484" t="s">
        <v>1123</v>
      </c>
      <c r="P484" s="19" t="s">
        <v>122</v>
      </c>
      <c r="Q484" s="55" t="s">
        <v>38</v>
      </c>
      <c r="R484" s="19" t="s">
        <v>38</v>
      </c>
      <c r="S484" s="19" t="s">
        <v>38</v>
      </c>
      <c r="T484" s="19" t="s">
        <v>122</v>
      </c>
      <c r="U484" s="55"/>
      <c r="V484" s="391"/>
      <c r="W484" s="392" t="s">
        <v>1047</v>
      </c>
      <c r="X484" s="392" t="s">
        <v>1048</v>
      </c>
      <c r="Y484" s="396" t="s">
        <v>871</v>
      </c>
      <c r="Z484" s="218"/>
      <c r="AA484" s="218"/>
      <c r="AB484" s="218"/>
      <c r="AC484" s="218"/>
      <c r="AE484" s="39"/>
      <c r="AF484" s="30"/>
      <c r="AG484" s="30"/>
      <c r="AH484" s="30"/>
      <c r="AI484" s="30"/>
      <c r="AJ484" s="30"/>
      <c r="AK484" s="30"/>
      <c r="AL484" s="30"/>
      <c r="AM484" s="30"/>
      <c r="AN484" s="31"/>
    </row>
    <row r="485" spans="1:40" ht="15" customHeight="1">
      <c r="A485">
        <v>145</v>
      </c>
      <c r="B485" s="6" t="s">
        <v>200</v>
      </c>
      <c r="C485" t="s">
        <v>61</v>
      </c>
      <c r="D485" t="s">
        <v>62</v>
      </c>
      <c r="E485">
        <v>1000</v>
      </c>
      <c r="F485" t="s">
        <v>670</v>
      </c>
      <c r="G485" t="s">
        <v>52</v>
      </c>
      <c r="H485" t="s">
        <v>76</v>
      </c>
      <c r="I485">
        <v>0.4</v>
      </c>
      <c r="J485" t="s">
        <v>77</v>
      </c>
      <c r="K485">
        <v>1999</v>
      </c>
      <c r="L485" t="s">
        <v>1123</v>
      </c>
      <c r="P485" s="19" t="s">
        <v>122</v>
      </c>
      <c r="Q485" s="55" t="s">
        <v>38</v>
      </c>
      <c r="R485" s="19" t="s">
        <v>38</v>
      </c>
      <c r="S485" s="19" t="s">
        <v>38</v>
      </c>
      <c r="T485" s="19" t="s">
        <v>122</v>
      </c>
      <c r="U485" s="55"/>
      <c r="V485" s="391"/>
      <c r="W485" s="395"/>
      <c r="X485" s="392"/>
      <c r="Y485" s="396"/>
      <c r="Z485" s="218"/>
      <c r="AA485" s="218"/>
      <c r="AB485" s="218"/>
      <c r="AC485" s="218"/>
      <c r="AE485" s="39"/>
      <c r="AF485" s="30"/>
      <c r="AG485" s="30"/>
      <c r="AH485" s="30"/>
      <c r="AI485" s="30"/>
      <c r="AJ485" s="30"/>
      <c r="AK485" s="30"/>
      <c r="AL485" s="30"/>
      <c r="AM485" s="30"/>
      <c r="AN485" s="31"/>
    </row>
    <row r="486" spans="1:40" ht="13" customHeight="1">
      <c r="A486">
        <v>194</v>
      </c>
      <c r="B486" t="s">
        <v>235</v>
      </c>
      <c r="C486" t="s">
        <v>61</v>
      </c>
      <c r="D486" t="s">
        <v>62</v>
      </c>
      <c r="E486">
        <v>1000</v>
      </c>
      <c r="F486" t="s">
        <v>670</v>
      </c>
      <c r="G486" t="s">
        <v>52</v>
      </c>
      <c r="H486" t="s">
        <v>76</v>
      </c>
      <c r="I486">
        <v>7.78</v>
      </c>
      <c r="J486" t="s">
        <v>77</v>
      </c>
      <c r="K486">
        <v>2000</v>
      </c>
      <c r="L486" t="s">
        <v>233</v>
      </c>
      <c r="P486" s="144" t="s">
        <v>38</v>
      </c>
      <c r="Q486" s="144" t="s">
        <v>38</v>
      </c>
      <c r="R486" s="19" t="s">
        <v>38</v>
      </c>
      <c r="S486" s="19" t="s">
        <v>38</v>
      </c>
      <c r="T486" t="s">
        <v>234</v>
      </c>
      <c r="U486" s="55"/>
      <c r="V486" s="210"/>
      <c r="W486" s="199" t="s">
        <v>958</v>
      </c>
      <c r="X486" s="214" t="s">
        <v>959</v>
      </c>
      <c r="Y486" s="214" t="s">
        <v>960</v>
      </c>
      <c r="Z486" s="199"/>
      <c r="AA486" s="199"/>
      <c r="AB486" s="199"/>
      <c r="AC486" s="199"/>
      <c r="AE486" s="39"/>
      <c r="AF486" s="30"/>
      <c r="AG486" s="30"/>
      <c r="AH486" s="30"/>
      <c r="AI486" s="30"/>
      <c r="AJ486" s="30"/>
      <c r="AK486" s="30"/>
      <c r="AL486" s="30"/>
      <c r="AM486" s="30"/>
      <c r="AN486" s="31"/>
    </row>
    <row r="487" spans="1:40" ht="13" hidden="1" customHeight="1">
      <c r="A487" s="186">
        <v>504</v>
      </c>
      <c r="B487" s="186" t="s">
        <v>475</v>
      </c>
      <c r="C487" s="186" t="s">
        <v>61</v>
      </c>
      <c r="D487" s="186" t="s">
        <v>62</v>
      </c>
      <c r="E487" s="186" t="s">
        <v>476</v>
      </c>
      <c r="F487" s="186" t="s">
        <v>493</v>
      </c>
      <c r="G487" s="186" t="s">
        <v>32</v>
      </c>
      <c r="H487" s="186" t="s">
        <v>33</v>
      </c>
      <c r="I487" s="186">
        <f>3.6*1000000</f>
        <v>3600000</v>
      </c>
      <c r="J487" s="186" t="s">
        <v>34</v>
      </c>
      <c r="K487" s="186">
        <v>2002</v>
      </c>
      <c r="L487" s="186" t="s">
        <v>477</v>
      </c>
      <c r="M487" s="186"/>
      <c r="N487" s="186"/>
      <c r="O487" s="186" t="s">
        <v>478</v>
      </c>
      <c r="P487" s="187" t="s">
        <v>38</v>
      </c>
      <c r="Q487" s="187" t="s">
        <v>38</v>
      </c>
      <c r="R487" s="188" t="s">
        <v>38</v>
      </c>
      <c r="S487" s="188" t="s">
        <v>38</v>
      </c>
      <c r="T487" s="187" t="s">
        <v>38</v>
      </c>
      <c r="U487" s="55"/>
      <c r="V487" s="412"/>
      <c r="W487" s="412"/>
      <c r="X487" s="412"/>
      <c r="Y487" s="412"/>
      <c r="Z487" s="224"/>
      <c r="AA487" s="224"/>
      <c r="AB487" s="224"/>
      <c r="AC487" s="224"/>
      <c r="AE487" s="39"/>
      <c r="AF487" s="30"/>
      <c r="AG487" s="30"/>
      <c r="AH487" s="30"/>
      <c r="AI487" s="30"/>
      <c r="AJ487" s="30"/>
      <c r="AK487" s="30"/>
      <c r="AL487" s="30"/>
      <c r="AM487" s="30"/>
      <c r="AN487" s="31"/>
    </row>
    <row r="488" spans="1:40" ht="13" customHeight="1">
      <c r="A488">
        <v>195</v>
      </c>
      <c r="B488" t="s">
        <v>237</v>
      </c>
      <c r="C488" t="s">
        <v>61</v>
      </c>
      <c r="D488" t="s">
        <v>62</v>
      </c>
      <c r="E488">
        <v>1000</v>
      </c>
      <c r="F488" t="s">
        <v>670</v>
      </c>
      <c r="G488" t="s">
        <v>755</v>
      </c>
      <c r="H488" t="s">
        <v>76</v>
      </c>
      <c r="I488">
        <v>5.9</v>
      </c>
      <c r="J488" t="s">
        <v>77</v>
      </c>
      <c r="K488">
        <v>2000</v>
      </c>
      <c r="L488" t="s">
        <v>233</v>
      </c>
      <c r="P488" s="144" t="s">
        <v>38</v>
      </c>
      <c r="Q488" s="144" t="s">
        <v>38</v>
      </c>
      <c r="R488" s="19" t="s">
        <v>38</v>
      </c>
      <c r="S488" s="19" t="s">
        <v>38</v>
      </c>
      <c r="T488" t="s">
        <v>234</v>
      </c>
      <c r="U488" s="55"/>
      <c r="V488" s="391"/>
      <c r="W488" s="392" t="s">
        <v>996</v>
      </c>
      <c r="X488" s="392" t="s">
        <v>981</v>
      </c>
      <c r="Y488" s="392" t="s">
        <v>980</v>
      </c>
      <c r="Z488" s="199"/>
      <c r="AA488" s="199"/>
      <c r="AB488" s="199"/>
      <c r="AC488" s="199"/>
      <c r="AE488" s="39"/>
      <c r="AF488" s="30"/>
      <c r="AG488" s="30"/>
      <c r="AH488" s="30"/>
      <c r="AI488" s="30"/>
      <c r="AJ488" s="30"/>
      <c r="AK488" s="30"/>
      <c r="AL488" s="30"/>
      <c r="AM488" s="30"/>
      <c r="AN488" s="31"/>
    </row>
    <row r="489" spans="1:40" ht="16.899999999999999" hidden="1" customHeight="1">
      <c r="A489">
        <v>439</v>
      </c>
      <c r="B489" t="s">
        <v>232</v>
      </c>
      <c r="C489" t="s">
        <v>61</v>
      </c>
      <c r="D489" t="s">
        <v>62</v>
      </c>
      <c r="E489">
        <v>1000</v>
      </c>
      <c r="F489" t="s">
        <v>115</v>
      </c>
      <c r="G489" s="117" t="s">
        <v>52</v>
      </c>
      <c r="H489" t="s">
        <v>76</v>
      </c>
      <c r="I489">
        <v>3.51</v>
      </c>
      <c r="J489" t="s">
        <v>77</v>
      </c>
      <c r="K489">
        <v>1992</v>
      </c>
      <c r="L489" s="80" t="s">
        <v>420</v>
      </c>
      <c r="M489" s="80"/>
      <c r="N489" s="80"/>
      <c r="O489" t="s">
        <v>665</v>
      </c>
      <c r="P489" s="19" t="s">
        <v>122</v>
      </c>
      <c r="Q489" s="19" t="s">
        <v>38</v>
      </c>
      <c r="R489" s="19" t="s">
        <v>38</v>
      </c>
      <c r="S489" s="19" t="s">
        <v>38</v>
      </c>
      <c r="T489" s="55" t="s">
        <v>38</v>
      </c>
      <c r="U489" s="55"/>
      <c r="V489" s="391"/>
      <c r="W489" s="395"/>
      <c r="X489" s="392"/>
      <c r="Y489" s="392"/>
      <c r="Z489" s="199"/>
      <c r="AA489" s="199"/>
      <c r="AB489" s="199"/>
      <c r="AC489" s="199"/>
      <c r="AE489" s="39"/>
      <c r="AF489" s="30"/>
      <c r="AG489" s="30"/>
      <c r="AH489" s="30"/>
      <c r="AI489" s="30"/>
      <c r="AJ489" s="30"/>
      <c r="AK489" s="30"/>
      <c r="AL489" s="30"/>
      <c r="AM489" s="30"/>
      <c r="AN489" s="31"/>
    </row>
    <row r="490" spans="1:40" ht="16.899999999999999" hidden="1" customHeight="1">
      <c r="A490">
        <v>441</v>
      </c>
      <c r="B490" t="s">
        <v>232</v>
      </c>
      <c r="C490" t="s">
        <v>61</v>
      </c>
      <c r="D490" t="s">
        <v>62</v>
      </c>
      <c r="E490">
        <v>1000</v>
      </c>
      <c r="F490" t="s">
        <v>493</v>
      </c>
      <c r="G490" s="117" t="s">
        <v>52</v>
      </c>
      <c r="H490" t="s">
        <v>76</v>
      </c>
      <c r="I490">
        <v>0.25</v>
      </c>
      <c r="J490" t="s">
        <v>77</v>
      </c>
      <c r="K490">
        <v>1992</v>
      </c>
      <c r="L490" s="80" t="s">
        <v>420</v>
      </c>
      <c r="M490" s="80"/>
      <c r="N490" s="80"/>
      <c r="P490" s="55" t="s">
        <v>38</v>
      </c>
      <c r="Q490" s="55" t="s">
        <v>38</v>
      </c>
      <c r="R490" s="19" t="s">
        <v>38</v>
      </c>
      <c r="S490" s="19" t="s">
        <v>38</v>
      </c>
      <c r="T490" s="55" t="s">
        <v>38</v>
      </c>
      <c r="U490" s="55"/>
      <c r="V490" s="391"/>
      <c r="W490" s="395"/>
      <c r="X490" s="392"/>
      <c r="Y490" s="392"/>
      <c r="Z490" s="199"/>
      <c r="AA490" s="199"/>
      <c r="AB490" s="199"/>
      <c r="AC490" s="199"/>
      <c r="AE490" s="39"/>
      <c r="AF490" s="30"/>
      <c r="AG490" s="30"/>
      <c r="AH490" s="30"/>
      <c r="AI490" s="30"/>
      <c r="AJ490" s="30"/>
      <c r="AK490" s="30"/>
      <c r="AL490" s="30"/>
      <c r="AM490" s="30"/>
      <c r="AN490" s="31"/>
    </row>
    <row r="491" spans="1:40" ht="16.899999999999999" customHeight="1">
      <c r="A491">
        <v>196</v>
      </c>
      <c r="B491" t="s">
        <v>239</v>
      </c>
      <c r="C491" t="s">
        <v>61</v>
      </c>
      <c r="D491" t="s">
        <v>62</v>
      </c>
      <c r="E491">
        <v>1000</v>
      </c>
      <c r="F491" t="s">
        <v>670</v>
      </c>
      <c r="G491" t="s">
        <v>52</v>
      </c>
      <c r="H491" t="s">
        <v>76</v>
      </c>
      <c r="I491">
        <v>7.7</v>
      </c>
      <c r="J491" t="s">
        <v>77</v>
      </c>
      <c r="K491">
        <v>2000</v>
      </c>
      <c r="L491" t="s">
        <v>233</v>
      </c>
      <c r="P491" s="144" t="s">
        <v>38</v>
      </c>
      <c r="Q491" s="144" t="s">
        <v>38</v>
      </c>
      <c r="R491" s="19" t="s">
        <v>38</v>
      </c>
      <c r="S491" s="19" t="s">
        <v>38</v>
      </c>
      <c r="T491" t="s">
        <v>234</v>
      </c>
      <c r="U491" s="55"/>
      <c r="V491" s="391"/>
      <c r="W491" s="395"/>
      <c r="X491" s="392"/>
      <c r="Y491" s="392"/>
      <c r="Z491" s="199"/>
      <c r="AA491" s="199"/>
      <c r="AB491" s="199"/>
      <c r="AC491" s="199"/>
      <c r="AE491" s="39"/>
      <c r="AF491" s="30"/>
      <c r="AG491" s="30"/>
      <c r="AH491" s="30"/>
      <c r="AI491" s="30"/>
      <c r="AJ491" s="30"/>
      <c r="AK491" s="30"/>
      <c r="AL491" s="30"/>
      <c r="AM491" s="30"/>
      <c r="AN491" s="31"/>
    </row>
    <row r="492" spans="1:40" ht="16.899999999999999" customHeight="1">
      <c r="A492">
        <v>197</v>
      </c>
      <c r="B492" t="s">
        <v>240</v>
      </c>
      <c r="C492" t="s">
        <v>61</v>
      </c>
      <c r="D492" t="s">
        <v>62</v>
      </c>
      <c r="E492">
        <v>1000</v>
      </c>
      <c r="F492" t="s">
        <v>670</v>
      </c>
      <c r="G492" t="s">
        <v>755</v>
      </c>
      <c r="H492" t="s">
        <v>76</v>
      </c>
      <c r="I492">
        <v>5.9</v>
      </c>
      <c r="J492" t="s">
        <v>77</v>
      </c>
      <c r="K492">
        <v>2000</v>
      </c>
      <c r="L492" t="s">
        <v>233</v>
      </c>
      <c r="P492" s="144" t="s">
        <v>38</v>
      </c>
      <c r="Q492" s="144" t="s">
        <v>38</v>
      </c>
      <c r="R492" s="19" t="s">
        <v>38</v>
      </c>
      <c r="S492" s="19" t="s">
        <v>38</v>
      </c>
      <c r="T492" t="s">
        <v>234</v>
      </c>
      <c r="U492" s="55"/>
      <c r="V492" s="391"/>
      <c r="W492" s="395"/>
      <c r="X492" s="392"/>
      <c r="Y492" s="392"/>
      <c r="Z492" s="199"/>
      <c r="AA492" s="199"/>
      <c r="AB492" s="199"/>
      <c r="AC492" s="199"/>
      <c r="AE492" s="39"/>
      <c r="AF492" s="30"/>
      <c r="AG492" s="30"/>
      <c r="AH492" s="30"/>
      <c r="AI492" s="30"/>
      <c r="AJ492" s="30"/>
      <c r="AK492" s="30"/>
      <c r="AL492" s="30"/>
      <c r="AM492" s="30"/>
      <c r="AN492" s="31"/>
    </row>
    <row r="493" spans="1:40" ht="14.5" customHeight="1">
      <c r="A493">
        <v>308</v>
      </c>
      <c r="B493" t="s">
        <v>301</v>
      </c>
      <c r="C493" t="s">
        <v>61</v>
      </c>
      <c r="D493" t="s">
        <v>62</v>
      </c>
      <c r="E493">
        <v>1000</v>
      </c>
      <c r="F493" t="s">
        <v>670</v>
      </c>
      <c r="G493" t="s">
        <v>52</v>
      </c>
      <c r="H493" t="s">
        <v>76</v>
      </c>
      <c r="I493">
        <v>9.1999999999999993</v>
      </c>
      <c r="J493" t="s">
        <v>77</v>
      </c>
      <c r="K493">
        <v>1992</v>
      </c>
      <c r="L493" t="s">
        <v>294</v>
      </c>
      <c r="P493" s="19" t="s">
        <v>122</v>
      </c>
      <c r="Q493" s="55" t="s">
        <v>38</v>
      </c>
      <c r="R493" s="19" t="s">
        <v>38</v>
      </c>
      <c r="S493" s="19" t="s">
        <v>38</v>
      </c>
      <c r="T493" s="55" t="s">
        <v>38</v>
      </c>
      <c r="U493" s="55"/>
      <c r="V493" s="391"/>
      <c r="W493" s="395"/>
      <c r="X493" s="392"/>
      <c r="Y493" s="392"/>
      <c r="Z493" s="199"/>
      <c r="AA493" s="199"/>
      <c r="AB493" s="199"/>
      <c r="AC493" s="199"/>
      <c r="AE493" s="39"/>
      <c r="AF493" s="30"/>
      <c r="AG493" s="30"/>
      <c r="AH493" s="30"/>
      <c r="AI493" s="30"/>
      <c r="AJ493" s="30"/>
      <c r="AK493" s="30"/>
      <c r="AL493" s="30"/>
      <c r="AM493" s="30"/>
      <c r="AN493" s="31"/>
    </row>
    <row r="494" spans="1:40" ht="13" customHeight="1">
      <c r="A494">
        <v>309</v>
      </c>
      <c r="B494" t="s">
        <v>304</v>
      </c>
      <c r="C494" t="s">
        <v>61</v>
      </c>
      <c r="D494" t="s">
        <v>62</v>
      </c>
      <c r="E494">
        <v>1000</v>
      </c>
      <c r="F494" t="s">
        <v>670</v>
      </c>
      <c r="G494" t="s">
        <v>52</v>
      </c>
      <c r="H494" t="s">
        <v>76</v>
      </c>
      <c r="I494">
        <v>7.5</v>
      </c>
      <c r="J494" t="s">
        <v>77</v>
      </c>
      <c r="K494">
        <v>1992</v>
      </c>
      <c r="L494" t="s">
        <v>294</v>
      </c>
      <c r="P494" s="19" t="s">
        <v>122</v>
      </c>
      <c r="Q494" s="55" t="s">
        <v>38</v>
      </c>
      <c r="R494" s="19" t="s">
        <v>38</v>
      </c>
      <c r="S494" s="19" t="s">
        <v>38</v>
      </c>
      <c r="T494" s="55" t="s">
        <v>38</v>
      </c>
      <c r="U494" s="55"/>
      <c r="V494" s="391"/>
      <c r="W494" s="395"/>
      <c r="X494" s="392"/>
      <c r="Y494" s="392"/>
      <c r="Z494" s="199"/>
      <c r="AA494" s="199"/>
      <c r="AB494" s="199"/>
      <c r="AC494" s="199"/>
      <c r="AE494" s="39"/>
      <c r="AF494" s="30"/>
      <c r="AG494" s="30"/>
      <c r="AH494" s="30"/>
      <c r="AI494" s="30"/>
      <c r="AJ494" s="30"/>
      <c r="AK494" s="30"/>
      <c r="AL494" s="30"/>
      <c r="AM494" s="30"/>
      <c r="AN494" s="31"/>
    </row>
    <row r="495" spans="1:40" ht="13" customHeight="1">
      <c r="A495">
        <v>310</v>
      </c>
      <c r="B495" t="s">
        <v>114</v>
      </c>
      <c r="C495" t="s">
        <v>61</v>
      </c>
      <c r="D495" t="s">
        <v>62</v>
      </c>
      <c r="E495">
        <v>1000</v>
      </c>
      <c r="F495" t="s">
        <v>670</v>
      </c>
      <c r="G495" t="s">
        <v>52</v>
      </c>
      <c r="H495" t="s">
        <v>76</v>
      </c>
      <c r="I495">
        <v>7.5</v>
      </c>
      <c r="J495" t="s">
        <v>77</v>
      </c>
      <c r="K495">
        <v>1992</v>
      </c>
      <c r="L495" t="s">
        <v>294</v>
      </c>
      <c r="P495" s="19" t="s">
        <v>122</v>
      </c>
      <c r="Q495" s="55" t="s">
        <v>38</v>
      </c>
      <c r="R495" s="19" t="s">
        <v>38</v>
      </c>
      <c r="S495" s="19" t="s">
        <v>38</v>
      </c>
      <c r="T495" s="55" t="s">
        <v>38</v>
      </c>
      <c r="U495" s="55"/>
      <c r="V495" s="391"/>
      <c r="W495" s="395"/>
      <c r="X495" s="392"/>
      <c r="Y495" s="392"/>
      <c r="Z495" s="199"/>
      <c r="AA495" s="199"/>
      <c r="AB495" s="199"/>
      <c r="AC495" s="199"/>
      <c r="AE495" s="39"/>
      <c r="AF495" s="30"/>
      <c r="AG495" s="30"/>
      <c r="AH495" s="30"/>
      <c r="AI495" s="30"/>
      <c r="AJ495" s="30"/>
      <c r="AK495" s="30"/>
      <c r="AL495" s="30"/>
      <c r="AM495" s="30"/>
      <c r="AN495" s="31"/>
    </row>
    <row r="496" spans="1:40" ht="13" customHeight="1">
      <c r="A496">
        <v>311</v>
      </c>
      <c r="B496" t="s">
        <v>126</v>
      </c>
      <c r="C496" t="s">
        <v>61</v>
      </c>
      <c r="D496" t="s">
        <v>62</v>
      </c>
      <c r="E496">
        <v>1000</v>
      </c>
      <c r="F496" t="s">
        <v>670</v>
      </c>
      <c r="G496" t="s">
        <v>52</v>
      </c>
      <c r="H496" t="s">
        <v>76</v>
      </c>
      <c r="I496">
        <v>9.1999999999999993</v>
      </c>
      <c r="J496" t="s">
        <v>77</v>
      </c>
      <c r="K496">
        <v>1992</v>
      </c>
      <c r="L496" t="s">
        <v>294</v>
      </c>
      <c r="P496" s="19" t="s">
        <v>122</v>
      </c>
      <c r="Q496" s="55" t="s">
        <v>38</v>
      </c>
      <c r="R496" s="19" t="s">
        <v>38</v>
      </c>
      <c r="S496" s="19" t="s">
        <v>38</v>
      </c>
      <c r="T496" s="55" t="s">
        <v>38</v>
      </c>
      <c r="U496" s="55"/>
      <c r="V496" s="391"/>
      <c r="W496" s="395"/>
      <c r="X496" s="392"/>
      <c r="Y496" s="392"/>
      <c r="Z496" s="199"/>
      <c r="AA496" s="199"/>
      <c r="AB496" s="199"/>
      <c r="AC496" s="199"/>
      <c r="AE496" s="39"/>
      <c r="AF496" s="30"/>
      <c r="AG496" s="30"/>
      <c r="AH496" s="30"/>
      <c r="AI496" s="30"/>
      <c r="AJ496" s="30"/>
      <c r="AK496" s="30"/>
      <c r="AL496" s="30"/>
      <c r="AM496" s="30"/>
      <c r="AN496" s="31"/>
    </row>
    <row r="497" spans="1:40" ht="25.9" hidden="1" customHeight="1">
      <c r="A497">
        <v>446</v>
      </c>
      <c r="B497" s="5" t="s">
        <v>423</v>
      </c>
      <c r="C497" s="5" t="s">
        <v>61</v>
      </c>
      <c r="D497" s="5" t="s">
        <v>251</v>
      </c>
      <c r="E497" s="5">
        <v>1000</v>
      </c>
      <c r="F497" s="5" t="s">
        <v>667</v>
      </c>
      <c r="G497" s="231" t="s">
        <v>52</v>
      </c>
      <c r="H497" s="5" t="s">
        <v>33</v>
      </c>
      <c r="I497">
        <v>2620000000</v>
      </c>
      <c r="J497" s="5" t="s">
        <v>34</v>
      </c>
      <c r="K497" s="5">
        <v>2004</v>
      </c>
      <c r="L497" s="185" t="s">
        <v>424</v>
      </c>
      <c r="M497" s="185"/>
      <c r="N497" s="185"/>
      <c r="O497" s="5" t="s">
        <v>666</v>
      </c>
      <c r="P497" s="147">
        <v>0.85</v>
      </c>
      <c r="Q497" s="5" t="s">
        <v>84</v>
      </c>
      <c r="R497" s="19" t="s">
        <v>38</v>
      </c>
      <c r="S497" s="19" t="s">
        <v>38</v>
      </c>
      <c r="T497" s="55" t="s">
        <v>38</v>
      </c>
      <c r="U497" s="55"/>
      <c r="V497" s="391"/>
      <c r="W497" s="395"/>
      <c r="X497" s="392"/>
      <c r="Y497" s="392"/>
      <c r="Z497" s="199"/>
      <c r="AA497" s="199"/>
      <c r="AB497" s="199"/>
      <c r="AC497" s="199"/>
      <c r="AE497" s="39"/>
      <c r="AF497" s="30"/>
      <c r="AG497" s="30"/>
      <c r="AH497" s="30"/>
      <c r="AI497" s="30"/>
      <c r="AJ497" s="30"/>
      <c r="AK497" s="30"/>
      <c r="AL497" s="30"/>
      <c r="AM497" s="30"/>
      <c r="AN497" s="31"/>
    </row>
    <row r="498" spans="1:40" ht="25.9" customHeight="1">
      <c r="A498">
        <v>335</v>
      </c>
      <c r="B498" t="s">
        <v>335</v>
      </c>
      <c r="C498" t="s">
        <v>61</v>
      </c>
      <c r="D498" t="s">
        <v>62</v>
      </c>
      <c r="E498">
        <v>250</v>
      </c>
      <c r="F498" t="s">
        <v>670</v>
      </c>
      <c r="G498" s="6" t="s">
        <v>57</v>
      </c>
      <c r="H498" t="s">
        <v>76</v>
      </c>
      <c r="I498" s="2">
        <f>((14*1000000)/(250*8760*0.685))</f>
        <v>9.332400093323999</v>
      </c>
      <c r="J498" t="s">
        <v>77</v>
      </c>
      <c r="K498">
        <v>2010</v>
      </c>
      <c r="L498" t="s">
        <v>331</v>
      </c>
      <c r="O498" t="s">
        <v>1226</v>
      </c>
      <c r="P498" s="19" t="s">
        <v>122</v>
      </c>
      <c r="Q498" s="55" t="s">
        <v>38</v>
      </c>
      <c r="R498" s="19" t="s">
        <v>38</v>
      </c>
      <c r="S498" s="19" t="s">
        <v>38</v>
      </c>
      <c r="T498" s="55" t="s">
        <v>38</v>
      </c>
      <c r="U498" s="55"/>
      <c r="V498" s="391"/>
      <c r="W498" s="395"/>
      <c r="X498" s="392"/>
      <c r="Y498" s="392"/>
      <c r="Z498" s="199"/>
      <c r="AA498" s="199"/>
      <c r="AB498" s="199"/>
      <c r="AC498" s="199"/>
      <c r="AE498" s="39"/>
      <c r="AF498" s="30"/>
      <c r="AG498" s="30"/>
      <c r="AH498" s="30"/>
      <c r="AI498" s="30"/>
      <c r="AJ498" s="30"/>
      <c r="AK498" s="30"/>
      <c r="AL498" s="30"/>
      <c r="AM498" s="30"/>
      <c r="AN498" s="31"/>
    </row>
    <row r="499" spans="1:40" ht="38.65" customHeight="1">
      <c r="A499">
        <v>337</v>
      </c>
      <c r="B499" t="s">
        <v>340</v>
      </c>
      <c r="C499" t="s">
        <v>61</v>
      </c>
      <c r="D499" t="s">
        <v>62</v>
      </c>
      <c r="E499">
        <v>500</v>
      </c>
      <c r="F499" t="s">
        <v>670</v>
      </c>
      <c r="G499" t="s">
        <v>57</v>
      </c>
      <c r="H499" t="s">
        <v>76</v>
      </c>
      <c r="I499" s="2">
        <f>((17*1000000)/(500*8760*0.685))</f>
        <v>5.6661000566609996</v>
      </c>
      <c r="J499" t="s">
        <v>77</v>
      </c>
      <c r="K499">
        <v>2010</v>
      </c>
      <c r="L499" t="s">
        <v>331</v>
      </c>
      <c r="O499" t="s">
        <v>1229</v>
      </c>
      <c r="P499" s="19" t="s">
        <v>122</v>
      </c>
      <c r="Q499" s="55" t="s">
        <v>38</v>
      </c>
      <c r="R499" s="19" t="s">
        <v>38</v>
      </c>
      <c r="S499" s="19" t="s">
        <v>38</v>
      </c>
      <c r="T499" s="55" t="s">
        <v>38</v>
      </c>
      <c r="U499" s="55"/>
      <c r="V499" s="391"/>
      <c r="W499" s="395"/>
      <c r="X499" s="392"/>
      <c r="Y499" s="392"/>
      <c r="Z499" s="199"/>
      <c r="AA499" s="199"/>
      <c r="AB499" s="199"/>
      <c r="AC499" s="199"/>
      <c r="AE499" s="39"/>
      <c r="AF499" s="30"/>
      <c r="AG499" s="30"/>
      <c r="AH499" s="30"/>
      <c r="AI499" s="30"/>
      <c r="AJ499" s="30"/>
      <c r="AK499" s="30"/>
      <c r="AL499" s="30"/>
      <c r="AM499" s="30"/>
      <c r="AN499" s="31"/>
    </row>
    <row r="500" spans="1:40" ht="38.65" customHeight="1">
      <c r="A500">
        <v>338</v>
      </c>
      <c r="B500" t="s">
        <v>337</v>
      </c>
      <c r="C500" t="s">
        <v>61</v>
      </c>
      <c r="D500" t="s">
        <v>62</v>
      </c>
      <c r="E500">
        <v>500</v>
      </c>
      <c r="F500" t="s">
        <v>670</v>
      </c>
      <c r="G500" t="s">
        <v>32</v>
      </c>
      <c r="H500" t="s">
        <v>76</v>
      </c>
      <c r="I500" s="2">
        <f>((23*1000000)/(500*8760*0.685))</f>
        <v>7.6659000766589998</v>
      </c>
      <c r="J500" t="s">
        <v>77</v>
      </c>
      <c r="K500">
        <v>2010</v>
      </c>
      <c r="L500" t="s">
        <v>331</v>
      </c>
      <c r="O500" t="s">
        <v>1228</v>
      </c>
      <c r="P500" s="19" t="s">
        <v>122</v>
      </c>
      <c r="Q500" s="55" t="s">
        <v>38</v>
      </c>
      <c r="R500" s="19" t="s">
        <v>38</v>
      </c>
      <c r="S500" s="19" t="s">
        <v>38</v>
      </c>
      <c r="T500" s="55" t="s">
        <v>38</v>
      </c>
      <c r="U500" s="55"/>
      <c r="V500" s="391"/>
      <c r="W500" s="395"/>
      <c r="X500" s="392"/>
      <c r="Y500" s="392"/>
      <c r="Z500" s="199"/>
      <c r="AA500" s="199"/>
      <c r="AB500" s="199"/>
      <c r="AC500" s="199"/>
      <c r="AE500" s="39"/>
      <c r="AF500" s="30"/>
      <c r="AG500" s="30"/>
      <c r="AH500" s="30"/>
      <c r="AI500" s="30"/>
      <c r="AJ500" s="30"/>
      <c r="AK500" s="30"/>
      <c r="AL500" s="30"/>
      <c r="AM500" s="30"/>
      <c r="AN500" s="31"/>
    </row>
    <row r="501" spans="1:40" ht="38.65" hidden="1" customHeight="1">
      <c r="A501" s="186">
        <v>385</v>
      </c>
      <c r="B501" s="186" t="s">
        <v>377</v>
      </c>
      <c r="C501" s="186" t="s">
        <v>61</v>
      </c>
      <c r="D501" s="186" t="s">
        <v>326</v>
      </c>
      <c r="E501" s="186" t="s">
        <v>378</v>
      </c>
      <c r="F501" s="186" t="s">
        <v>116</v>
      </c>
      <c r="G501" s="186" t="s">
        <v>32</v>
      </c>
      <c r="H501" s="186" t="s">
        <v>33</v>
      </c>
      <c r="I501" s="186">
        <f>(27.7+38)*1000000</f>
        <v>65700000</v>
      </c>
      <c r="J501" s="186" t="s">
        <v>34</v>
      </c>
      <c r="K501" s="186">
        <v>1982</v>
      </c>
      <c r="L501" s="186" t="s">
        <v>379</v>
      </c>
      <c r="M501" s="186"/>
      <c r="N501" s="186"/>
      <c r="O501" s="186" t="s">
        <v>380</v>
      </c>
      <c r="P501" s="188" t="s">
        <v>122</v>
      </c>
      <c r="Q501" s="188" t="s">
        <v>38</v>
      </c>
      <c r="R501" s="188" t="s">
        <v>38</v>
      </c>
      <c r="S501" s="188" t="s">
        <v>38</v>
      </c>
      <c r="T501" s="187" t="s">
        <v>38</v>
      </c>
      <c r="U501" s="55"/>
      <c r="V501" s="391"/>
      <c r="W501" s="395"/>
      <c r="X501" s="392"/>
      <c r="Y501" s="392"/>
      <c r="Z501" s="199"/>
      <c r="AA501" s="199"/>
      <c r="AB501" s="199"/>
      <c r="AC501" s="199"/>
      <c r="AE501" s="39"/>
      <c r="AF501" s="30"/>
      <c r="AG501" s="30"/>
      <c r="AH501" s="30"/>
      <c r="AI501" s="30"/>
      <c r="AJ501" s="30"/>
      <c r="AK501" s="30"/>
      <c r="AL501" s="30"/>
      <c r="AM501" s="30"/>
      <c r="AN501" s="31"/>
    </row>
    <row r="502" spans="1:40" ht="38.65" hidden="1" customHeight="1">
      <c r="A502" s="186">
        <v>388</v>
      </c>
      <c r="B502" s="186" t="s">
        <v>377</v>
      </c>
      <c r="C502" s="186" t="s">
        <v>61</v>
      </c>
      <c r="D502" s="186" t="s">
        <v>326</v>
      </c>
      <c r="E502" s="186" t="s">
        <v>378</v>
      </c>
      <c r="F502" s="186" t="s">
        <v>31</v>
      </c>
      <c r="G502" s="186" t="s">
        <v>32</v>
      </c>
      <c r="H502" s="186" t="s">
        <v>33</v>
      </c>
      <c r="I502" s="186">
        <v>1502000000</v>
      </c>
      <c r="J502" s="186" t="s">
        <v>34</v>
      </c>
      <c r="K502" s="186">
        <v>1982</v>
      </c>
      <c r="L502" s="186" t="s">
        <v>379</v>
      </c>
      <c r="M502" s="186"/>
      <c r="N502" s="186"/>
      <c r="O502" s="253" t="s">
        <v>384</v>
      </c>
      <c r="P502" s="189" t="s">
        <v>710</v>
      </c>
      <c r="Q502" s="188" t="s">
        <v>38</v>
      </c>
      <c r="R502" s="188" t="s">
        <v>38</v>
      </c>
      <c r="S502" s="188" t="s">
        <v>38</v>
      </c>
      <c r="T502" s="187" t="s">
        <v>38</v>
      </c>
      <c r="U502" s="55"/>
      <c r="V502" s="391"/>
      <c r="W502" s="395"/>
      <c r="X502" s="392"/>
      <c r="Y502" s="392"/>
      <c r="Z502" s="199"/>
      <c r="AA502" s="199"/>
      <c r="AB502" s="199"/>
      <c r="AC502" s="199"/>
      <c r="AE502" s="39"/>
      <c r="AF502" s="30"/>
      <c r="AG502" s="30"/>
      <c r="AH502" s="30"/>
      <c r="AI502" s="30"/>
      <c r="AJ502" s="30"/>
      <c r="AK502" s="30"/>
      <c r="AL502" s="30"/>
      <c r="AM502" s="30"/>
      <c r="AN502" s="31"/>
    </row>
    <row r="503" spans="1:40" ht="38.65" hidden="1" customHeight="1">
      <c r="B503" t="s">
        <v>741</v>
      </c>
      <c r="C503" t="s">
        <v>61</v>
      </c>
      <c r="D503" t="s">
        <v>62</v>
      </c>
      <c r="E503">
        <v>1000</v>
      </c>
      <c r="F503" t="s">
        <v>493</v>
      </c>
      <c r="G503" s="117" t="s">
        <v>52</v>
      </c>
      <c r="H503" s="5" t="s">
        <v>76</v>
      </c>
      <c r="I503" s="5">
        <v>0.5</v>
      </c>
      <c r="J503" s="5" t="s">
        <v>77</v>
      </c>
      <c r="K503">
        <v>2010</v>
      </c>
      <c r="L503" s="80" t="s">
        <v>732</v>
      </c>
      <c r="M503" s="80"/>
      <c r="N503" s="80"/>
      <c r="O503" s="5"/>
      <c r="P503" s="148"/>
      <c r="Q503" s="5"/>
      <c r="R503" s="19"/>
      <c r="S503" s="5"/>
      <c r="T503" s="55"/>
      <c r="U503" s="55"/>
      <c r="V503" s="391"/>
      <c r="W503" s="395"/>
      <c r="X503" s="392"/>
      <c r="Y503" s="392"/>
      <c r="Z503" s="199"/>
      <c r="AA503" s="199"/>
      <c r="AB503" s="199"/>
      <c r="AC503" s="199"/>
      <c r="AE503" s="39"/>
      <c r="AF503" s="30"/>
      <c r="AG503" s="30"/>
      <c r="AH503" s="30"/>
      <c r="AI503" s="30"/>
      <c r="AJ503" s="30"/>
      <c r="AK503" s="30"/>
      <c r="AL503" s="30"/>
      <c r="AM503" s="30"/>
      <c r="AN503" s="31"/>
    </row>
    <row r="504" spans="1:40" ht="38.65" hidden="1" customHeight="1">
      <c r="B504" t="s">
        <v>200</v>
      </c>
      <c r="C504" t="s">
        <v>61</v>
      </c>
      <c r="D504" t="s">
        <v>62</v>
      </c>
      <c r="E504">
        <v>1000</v>
      </c>
      <c r="F504" t="s">
        <v>493</v>
      </c>
      <c r="G504" s="117" t="s">
        <v>52</v>
      </c>
      <c r="H504" s="5" t="s">
        <v>76</v>
      </c>
      <c r="I504" s="5">
        <v>0.5</v>
      </c>
      <c r="J504" s="5" t="s">
        <v>77</v>
      </c>
      <c r="K504">
        <v>2010</v>
      </c>
      <c r="L504" s="80" t="s">
        <v>732</v>
      </c>
      <c r="M504" s="80"/>
      <c r="N504" s="80"/>
      <c r="O504" s="5"/>
      <c r="P504" s="148"/>
      <c r="Q504" s="5"/>
      <c r="R504" s="19"/>
      <c r="S504" s="5"/>
      <c r="T504" s="55"/>
      <c r="U504" s="55"/>
      <c r="V504" s="391"/>
      <c r="W504" s="395"/>
      <c r="X504" s="392"/>
      <c r="Y504" s="392"/>
      <c r="Z504" s="199"/>
      <c r="AA504" s="199"/>
      <c r="AB504" s="199"/>
      <c r="AC504" s="199"/>
      <c r="AE504" s="39"/>
      <c r="AF504" s="30"/>
      <c r="AG504" s="30"/>
      <c r="AH504" s="30"/>
      <c r="AI504" s="30"/>
      <c r="AJ504" s="30"/>
      <c r="AK504" s="30"/>
      <c r="AL504" s="30"/>
      <c r="AM504" s="30"/>
      <c r="AN504" s="31"/>
    </row>
    <row r="505" spans="1:40" ht="38.65" hidden="1" customHeight="1">
      <c r="B505" t="s">
        <v>737</v>
      </c>
      <c r="C505" t="s">
        <v>61</v>
      </c>
      <c r="D505" t="s">
        <v>62</v>
      </c>
      <c r="E505">
        <v>1000</v>
      </c>
      <c r="F505" t="s">
        <v>493</v>
      </c>
      <c r="G505" s="117" t="s">
        <v>52</v>
      </c>
      <c r="H505" s="5" t="s">
        <v>76</v>
      </c>
      <c r="I505" s="5">
        <v>0.25</v>
      </c>
      <c r="J505" s="5" t="s">
        <v>77</v>
      </c>
      <c r="K505">
        <v>2010</v>
      </c>
      <c r="L505" s="80" t="s">
        <v>732</v>
      </c>
      <c r="M505" s="80"/>
      <c r="N505" s="80"/>
      <c r="O505" s="5"/>
      <c r="P505" s="148"/>
      <c r="Q505" s="5"/>
      <c r="R505" s="19"/>
      <c r="S505" s="5"/>
      <c r="T505" s="55"/>
      <c r="U505" s="55"/>
      <c r="V505" s="391"/>
      <c r="W505" s="395"/>
      <c r="X505" s="392"/>
      <c r="Y505" s="392"/>
      <c r="Z505" s="199"/>
      <c r="AA505" s="199"/>
      <c r="AB505" s="199"/>
      <c r="AC505" s="199"/>
      <c r="AE505" s="39"/>
      <c r="AF505" s="30"/>
      <c r="AG505" s="30"/>
      <c r="AH505" s="30"/>
      <c r="AI505" s="30"/>
      <c r="AJ505" s="30"/>
      <c r="AK505" s="30"/>
      <c r="AL505" s="30"/>
      <c r="AM505" s="30"/>
      <c r="AN505" s="31"/>
    </row>
    <row r="506" spans="1:40" ht="38.65" hidden="1" customHeight="1">
      <c r="B506" t="s">
        <v>736</v>
      </c>
      <c r="C506" t="s">
        <v>61</v>
      </c>
      <c r="D506" t="s">
        <v>62</v>
      </c>
      <c r="E506">
        <v>1000</v>
      </c>
      <c r="F506" t="s">
        <v>493</v>
      </c>
      <c r="G506" s="117" t="s">
        <v>52</v>
      </c>
      <c r="H506" s="5" t="s">
        <v>76</v>
      </c>
      <c r="I506" s="5">
        <v>0.25</v>
      </c>
      <c r="J506" s="5" t="s">
        <v>77</v>
      </c>
      <c r="K506">
        <v>2010</v>
      </c>
      <c r="L506" s="80" t="s">
        <v>732</v>
      </c>
      <c r="M506" s="80"/>
      <c r="N506" s="80"/>
      <c r="O506" s="5"/>
      <c r="P506" s="148"/>
      <c r="Q506" s="5"/>
      <c r="R506" s="19"/>
      <c r="S506" s="5"/>
      <c r="T506" s="55"/>
      <c r="U506" s="55"/>
      <c r="V506" s="391"/>
      <c r="W506" s="395"/>
      <c r="X506" s="392"/>
      <c r="Y506" s="392"/>
      <c r="Z506" s="199"/>
      <c r="AA506" s="199"/>
      <c r="AB506" s="199"/>
      <c r="AC506" s="199"/>
      <c r="AD506" s="12"/>
      <c r="AE506" s="39"/>
      <c r="AF506" s="30"/>
      <c r="AG506" s="30"/>
      <c r="AH506" s="30"/>
      <c r="AI506" s="30"/>
      <c r="AJ506" s="30"/>
      <c r="AK506" s="30"/>
      <c r="AL506" s="30"/>
      <c r="AM506" s="30"/>
      <c r="AN506" s="31"/>
    </row>
    <row r="507" spans="1:40" ht="38.4" hidden="1" customHeight="1">
      <c r="A507" s="186">
        <v>394</v>
      </c>
      <c r="B507" s="190" t="s">
        <v>392</v>
      </c>
      <c r="C507" s="190" t="s">
        <v>81</v>
      </c>
      <c r="D507" s="190" t="s">
        <v>81</v>
      </c>
      <c r="E507" s="190" t="s">
        <v>81</v>
      </c>
      <c r="F507" s="190" t="s">
        <v>31</v>
      </c>
      <c r="G507" s="190" t="s">
        <v>57</v>
      </c>
      <c r="H507" s="190" t="s">
        <v>76</v>
      </c>
      <c r="I507" s="190">
        <v>5000</v>
      </c>
      <c r="J507" s="190" t="s">
        <v>82</v>
      </c>
      <c r="K507" s="190">
        <v>2018</v>
      </c>
      <c r="L507" s="190" t="s">
        <v>393</v>
      </c>
      <c r="M507" s="190"/>
      <c r="N507" s="190"/>
      <c r="O507" s="190" t="s">
        <v>394</v>
      </c>
      <c r="P507" s="191" t="s">
        <v>38</v>
      </c>
      <c r="Q507" s="191" t="s">
        <v>38</v>
      </c>
      <c r="R507" s="191" t="s">
        <v>38</v>
      </c>
      <c r="S507" s="188" t="s">
        <v>38</v>
      </c>
      <c r="T507" s="187" t="s">
        <v>38</v>
      </c>
      <c r="U507" s="55"/>
      <c r="V507" s="391"/>
      <c r="W507" s="395"/>
      <c r="X507" s="392"/>
      <c r="Y507" s="392"/>
      <c r="Z507" s="199"/>
      <c r="AA507" s="199"/>
      <c r="AB507" s="199"/>
      <c r="AC507" s="199"/>
      <c r="AD507" s="12"/>
      <c r="AE507" s="39"/>
      <c r="AF507" s="30"/>
      <c r="AG507" s="30"/>
      <c r="AH507" s="30"/>
      <c r="AI507" s="30"/>
      <c r="AJ507" s="30"/>
      <c r="AK507" s="30"/>
      <c r="AL507" s="30"/>
      <c r="AM507" s="30"/>
      <c r="AN507" s="31"/>
    </row>
    <row r="508" spans="1:40" ht="38.65" hidden="1" customHeight="1">
      <c r="A508" s="186">
        <v>395</v>
      </c>
      <c r="B508" s="190" t="s">
        <v>395</v>
      </c>
      <c r="C508" s="190" t="s">
        <v>81</v>
      </c>
      <c r="D508" s="190" t="s">
        <v>81</v>
      </c>
      <c r="E508" s="190" t="s">
        <v>81</v>
      </c>
      <c r="F508" s="190" t="s">
        <v>31</v>
      </c>
      <c r="G508" s="190" t="s">
        <v>57</v>
      </c>
      <c r="H508" s="190" t="s">
        <v>76</v>
      </c>
      <c r="I508" s="190">
        <v>7000</v>
      </c>
      <c r="J508" s="190" t="s">
        <v>82</v>
      </c>
      <c r="K508" s="190">
        <v>2018</v>
      </c>
      <c r="L508" s="190" t="s">
        <v>393</v>
      </c>
      <c r="M508" s="190"/>
      <c r="N508" s="190"/>
      <c r="O508" s="190" t="s">
        <v>394</v>
      </c>
      <c r="P508" s="191" t="s">
        <v>38</v>
      </c>
      <c r="Q508" s="191" t="s">
        <v>38</v>
      </c>
      <c r="R508" s="191" t="s">
        <v>38</v>
      </c>
      <c r="S508" s="188" t="s">
        <v>38</v>
      </c>
      <c r="T508" s="187" t="s">
        <v>38</v>
      </c>
      <c r="U508" s="55"/>
      <c r="V508" s="391"/>
      <c r="W508" s="395"/>
      <c r="X508" s="392"/>
      <c r="Y508" s="392"/>
      <c r="Z508" s="199"/>
      <c r="AA508" s="199"/>
      <c r="AB508" s="199"/>
      <c r="AC508" s="199"/>
      <c r="AD508" s="12"/>
      <c r="AE508" s="39"/>
      <c r="AF508" s="30"/>
      <c r="AG508" s="30"/>
      <c r="AH508" s="30"/>
      <c r="AI508" s="30"/>
      <c r="AJ508" s="30"/>
      <c r="AK508" s="30"/>
      <c r="AL508" s="30"/>
      <c r="AM508" s="30"/>
      <c r="AN508" s="31"/>
    </row>
    <row r="509" spans="1:40" ht="38.65" hidden="1" customHeight="1">
      <c r="B509" t="s">
        <v>735</v>
      </c>
      <c r="C509" t="s">
        <v>61</v>
      </c>
      <c r="D509" t="s">
        <v>62</v>
      </c>
      <c r="E509">
        <v>1450</v>
      </c>
      <c r="F509" t="s">
        <v>493</v>
      </c>
      <c r="G509" s="117" t="s">
        <v>52</v>
      </c>
      <c r="H509" s="5" t="s">
        <v>76</v>
      </c>
      <c r="I509" s="5">
        <v>0.5</v>
      </c>
      <c r="J509" s="5" t="s">
        <v>77</v>
      </c>
      <c r="K509">
        <v>2010</v>
      </c>
      <c r="L509" s="80" t="s">
        <v>732</v>
      </c>
      <c r="M509" s="80"/>
      <c r="N509" s="80"/>
      <c r="O509" s="5"/>
      <c r="P509" s="148"/>
      <c r="Q509" s="5"/>
      <c r="R509" s="19"/>
      <c r="S509" s="5"/>
      <c r="T509" s="55"/>
      <c r="U509" s="55"/>
      <c r="V509" s="391"/>
      <c r="W509" s="395"/>
      <c r="X509" s="392"/>
      <c r="Y509" s="392"/>
      <c r="Z509" s="199"/>
      <c r="AA509" s="199"/>
      <c r="AB509" s="199"/>
      <c r="AC509" s="199"/>
      <c r="AD509" s="5"/>
      <c r="AE509" s="39"/>
      <c r="AF509" s="30"/>
      <c r="AG509" s="30"/>
      <c r="AH509" s="30"/>
      <c r="AI509" s="30"/>
      <c r="AJ509" s="30"/>
      <c r="AK509" s="30"/>
      <c r="AL509" s="30"/>
      <c r="AM509" s="30"/>
      <c r="AN509" s="31"/>
    </row>
    <row r="510" spans="1:40" ht="38.65" hidden="1" customHeight="1">
      <c r="B510" t="s">
        <v>741</v>
      </c>
      <c r="C510" t="s">
        <v>61</v>
      </c>
      <c r="D510" t="s">
        <v>62</v>
      </c>
      <c r="E510">
        <v>1000</v>
      </c>
      <c r="F510" t="s">
        <v>115</v>
      </c>
      <c r="G510" s="117" t="s">
        <v>52</v>
      </c>
      <c r="H510" s="5" t="s">
        <v>33</v>
      </c>
      <c r="I510" s="5">
        <f>(56+7+7.1)*1000000</f>
        <v>70100000</v>
      </c>
      <c r="J510" s="5" t="s">
        <v>34</v>
      </c>
      <c r="K510">
        <v>2010</v>
      </c>
      <c r="L510" s="80" t="s">
        <v>732</v>
      </c>
      <c r="M510" s="80"/>
      <c r="N510" s="80"/>
      <c r="O510" s="5"/>
      <c r="P510" s="148"/>
      <c r="Q510" s="5"/>
      <c r="R510" s="19"/>
      <c r="S510" s="5"/>
      <c r="T510" s="55"/>
      <c r="U510" s="55"/>
      <c r="V510" s="391"/>
      <c r="W510" s="395"/>
      <c r="X510" s="392"/>
      <c r="Y510" s="392"/>
      <c r="Z510" s="199"/>
      <c r="AA510" s="199"/>
      <c r="AB510" s="199"/>
      <c r="AC510" s="199"/>
      <c r="AD510" s="5"/>
      <c r="AE510" s="39"/>
      <c r="AF510" s="30"/>
      <c r="AG510" s="30"/>
      <c r="AH510" s="30"/>
      <c r="AI510" s="30"/>
      <c r="AJ510" s="30"/>
      <c r="AK510" s="30"/>
      <c r="AL510" s="30"/>
      <c r="AM510" s="30"/>
      <c r="AN510" s="31"/>
    </row>
    <row r="511" spans="1:40" ht="38.65" hidden="1" customHeight="1">
      <c r="B511" t="s">
        <v>200</v>
      </c>
      <c r="C511" t="s">
        <v>61</v>
      </c>
      <c r="D511" t="s">
        <v>62</v>
      </c>
      <c r="E511">
        <v>1000</v>
      </c>
      <c r="F511" t="s">
        <v>115</v>
      </c>
      <c r="G511" s="117" t="s">
        <v>52</v>
      </c>
      <c r="H511" s="5" t="s">
        <v>33</v>
      </c>
      <c r="I511" s="5">
        <f>(56.8+7.1)*1000000</f>
        <v>63900000</v>
      </c>
      <c r="J511" s="5" t="s">
        <v>34</v>
      </c>
      <c r="K511">
        <v>2010</v>
      </c>
      <c r="L511" s="80" t="s">
        <v>732</v>
      </c>
      <c r="M511" s="80"/>
      <c r="N511" s="80"/>
      <c r="O511" s="5"/>
      <c r="P511" s="148"/>
      <c r="Q511" s="5"/>
      <c r="R511" s="19"/>
      <c r="S511" s="5"/>
      <c r="T511" s="55"/>
      <c r="U511" s="55"/>
      <c r="V511" s="391"/>
      <c r="W511" s="395"/>
      <c r="X511" s="392"/>
      <c r="Y511" s="392"/>
      <c r="Z511" s="199"/>
      <c r="AA511" s="199"/>
      <c r="AB511" s="199"/>
      <c r="AC511" s="199"/>
      <c r="AD511" s="5"/>
      <c r="AE511" s="39"/>
      <c r="AF511" s="30"/>
      <c r="AG511" s="30"/>
      <c r="AH511" s="30"/>
      <c r="AI511" s="30"/>
      <c r="AJ511" s="30"/>
      <c r="AK511" s="30"/>
      <c r="AL511" s="30"/>
      <c r="AM511" s="30"/>
      <c r="AN511" s="31"/>
    </row>
    <row r="512" spans="1:40" ht="38.65" hidden="1" customHeight="1">
      <c r="B512" t="s">
        <v>737</v>
      </c>
      <c r="C512" t="s">
        <v>61</v>
      </c>
      <c r="D512" t="s">
        <v>62</v>
      </c>
      <c r="E512">
        <v>1000</v>
      </c>
      <c r="F512" t="s">
        <v>115</v>
      </c>
      <c r="G512" s="117" t="s">
        <v>52</v>
      </c>
      <c r="H512" s="5" t="s">
        <v>33</v>
      </c>
      <c r="I512" s="5">
        <f>(47.9+7.1)*1000000</f>
        <v>55000000</v>
      </c>
      <c r="J512" s="5" t="s">
        <v>34</v>
      </c>
      <c r="K512">
        <v>2010</v>
      </c>
      <c r="L512" s="80" t="s">
        <v>732</v>
      </c>
      <c r="M512" s="80"/>
      <c r="N512" s="80"/>
      <c r="O512" s="5"/>
      <c r="P512" s="148"/>
      <c r="Q512" s="5"/>
      <c r="R512" s="19"/>
      <c r="S512" s="5"/>
      <c r="T512" s="55"/>
      <c r="U512" s="55"/>
      <c r="V512" s="391"/>
      <c r="W512" s="395"/>
      <c r="X512" s="392"/>
      <c r="Y512" s="392"/>
      <c r="Z512" s="199"/>
      <c r="AA512" s="199"/>
      <c r="AB512" s="199"/>
      <c r="AC512" s="199"/>
      <c r="AD512" s="5"/>
      <c r="AE512" s="39"/>
      <c r="AF512" s="30"/>
      <c r="AG512" s="30"/>
      <c r="AH512" s="30"/>
      <c r="AI512" s="30"/>
      <c r="AJ512" s="30"/>
      <c r="AK512" s="30"/>
      <c r="AL512" s="30"/>
      <c r="AM512" s="30"/>
      <c r="AN512" s="31"/>
    </row>
    <row r="513" spans="1:40" ht="38.65" hidden="1" customHeight="1">
      <c r="B513" t="s">
        <v>736</v>
      </c>
      <c r="C513" t="s">
        <v>61</v>
      </c>
      <c r="D513" t="s">
        <v>62</v>
      </c>
      <c r="E513">
        <v>1000</v>
      </c>
      <c r="F513" t="s">
        <v>115</v>
      </c>
      <c r="G513" s="117" t="s">
        <v>52</v>
      </c>
      <c r="H513" s="5" t="s">
        <v>33</v>
      </c>
      <c r="I513" s="5">
        <f>(47.9+7.1)*1000000</f>
        <v>55000000</v>
      </c>
      <c r="J513" s="5" t="s">
        <v>34</v>
      </c>
      <c r="K513">
        <v>2010</v>
      </c>
      <c r="L513" s="80" t="s">
        <v>732</v>
      </c>
      <c r="M513" s="80"/>
      <c r="N513" s="80"/>
      <c r="O513" s="5"/>
      <c r="P513" s="148"/>
      <c r="Q513" s="5"/>
      <c r="R513" s="19"/>
      <c r="S513" s="5"/>
      <c r="T513" s="55"/>
      <c r="U513" s="55"/>
      <c r="V513" s="391"/>
      <c r="W513" s="395"/>
      <c r="X513" s="392"/>
      <c r="Y513" s="392"/>
      <c r="Z513" s="199"/>
      <c r="AA513" s="199"/>
      <c r="AB513" s="199"/>
      <c r="AC513" s="199"/>
      <c r="AD513" s="5"/>
      <c r="AE513" s="39"/>
      <c r="AF513" s="30"/>
      <c r="AG513" s="30"/>
      <c r="AH513" s="30"/>
      <c r="AI513" s="30"/>
      <c r="AJ513" s="30"/>
      <c r="AK513" s="30"/>
      <c r="AL513" s="30"/>
      <c r="AM513" s="30"/>
      <c r="AN513" s="31"/>
    </row>
    <row r="514" spans="1:40" ht="38.65" hidden="1" customHeight="1">
      <c r="B514" t="s">
        <v>735</v>
      </c>
      <c r="C514" t="s">
        <v>61</v>
      </c>
      <c r="D514" t="s">
        <v>62</v>
      </c>
      <c r="E514">
        <v>1450</v>
      </c>
      <c r="F514" t="s">
        <v>115</v>
      </c>
      <c r="G514" s="117" t="s">
        <v>52</v>
      </c>
      <c r="H514" s="5" t="s">
        <v>33</v>
      </c>
      <c r="I514" s="5">
        <f>(83.7+9+7.1)*1000000</f>
        <v>99800000</v>
      </c>
      <c r="J514" s="5" t="s">
        <v>34</v>
      </c>
      <c r="K514">
        <v>2010</v>
      </c>
      <c r="L514" s="80" t="s">
        <v>732</v>
      </c>
      <c r="M514" s="80"/>
      <c r="N514" s="80"/>
      <c r="O514" s="5"/>
      <c r="P514" s="148"/>
      <c r="Q514" s="5"/>
      <c r="R514" s="19"/>
      <c r="S514" s="5"/>
      <c r="T514" s="55"/>
      <c r="U514" s="55"/>
      <c r="V514" s="391"/>
      <c r="W514" s="395"/>
      <c r="X514" s="392"/>
      <c r="Y514" s="392"/>
      <c r="Z514" s="199"/>
      <c r="AA514" s="199"/>
      <c r="AB514" s="199"/>
      <c r="AC514" s="199"/>
      <c r="AD514" s="5"/>
      <c r="AE514" s="39"/>
      <c r="AF514" s="30"/>
      <c r="AG514" s="30"/>
      <c r="AH514" s="30"/>
      <c r="AI514" s="30"/>
      <c r="AJ514" s="30"/>
      <c r="AK514" s="30"/>
      <c r="AL514" s="30"/>
      <c r="AM514" s="30"/>
      <c r="AN514" s="31"/>
    </row>
    <row r="515" spans="1:40" ht="38.65" hidden="1" customHeight="1">
      <c r="B515" t="s">
        <v>200</v>
      </c>
      <c r="C515" t="s">
        <v>61</v>
      </c>
      <c r="D515" t="s">
        <v>62</v>
      </c>
      <c r="E515">
        <v>1000</v>
      </c>
      <c r="F515" t="s">
        <v>75</v>
      </c>
      <c r="G515" s="117" t="s">
        <v>52</v>
      </c>
      <c r="H515" s="5" t="s">
        <v>76</v>
      </c>
      <c r="I515" s="5">
        <v>110</v>
      </c>
      <c r="J515" s="5" t="s">
        <v>77</v>
      </c>
      <c r="K515">
        <v>2010</v>
      </c>
      <c r="L515" s="80" t="s">
        <v>732</v>
      </c>
      <c r="M515" s="80"/>
      <c r="N515" s="80"/>
      <c r="O515" s="5" t="s">
        <v>742</v>
      </c>
      <c r="P515" s="148">
        <v>0.85</v>
      </c>
      <c r="Q515" s="5" t="s">
        <v>84</v>
      </c>
      <c r="R515" s="19"/>
      <c r="S515" s="5"/>
      <c r="T515" s="55"/>
      <c r="U515" s="55"/>
      <c r="V515" s="391"/>
      <c r="W515" s="395"/>
      <c r="X515" s="392"/>
      <c r="Y515" s="392"/>
      <c r="Z515" s="199"/>
      <c r="AA515" s="199"/>
      <c r="AB515" s="199"/>
      <c r="AC515" s="199"/>
      <c r="AD515" s="5"/>
      <c r="AE515" s="39"/>
      <c r="AF515" s="30"/>
      <c r="AG515" s="30"/>
      <c r="AH515" s="30"/>
      <c r="AI515" s="30"/>
      <c r="AJ515" s="30"/>
      <c r="AK515" s="30"/>
      <c r="AL515" s="30"/>
      <c r="AM515" s="30"/>
      <c r="AN515" s="31"/>
    </row>
    <row r="516" spans="1:40" ht="38.65" hidden="1" customHeight="1">
      <c r="B516" t="s">
        <v>735</v>
      </c>
      <c r="C516" t="s">
        <v>61</v>
      </c>
      <c r="D516" t="s">
        <v>62</v>
      </c>
      <c r="E516">
        <v>1450</v>
      </c>
      <c r="F516" t="s">
        <v>75</v>
      </c>
      <c r="G516" s="117" t="s">
        <v>52</v>
      </c>
      <c r="H516" s="5" t="s">
        <v>76</v>
      </c>
      <c r="I516" s="5">
        <v>142</v>
      </c>
      <c r="J516" s="5" t="s">
        <v>77</v>
      </c>
      <c r="K516">
        <v>2010</v>
      </c>
      <c r="L516" s="80" t="s">
        <v>732</v>
      </c>
      <c r="M516" s="80"/>
      <c r="N516" s="80"/>
      <c r="O516" s="5" t="s">
        <v>744</v>
      </c>
      <c r="P516" s="148">
        <v>0.75</v>
      </c>
      <c r="Q516" s="5" t="s">
        <v>84</v>
      </c>
      <c r="R516" s="19"/>
      <c r="S516" s="5"/>
      <c r="T516" s="55"/>
      <c r="U516" s="55"/>
      <c r="V516" s="391"/>
      <c r="W516" s="395"/>
      <c r="X516" s="392"/>
      <c r="Y516" s="392"/>
      <c r="Z516" s="199"/>
      <c r="AA516" s="199"/>
      <c r="AB516" s="199"/>
      <c r="AC516" s="199"/>
      <c r="AD516" s="5"/>
      <c r="AE516" s="39"/>
      <c r="AF516" s="30"/>
      <c r="AG516" s="30"/>
      <c r="AH516" s="30"/>
      <c r="AI516" s="30"/>
      <c r="AJ516" s="30"/>
      <c r="AK516" s="30"/>
      <c r="AL516" s="30"/>
      <c r="AM516" s="30"/>
      <c r="AN516" s="31"/>
    </row>
    <row r="517" spans="1:40" ht="38.65" hidden="1" customHeight="1">
      <c r="A517" s="186">
        <v>396</v>
      </c>
      <c r="B517" s="190" t="s">
        <v>396</v>
      </c>
      <c r="C517" s="190" t="s">
        <v>81</v>
      </c>
      <c r="D517" s="190" t="s">
        <v>81</v>
      </c>
      <c r="E517" s="190" t="s">
        <v>81</v>
      </c>
      <c r="F517" s="190" t="s">
        <v>31</v>
      </c>
      <c r="G517" s="190" t="s">
        <v>57</v>
      </c>
      <c r="H517" s="190" t="s">
        <v>76</v>
      </c>
      <c r="I517" s="190">
        <v>10000</v>
      </c>
      <c r="J517" s="190" t="s">
        <v>82</v>
      </c>
      <c r="K517" s="190">
        <v>2018</v>
      </c>
      <c r="L517" s="190" t="s">
        <v>393</v>
      </c>
      <c r="M517" s="190"/>
      <c r="N517" s="190"/>
      <c r="O517" s="190" t="s">
        <v>394</v>
      </c>
      <c r="P517" s="191" t="s">
        <v>38</v>
      </c>
      <c r="Q517" s="191" t="s">
        <v>38</v>
      </c>
      <c r="R517" s="191" t="s">
        <v>38</v>
      </c>
      <c r="S517" s="188" t="s">
        <v>38</v>
      </c>
      <c r="T517" s="187" t="s">
        <v>38</v>
      </c>
      <c r="U517" s="55"/>
      <c r="V517" s="391"/>
      <c r="W517" s="395"/>
      <c r="X517" s="392"/>
      <c r="Y517" s="392"/>
      <c r="Z517" s="199"/>
      <c r="AA517" s="199"/>
      <c r="AB517" s="199"/>
      <c r="AC517" s="199"/>
      <c r="AD517" s="5"/>
      <c r="AE517" s="39"/>
      <c r="AF517" s="30"/>
      <c r="AG517" s="30"/>
      <c r="AH517" s="30"/>
      <c r="AI517" s="30"/>
      <c r="AJ517" s="30"/>
      <c r="AK517" s="30"/>
      <c r="AL517" s="30"/>
      <c r="AM517" s="30"/>
      <c r="AN517" s="31"/>
    </row>
    <row r="518" spans="1:40" ht="38.65" hidden="1" customHeight="1">
      <c r="B518" t="s">
        <v>232</v>
      </c>
      <c r="C518" t="s">
        <v>61</v>
      </c>
      <c r="D518" t="s">
        <v>62</v>
      </c>
      <c r="E518">
        <v>1000</v>
      </c>
      <c r="F518" t="s">
        <v>75</v>
      </c>
      <c r="G518" s="117" t="s">
        <v>52</v>
      </c>
      <c r="H518" s="5" t="s">
        <v>76</v>
      </c>
      <c r="I518" s="5">
        <v>88.9</v>
      </c>
      <c r="J518" s="5" t="s">
        <v>77</v>
      </c>
      <c r="K518">
        <v>2010</v>
      </c>
      <c r="L518" s="80" t="s">
        <v>732</v>
      </c>
      <c r="M518" s="80"/>
      <c r="N518" s="80"/>
      <c r="O518" s="5" t="s">
        <v>743</v>
      </c>
      <c r="P518" s="148">
        <v>0.85</v>
      </c>
      <c r="Q518" s="5" t="s">
        <v>84</v>
      </c>
      <c r="R518" s="19"/>
      <c r="S518" s="5"/>
      <c r="T518" s="55"/>
      <c r="U518" s="55"/>
      <c r="V518" s="391"/>
      <c r="W518" s="395"/>
      <c r="X518" s="392"/>
      <c r="Y518" s="392"/>
      <c r="Z518" s="199"/>
      <c r="AA518" s="199"/>
      <c r="AB518" s="199"/>
      <c r="AC518" s="199"/>
      <c r="AD518" s="5"/>
      <c r="AE518" s="39"/>
      <c r="AF518" s="30"/>
      <c r="AG518" s="30"/>
      <c r="AH518" s="30"/>
      <c r="AI518" s="30"/>
      <c r="AJ518" s="30"/>
      <c r="AK518" s="30"/>
      <c r="AL518" s="30"/>
      <c r="AM518" s="30"/>
      <c r="AN518" s="31"/>
    </row>
    <row r="519" spans="1:40" ht="38.65" customHeight="1">
      <c r="A519">
        <v>343</v>
      </c>
      <c r="B519" t="s">
        <v>342</v>
      </c>
      <c r="C519" t="s">
        <v>61</v>
      </c>
      <c r="D519" t="s">
        <v>62</v>
      </c>
      <c r="E519">
        <v>500</v>
      </c>
      <c r="F519" t="s">
        <v>670</v>
      </c>
      <c r="G519" t="s">
        <v>32</v>
      </c>
      <c r="H519" t="s">
        <v>76</v>
      </c>
      <c r="I519" s="2">
        <f>((23*1000000)/(500*8760*0.685))</f>
        <v>7.6659000766589998</v>
      </c>
      <c r="J519" t="s">
        <v>77</v>
      </c>
      <c r="K519">
        <v>2010</v>
      </c>
      <c r="L519" t="s">
        <v>331</v>
      </c>
      <c r="O519" t="s">
        <v>1228</v>
      </c>
      <c r="P519" s="19" t="s">
        <v>122</v>
      </c>
      <c r="Q519" s="55" t="s">
        <v>38</v>
      </c>
      <c r="R519" s="19" t="s">
        <v>38</v>
      </c>
      <c r="S519" s="19" t="s">
        <v>38</v>
      </c>
      <c r="T519" s="55" t="s">
        <v>38</v>
      </c>
      <c r="U519" s="55"/>
      <c r="V519" s="391"/>
      <c r="W519" s="395"/>
      <c r="X519" s="392"/>
      <c r="Y519" s="392"/>
      <c r="Z519" s="199"/>
      <c r="AA519" s="199"/>
      <c r="AB519" s="199"/>
      <c r="AC519" s="199"/>
      <c r="AD519" s="5"/>
      <c r="AE519" s="39"/>
      <c r="AF519" s="30"/>
      <c r="AG519" s="30"/>
      <c r="AH519" s="30"/>
      <c r="AI519" s="30"/>
      <c r="AJ519" s="30"/>
      <c r="AK519" s="30"/>
      <c r="AL519" s="30"/>
      <c r="AM519" s="30"/>
      <c r="AN519" s="31"/>
    </row>
    <row r="520" spans="1:40" ht="38.65" customHeight="1">
      <c r="B520" s="6" t="s">
        <v>839</v>
      </c>
      <c r="C520" t="s">
        <v>30</v>
      </c>
      <c r="D520" s="6" t="s">
        <v>796</v>
      </c>
      <c r="E520" s="6">
        <v>815</v>
      </c>
      <c r="F520" s="6" t="s">
        <v>670</v>
      </c>
      <c r="G520" s="6" t="s">
        <v>52</v>
      </c>
      <c r="H520" s="6" t="s">
        <v>76</v>
      </c>
      <c r="I520" s="6">
        <v>0.1</v>
      </c>
      <c r="J520" s="6" t="s">
        <v>77</v>
      </c>
      <c r="K520" s="6">
        <v>1985</v>
      </c>
      <c r="L520" s="6" t="s">
        <v>842</v>
      </c>
      <c r="M520" s="6"/>
      <c r="N520" s="6"/>
      <c r="O520" s="6"/>
      <c r="P520" s="55"/>
      <c r="Q520" s="55" t="s">
        <v>38</v>
      </c>
      <c r="R520" s="19" t="s">
        <v>38</v>
      </c>
      <c r="S520" s="19" t="s">
        <v>38</v>
      </c>
      <c r="T520" s="19" t="s">
        <v>38</v>
      </c>
      <c r="U520" s="55"/>
      <c r="V520" s="391"/>
      <c r="W520" s="395"/>
      <c r="X520" s="392"/>
      <c r="Y520" s="392"/>
      <c r="Z520" s="199"/>
      <c r="AA520" s="199"/>
      <c r="AB520" s="199"/>
      <c r="AC520" s="199"/>
      <c r="AD520" s="5"/>
      <c r="AE520" s="39"/>
      <c r="AF520" s="30"/>
      <c r="AG520" s="30"/>
      <c r="AH520" s="30"/>
      <c r="AI520" s="30"/>
      <c r="AJ520" s="30"/>
      <c r="AK520" s="30"/>
      <c r="AL520" s="30"/>
      <c r="AM520" s="30"/>
      <c r="AN520" s="31"/>
    </row>
    <row r="521" spans="1:40" ht="38.65" customHeight="1">
      <c r="B521" s="6" t="s">
        <v>125</v>
      </c>
      <c r="C521" t="s">
        <v>30</v>
      </c>
      <c r="D521" s="6" t="s">
        <v>796</v>
      </c>
      <c r="E521" s="6">
        <v>815</v>
      </c>
      <c r="F521" s="6" t="s">
        <v>670</v>
      </c>
      <c r="G521" s="6" t="s">
        <v>52</v>
      </c>
      <c r="H521" s="6" t="s">
        <v>76</v>
      </c>
      <c r="I521" s="6">
        <v>0.1</v>
      </c>
      <c r="J521" s="6" t="s">
        <v>77</v>
      </c>
      <c r="K521" s="6">
        <v>1985</v>
      </c>
      <c r="L521" s="6" t="s">
        <v>842</v>
      </c>
      <c r="M521" s="6"/>
      <c r="N521" s="6"/>
      <c r="O521" s="6"/>
      <c r="P521" s="55"/>
      <c r="Q521" s="55" t="s">
        <v>38</v>
      </c>
      <c r="R521" s="19" t="s">
        <v>38</v>
      </c>
      <c r="S521" s="19" t="s">
        <v>38</v>
      </c>
      <c r="T521" s="19" t="s">
        <v>38</v>
      </c>
      <c r="U521" s="55"/>
      <c r="V521" s="391"/>
      <c r="W521" s="395"/>
      <c r="X521" s="392"/>
      <c r="Y521" s="392"/>
      <c r="Z521" s="199"/>
      <c r="AA521" s="199"/>
      <c r="AB521" s="199"/>
      <c r="AC521" s="199"/>
      <c r="AD521" s="5"/>
      <c r="AE521" s="39"/>
      <c r="AF521" s="30"/>
      <c r="AG521" s="30"/>
      <c r="AH521" s="30"/>
      <c r="AI521" s="30"/>
      <c r="AJ521" s="30"/>
      <c r="AK521" s="30"/>
      <c r="AL521" s="30"/>
      <c r="AM521" s="30"/>
      <c r="AN521" s="31"/>
    </row>
    <row r="522" spans="1:40" ht="38.65" customHeight="1">
      <c r="A522">
        <v>471</v>
      </c>
      <c r="B522" s="141" t="s">
        <v>445</v>
      </c>
      <c r="C522" s="141" t="s">
        <v>61</v>
      </c>
      <c r="D522" s="141" t="s">
        <v>62</v>
      </c>
      <c r="E522" t="s">
        <v>81</v>
      </c>
      <c r="F522" t="s">
        <v>670</v>
      </c>
      <c r="G522" s="141" t="s">
        <v>57</v>
      </c>
      <c r="H522" s="141" t="s">
        <v>76</v>
      </c>
      <c r="I522" s="142">
        <v>0.1</v>
      </c>
      <c r="J522" s="141" t="s">
        <v>671</v>
      </c>
      <c r="K522" s="142">
        <v>2000</v>
      </c>
      <c r="L522" s="141" t="s">
        <v>446</v>
      </c>
      <c r="M522" s="141"/>
      <c r="N522" s="141"/>
      <c r="O522" s="6" t="s">
        <v>672</v>
      </c>
      <c r="P522" s="55" t="s">
        <v>38</v>
      </c>
      <c r="Q522" s="55" t="s">
        <v>38</v>
      </c>
      <c r="R522" s="19" t="s">
        <v>38</v>
      </c>
      <c r="S522" s="19" t="s">
        <v>38</v>
      </c>
      <c r="T522" s="55" t="s">
        <v>38</v>
      </c>
      <c r="U522" s="55"/>
      <c r="V522" s="391"/>
      <c r="W522" s="395"/>
      <c r="X522" s="392"/>
      <c r="Y522" s="392"/>
      <c r="Z522" s="199"/>
      <c r="AA522" s="199"/>
      <c r="AB522" s="199"/>
      <c r="AC522" s="199"/>
      <c r="AD522" s="5"/>
      <c r="AE522" s="39"/>
      <c r="AF522" s="30"/>
      <c r="AG522" s="30"/>
      <c r="AH522" s="30"/>
      <c r="AI522" s="30"/>
      <c r="AJ522" s="30"/>
      <c r="AK522" s="30"/>
      <c r="AL522" s="30"/>
      <c r="AM522" s="30"/>
      <c r="AN522" s="31"/>
    </row>
    <row r="523" spans="1:40" ht="38.65" customHeight="1">
      <c r="A523">
        <v>472</v>
      </c>
      <c r="B523" s="141" t="s">
        <v>445</v>
      </c>
      <c r="C523" s="141" t="s">
        <v>61</v>
      </c>
      <c r="D523" s="141" t="s">
        <v>62</v>
      </c>
      <c r="E523" t="s">
        <v>81</v>
      </c>
      <c r="F523" t="s">
        <v>670</v>
      </c>
      <c r="G523" s="141" t="s">
        <v>57</v>
      </c>
      <c r="H523" s="141" t="s">
        <v>76</v>
      </c>
      <c r="I523" s="142">
        <v>0.36</v>
      </c>
      <c r="J523" s="141" t="s">
        <v>671</v>
      </c>
      <c r="K523" s="142">
        <v>2000</v>
      </c>
      <c r="L523" s="141" t="s">
        <v>446</v>
      </c>
      <c r="M523" s="141"/>
      <c r="N523" s="141"/>
      <c r="O523" s="6" t="s">
        <v>673</v>
      </c>
      <c r="P523" s="55" t="s">
        <v>38</v>
      </c>
      <c r="Q523" s="55" t="s">
        <v>38</v>
      </c>
      <c r="R523" s="19" t="s">
        <v>38</v>
      </c>
      <c r="S523" s="19" t="s">
        <v>38</v>
      </c>
      <c r="T523" s="55" t="s">
        <v>38</v>
      </c>
      <c r="U523" s="55"/>
      <c r="V523" s="391" t="s">
        <v>974</v>
      </c>
      <c r="W523" s="392" t="s">
        <v>977</v>
      </c>
      <c r="X523" s="392" t="s">
        <v>978</v>
      </c>
      <c r="Y523" s="392" t="s">
        <v>979</v>
      </c>
      <c r="Z523" s="195"/>
      <c r="AA523" s="195"/>
      <c r="AB523" s="195"/>
      <c r="AC523" s="195"/>
      <c r="AD523" s="5"/>
      <c r="AE523" s="39"/>
      <c r="AF523" s="30"/>
      <c r="AG523" s="30"/>
      <c r="AH523" s="30"/>
      <c r="AI523" s="30"/>
      <c r="AJ523" s="30"/>
      <c r="AK523" s="30"/>
      <c r="AL523" s="30"/>
      <c r="AM523" s="30"/>
      <c r="AN523" s="31"/>
    </row>
    <row r="524" spans="1:40" ht="38.65" customHeight="1">
      <c r="A524">
        <v>4</v>
      </c>
      <c r="B524" t="s">
        <v>443</v>
      </c>
      <c r="C524" t="s">
        <v>61</v>
      </c>
      <c r="D524" t="s">
        <v>62</v>
      </c>
      <c r="E524">
        <v>1985</v>
      </c>
      <c r="F524" t="s">
        <v>31</v>
      </c>
      <c r="G524" t="s">
        <v>52</v>
      </c>
      <c r="H524" t="s">
        <v>33</v>
      </c>
      <c r="I524">
        <f>(4250-980)*1000000</f>
        <v>3270000000</v>
      </c>
      <c r="J524" t="s">
        <v>34</v>
      </c>
      <c r="K524">
        <v>1975</v>
      </c>
      <c r="L524" t="s">
        <v>1075</v>
      </c>
      <c r="O524" s="13"/>
      <c r="P524" s="55" t="s">
        <v>1077</v>
      </c>
      <c r="Q524" t="s">
        <v>1068</v>
      </c>
      <c r="R524" s="19" t="s">
        <v>38</v>
      </c>
      <c r="S524" s="19">
        <f>980*1000000</f>
        <v>980000000</v>
      </c>
      <c r="T524" s="19" t="s">
        <v>38</v>
      </c>
      <c r="U524" s="55"/>
      <c r="V524" s="391"/>
      <c r="W524" s="395"/>
      <c r="X524" s="395"/>
      <c r="Y524" s="395"/>
      <c r="Z524" s="195"/>
      <c r="AA524" s="195"/>
      <c r="AB524" s="195"/>
      <c r="AC524" s="195"/>
      <c r="AD524" s="5"/>
      <c r="AE524" s="39"/>
      <c r="AF524" s="30"/>
      <c r="AG524" s="30"/>
      <c r="AH524" s="30"/>
      <c r="AI524" s="30"/>
      <c r="AJ524" s="30"/>
      <c r="AK524" s="30"/>
      <c r="AL524" s="30"/>
      <c r="AM524" s="30"/>
      <c r="AN524" s="31"/>
    </row>
    <row r="525" spans="1:40" ht="38.65" customHeight="1">
      <c r="A525">
        <v>10</v>
      </c>
      <c r="B525" t="s">
        <v>81</v>
      </c>
      <c r="C525" t="s">
        <v>61</v>
      </c>
      <c r="D525" t="s">
        <v>62</v>
      </c>
      <c r="E525">
        <v>1500</v>
      </c>
      <c r="F525" t="s">
        <v>31</v>
      </c>
      <c r="G525" t="s">
        <v>32</v>
      </c>
      <c r="H525" t="s">
        <v>76</v>
      </c>
      <c r="I525">
        <v>8000</v>
      </c>
      <c r="J525" t="s">
        <v>82</v>
      </c>
      <c r="K525">
        <v>2011</v>
      </c>
      <c r="L525" t="s">
        <v>83</v>
      </c>
      <c r="O525" s="13" t="s">
        <v>1219</v>
      </c>
      <c r="P525" s="2" t="s">
        <v>706</v>
      </c>
      <c r="Q525" t="s">
        <v>84</v>
      </c>
      <c r="R525" s="19" t="s">
        <v>38</v>
      </c>
      <c r="S525" s="19" t="s">
        <v>38</v>
      </c>
      <c r="T525" s="19" t="s">
        <v>38</v>
      </c>
      <c r="U525" s="55"/>
      <c r="V525" s="391"/>
      <c r="W525" s="395"/>
      <c r="X525" s="395"/>
      <c r="Y525" s="395"/>
      <c r="Z525" s="195"/>
      <c r="AA525" s="195"/>
      <c r="AB525" s="195"/>
      <c r="AC525" s="195"/>
      <c r="AD525" s="5"/>
      <c r="AE525" s="39"/>
      <c r="AF525" s="30"/>
      <c r="AG525" s="30"/>
      <c r="AH525" s="30"/>
      <c r="AI525" s="30"/>
      <c r="AJ525" s="30"/>
      <c r="AK525" s="30"/>
      <c r="AL525" s="30"/>
      <c r="AM525" s="30"/>
      <c r="AN525" s="31"/>
    </row>
    <row r="526" spans="1:40" ht="38.65" customHeight="1">
      <c r="A526">
        <v>28</v>
      </c>
      <c r="B526" t="s">
        <v>90</v>
      </c>
      <c r="C526" t="s">
        <v>61</v>
      </c>
      <c r="D526" t="s">
        <v>91</v>
      </c>
      <c r="E526">
        <v>1198</v>
      </c>
      <c r="F526" t="s">
        <v>31</v>
      </c>
      <c r="G526" t="s">
        <v>52</v>
      </c>
      <c r="H526" t="s">
        <v>33</v>
      </c>
      <c r="I526">
        <f>(5405-436)*1000000</f>
        <v>4969000000</v>
      </c>
      <c r="J526" t="s">
        <v>34</v>
      </c>
      <c r="K526">
        <v>1985</v>
      </c>
      <c r="L526" t="s">
        <v>92</v>
      </c>
      <c r="O526" t="s">
        <v>121</v>
      </c>
      <c r="P526" s="2" t="s">
        <v>94</v>
      </c>
      <c r="Q526" t="s">
        <v>84</v>
      </c>
      <c r="R526" s="19" t="s">
        <v>38</v>
      </c>
      <c r="S526">
        <f>436*1000000</f>
        <v>436000000</v>
      </c>
      <c r="T526" s="19" t="s">
        <v>38</v>
      </c>
      <c r="U526" s="55"/>
      <c r="V526" s="391"/>
      <c r="W526" s="395"/>
      <c r="X526" s="395"/>
      <c r="Y526" s="395"/>
      <c r="Z526" s="195"/>
      <c r="AA526" s="195"/>
      <c r="AB526" s="195"/>
      <c r="AC526" s="195"/>
      <c r="AD526" s="5"/>
      <c r="AE526" s="39"/>
      <c r="AF526" s="30"/>
      <c r="AG526" s="30"/>
      <c r="AH526" s="30"/>
      <c r="AI526" s="30"/>
      <c r="AJ526" s="30"/>
      <c r="AK526" s="30"/>
      <c r="AL526" s="30"/>
      <c r="AM526" s="30"/>
      <c r="AN526" s="31"/>
    </row>
    <row r="527" spans="1:40" ht="38.65" customHeight="1">
      <c r="B527" s="6" t="s">
        <v>827</v>
      </c>
      <c r="C527" t="s">
        <v>30</v>
      </c>
      <c r="D527" s="6" t="s">
        <v>796</v>
      </c>
      <c r="E527" s="6">
        <v>1010</v>
      </c>
      <c r="F527" s="6" t="s">
        <v>31</v>
      </c>
      <c r="G527" t="s">
        <v>52</v>
      </c>
      <c r="H527" s="6" t="s">
        <v>33</v>
      </c>
      <c r="I527" s="6">
        <f>(880-328)*1000000</f>
        <v>552000000</v>
      </c>
      <c r="J527" s="6" t="s">
        <v>34</v>
      </c>
      <c r="K527" s="6">
        <v>1983</v>
      </c>
      <c r="L527" s="6" t="s">
        <v>825</v>
      </c>
      <c r="M527" s="6"/>
      <c r="N527" s="6"/>
      <c r="O527" s="26" t="s">
        <v>1221</v>
      </c>
      <c r="P527" s="55">
        <v>0.7</v>
      </c>
      <c r="Q527" s="19" t="s">
        <v>824</v>
      </c>
      <c r="R527" s="19"/>
      <c r="S527" s="19">
        <f>328*1000000</f>
        <v>328000000</v>
      </c>
      <c r="T527" s="19" t="s">
        <v>122</v>
      </c>
      <c r="U527" s="55"/>
      <c r="V527" s="391" t="s">
        <v>1004</v>
      </c>
      <c r="W527" s="392" t="s">
        <v>942</v>
      </c>
      <c r="X527" s="392" t="s">
        <v>943</v>
      </c>
      <c r="Y527" s="392" t="s">
        <v>944</v>
      </c>
      <c r="Z527" s="199"/>
      <c r="AA527" s="199"/>
      <c r="AB527" s="199"/>
      <c r="AC527" s="199"/>
      <c r="AD527" s="5"/>
      <c r="AE527" s="39"/>
      <c r="AF527" s="30"/>
      <c r="AG527" s="30"/>
      <c r="AH527" s="30"/>
      <c r="AI527" s="30"/>
      <c r="AJ527" s="30"/>
      <c r="AK527" s="30"/>
      <c r="AL527" s="30"/>
      <c r="AM527" s="30"/>
      <c r="AN527" s="31"/>
    </row>
    <row r="528" spans="1:40" ht="38.65" customHeight="1">
      <c r="B528" s="6" t="s">
        <v>828</v>
      </c>
      <c r="C528" t="s">
        <v>30</v>
      </c>
      <c r="D528" s="6" t="s">
        <v>796</v>
      </c>
      <c r="E528" s="6">
        <v>2000</v>
      </c>
      <c r="F528" s="6" t="s">
        <v>31</v>
      </c>
      <c r="G528" t="s">
        <v>52</v>
      </c>
      <c r="H528" s="6" t="s">
        <v>33</v>
      </c>
      <c r="I528" s="6">
        <f>(1363-508)*1000000</f>
        <v>855000000</v>
      </c>
      <c r="J528" s="6" t="s">
        <v>34</v>
      </c>
      <c r="K528" s="6">
        <v>1983</v>
      </c>
      <c r="L528" s="6" t="s">
        <v>825</v>
      </c>
      <c r="M528" s="6"/>
      <c r="N528" s="6"/>
      <c r="O528" s="6" t="s">
        <v>821</v>
      </c>
      <c r="P528" s="55">
        <v>0.7</v>
      </c>
      <c r="Q528" s="19" t="s">
        <v>824</v>
      </c>
      <c r="R528" s="19"/>
      <c r="S528" s="19">
        <f>508*1000000</f>
        <v>508000000</v>
      </c>
      <c r="T528" s="19" t="s">
        <v>122</v>
      </c>
      <c r="U528" s="55"/>
      <c r="V528" s="396"/>
      <c r="W528" s="392"/>
      <c r="X528" s="392"/>
      <c r="Y528" s="392"/>
      <c r="Z528" s="199"/>
      <c r="AA528" s="199"/>
      <c r="AB528" s="199"/>
      <c r="AC528" s="199"/>
      <c r="AD528" s="5"/>
      <c r="AE528" s="39"/>
      <c r="AF528" s="30"/>
      <c r="AG528" s="30"/>
      <c r="AH528" s="30"/>
      <c r="AI528" s="30"/>
      <c r="AJ528" s="30"/>
      <c r="AK528" s="30"/>
      <c r="AL528" s="30"/>
      <c r="AM528" s="30"/>
      <c r="AN528" s="31"/>
    </row>
    <row r="529" spans="1:40" ht="38.65" customHeight="1">
      <c r="A529">
        <v>9</v>
      </c>
      <c r="B529" t="s">
        <v>60</v>
      </c>
      <c r="C529" t="s">
        <v>61</v>
      </c>
      <c r="D529" t="s">
        <v>62</v>
      </c>
      <c r="E529">
        <v>1200</v>
      </c>
      <c r="F529" t="s">
        <v>31</v>
      </c>
      <c r="G529" t="s">
        <v>52</v>
      </c>
      <c r="H529" t="s">
        <v>33</v>
      </c>
      <c r="I529">
        <f>(2123.57-188.04)*1000000</f>
        <v>1935530000.0000002</v>
      </c>
      <c r="J529" t="s">
        <v>34</v>
      </c>
      <c r="K529">
        <v>1980</v>
      </c>
      <c r="L529" t="s">
        <v>975</v>
      </c>
      <c r="O529" s="26" t="s">
        <v>1253</v>
      </c>
      <c r="P529" s="2" t="s">
        <v>65</v>
      </c>
      <c r="Q529" s="13" t="s">
        <v>66</v>
      </c>
      <c r="R529" s="19" t="s">
        <v>38</v>
      </c>
      <c r="S529">
        <f>188.04*1000000</f>
        <v>188040000</v>
      </c>
      <c r="T529" s="19" t="s">
        <v>38</v>
      </c>
      <c r="U529" s="55"/>
      <c r="V529" s="396"/>
      <c r="W529" s="392"/>
      <c r="X529" s="392"/>
      <c r="Y529" s="392"/>
      <c r="Z529" s="199"/>
      <c r="AA529" s="199"/>
      <c r="AB529" s="199"/>
      <c r="AC529" s="199"/>
      <c r="AD529" s="5"/>
      <c r="AE529" s="39"/>
      <c r="AF529" s="30"/>
      <c r="AG529" s="30"/>
      <c r="AH529" s="30"/>
      <c r="AI529" s="30"/>
      <c r="AJ529" s="30"/>
      <c r="AK529" s="30"/>
      <c r="AL529" s="30"/>
      <c r="AM529" s="30"/>
      <c r="AN529" s="31"/>
    </row>
    <row r="530" spans="1:40" ht="38.65" customHeight="1">
      <c r="A530">
        <v>32</v>
      </c>
      <c r="B530" t="s">
        <v>100</v>
      </c>
      <c r="C530" t="s">
        <v>61</v>
      </c>
      <c r="D530" t="s">
        <v>62</v>
      </c>
      <c r="E530" s="2">
        <v>121.1</v>
      </c>
      <c r="F530" t="s">
        <v>31</v>
      </c>
      <c r="G530" t="s">
        <v>32</v>
      </c>
      <c r="H530" t="s">
        <v>33</v>
      </c>
      <c r="I530">
        <f>(3457.2-443.2-434.6)*1000000</f>
        <v>2579400000</v>
      </c>
      <c r="J530" t="s">
        <v>34</v>
      </c>
      <c r="K530">
        <v>2009</v>
      </c>
      <c r="L530" t="s">
        <v>101</v>
      </c>
      <c r="O530" s="6" t="s">
        <v>1241</v>
      </c>
      <c r="P530" s="2" t="s">
        <v>103</v>
      </c>
      <c r="Q530" t="s">
        <v>104</v>
      </c>
      <c r="R530" s="19" t="s">
        <v>38</v>
      </c>
      <c r="S530">
        <f>434.6*1000000</f>
        <v>434600000</v>
      </c>
      <c r="T530" s="19" t="s">
        <v>38</v>
      </c>
      <c r="U530" s="55"/>
      <c r="V530" s="396"/>
      <c r="W530" s="392"/>
      <c r="X530" s="392"/>
      <c r="Y530" s="392"/>
      <c r="Z530" s="199"/>
      <c r="AA530" s="199"/>
      <c r="AB530" s="199"/>
      <c r="AC530" s="199"/>
      <c r="AD530" s="5"/>
      <c r="AE530" s="39"/>
      <c r="AF530" s="30"/>
      <c r="AG530" s="30"/>
      <c r="AH530" s="30"/>
      <c r="AI530" s="30"/>
      <c r="AJ530" s="30"/>
      <c r="AK530" s="30"/>
      <c r="AL530" s="30"/>
      <c r="AM530" s="30"/>
      <c r="AN530" s="31"/>
    </row>
    <row r="531" spans="1:40" ht="38.65" customHeight="1">
      <c r="A531">
        <v>33</v>
      </c>
      <c r="B531" t="s">
        <v>105</v>
      </c>
      <c r="C531" t="s">
        <v>61</v>
      </c>
      <c r="D531" t="s">
        <v>62</v>
      </c>
      <c r="E531">
        <v>121.1</v>
      </c>
      <c r="F531" t="s">
        <v>31</v>
      </c>
      <c r="G531" t="s">
        <v>32</v>
      </c>
      <c r="H531" t="s">
        <v>33</v>
      </c>
      <c r="I531">
        <f>(1895.8-243-238.3)*1000000</f>
        <v>1414500000</v>
      </c>
      <c r="J531" t="s">
        <v>34</v>
      </c>
      <c r="K531">
        <v>2009</v>
      </c>
      <c r="L531" t="s">
        <v>101</v>
      </c>
      <c r="O531" s="6" t="s">
        <v>1241</v>
      </c>
      <c r="P531" s="2" t="s">
        <v>103</v>
      </c>
      <c r="Q531" t="s">
        <v>104</v>
      </c>
      <c r="R531" s="19" t="s">
        <v>38</v>
      </c>
      <c r="S531">
        <f>238.3*1000000</f>
        <v>238300000</v>
      </c>
      <c r="T531" s="19" t="s">
        <v>38</v>
      </c>
      <c r="U531" s="55"/>
      <c r="V531" s="396"/>
      <c r="W531" s="392"/>
      <c r="X531" s="392"/>
      <c r="Y531" s="392"/>
      <c r="Z531" s="199"/>
      <c r="AA531" s="199"/>
      <c r="AB531" s="199"/>
      <c r="AC531" s="199"/>
      <c r="AD531" s="5"/>
      <c r="AE531" s="39"/>
      <c r="AF531" s="30"/>
      <c r="AG531" s="30"/>
      <c r="AH531" s="30"/>
      <c r="AI531" s="30"/>
      <c r="AJ531" s="30"/>
      <c r="AK531" s="30"/>
      <c r="AL531" s="30"/>
      <c r="AM531" s="30"/>
      <c r="AN531" s="31"/>
    </row>
    <row r="532" spans="1:40" ht="38.65" customHeight="1">
      <c r="A532">
        <v>77</v>
      </c>
      <c r="B532" t="s">
        <v>139</v>
      </c>
      <c r="C532" t="s">
        <v>61</v>
      </c>
      <c r="D532" t="s">
        <v>62</v>
      </c>
      <c r="E532">
        <v>1200</v>
      </c>
      <c r="F532" t="s">
        <v>31</v>
      </c>
      <c r="G532" t="s">
        <v>52</v>
      </c>
      <c r="H532" t="s">
        <v>33</v>
      </c>
      <c r="I532">
        <f>3410000000-(557*1000000)</f>
        <v>2853000000</v>
      </c>
      <c r="J532" t="s">
        <v>34</v>
      </c>
      <c r="K532">
        <v>1990</v>
      </c>
      <c r="L532" t="s">
        <v>140</v>
      </c>
      <c r="O532" t="s">
        <v>1220</v>
      </c>
      <c r="P532" s="2" t="s">
        <v>708</v>
      </c>
      <c r="Q532" t="s">
        <v>84</v>
      </c>
      <c r="R532" s="19" t="s">
        <v>38</v>
      </c>
      <c r="S532">
        <f>557*1000000</f>
        <v>557000000</v>
      </c>
      <c r="T532" s="19" t="s">
        <v>38</v>
      </c>
      <c r="U532" s="55"/>
      <c r="V532" s="396"/>
      <c r="W532" s="392"/>
      <c r="X532" s="392"/>
      <c r="Y532" s="392"/>
      <c r="Z532" s="199"/>
      <c r="AA532" s="199"/>
      <c r="AB532" s="199"/>
      <c r="AC532" s="199"/>
      <c r="AD532" s="5"/>
      <c r="AE532" s="39"/>
      <c r="AF532" s="30"/>
      <c r="AG532" s="30"/>
      <c r="AH532" s="30"/>
      <c r="AI532" s="30"/>
      <c r="AJ532" s="30"/>
      <c r="AK532" s="30"/>
      <c r="AL532" s="30"/>
      <c r="AM532" s="30"/>
      <c r="AN532" s="31"/>
    </row>
    <row r="533" spans="1:40" ht="38.65" customHeight="1">
      <c r="A533">
        <v>78</v>
      </c>
      <c r="B533" t="s">
        <v>143</v>
      </c>
      <c r="C533" t="s">
        <v>61</v>
      </c>
      <c r="D533" t="s">
        <v>62</v>
      </c>
      <c r="E533">
        <v>1200</v>
      </c>
      <c r="F533" t="s">
        <v>31</v>
      </c>
      <c r="G533" t="s">
        <v>52</v>
      </c>
      <c r="H533" t="s">
        <v>33</v>
      </c>
      <c r="I533">
        <f>3016000000-(469*1000000)</f>
        <v>2547000000</v>
      </c>
      <c r="J533" t="s">
        <v>34</v>
      </c>
      <c r="K533">
        <v>1990</v>
      </c>
      <c r="L533" t="s">
        <v>140</v>
      </c>
      <c r="O533" t="s">
        <v>1220</v>
      </c>
      <c r="P533" s="2" t="s">
        <v>708</v>
      </c>
      <c r="Q533" t="s">
        <v>84</v>
      </c>
      <c r="R533" s="19" t="s">
        <v>38</v>
      </c>
      <c r="S533">
        <f>469*1000000</f>
        <v>469000000</v>
      </c>
      <c r="T533" s="19" t="s">
        <v>38</v>
      </c>
      <c r="U533" s="55"/>
      <c r="V533" s="396"/>
      <c r="W533" s="392"/>
      <c r="X533" s="392"/>
      <c r="Y533" s="392"/>
      <c r="Z533" s="199"/>
      <c r="AA533" s="199"/>
      <c r="AB533" s="199"/>
      <c r="AC533" s="199"/>
      <c r="AD533" s="5"/>
      <c r="AE533" s="39"/>
      <c r="AF533" s="30"/>
      <c r="AG533" s="30"/>
      <c r="AH533" s="30"/>
      <c r="AI533" s="30"/>
      <c r="AJ533" s="30"/>
      <c r="AK533" s="30"/>
      <c r="AL533" s="30"/>
      <c r="AM533" s="30"/>
      <c r="AN533" s="31"/>
    </row>
    <row r="534" spans="1:40" ht="38.65" customHeight="1">
      <c r="A534">
        <v>79</v>
      </c>
      <c r="B534" t="s">
        <v>114</v>
      </c>
      <c r="C534" t="s">
        <v>61</v>
      </c>
      <c r="D534" t="s">
        <v>62</v>
      </c>
      <c r="E534">
        <v>1200</v>
      </c>
      <c r="F534" t="s">
        <v>31</v>
      </c>
      <c r="G534" t="s">
        <v>52</v>
      </c>
      <c r="H534" t="s">
        <v>33</v>
      </c>
      <c r="I534">
        <v>4092000000</v>
      </c>
      <c r="J534" t="s">
        <v>34</v>
      </c>
      <c r="K534">
        <v>1990</v>
      </c>
      <c r="L534" t="s">
        <v>140</v>
      </c>
      <c r="O534" t="s">
        <v>1220</v>
      </c>
      <c r="P534" s="2" t="s">
        <v>708</v>
      </c>
      <c r="Q534" t="s">
        <v>84</v>
      </c>
      <c r="R534" s="19" t="s">
        <v>38</v>
      </c>
      <c r="S534">
        <f>636*1000000</f>
        <v>636000000</v>
      </c>
      <c r="T534" s="19" t="s">
        <v>38</v>
      </c>
      <c r="U534" s="55"/>
      <c r="V534" s="396"/>
      <c r="W534" s="392"/>
      <c r="X534" s="392"/>
      <c r="Y534" s="392"/>
      <c r="Z534" s="199"/>
      <c r="AA534" s="199"/>
      <c r="AB534" s="199"/>
      <c r="AC534" s="199"/>
      <c r="AD534" s="5"/>
      <c r="AE534" s="39"/>
      <c r="AF534" s="30"/>
      <c r="AG534" s="30"/>
      <c r="AH534" s="30"/>
      <c r="AI534" s="30"/>
      <c r="AJ534" s="30"/>
      <c r="AK534" s="30"/>
      <c r="AL534" s="30"/>
      <c r="AM534" s="30"/>
      <c r="AN534" s="31"/>
    </row>
    <row r="535" spans="1:40" ht="38.65" customHeight="1">
      <c r="A535">
        <v>101</v>
      </c>
      <c r="B535" s="6" t="s">
        <v>170</v>
      </c>
      <c r="C535" t="s">
        <v>61</v>
      </c>
      <c r="D535" t="s">
        <v>113</v>
      </c>
      <c r="E535">
        <v>1200</v>
      </c>
      <c r="F535" t="s">
        <v>31</v>
      </c>
      <c r="G535" t="s">
        <v>52</v>
      </c>
      <c r="H535" t="s">
        <v>33</v>
      </c>
      <c r="I535">
        <v>1566300000</v>
      </c>
      <c r="J535" t="s">
        <v>34</v>
      </c>
      <c r="K535">
        <v>1986</v>
      </c>
      <c r="L535" t="s">
        <v>147</v>
      </c>
      <c r="O535" s="13" t="s">
        <v>1216</v>
      </c>
      <c r="P535" s="24" t="s">
        <v>709</v>
      </c>
      <c r="Q535" t="s">
        <v>84</v>
      </c>
      <c r="R535" s="19" t="s">
        <v>38</v>
      </c>
      <c r="S535">
        <v>234900000</v>
      </c>
      <c r="T535" s="19" t="s">
        <v>38</v>
      </c>
      <c r="U535" s="55"/>
      <c r="V535" s="396"/>
      <c r="W535" s="392"/>
      <c r="X535" s="392"/>
      <c r="Y535" s="392"/>
      <c r="Z535" s="199"/>
      <c r="AA535" s="199"/>
      <c r="AB535" s="199"/>
      <c r="AC535" s="199"/>
      <c r="AD535" s="5"/>
      <c r="AE535" s="39"/>
      <c r="AF535" s="30"/>
      <c r="AG535" s="30"/>
      <c r="AH535" s="30"/>
      <c r="AI535" s="30"/>
      <c r="AJ535" s="30"/>
      <c r="AK535" s="30"/>
      <c r="AL535" s="30"/>
      <c r="AM535" s="30"/>
      <c r="AN535" s="31"/>
    </row>
    <row r="536" spans="1:40" ht="38.65" customHeight="1">
      <c r="A536">
        <v>102</v>
      </c>
      <c r="B536" s="6" t="s">
        <v>172</v>
      </c>
      <c r="C536" t="s">
        <v>61</v>
      </c>
      <c r="D536" t="s">
        <v>113</v>
      </c>
      <c r="E536">
        <v>1200</v>
      </c>
      <c r="F536" t="s">
        <v>31</v>
      </c>
      <c r="G536" t="s">
        <v>52</v>
      </c>
      <c r="H536" t="s">
        <v>33</v>
      </c>
      <c r="I536">
        <v>1589200000</v>
      </c>
      <c r="J536" t="s">
        <v>34</v>
      </c>
      <c r="K536">
        <v>1986</v>
      </c>
      <c r="L536" t="s">
        <v>147</v>
      </c>
      <c r="O536" s="13" t="s">
        <v>1216</v>
      </c>
      <c r="P536" s="24" t="s">
        <v>709</v>
      </c>
      <c r="Q536" t="s">
        <v>84</v>
      </c>
      <c r="R536" s="19" t="s">
        <v>38</v>
      </c>
      <c r="S536">
        <v>238400000</v>
      </c>
      <c r="T536" s="19" t="s">
        <v>38</v>
      </c>
      <c r="U536" s="55"/>
      <c r="V536" s="396"/>
      <c r="W536" s="392"/>
      <c r="X536" s="392"/>
      <c r="Y536" s="392"/>
      <c r="Z536" s="199"/>
      <c r="AA536" s="199"/>
      <c r="AB536" s="199"/>
      <c r="AC536" s="199"/>
      <c r="AD536" s="5"/>
      <c r="AE536" s="39"/>
      <c r="AF536" s="30"/>
      <c r="AG536" s="30"/>
      <c r="AH536" s="30"/>
      <c r="AI536" s="30"/>
      <c r="AJ536" s="30"/>
      <c r="AK536" s="30"/>
      <c r="AL536" s="30"/>
      <c r="AM536" s="30"/>
      <c r="AN536" s="31"/>
    </row>
    <row r="537" spans="1:40" ht="38.65" customHeight="1">
      <c r="A537">
        <v>90</v>
      </c>
      <c r="B537" t="s">
        <v>146</v>
      </c>
      <c r="C537" t="s">
        <v>61</v>
      </c>
      <c r="D537" t="s">
        <v>62</v>
      </c>
      <c r="E537">
        <v>1200</v>
      </c>
      <c r="F537" t="s">
        <v>31</v>
      </c>
      <c r="G537" t="s">
        <v>52</v>
      </c>
      <c r="H537" t="s">
        <v>33</v>
      </c>
      <c r="I537">
        <f>2273.1*1000000</f>
        <v>2273100000</v>
      </c>
      <c r="J537" t="s">
        <v>34</v>
      </c>
      <c r="K537">
        <v>1986</v>
      </c>
      <c r="L537" t="s">
        <v>147</v>
      </c>
      <c r="O537" s="13" t="s">
        <v>1216</v>
      </c>
      <c r="P537" s="24" t="s">
        <v>709</v>
      </c>
      <c r="Q537" t="s">
        <v>84</v>
      </c>
      <c r="R537" s="19" t="s">
        <v>38</v>
      </c>
      <c r="S537">
        <v>341000000</v>
      </c>
      <c r="T537" s="19" t="s">
        <v>38</v>
      </c>
      <c r="U537" s="55"/>
      <c r="V537" s="396"/>
      <c r="W537" s="392"/>
      <c r="X537" s="392"/>
      <c r="Y537" s="392"/>
      <c r="Z537" s="199"/>
      <c r="AA537" s="199"/>
      <c r="AB537" s="199"/>
      <c r="AC537" s="199"/>
      <c r="AD537" s="5"/>
      <c r="AE537" s="39"/>
      <c r="AF537" s="30"/>
      <c r="AG537" s="30"/>
      <c r="AH537" s="30"/>
      <c r="AI537" s="30"/>
      <c r="AJ537" s="30"/>
      <c r="AK537" s="30"/>
      <c r="AL537" s="30"/>
      <c r="AM537" s="30"/>
      <c r="AN537" s="31"/>
    </row>
    <row r="538" spans="1:40" ht="38.65" customHeight="1">
      <c r="A538">
        <v>99</v>
      </c>
      <c r="B538" s="6" t="s">
        <v>165</v>
      </c>
      <c r="C538" t="s">
        <v>61</v>
      </c>
      <c r="D538" t="s">
        <v>62</v>
      </c>
      <c r="E538">
        <v>1200</v>
      </c>
      <c r="F538" t="s">
        <v>31</v>
      </c>
      <c r="G538" t="s">
        <v>52</v>
      </c>
      <c r="H538" t="s">
        <v>33</v>
      </c>
      <c r="I538">
        <v>2288500000</v>
      </c>
      <c r="J538" t="s">
        <v>34</v>
      </c>
      <c r="K538">
        <v>1986</v>
      </c>
      <c r="L538" t="s">
        <v>147</v>
      </c>
      <c r="O538" s="13" t="s">
        <v>1216</v>
      </c>
      <c r="P538" s="24" t="s">
        <v>709</v>
      </c>
      <c r="Q538" t="s">
        <v>84</v>
      </c>
      <c r="R538" s="19" t="s">
        <v>38</v>
      </c>
      <c r="S538">
        <v>343000000</v>
      </c>
      <c r="T538" s="19" t="s">
        <v>38</v>
      </c>
      <c r="U538" s="55"/>
      <c r="V538" s="396"/>
      <c r="W538" s="392"/>
      <c r="X538" s="392"/>
      <c r="Y538" s="392"/>
      <c r="Z538" s="199"/>
      <c r="AA538" s="199"/>
      <c r="AB538" s="199"/>
      <c r="AC538" s="199"/>
      <c r="AD538" s="5"/>
      <c r="AE538" s="39"/>
      <c r="AF538" s="30"/>
      <c r="AG538" s="30"/>
      <c r="AH538" s="30"/>
      <c r="AI538" s="30"/>
      <c r="AJ538" s="30"/>
      <c r="AK538" s="30"/>
      <c r="AL538" s="30"/>
      <c r="AM538" s="30"/>
      <c r="AN538" s="31"/>
    </row>
    <row r="539" spans="1:40" ht="38.65" customHeight="1">
      <c r="A539">
        <v>103</v>
      </c>
      <c r="B539" s="6" t="s">
        <v>174</v>
      </c>
      <c r="C539" t="s">
        <v>61</v>
      </c>
      <c r="D539" t="s">
        <v>62</v>
      </c>
      <c r="E539">
        <v>1200</v>
      </c>
      <c r="F539" t="s">
        <v>31</v>
      </c>
      <c r="G539" t="s">
        <v>52</v>
      </c>
      <c r="H539" t="s">
        <v>33</v>
      </c>
      <c r="I539">
        <v>2675000000</v>
      </c>
      <c r="J539" t="s">
        <v>34</v>
      </c>
      <c r="K539">
        <v>1986</v>
      </c>
      <c r="L539" t="s">
        <v>147</v>
      </c>
      <c r="O539" s="13" t="s">
        <v>1216</v>
      </c>
      <c r="P539" s="24" t="s">
        <v>709</v>
      </c>
      <c r="Q539" t="s">
        <v>84</v>
      </c>
      <c r="R539" s="19" t="s">
        <v>38</v>
      </c>
      <c r="S539">
        <v>401200000</v>
      </c>
      <c r="T539" s="19" t="s">
        <v>38</v>
      </c>
      <c r="U539" s="55"/>
      <c r="V539" s="396"/>
      <c r="W539" s="392"/>
      <c r="X539" s="392"/>
      <c r="Y539" s="392"/>
      <c r="Z539" s="199"/>
      <c r="AA539" s="199"/>
      <c r="AB539" s="199"/>
      <c r="AC539" s="199"/>
      <c r="AD539" s="5"/>
      <c r="AE539" s="39"/>
      <c r="AF539" s="30"/>
      <c r="AG539" s="30"/>
      <c r="AH539" s="30"/>
      <c r="AI539" s="30"/>
      <c r="AJ539" s="30"/>
      <c r="AK539" s="30"/>
      <c r="AL539" s="30"/>
      <c r="AM539" s="30"/>
      <c r="AN539" s="31"/>
    </row>
    <row r="540" spans="1:40" ht="38.65" hidden="1" customHeight="1">
      <c r="A540">
        <v>449</v>
      </c>
      <c r="B540" s="5" t="s">
        <v>60</v>
      </c>
      <c r="C540" s="5" t="s">
        <v>61</v>
      </c>
      <c r="D540" s="5" t="s">
        <v>62</v>
      </c>
      <c r="E540" s="5">
        <v>1200</v>
      </c>
      <c r="F540" s="5" t="s">
        <v>493</v>
      </c>
      <c r="G540" s="231" t="s">
        <v>52</v>
      </c>
      <c r="H540" s="5" t="s">
        <v>76</v>
      </c>
      <c r="I540" s="5">
        <v>0.5</v>
      </c>
      <c r="J540" s="5" t="s">
        <v>77</v>
      </c>
      <c r="K540" s="5">
        <v>1983</v>
      </c>
      <c r="L540" s="185" t="s">
        <v>428</v>
      </c>
      <c r="M540" s="185"/>
      <c r="N540" s="185"/>
      <c r="O540" s="5"/>
      <c r="P540" s="148" t="s">
        <v>38</v>
      </c>
      <c r="Q540" s="55" t="s">
        <v>38</v>
      </c>
      <c r="R540" s="19" t="s">
        <v>38</v>
      </c>
      <c r="S540" s="19" t="s">
        <v>38</v>
      </c>
      <c r="T540" s="55" t="s">
        <v>38</v>
      </c>
      <c r="U540" s="55"/>
      <c r="V540" s="396"/>
      <c r="W540" s="392"/>
      <c r="X540" s="392"/>
      <c r="Y540" s="392"/>
      <c r="Z540" s="199"/>
      <c r="AA540" s="199"/>
      <c r="AB540" s="199"/>
      <c r="AC540" s="199"/>
      <c r="AD540" s="5"/>
      <c r="AE540" s="39"/>
      <c r="AF540" s="30"/>
      <c r="AG540" s="30"/>
      <c r="AH540" s="30"/>
      <c r="AI540" s="30"/>
      <c r="AJ540" s="30"/>
      <c r="AK540" s="30"/>
      <c r="AL540" s="30"/>
      <c r="AM540" s="30"/>
      <c r="AN540" s="31"/>
    </row>
    <row r="541" spans="1:40" ht="38.65" hidden="1" customHeight="1">
      <c r="A541">
        <v>451</v>
      </c>
      <c r="B541" s="5" t="s">
        <v>60</v>
      </c>
      <c r="C541" s="5" t="s">
        <v>61</v>
      </c>
      <c r="D541" s="5" t="s">
        <v>62</v>
      </c>
      <c r="E541" s="5">
        <v>1200</v>
      </c>
      <c r="F541" s="5" t="s">
        <v>75</v>
      </c>
      <c r="G541" s="231" t="s">
        <v>52</v>
      </c>
      <c r="H541" s="5" t="s">
        <v>76</v>
      </c>
      <c r="I541" s="5">
        <v>75</v>
      </c>
      <c r="J541" s="5" t="s">
        <v>77</v>
      </c>
      <c r="K541" s="5">
        <v>1983</v>
      </c>
      <c r="L541" s="185" t="s">
        <v>428</v>
      </c>
      <c r="M541" s="185"/>
      <c r="N541" s="185"/>
      <c r="O541" s="5" t="s">
        <v>431</v>
      </c>
      <c r="P541" s="148">
        <v>0.65</v>
      </c>
      <c r="Q541" s="5" t="s">
        <v>430</v>
      </c>
      <c r="R541" s="19" t="s">
        <v>38</v>
      </c>
      <c r="S541" s="19" t="s">
        <v>38</v>
      </c>
      <c r="T541" s="55" t="s">
        <v>38</v>
      </c>
      <c r="U541" s="55"/>
      <c r="V541" s="396"/>
      <c r="W541" s="392"/>
      <c r="X541" s="392"/>
      <c r="Y541" s="392"/>
      <c r="Z541" s="199"/>
      <c r="AA541" s="199"/>
      <c r="AB541" s="199"/>
      <c r="AC541" s="199"/>
      <c r="AD541" s="5"/>
      <c r="AE541" s="39"/>
      <c r="AF541" s="30"/>
      <c r="AG541" s="30"/>
      <c r="AH541" s="30"/>
      <c r="AI541" s="30"/>
      <c r="AJ541" s="30"/>
      <c r="AK541" s="30"/>
      <c r="AL541" s="30"/>
      <c r="AM541" s="30"/>
      <c r="AN541" s="31"/>
    </row>
    <row r="542" spans="1:40" ht="38.65" customHeight="1">
      <c r="A542">
        <v>104</v>
      </c>
      <c r="B542" s="6" t="s">
        <v>176</v>
      </c>
      <c r="C542" t="s">
        <v>61</v>
      </c>
      <c r="D542" t="s">
        <v>62</v>
      </c>
      <c r="E542">
        <v>1200</v>
      </c>
      <c r="F542" t="s">
        <v>31</v>
      </c>
      <c r="G542" t="s">
        <v>52</v>
      </c>
      <c r="H542" t="s">
        <v>33</v>
      </c>
      <c r="I542">
        <v>1953700000</v>
      </c>
      <c r="J542" t="s">
        <v>34</v>
      </c>
      <c r="K542">
        <v>1986</v>
      </c>
      <c r="L542" t="s">
        <v>147</v>
      </c>
      <c r="O542" s="13" t="s">
        <v>1216</v>
      </c>
      <c r="P542" s="24" t="s">
        <v>709</v>
      </c>
      <c r="Q542" t="s">
        <v>84</v>
      </c>
      <c r="R542" s="19" t="s">
        <v>38</v>
      </c>
      <c r="S542">
        <v>293000000</v>
      </c>
      <c r="T542" s="19" t="s">
        <v>38</v>
      </c>
      <c r="U542" s="55"/>
      <c r="V542" s="396"/>
      <c r="W542" s="392"/>
      <c r="X542" s="392"/>
      <c r="Y542" s="392"/>
      <c r="Z542" s="199"/>
      <c r="AA542" s="199"/>
      <c r="AB542" s="199"/>
      <c r="AC542" s="199"/>
      <c r="AD542" s="5"/>
      <c r="AE542" s="39"/>
      <c r="AF542" s="30"/>
      <c r="AG542" s="30"/>
      <c r="AH542" s="30"/>
      <c r="AI542" s="30"/>
      <c r="AJ542" s="30"/>
      <c r="AK542" s="30"/>
      <c r="AL542" s="30"/>
      <c r="AM542" s="30"/>
      <c r="AN542" s="31"/>
    </row>
    <row r="543" spans="1:40" ht="38.65" customHeight="1">
      <c r="A543">
        <v>105</v>
      </c>
      <c r="B543" s="6" t="s">
        <v>178</v>
      </c>
      <c r="C543" t="s">
        <v>61</v>
      </c>
      <c r="D543" t="s">
        <v>62</v>
      </c>
      <c r="E543">
        <v>1200</v>
      </c>
      <c r="F543" t="s">
        <v>31</v>
      </c>
      <c r="G543" t="s">
        <v>52</v>
      </c>
      <c r="H543" t="s">
        <v>33</v>
      </c>
      <c r="I543">
        <v>1439800000</v>
      </c>
      <c r="J543" t="s">
        <v>34</v>
      </c>
      <c r="K543">
        <v>1986</v>
      </c>
      <c r="L543" t="s">
        <v>147</v>
      </c>
      <c r="O543" s="13" t="s">
        <v>1216</v>
      </c>
      <c r="P543" s="2" t="s">
        <v>708</v>
      </c>
      <c r="Q543" t="s">
        <v>84</v>
      </c>
      <c r="R543" s="19" t="s">
        <v>38</v>
      </c>
      <c r="S543">
        <v>216000000</v>
      </c>
      <c r="T543" s="19" t="s">
        <v>38</v>
      </c>
      <c r="U543" s="55"/>
      <c r="V543" s="396"/>
      <c r="W543" s="392"/>
      <c r="X543" s="392"/>
      <c r="Y543" s="392"/>
      <c r="Z543" s="199"/>
      <c r="AA543" s="199"/>
      <c r="AB543" s="199"/>
      <c r="AC543" s="199"/>
      <c r="AD543" s="5"/>
      <c r="AE543" s="39"/>
      <c r="AF543" s="30"/>
      <c r="AG543" s="30"/>
      <c r="AH543" s="30"/>
      <c r="AI543" s="30"/>
      <c r="AJ543" s="30"/>
      <c r="AK543" s="30"/>
      <c r="AL543" s="30"/>
      <c r="AM543" s="30"/>
      <c r="AN543" s="31"/>
    </row>
    <row r="544" spans="1:40" ht="38.65" customHeight="1">
      <c r="A544">
        <v>106</v>
      </c>
      <c r="B544" s="6" t="s">
        <v>180</v>
      </c>
      <c r="C544" t="s">
        <v>61</v>
      </c>
      <c r="D544" t="s">
        <v>62</v>
      </c>
      <c r="E544">
        <v>1200</v>
      </c>
      <c r="F544" t="s">
        <v>31</v>
      </c>
      <c r="G544" t="s">
        <v>52</v>
      </c>
      <c r="H544" t="s">
        <v>33</v>
      </c>
      <c r="I544">
        <v>2907700000</v>
      </c>
      <c r="J544" t="s">
        <v>34</v>
      </c>
      <c r="K544">
        <v>1986</v>
      </c>
      <c r="L544" t="s">
        <v>147</v>
      </c>
      <c r="O544" s="13" t="s">
        <v>1216</v>
      </c>
      <c r="P544" s="2" t="s">
        <v>708</v>
      </c>
      <c r="Q544" t="s">
        <v>84</v>
      </c>
      <c r="R544" s="19" t="s">
        <v>38</v>
      </c>
      <c r="S544">
        <v>436200000</v>
      </c>
      <c r="T544" s="19" t="s">
        <v>38</v>
      </c>
      <c r="U544" s="55"/>
      <c r="V544" s="396"/>
      <c r="W544" s="392"/>
      <c r="X544" s="392"/>
      <c r="Y544" s="392"/>
      <c r="Z544" s="199"/>
      <c r="AA544" s="199"/>
      <c r="AB544" s="199"/>
      <c r="AC544" s="199"/>
      <c r="AD544" s="5"/>
      <c r="AE544" s="39"/>
      <c r="AF544" s="30"/>
      <c r="AG544" s="30"/>
      <c r="AH544" s="30"/>
      <c r="AI544" s="30"/>
      <c r="AJ544" s="30"/>
      <c r="AK544" s="30"/>
      <c r="AL544" s="30"/>
      <c r="AM544" s="30"/>
      <c r="AN544" s="31"/>
    </row>
    <row r="545" spans="1:40" ht="38.65" customHeight="1">
      <c r="A545">
        <v>156</v>
      </c>
      <c r="B545" t="s">
        <v>200</v>
      </c>
      <c r="C545" t="s">
        <v>61</v>
      </c>
      <c r="D545" t="s">
        <v>62</v>
      </c>
      <c r="E545">
        <v>1000</v>
      </c>
      <c r="F545" t="s">
        <v>31</v>
      </c>
      <c r="G545" t="s">
        <v>52</v>
      </c>
      <c r="H545" t="s">
        <v>33</v>
      </c>
      <c r="I545">
        <f>3121500000+ (400*1000000)</f>
        <v>3521500000</v>
      </c>
      <c r="J545" t="s">
        <v>34</v>
      </c>
      <c r="K545">
        <v>1999</v>
      </c>
      <c r="L545" t="s">
        <v>1123</v>
      </c>
      <c r="O545" t="s">
        <v>1216</v>
      </c>
      <c r="P545" s="2" t="s">
        <v>706</v>
      </c>
      <c r="Q545" t="s">
        <v>84</v>
      </c>
      <c r="R545" s="19" t="s">
        <v>38</v>
      </c>
      <c r="S545">
        <v>704000000</v>
      </c>
      <c r="T545" s="19" t="s">
        <v>122</v>
      </c>
      <c r="U545" s="55"/>
      <c r="V545" s="396"/>
      <c r="W545" s="392"/>
      <c r="X545" s="392"/>
      <c r="Y545" s="392"/>
      <c r="Z545" s="199"/>
      <c r="AA545" s="199"/>
      <c r="AB545" s="199"/>
      <c r="AC545" s="199"/>
      <c r="AD545" s="5"/>
      <c r="AE545" s="39"/>
      <c r="AF545" s="30"/>
      <c r="AG545" s="30"/>
      <c r="AH545" s="30"/>
      <c r="AI545" s="30"/>
      <c r="AJ545" s="30"/>
      <c r="AK545" s="30"/>
      <c r="AL545" s="30"/>
      <c r="AM545" s="30"/>
      <c r="AN545" s="31"/>
    </row>
    <row r="546" spans="1:40" ht="38.65" customHeight="1">
      <c r="A546">
        <v>157</v>
      </c>
      <c r="B546" t="s">
        <v>188</v>
      </c>
      <c r="C546" t="s">
        <v>61</v>
      </c>
      <c r="D546" t="s">
        <v>62</v>
      </c>
      <c r="E546">
        <v>1000</v>
      </c>
      <c r="F546" t="s">
        <v>31</v>
      </c>
      <c r="G546" t="s">
        <v>52</v>
      </c>
      <c r="H546" t="s">
        <v>33</v>
      </c>
      <c r="I546">
        <f>3440800000+(440*1000000)</f>
        <v>3880800000</v>
      </c>
      <c r="J546" t="s">
        <v>34</v>
      </c>
      <c r="K546">
        <v>1999</v>
      </c>
      <c r="L546" t="s">
        <v>1123</v>
      </c>
      <c r="O546" t="s">
        <v>1216</v>
      </c>
      <c r="P546" s="2" t="s">
        <v>706</v>
      </c>
      <c r="Q546" t="s">
        <v>84</v>
      </c>
      <c r="R546" s="19" t="s">
        <v>38</v>
      </c>
      <c r="S546">
        <v>776000000</v>
      </c>
      <c r="T546" s="19" t="s">
        <v>122</v>
      </c>
      <c r="U546" s="55"/>
      <c r="V546" s="396"/>
      <c r="W546" s="392"/>
      <c r="X546" s="392"/>
      <c r="Y546" s="392"/>
      <c r="Z546" s="199"/>
      <c r="AA546" s="199"/>
      <c r="AB546" s="199"/>
      <c r="AC546" s="199"/>
      <c r="AD546" s="5"/>
      <c r="AE546" s="39"/>
      <c r="AF546" s="30"/>
      <c r="AG546" s="30"/>
      <c r="AH546" s="30"/>
      <c r="AI546" s="30"/>
      <c r="AJ546" s="30"/>
      <c r="AK546" s="30"/>
      <c r="AL546" s="30"/>
      <c r="AM546" s="30"/>
      <c r="AN546" s="31"/>
    </row>
    <row r="547" spans="1:40" ht="38.65" customHeight="1">
      <c r="A547">
        <v>252</v>
      </c>
      <c r="B547" t="s">
        <v>281</v>
      </c>
      <c r="C547" t="s">
        <v>61</v>
      </c>
      <c r="D547" s="141" t="s">
        <v>278</v>
      </c>
      <c r="E547">
        <v>1940</v>
      </c>
      <c r="F547" t="s">
        <v>31</v>
      </c>
      <c r="G547" t="s">
        <v>57</v>
      </c>
      <c r="H547" t="s">
        <v>33</v>
      </c>
      <c r="I547">
        <f>(7883.3-1117.7-997.8)*1000000</f>
        <v>5767800000</v>
      </c>
      <c r="J547" t="s">
        <v>34</v>
      </c>
      <c r="K547">
        <v>2003</v>
      </c>
      <c r="L547" s="5" t="s">
        <v>279</v>
      </c>
      <c r="M547" s="5"/>
      <c r="N547" s="5"/>
      <c r="P547" s="55">
        <v>0.75</v>
      </c>
      <c r="Q547" t="s">
        <v>84</v>
      </c>
      <c r="R547" s="19" t="s">
        <v>38</v>
      </c>
      <c r="S547" s="145">
        <f>997.8*1000000</f>
        <v>997800000</v>
      </c>
      <c r="T547" s="55" t="s">
        <v>38</v>
      </c>
      <c r="U547" s="55"/>
      <c r="V547" s="396"/>
      <c r="W547" s="392"/>
      <c r="X547" s="392"/>
      <c r="Y547" s="392"/>
      <c r="Z547" s="199"/>
      <c r="AA547" s="199"/>
      <c r="AB547" s="199"/>
      <c r="AC547" s="199"/>
      <c r="AD547" s="5"/>
      <c r="AE547" s="39"/>
      <c r="AF547" s="30"/>
      <c r="AG547" s="30"/>
      <c r="AH547" s="30"/>
      <c r="AI547" s="30"/>
      <c r="AJ547" s="30"/>
      <c r="AK547" s="30"/>
      <c r="AL547" s="30"/>
      <c r="AM547" s="30"/>
      <c r="AN547" s="31"/>
    </row>
    <row r="548" spans="1:40" ht="38.65" hidden="1" customHeight="1">
      <c r="B548" t="s">
        <v>1102</v>
      </c>
      <c r="C548" t="s">
        <v>61</v>
      </c>
      <c r="D548" t="s">
        <v>62</v>
      </c>
      <c r="E548">
        <v>1164</v>
      </c>
      <c r="F548" t="s">
        <v>75</v>
      </c>
      <c r="G548" t="s">
        <v>32</v>
      </c>
      <c r="H548" t="s">
        <v>76</v>
      </c>
      <c r="I548">
        <f>(88)*0.789</f>
        <v>69.432000000000002</v>
      </c>
      <c r="J548" t="s">
        <v>128</v>
      </c>
      <c r="K548">
        <v>1984</v>
      </c>
      <c r="L548" s="185" t="s">
        <v>938</v>
      </c>
      <c r="M548" s="185"/>
      <c r="N548" s="185"/>
      <c r="O548" t="s">
        <v>1103</v>
      </c>
      <c r="P548" s="55"/>
      <c r="Q548" s="55"/>
      <c r="R548" s="19"/>
      <c r="S548" s="19"/>
      <c r="T548" s="19"/>
      <c r="U548" s="55"/>
      <c r="V548" s="396"/>
      <c r="W548" s="392"/>
      <c r="X548" s="392"/>
      <c r="Y548" s="392"/>
      <c r="Z548" s="199"/>
      <c r="AA548" s="199"/>
      <c r="AB548" s="199"/>
      <c r="AC548" s="199"/>
      <c r="AD548" s="5"/>
      <c r="AE548" s="39"/>
      <c r="AF548" s="30"/>
      <c r="AG548" s="30"/>
      <c r="AH548" s="30"/>
      <c r="AI548" s="30"/>
      <c r="AJ548" s="30"/>
      <c r="AK548" s="30"/>
      <c r="AL548" s="30"/>
      <c r="AM548" s="30"/>
      <c r="AN548" s="31"/>
    </row>
    <row r="549" spans="1:40" ht="38.65" hidden="1" customHeight="1">
      <c r="B549" t="s">
        <v>1102</v>
      </c>
      <c r="C549" t="s">
        <v>61</v>
      </c>
      <c r="D549" t="s">
        <v>62</v>
      </c>
      <c r="E549">
        <v>1164</v>
      </c>
      <c r="F549" t="s">
        <v>493</v>
      </c>
      <c r="G549" t="s">
        <v>32</v>
      </c>
      <c r="H549" t="s">
        <v>33</v>
      </c>
      <c r="I549">
        <f>((246*1000000)/25)*0.789</f>
        <v>7763760</v>
      </c>
      <c r="J549" t="s">
        <v>34</v>
      </c>
      <c r="K549">
        <v>1984</v>
      </c>
      <c r="L549" s="185" t="s">
        <v>938</v>
      </c>
      <c r="M549" s="185"/>
      <c r="N549" s="185"/>
      <c r="O549" t="s">
        <v>1104</v>
      </c>
      <c r="P549" s="55"/>
      <c r="Q549" s="55"/>
      <c r="R549" s="19"/>
      <c r="S549" s="19"/>
      <c r="T549" s="19"/>
      <c r="U549" s="55"/>
      <c r="V549" s="396"/>
      <c r="W549" s="392"/>
      <c r="X549" s="392"/>
      <c r="Y549" s="392"/>
      <c r="Z549" s="199"/>
      <c r="AA549" s="199"/>
      <c r="AB549" s="199"/>
      <c r="AC549" s="199"/>
      <c r="AD549" s="5"/>
      <c r="AE549" s="39"/>
      <c r="AF549" s="30"/>
      <c r="AG549" s="30"/>
      <c r="AH549" s="30"/>
      <c r="AI549" s="30"/>
      <c r="AJ549" s="30"/>
      <c r="AK549" s="30"/>
      <c r="AL549" s="30"/>
      <c r="AM549" s="30"/>
      <c r="AN549" s="31"/>
    </row>
    <row r="550" spans="1:40" ht="38.65" hidden="1" customHeight="1">
      <c r="B550" t="s">
        <v>939</v>
      </c>
      <c r="C550" t="s">
        <v>61</v>
      </c>
      <c r="D550" t="s">
        <v>62</v>
      </c>
      <c r="E550">
        <v>1247</v>
      </c>
      <c r="F550" t="s">
        <v>75</v>
      </c>
      <c r="G550" t="s">
        <v>32</v>
      </c>
      <c r="H550" t="s">
        <v>76</v>
      </c>
      <c r="I550">
        <f>(109)*0.789</f>
        <v>86.001000000000005</v>
      </c>
      <c r="J550" t="s">
        <v>128</v>
      </c>
      <c r="K550">
        <v>1984</v>
      </c>
      <c r="L550" s="185" t="s">
        <v>938</v>
      </c>
      <c r="M550" s="185"/>
      <c r="N550" s="185"/>
      <c r="O550" t="s">
        <v>1101</v>
      </c>
      <c r="P550" s="55"/>
      <c r="Q550" s="55"/>
      <c r="R550" s="19"/>
      <c r="S550" s="19"/>
      <c r="T550" s="19"/>
      <c r="U550" s="55"/>
      <c r="V550" s="396"/>
      <c r="W550" s="392"/>
      <c r="X550" s="392"/>
      <c r="Y550" s="392"/>
      <c r="Z550" s="199"/>
      <c r="AA550" s="199"/>
      <c r="AB550" s="199"/>
      <c r="AC550" s="199"/>
      <c r="AD550" s="5"/>
      <c r="AE550" s="39"/>
      <c r="AF550" s="30"/>
      <c r="AG550" s="30"/>
      <c r="AH550" s="30"/>
      <c r="AI550" s="30"/>
      <c r="AJ550" s="30"/>
      <c r="AK550" s="30"/>
      <c r="AL550" s="30"/>
      <c r="AM550" s="30"/>
      <c r="AN550" s="31"/>
    </row>
    <row r="551" spans="1:40" ht="38.65" hidden="1" customHeight="1">
      <c r="B551" t="s">
        <v>940</v>
      </c>
      <c r="C551" t="s">
        <v>61</v>
      </c>
      <c r="D551" t="s">
        <v>62</v>
      </c>
      <c r="E551">
        <v>1203</v>
      </c>
      <c r="F551" t="s">
        <v>75</v>
      </c>
      <c r="G551" t="s">
        <v>32</v>
      </c>
      <c r="H551" t="s">
        <v>76</v>
      </c>
      <c r="I551">
        <f>(105)*0.789</f>
        <v>82.844999999999999</v>
      </c>
      <c r="J551" t="s">
        <v>128</v>
      </c>
      <c r="K551">
        <v>1984</v>
      </c>
      <c r="L551" s="185" t="s">
        <v>938</v>
      </c>
      <c r="M551" s="185"/>
      <c r="N551" s="185"/>
      <c r="O551" t="s">
        <v>1101</v>
      </c>
      <c r="P551" s="55"/>
      <c r="Q551" s="55"/>
      <c r="R551" s="19"/>
      <c r="S551" s="19"/>
      <c r="T551" s="19"/>
      <c r="U551" s="55"/>
      <c r="V551" s="396"/>
      <c r="W551" s="392"/>
      <c r="X551" s="392"/>
      <c r="Y551" s="392"/>
      <c r="Z551" s="199"/>
      <c r="AA551" s="199"/>
      <c r="AB551" s="199"/>
      <c r="AC551" s="199"/>
      <c r="AD551" s="5"/>
      <c r="AE551" s="39"/>
      <c r="AF551" s="30"/>
      <c r="AG551" s="30"/>
      <c r="AH551" s="30"/>
      <c r="AI551" s="30"/>
      <c r="AJ551" s="30"/>
      <c r="AK551" s="30"/>
      <c r="AL551" s="30"/>
      <c r="AM551" s="30"/>
      <c r="AN551" s="31"/>
    </row>
    <row r="552" spans="1:40" ht="38.65" hidden="1" customHeight="1">
      <c r="B552" t="s">
        <v>941</v>
      </c>
      <c r="C552" t="s">
        <v>61</v>
      </c>
      <c r="D552" t="s">
        <v>62</v>
      </c>
      <c r="E552">
        <v>1209</v>
      </c>
      <c r="F552" t="s">
        <v>75</v>
      </c>
      <c r="G552" t="s">
        <v>32</v>
      </c>
      <c r="H552" t="s">
        <v>76</v>
      </c>
      <c r="I552">
        <f>(78)*0.789</f>
        <v>61.542000000000002</v>
      </c>
      <c r="J552" t="s">
        <v>128</v>
      </c>
      <c r="K552">
        <v>1984</v>
      </c>
      <c r="L552" s="185" t="s">
        <v>938</v>
      </c>
      <c r="M552" s="185"/>
      <c r="N552" s="185"/>
      <c r="O552" t="s">
        <v>1101</v>
      </c>
      <c r="P552" s="55"/>
      <c r="Q552" s="55"/>
      <c r="R552" s="19"/>
      <c r="S552" s="19"/>
      <c r="T552" s="19"/>
      <c r="U552" s="55"/>
      <c r="V552" s="396"/>
      <c r="W552" s="392"/>
      <c r="X552" s="392"/>
      <c r="Y552" s="392"/>
      <c r="Z552" s="199"/>
      <c r="AA552" s="199"/>
      <c r="AB552" s="199"/>
      <c r="AC552" s="199"/>
      <c r="AD552" s="5"/>
      <c r="AE552" s="39"/>
      <c r="AF552" s="30"/>
      <c r="AG552" s="30"/>
      <c r="AH552" s="30"/>
      <c r="AI552" s="30"/>
      <c r="AJ552" s="30"/>
      <c r="AK552" s="30"/>
      <c r="AL552" s="30"/>
      <c r="AM552" s="30"/>
      <c r="AN552" s="31"/>
    </row>
    <row r="553" spans="1:40" ht="38.65" customHeight="1">
      <c r="A553">
        <v>159</v>
      </c>
      <c r="B553" t="s">
        <v>207</v>
      </c>
      <c r="C553" t="s">
        <v>61</v>
      </c>
      <c r="D553" t="s">
        <v>62</v>
      </c>
      <c r="E553">
        <v>1000</v>
      </c>
      <c r="F553" t="s">
        <v>31</v>
      </c>
      <c r="G553" t="s">
        <v>52</v>
      </c>
      <c r="H553" t="s">
        <v>33</v>
      </c>
      <c r="I553">
        <f>(1504.16+169.97+78.22+78.22+274.58)*1000000</f>
        <v>2105150000</v>
      </c>
      <c r="J553" t="s">
        <v>34</v>
      </c>
      <c r="K553">
        <v>1992</v>
      </c>
      <c r="L553" t="s">
        <v>1206</v>
      </c>
      <c r="P553" s="2" t="s">
        <v>713</v>
      </c>
      <c r="Q553" t="s">
        <v>84</v>
      </c>
      <c r="R553" s="19" t="s">
        <v>38</v>
      </c>
      <c r="S553">
        <f>308.4*1000000</f>
        <v>308400000</v>
      </c>
      <c r="T553" s="19" t="s">
        <v>122</v>
      </c>
      <c r="U553" s="55"/>
      <c r="V553" s="396"/>
      <c r="W553" s="392"/>
      <c r="X553" s="392"/>
      <c r="Y553" s="392"/>
      <c r="Z553" s="199"/>
      <c r="AA553" s="199"/>
      <c r="AB553" s="199"/>
      <c r="AC553" s="199"/>
      <c r="AD553" s="5"/>
      <c r="AE553" s="39"/>
      <c r="AF553" s="30"/>
      <c r="AG553" s="30"/>
      <c r="AH553" s="30"/>
      <c r="AI553" s="30"/>
      <c r="AJ553" s="30"/>
      <c r="AK553" s="30"/>
      <c r="AL553" s="30"/>
      <c r="AM553" s="30"/>
      <c r="AN553" s="31"/>
    </row>
    <row r="554" spans="1:40" ht="38.65" customHeight="1">
      <c r="A554">
        <v>184</v>
      </c>
      <c r="B554" t="s">
        <v>222</v>
      </c>
      <c r="C554" t="s">
        <v>61</v>
      </c>
      <c r="D554" t="s">
        <v>62</v>
      </c>
      <c r="E554">
        <v>953</v>
      </c>
      <c r="F554" t="s">
        <v>31</v>
      </c>
      <c r="G554" t="s">
        <v>32</v>
      </c>
      <c r="H554" t="s">
        <v>33</v>
      </c>
      <c r="I554">
        <f>(6043+1473)*1000000</f>
        <v>7516000000</v>
      </c>
      <c r="J554" t="s">
        <v>34</v>
      </c>
      <c r="K554">
        <v>2015</v>
      </c>
      <c r="L554" t="s">
        <v>223</v>
      </c>
      <c r="O554" t="s">
        <v>225</v>
      </c>
      <c r="P554" s="2">
        <v>0.75</v>
      </c>
      <c r="Q554" t="s">
        <v>84</v>
      </c>
      <c r="R554" s="19" t="s">
        <v>38</v>
      </c>
      <c r="S554">
        <v>1009000000</v>
      </c>
      <c r="T554" s="19" t="s">
        <v>122</v>
      </c>
      <c r="U554" s="55"/>
      <c r="V554" s="396"/>
      <c r="W554" s="392"/>
      <c r="X554" s="392"/>
      <c r="Y554" s="392"/>
      <c r="Z554" s="199"/>
      <c r="AA554" s="199"/>
      <c r="AB554" s="199"/>
      <c r="AC554" s="199"/>
      <c r="AD554" s="5"/>
      <c r="AE554" s="39"/>
      <c r="AF554" s="30"/>
      <c r="AG554" s="30"/>
      <c r="AH554" s="30"/>
      <c r="AI554" s="30"/>
      <c r="AJ554" s="30"/>
      <c r="AK554" s="30"/>
      <c r="AL554" s="30"/>
      <c r="AM554" s="30"/>
      <c r="AN554" s="31"/>
    </row>
    <row r="555" spans="1:40" ht="38.65" customHeight="1">
      <c r="A555">
        <v>189</v>
      </c>
      <c r="B555" t="s">
        <v>232</v>
      </c>
      <c r="C555" t="s">
        <v>61</v>
      </c>
      <c r="D555" t="s">
        <v>62</v>
      </c>
      <c r="E555">
        <v>1000</v>
      </c>
      <c r="F555" t="s">
        <v>31</v>
      </c>
      <c r="G555" t="s">
        <v>52</v>
      </c>
      <c r="H555" t="s">
        <v>76</v>
      </c>
      <c r="I555">
        <v>2849</v>
      </c>
      <c r="J555" t="s">
        <v>189</v>
      </c>
      <c r="K555">
        <v>2000</v>
      </c>
      <c r="L555" t="s">
        <v>233</v>
      </c>
      <c r="P555" s="144" t="s">
        <v>38</v>
      </c>
      <c r="Q555" s="144" t="s">
        <v>38</v>
      </c>
      <c r="R555" s="19" t="s">
        <v>38</v>
      </c>
      <c r="S555" s="19" t="s">
        <v>38</v>
      </c>
      <c r="T555" t="s">
        <v>234</v>
      </c>
      <c r="U555" s="55"/>
      <c r="V555" s="396"/>
      <c r="W555" s="392"/>
      <c r="X555" s="392"/>
      <c r="Y555" s="392"/>
      <c r="Z555" s="199"/>
      <c r="AA555" s="199"/>
      <c r="AB555" s="199"/>
      <c r="AC555" s="199"/>
      <c r="AD555" s="5"/>
      <c r="AE555" s="39"/>
      <c r="AF555" s="30"/>
      <c r="AG555" s="30"/>
      <c r="AH555" s="30"/>
      <c r="AI555" s="30"/>
      <c r="AJ555" s="30"/>
      <c r="AK555" s="30"/>
      <c r="AL555" s="30"/>
      <c r="AM555" s="30"/>
      <c r="AN555" s="31"/>
    </row>
    <row r="556" spans="1:40" ht="38.65" customHeight="1">
      <c r="A556">
        <v>198</v>
      </c>
      <c r="B556" t="s">
        <v>235</v>
      </c>
      <c r="C556" t="s">
        <v>61</v>
      </c>
      <c r="D556" t="s">
        <v>62</v>
      </c>
      <c r="E556">
        <v>1000</v>
      </c>
      <c r="F556" t="s">
        <v>31</v>
      </c>
      <c r="G556" t="s">
        <v>52</v>
      </c>
      <c r="H556" t="s">
        <v>76</v>
      </c>
      <c r="I556">
        <v>3940</v>
      </c>
      <c r="J556" t="s">
        <v>189</v>
      </c>
      <c r="K556">
        <v>2000</v>
      </c>
      <c r="L556" t="s">
        <v>233</v>
      </c>
      <c r="O556" t="s">
        <v>1209</v>
      </c>
      <c r="P556" s="144" t="s">
        <v>38</v>
      </c>
      <c r="Q556" s="144" t="s">
        <v>38</v>
      </c>
      <c r="R556" s="19" t="s">
        <v>38</v>
      </c>
      <c r="S556" s="19" t="s">
        <v>38</v>
      </c>
      <c r="T556" t="s">
        <v>234</v>
      </c>
      <c r="U556" s="55"/>
      <c r="V556" s="396"/>
      <c r="W556" s="392"/>
      <c r="X556" s="392"/>
      <c r="Y556" s="392"/>
      <c r="Z556" s="199"/>
      <c r="AA556" s="199"/>
      <c r="AB556" s="199"/>
      <c r="AC556" s="199"/>
      <c r="AD556" s="5"/>
      <c r="AE556" s="39"/>
      <c r="AF556" s="30"/>
      <c r="AG556" s="30"/>
      <c r="AH556" s="30"/>
      <c r="AI556" s="30"/>
      <c r="AJ556" s="30"/>
      <c r="AK556" s="30"/>
      <c r="AL556" s="30"/>
      <c r="AM556" s="30"/>
      <c r="AN556" s="31"/>
    </row>
    <row r="557" spans="1:40" ht="38.65" hidden="1" customHeight="1">
      <c r="B557" t="s">
        <v>939</v>
      </c>
      <c r="C557" t="s">
        <v>61</v>
      </c>
      <c r="D557" t="s">
        <v>62</v>
      </c>
      <c r="E557">
        <v>1247</v>
      </c>
      <c r="F557" t="s">
        <v>493</v>
      </c>
      <c r="G557" t="s">
        <v>32</v>
      </c>
      <c r="H557" t="s">
        <v>33</v>
      </c>
      <c r="I557">
        <f>((381*1000000)/25)*0.789</f>
        <v>12024360</v>
      </c>
      <c r="J557" t="s">
        <v>34</v>
      </c>
      <c r="K557">
        <v>1984</v>
      </c>
      <c r="L557" s="185" t="s">
        <v>938</v>
      </c>
      <c r="M557" s="185"/>
      <c r="N557" s="185"/>
      <c r="O557" t="s">
        <v>1098</v>
      </c>
      <c r="P557" s="19" t="s">
        <v>122</v>
      </c>
      <c r="Q557" s="55" t="s">
        <v>38</v>
      </c>
      <c r="R557" s="19"/>
      <c r="S557" s="19"/>
      <c r="T557" s="19" t="s">
        <v>122</v>
      </c>
      <c r="U557" s="55"/>
      <c r="V557" s="396"/>
      <c r="W557" s="392"/>
      <c r="X557" s="392"/>
      <c r="Y557" s="392"/>
      <c r="Z557" s="199"/>
      <c r="AA557" s="199"/>
      <c r="AB557" s="199"/>
      <c r="AC557" s="199"/>
      <c r="AD557" s="5"/>
      <c r="AE557" s="39"/>
      <c r="AF557" s="30"/>
      <c r="AG557" s="30"/>
      <c r="AH557" s="30"/>
      <c r="AI557" s="30"/>
      <c r="AJ557" s="30"/>
      <c r="AK557" s="30"/>
      <c r="AL557" s="30"/>
      <c r="AM557" s="30"/>
      <c r="AN557" s="31"/>
    </row>
    <row r="558" spans="1:40" ht="38.65" hidden="1" customHeight="1">
      <c r="B558" t="s">
        <v>940</v>
      </c>
      <c r="C558" t="s">
        <v>61</v>
      </c>
      <c r="D558" t="s">
        <v>62</v>
      </c>
      <c r="E558">
        <v>1203</v>
      </c>
      <c r="F558" t="s">
        <v>493</v>
      </c>
      <c r="G558" t="s">
        <v>32</v>
      </c>
      <c r="H558" t="s">
        <v>33</v>
      </c>
      <c r="I558">
        <f>((363*1000000)/25)*0.789</f>
        <v>11456280</v>
      </c>
      <c r="J558" t="s">
        <v>34</v>
      </c>
      <c r="K558">
        <v>1984</v>
      </c>
      <c r="L558" s="185" t="s">
        <v>938</v>
      </c>
      <c r="M558" s="185"/>
      <c r="N558" s="185"/>
      <c r="O558" t="s">
        <v>1098</v>
      </c>
      <c r="P558" s="19" t="s">
        <v>122</v>
      </c>
      <c r="Q558" s="55" t="s">
        <v>38</v>
      </c>
      <c r="R558" s="19"/>
      <c r="S558" s="19"/>
      <c r="T558" s="19" t="s">
        <v>122</v>
      </c>
      <c r="U558" s="55"/>
      <c r="V558" s="396"/>
      <c r="W558" s="392"/>
      <c r="X558" s="392"/>
      <c r="Y558" s="392"/>
      <c r="Z558" s="199"/>
      <c r="AA558" s="199"/>
      <c r="AB558" s="199"/>
      <c r="AC558" s="199"/>
      <c r="AD558" s="5"/>
      <c r="AE558" s="39"/>
      <c r="AF558" s="30"/>
      <c r="AG558" s="30"/>
      <c r="AH558" s="30"/>
      <c r="AI558" s="30"/>
      <c r="AJ558" s="30"/>
      <c r="AK558" s="30"/>
      <c r="AL558" s="30"/>
      <c r="AM558" s="30"/>
      <c r="AN558" s="31"/>
    </row>
    <row r="559" spans="1:40" ht="38.65" hidden="1" customHeight="1">
      <c r="B559" t="s">
        <v>941</v>
      </c>
      <c r="C559" t="s">
        <v>61</v>
      </c>
      <c r="D559" t="s">
        <v>62</v>
      </c>
      <c r="E559">
        <v>1209</v>
      </c>
      <c r="F559" t="s">
        <v>493</v>
      </c>
      <c r="G559" t="s">
        <v>32</v>
      </c>
      <c r="H559" t="s">
        <v>33</v>
      </c>
      <c r="I559">
        <f>((265*1000000)/25)*0.789</f>
        <v>8363400</v>
      </c>
      <c r="J559" t="s">
        <v>34</v>
      </c>
      <c r="K559">
        <v>1984</v>
      </c>
      <c r="L559" s="185" t="s">
        <v>938</v>
      </c>
      <c r="M559" s="185"/>
      <c r="N559" s="185"/>
      <c r="O559" t="s">
        <v>1098</v>
      </c>
      <c r="P559" s="19" t="s">
        <v>122</v>
      </c>
      <c r="Q559" s="55" t="s">
        <v>38</v>
      </c>
      <c r="R559" s="19"/>
      <c r="S559" s="19"/>
      <c r="T559" s="19" t="s">
        <v>122</v>
      </c>
      <c r="U559" s="55"/>
      <c r="V559" s="396"/>
      <c r="W559" s="392"/>
      <c r="X559" s="392"/>
      <c r="Y559" s="392"/>
      <c r="Z559" s="199"/>
      <c r="AA559" s="199"/>
      <c r="AB559" s="199"/>
      <c r="AC559" s="199"/>
      <c r="AD559" s="5"/>
      <c r="AE559" s="39"/>
      <c r="AF559" s="30"/>
      <c r="AG559" s="30"/>
      <c r="AH559" s="30"/>
      <c r="AI559" s="30"/>
      <c r="AJ559" s="30"/>
      <c r="AK559" s="30"/>
      <c r="AL559" s="30"/>
      <c r="AM559" s="30"/>
      <c r="AN559" s="31"/>
    </row>
    <row r="560" spans="1:40" ht="38.65" customHeight="1">
      <c r="A560">
        <v>199</v>
      </c>
      <c r="B560" t="s">
        <v>237</v>
      </c>
      <c r="C560" t="s">
        <v>61</v>
      </c>
      <c r="D560" t="s">
        <v>62</v>
      </c>
      <c r="E560">
        <v>1000</v>
      </c>
      <c r="F560" t="s">
        <v>31</v>
      </c>
      <c r="G560" t="s">
        <v>755</v>
      </c>
      <c r="H560" t="s">
        <v>76</v>
      </c>
      <c r="I560">
        <v>2950</v>
      </c>
      <c r="J560" t="s">
        <v>189</v>
      </c>
      <c r="K560">
        <v>2000</v>
      </c>
      <c r="L560" t="s">
        <v>233</v>
      </c>
      <c r="O560" t="s">
        <v>1210</v>
      </c>
      <c r="P560" s="144" t="s">
        <v>38</v>
      </c>
      <c r="Q560" s="144" t="s">
        <v>38</v>
      </c>
      <c r="R560" s="19" t="s">
        <v>38</v>
      </c>
      <c r="S560" s="19" t="s">
        <v>38</v>
      </c>
      <c r="T560" t="s">
        <v>234</v>
      </c>
      <c r="U560" s="55"/>
      <c r="V560" s="396"/>
      <c r="W560" s="392"/>
      <c r="X560" s="392"/>
      <c r="Y560" s="392"/>
      <c r="Z560" s="199"/>
      <c r="AA560" s="199"/>
      <c r="AB560" s="199"/>
      <c r="AC560" s="199"/>
      <c r="AD560" s="5"/>
      <c r="AE560" s="39"/>
      <c r="AF560" s="30"/>
      <c r="AG560" s="30"/>
      <c r="AH560" s="30"/>
      <c r="AI560" s="30"/>
      <c r="AJ560" s="30"/>
      <c r="AK560" s="30"/>
      <c r="AL560" s="30"/>
      <c r="AM560" s="30"/>
      <c r="AN560" s="31"/>
    </row>
    <row r="561" spans="1:40" ht="38.65" customHeight="1">
      <c r="A561">
        <v>200</v>
      </c>
      <c r="B561" t="s">
        <v>239</v>
      </c>
      <c r="C561" t="s">
        <v>61</v>
      </c>
      <c r="D561" t="s">
        <v>62</v>
      </c>
      <c r="E561">
        <v>1000</v>
      </c>
      <c r="F561" t="s">
        <v>31</v>
      </c>
      <c r="G561" t="s">
        <v>52</v>
      </c>
      <c r="H561" t="s">
        <v>76</v>
      </c>
      <c r="I561">
        <v>2820</v>
      </c>
      <c r="J561" t="s">
        <v>189</v>
      </c>
      <c r="K561">
        <v>2000</v>
      </c>
      <c r="L561" t="s">
        <v>233</v>
      </c>
      <c r="O561" t="s">
        <v>1211</v>
      </c>
      <c r="P561" s="144" t="s">
        <v>38</v>
      </c>
      <c r="Q561" s="144" t="s">
        <v>38</v>
      </c>
      <c r="R561" s="19" t="s">
        <v>38</v>
      </c>
      <c r="S561" s="19" t="s">
        <v>38</v>
      </c>
      <c r="T561" t="s">
        <v>234</v>
      </c>
      <c r="U561" s="55"/>
      <c r="V561" s="396"/>
      <c r="W561" s="392"/>
      <c r="X561" s="392"/>
      <c r="Y561" s="392"/>
      <c r="Z561" s="199"/>
      <c r="AA561" s="199"/>
      <c r="AB561" s="199"/>
      <c r="AC561" s="199"/>
      <c r="AD561" s="5"/>
      <c r="AE561" s="39"/>
      <c r="AF561" s="30"/>
      <c r="AG561" s="30"/>
      <c r="AH561" s="30"/>
      <c r="AI561" s="30"/>
      <c r="AJ561" s="30"/>
      <c r="AK561" s="30"/>
      <c r="AL561" s="30"/>
      <c r="AM561" s="30"/>
      <c r="AN561" s="31"/>
    </row>
    <row r="562" spans="1:40" ht="38.65" customHeight="1">
      <c r="A562">
        <v>201</v>
      </c>
      <c r="B562" t="s">
        <v>240</v>
      </c>
      <c r="C562" t="s">
        <v>61</v>
      </c>
      <c r="D562" t="s">
        <v>62</v>
      </c>
      <c r="E562">
        <v>1000</v>
      </c>
      <c r="F562" t="s">
        <v>31</v>
      </c>
      <c r="G562" t="s">
        <v>755</v>
      </c>
      <c r="H562" t="s">
        <v>76</v>
      </c>
      <c r="I562">
        <v>2170</v>
      </c>
      <c r="J562" t="s">
        <v>189</v>
      </c>
      <c r="K562">
        <v>2000</v>
      </c>
      <c r="L562" t="s">
        <v>233</v>
      </c>
      <c r="O562" t="s">
        <v>1212</v>
      </c>
      <c r="P562" s="144" t="s">
        <v>38</v>
      </c>
      <c r="Q562" s="144" t="s">
        <v>38</v>
      </c>
      <c r="R562" s="19" t="s">
        <v>38</v>
      </c>
      <c r="S562" s="19" t="s">
        <v>38</v>
      </c>
      <c r="T562" t="s">
        <v>234</v>
      </c>
      <c r="U562" s="55"/>
      <c r="V562" s="396"/>
      <c r="W562" s="392"/>
      <c r="X562" s="392"/>
      <c r="Y562" s="392"/>
      <c r="Z562" s="199"/>
      <c r="AA562" s="199"/>
      <c r="AB562" s="199"/>
      <c r="AC562" s="199"/>
      <c r="AD562" s="5"/>
      <c r="AE562" s="39"/>
      <c r="AF562" s="30"/>
      <c r="AG562" s="30"/>
      <c r="AH562" s="30"/>
      <c r="AI562" s="30"/>
      <c r="AJ562" s="30"/>
      <c r="AK562" s="30"/>
      <c r="AL562" s="30"/>
      <c r="AM562" s="30"/>
      <c r="AN562" s="31"/>
    </row>
    <row r="563" spans="1:40" ht="38.65" customHeight="1">
      <c r="A563">
        <v>202</v>
      </c>
      <c r="B563" t="s">
        <v>211</v>
      </c>
      <c r="C563" t="s">
        <v>61</v>
      </c>
      <c r="D563" t="s">
        <v>62</v>
      </c>
      <c r="E563">
        <v>1000</v>
      </c>
      <c r="F563" t="s">
        <v>31</v>
      </c>
      <c r="G563" t="s">
        <v>52</v>
      </c>
      <c r="H563" t="s">
        <v>76</v>
      </c>
      <c r="I563">
        <v>5625</v>
      </c>
      <c r="J563" t="s">
        <v>189</v>
      </c>
      <c r="K563">
        <v>2000</v>
      </c>
      <c r="L563" t="s">
        <v>233</v>
      </c>
      <c r="P563" s="144" t="s">
        <v>38</v>
      </c>
      <c r="Q563" s="144" t="s">
        <v>38</v>
      </c>
      <c r="R563" s="19" t="s">
        <v>38</v>
      </c>
      <c r="S563" s="19" t="s">
        <v>38</v>
      </c>
      <c r="T563" t="s">
        <v>234</v>
      </c>
      <c r="U563" s="55"/>
      <c r="V563" s="396"/>
      <c r="W563" s="392"/>
      <c r="X563" s="392"/>
      <c r="Y563" s="392"/>
      <c r="Z563" s="199"/>
      <c r="AA563" s="199"/>
      <c r="AB563" s="199"/>
      <c r="AC563" s="199"/>
      <c r="AD563" s="5"/>
      <c r="AE563" s="39"/>
      <c r="AF563" s="30"/>
      <c r="AG563" s="30"/>
      <c r="AH563" s="30"/>
      <c r="AI563" s="30"/>
      <c r="AJ563" s="30"/>
      <c r="AK563" s="30"/>
      <c r="AL563" s="30"/>
      <c r="AM563" s="30"/>
      <c r="AN563" s="31"/>
    </row>
    <row r="564" spans="1:40" ht="38.65" customHeight="1">
      <c r="A564">
        <v>203</v>
      </c>
      <c r="B564" t="s">
        <v>213</v>
      </c>
      <c r="C564" t="s">
        <v>61</v>
      </c>
      <c r="D564" t="s">
        <v>62</v>
      </c>
      <c r="E564">
        <v>1000</v>
      </c>
      <c r="F564" t="s">
        <v>31</v>
      </c>
      <c r="G564" t="s">
        <v>52</v>
      </c>
      <c r="H564" t="s">
        <v>76</v>
      </c>
      <c r="I564">
        <v>5215</v>
      </c>
      <c r="J564" t="s">
        <v>189</v>
      </c>
      <c r="K564">
        <v>2000</v>
      </c>
      <c r="L564" t="s">
        <v>233</v>
      </c>
      <c r="P564" s="144" t="s">
        <v>38</v>
      </c>
      <c r="Q564" s="144" t="s">
        <v>38</v>
      </c>
      <c r="R564" s="19" t="s">
        <v>38</v>
      </c>
      <c r="S564" s="19" t="s">
        <v>38</v>
      </c>
      <c r="T564" t="s">
        <v>234</v>
      </c>
      <c r="U564" s="55"/>
      <c r="V564" s="396"/>
      <c r="W564" s="392"/>
      <c r="X564" s="392"/>
      <c r="Y564" s="392"/>
      <c r="Z564" s="199"/>
      <c r="AA564" s="199"/>
      <c r="AB564" s="199"/>
      <c r="AC564" s="199"/>
      <c r="AD564" s="5"/>
      <c r="AE564" s="39"/>
      <c r="AF564" s="30"/>
      <c r="AG564" s="30"/>
      <c r="AH564" s="30"/>
      <c r="AI564" s="30"/>
      <c r="AJ564" s="30"/>
      <c r="AK564" s="30"/>
      <c r="AL564" s="30"/>
      <c r="AM564" s="30"/>
      <c r="AN564" s="31"/>
    </row>
    <row r="565" spans="1:40" ht="38.65" customHeight="1">
      <c r="A565">
        <v>204</v>
      </c>
      <c r="B565" t="s">
        <v>214</v>
      </c>
      <c r="C565" t="s">
        <v>61</v>
      </c>
      <c r="D565" t="s">
        <v>62</v>
      </c>
      <c r="E565">
        <v>1000</v>
      </c>
      <c r="F565" t="s">
        <v>31</v>
      </c>
      <c r="G565" t="s">
        <v>52</v>
      </c>
      <c r="H565" t="s">
        <v>76</v>
      </c>
      <c r="I565">
        <v>4155</v>
      </c>
      <c r="J565" t="s">
        <v>189</v>
      </c>
      <c r="K565">
        <v>2000</v>
      </c>
      <c r="L565" t="s">
        <v>233</v>
      </c>
      <c r="P565" s="144" t="s">
        <v>38</v>
      </c>
      <c r="Q565" s="144" t="s">
        <v>38</v>
      </c>
      <c r="R565" s="19" t="s">
        <v>38</v>
      </c>
      <c r="S565" s="19" t="s">
        <v>38</v>
      </c>
      <c r="T565" t="s">
        <v>234</v>
      </c>
      <c r="U565" s="55"/>
      <c r="V565" s="396"/>
      <c r="W565" s="392"/>
      <c r="X565" s="392"/>
      <c r="Y565" s="392"/>
      <c r="Z565" s="199"/>
      <c r="AA565" s="199"/>
      <c r="AB565" s="199"/>
      <c r="AC565" s="199"/>
      <c r="AD565" s="5"/>
      <c r="AE565" s="39"/>
      <c r="AF565" s="30"/>
      <c r="AG565" s="30"/>
      <c r="AH565" s="30"/>
      <c r="AI565" s="30"/>
      <c r="AJ565" s="30"/>
      <c r="AK565" s="30"/>
      <c r="AL565" s="30"/>
      <c r="AM565" s="30"/>
      <c r="AN565" s="31"/>
    </row>
    <row r="566" spans="1:40" ht="38.65" customHeight="1">
      <c r="A566">
        <v>205</v>
      </c>
      <c r="B566" t="s">
        <v>215</v>
      </c>
      <c r="C566" t="s">
        <v>61</v>
      </c>
      <c r="D566" t="s">
        <v>62</v>
      </c>
      <c r="E566">
        <v>1000</v>
      </c>
      <c r="F566" t="s">
        <v>31</v>
      </c>
      <c r="G566" t="s">
        <v>52</v>
      </c>
      <c r="H566" t="s">
        <v>76</v>
      </c>
      <c r="I566">
        <v>2868</v>
      </c>
      <c r="J566" t="s">
        <v>189</v>
      </c>
      <c r="K566">
        <v>2000</v>
      </c>
      <c r="L566" t="s">
        <v>233</v>
      </c>
      <c r="P566" s="144" t="s">
        <v>38</v>
      </c>
      <c r="Q566" s="144" t="s">
        <v>38</v>
      </c>
      <c r="R566" s="19" t="s">
        <v>38</v>
      </c>
      <c r="S566" s="19" t="s">
        <v>38</v>
      </c>
      <c r="T566" t="s">
        <v>234</v>
      </c>
      <c r="U566" s="55"/>
      <c r="V566" s="396"/>
      <c r="W566" s="392"/>
      <c r="X566" s="392"/>
      <c r="Y566" s="392"/>
      <c r="Z566" s="199"/>
      <c r="AA566" s="199"/>
      <c r="AB566" s="199"/>
      <c r="AC566" s="199"/>
      <c r="AD566" s="5"/>
      <c r="AE566" s="39"/>
      <c r="AF566" s="30"/>
      <c r="AG566" s="30"/>
      <c r="AH566" s="30"/>
      <c r="AI566" s="30"/>
      <c r="AJ566" s="30"/>
      <c r="AK566" s="30"/>
      <c r="AL566" s="30"/>
      <c r="AM566" s="30"/>
      <c r="AN566" s="31"/>
    </row>
    <row r="567" spans="1:40" ht="13" customHeight="1">
      <c r="A567">
        <v>206</v>
      </c>
      <c r="B567" t="s">
        <v>818</v>
      </c>
      <c r="C567" t="s">
        <v>30</v>
      </c>
      <c r="D567" t="s">
        <v>815</v>
      </c>
      <c r="E567">
        <v>38000</v>
      </c>
      <c r="F567" t="s">
        <v>31</v>
      </c>
      <c r="G567" t="s">
        <v>57</v>
      </c>
      <c r="H567" t="s">
        <v>33</v>
      </c>
      <c r="I567">
        <f>(79244-4000)*1000000</f>
        <v>75244000000</v>
      </c>
      <c r="J567" t="s">
        <v>34</v>
      </c>
      <c r="K567">
        <v>2014</v>
      </c>
      <c r="L567" t="s">
        <v>248</v>
      </c>
      <c r="M567" t="s">
        <v>1250</v>
      </c>
      <c r="N567" t="s">
        <v>1249</v>
      </c>
      <c r="O567" t="s">
        <v>1244</v>
      </c>
      <c r="P567" s="2" t="s">
        <v>706</v>
      </c>
      <c r="Q567" t="s">
        <v>84</v>
      </c>
      <c r="R567" s="19" t="s">
        <v>38</v>
      </c>
      <c r="S567">
        <v>4000000</v>
      </c>
      <c r="T567" s="19" t="s">
        <v>122</v>
      </c>
      <c r="U567" s="55"/>
      <c r="V567" s="396"/>
      <c r="W567" s="392"/>
      <c r="X567" s="392"/>
      <c r="Y567" s="392"/>
      <c r="Z567" s="199"/>
      <c r="AA567" s="199"/>
      <c r="AB567" s="199"/>
      <c r="AC567" s="199"/>
      <c r="AD567" s="5"/>
      <c r="AE567" s="39"/>
      <c r="AF567" s="30"/>
      <c r="AG567" s="30"/>
      <c r="AH567" s="30"/>
      <c r="AI567" s="30"/>
      <c r="AJ567" s="30"/>
      <c r="AK567" s="30"/>
      <c r="AL567" s="30"/>
      <c r="AM567" s="30"/>
      <c r="AN567" s="31"/>
    </row>
    <row r="568" spans="1:40" ht="13" customHeight="1">
      <c r="A568">
        <v>210</v>
      </c>
      <c r="B568" t="s">
        <v>253</v>
      </c>
      <c r="C568" t="s">
        <v>61</v>
      </c>
      <c r="D568" t="s">
        <v>62</v>
      </c>
      <c r="E568">
        <v>1160</v>
      </c>
      <c r="F568" t="s">
        <v>31</v>
      </c>
      <c r="G568" t="s">
        <v>32</v>
      </c>
      <c r="H568" t="s">
        <v>76</v>
      </c>
      <c r="I568">
        <f>7.98*1000000</f>
        <v>7980000</v>
      </c>
      <c r="J568" t="s">
        <v>254</v>
      </c>
      <c r="K568">
        <v>2019</v>
      </c>
      <c r="L568" t="s">
        <v>1126</v>
      </c>
      <c r="P568" s="2">
        <v>0.9</v>
      </c>
      <c r="Q568" t="s">
        <v>84</v>
      </c>
      <c r="R568" s="19" t="s">
        <v>38</v>
      </c>
      <c r="S568" s="19" t="s">
        <v>38</v>
      </c>
      <c r="T568" s="19" t="s">
        <v>38</v>
      </c>
      <c r="U568" s="55"/>
      <c r="V568" s="396"/>
      <c r="W568" s="392"/>
      <c r="X568" s="392"/>
      <c r="Y568" s="392"/>
      <c r="Z568" s="199"/>
      <c r="AA568" s="199"/>
      <c r="AB568" s="199"/>
      <c r="AC568" s="199"/>
      <c r="AD568" s="5"/>
      <c r="AE568" s="39"/>
      <c r="AF568" s="30"/>
      <c r="AG568" s="30"/>
      <c r="AH568" s="30"/>
      <c r="AI568" s="30"/>
      <c r="AJ568" s="30"/>
      <c r="AK568" s="30"/>
      <c r="AL568" s="30"/>
      <c r="AM568" s="30"/>
      <c r="AN568" s="31"/>
    </row>
    <row r="569" spans="1:40" ht="13" customHeight="1">
      <c r="A569">
        <v>211</v>
      </c>
      <c r="B569" t="s">
        <v>253</v>
      </c>
      <c r="C569" t="s">
        <v>61</v>
      </c>
      <c r="D569" t="s">
        <v>62</v>
      </c>
      <c r="E569">
        <v>1160</v>
      </c>
      <c r="F569" t="s">
        <v>31</v>
      </c>
      <c r="G569" t="s">
        <v>52</v>
      </c>
      <c r="H569" t="s">
        <v>76</v>
      </c>
      <c r="I569">
        <f>6.87*1000000</f>
        <v>6870000</v>
      </c>
      <c r="J569" t="s">
        <v>254</v>
      </c>
      <c r="K569">
        <v>2019</v>
      </c>
      <c r="L569" t="s">
        <v>1126</v>
      </c>
      <c r="P569" s="2">
        <v>0.9</v>
      </c>
      <c r="Q569" t="s">
        <v>84</v>
      </c>
      <c r="R569" s="19" t="s">
        <v>38</v>
      </c>
      <c r="S569" s="19" t="s">
        <v>38</v>
      </c>
      <c r="T569" s="19" t="s">
        <v>38</v>
      </c>
      <c r="U569" s="55"/>
      <c r="V569" s="396"/>
      <c r="W569" s="392"/>
      <c r="X569" s="392"/>
      <c r="Y569" s="392"/>
      <c r="Z569" s="199"/>
      <c r="AA569" s="199"/>
      <c r="AB569" s="199"/>
      <c r="AC569" s="199"/>
      <c r="AD569" s="5"/>
      <c r="AE569" s="39"/>
      <c r="AF569" s="30"/>
      <c r="AG569" s="30"/>
      <c r="AH569" s="30"/>
      <c r="AI569" s="30"/>
      <c r="AJ569" s="30"/>
      <c r="AK569" s="30"/>
      <c r="AL569" s="30"/>
      <c r="AM569" s="30"/>
      <c r="AN569" s="31"/>
    </row>
    <row r="570" spans="1:40" ht="13" customHeight="1">
      <c r="A570">
        <v>515</v>
      </c>
      <c r="B570" t="s">
        <v>488</v>
      </c>
      <c r="C570" t="s">
        <v>470</v>
      </c>
      <c r="D570" t="s">
        <v>471</v>
      </c>
      <c r="E570">
        <v>383.1</v>
      </c>
      <c r="F570" t="s">
        <v>31</v>
      </c>
      <c r="G570" t="s">
        <v>754</v>
      </c>
      <c r="H570" t="s">
        <v>33</v>
      </c>
      <c r="I570">
        <f>(837.7-37.9)*1000000</f>
        <v>799800000.00000012</v>
      </c>
      <c r="J570" t="s">
        <v>34</v>
      </c>
      <c r="K570">
        <v>2020</v>
      </c>
      <c r="L570" t="s">
        <v>486</v>
      </c>
      <c r="O570" s="13" t="s">
        <v>1240</v>
      </c>
      <c r="P570" s="2">
        <v>0.9</v>
      </c>
      <c r="Q570" t="s">
        <v>350</v>
      </c>
      <c r="R570" s="19" t="s">
        <v>38</v>
      </c>
      <c r="S570" s="13" t="s">
        <v>487</v>
      </c>
      <c r="T570" s="55" t="s">
        <v>38</v>
      </c>
      <c r="U570" s="55"/>
      <c r="V570" s="396"/>
      <c r="W570" s="392"/>
      <c r="X570" s="392"/>
      <c r="Y570" s="392"/>
      <c r="Z570" s="199"/>
      <c r="AA570" s="199"/>
      <c r="AB570" s="199"/>
      <c r="AC570" s="199"/>
      <c r="AD570" s="5"/>
      <c r="AE570" s="39"/>
      <c r="AF570" s="30"/>
      <c r="AG570" s="30"/>
      <c r="AH570" s="30"/>
      <c r="AI570" s="30"/>
      <c r="AJ570" s="30"/>
      <c r="AK570" s="30"/>
      <c r="AL570" s="30"/>
      <c r="AM570" s="30"/>
      <c r="AN570" s="31"/>
    </row>
    <row r="571" spans="1:40" ht="13" customHeight="1">
      <c r="A571">
        <v>534</v>
      </c>
      <c r="B571" t="s">
        <v>492</v>
      </c>
      <c r="C571" t="s">
        <v>470</v>
      </c>
      <c r="D571" t="s">
        <v>471</v>
      </c>
      <c r="E571">
        <v>814.4</v>
      </c>
      <c r="F571" t="s">
        <v>31</v>
      </c>
      <c r="G571" t="s">
        <v>754</v>
      </c>
      <c r="H571" t="s">
        <v>33</v>
      </c>
      <c r="I571">
        <f>(1638.8-66.8)*1000000</f>
        <v>1572000000</v>
      </c>
      <c r="J571" t="s">
        <v>34</v>
      </c>
      <c r="K571">
        <v>2020</v>
      </c>
      <c r="L571" t="s">
        <v>486</v>
      </c>
      <c r="O571" s="13" t="s">
        <v>1240</v>
      </c>
      <c r="P571" s="2">
        <v>0.9</v>
      </c>
      <c r="Q571" t="s">
        <v>350</v>
      </c>
      <c r="R571" s="19" t="s">
        <v>38</v>
      </c>
      <c r="S571" s="13" t="s">
        <v>487</v>
      </c>
      <c r="T571" s="55" t="s">
        <v>38</v>
      </c>
      <c r="U571" s="55"/>
      <c r="V571" s="397"/>
      <c r="W571" s="392" t="s">
        <v>993</v>
      </c>
      <c r="X571" s="392" t="s">
        <v>992</v>
      </c>
      <c r="Y571" s="392" t="s">
        <v>994</v>
      </c>
      <c r="Z571" s="199"/>
      <c r="AA571" s="199"/>
      <c r="AB571" s="199"/>
      <c r="AC571" s="199"/>
      <c r="AD571" s="5"/>
      <c r="AE571" s="39"/>
      <c r="AF571" s="30"/>
      <c r="AG571" s="30"/>
      <c r="AH571" s="30"/>
      <c r="AI571" s="30"/>
      <c r="AJ571" s="30"/>
      <c r="AK571" s="30"/>
      <c r="AL571" s="30"/>
      <c r="AM571" s="30"/>
      <c r="AN571" s="31"/>
    </row>
    <row r="572" spans="1:40" ht="13" hidden="1" customHeight="1">
      <c r="A572">
        <v>468</v>
      </c>
      <c r="B572" t="s">
        <v>81</v>
      </c>
      <c r="C572" t="s">
        <v>61</v>
      </c>
      <c r="D572" t="s">
        <v>62</v>
      </c>
      <c r="E572">
        <v>1000</v>
      </c>
      <c r="F572" t="s">
        <v>75</v>
      </c>
      <c r="G572" s="119" t="s">
        <v>57</v>
      </c>
      <c r="H572" t="s">
        <v>76</v>
      </c>
      <c r="I572">
        <v>70</v>
      </c>
      <c r="J572" t="s">
        <v>77</v>
      </c>
      <c r="K572">
        <v>2003</v>
      </c>
      <c r="L572" s="80" t="s">
        <v>440</v>
      </c>
      <c r="M572" s="80"/>
      <c r="N572" s="80"/>
      <c r="O572" s="13" t="s">
        <v>638</v>
      </c>
      <c r="P572" s="55" t="s">
        <v>38</v>
      </c>
      <c r="Q572" s="55" t="s">
        <v>38</v>
      </c>
      <c r="R572" s="19" t="s">
        <v>38</v>
      </c>
      <c r="S572" s="19" t="s">
        <v>38</v>
      </c>
      <c r="T572" s="55" t="s">
        <v>38</v>
      </c>
      <c r="U572" s="55"/>
      <c r="V572" s="397"/>
      <c r="W572" s="395"/>
      <c r="X572" s="395"/>
      <c r="Y572" s="395"/>
      <c r="Z572" s="200"/>
      <c r="AA572" s="200"/>
      <c r="AB572" s="200"/>
      <c r="AC572" s="200"/>
      <c r="AD572" s="5"/>
      <c r="AE572" s="39"/>
      <c r="AF572" s="30"/>
      <c r="AG572" s="30"/>
      <c r="AH572" s="30"/>
      <c r="AI572" s="30"/>
      <c r="AJ572" s="30"/>
      <c r="AK572" s="30"/>
      <c r="AL572" s="30"/>
      <c r="AM572" s="30"/>
      <c r="AN572" s="31"/>
    </row>
    <row r="573" spans="1:40" ht="13" hidden="1" customHeight="1">
      <c r="A573">
        <v>469</v>
      </c>
      <c r="B573" t="s">
        <v>81</v>
      </c>
      <c r="C573" t="s">
        <v>61</v>
      </c>
      <c r="D573" t="s">
        <v>62</v>
      </c>
      <c r="E573">
        <v>1000</v>
      </c>
      <c r="F573" t="s">
        <v>75</v>
      </c>
      <c r="G573" s="119" t="s">
        <v>32</v>
      </c>
      <c r="H573" t="s">
        <v>76</v>
      </c>
      <c r="I573">
        <v>130</v>
      </c>
      <c r="J573" t="s">
        <v>77</v>
      </c>
      <c r="K573">
        <v>2003</v>
      </c>
      <c r="L573" s="80" t="s">
        <v>440</v>
      </c>
      <c r="M573" s="80"/>
      <c r="N573" s="80"/>
      <c r="O573" s="13" t="s">
        <v>639</v>
      </c>
      <c r="P573" s="55" t="s">
        <v>38</v>
      </c>
      <c r="Q573" s="55" t="s">
        <v>38</v>
      </c>
      <c r="R573" s="19" t="s">
        <v>38</v>
      </c>
      <c r="S573" s="19" t="s">
        <v>38</v>
      </c>
      <c r="T573" s="55" t="s">
        <v>38</v>
      </c>
      <c r="U573" s="55"/>
      <c r="V573" s="397"/>
      <c r="W573" s="395"/>
      <c r="X573" s="395"/>
      <c r="Y573" s="395"/>
      <c r="Z573" s="200"/>
      <c r="AA573" s="200"/>
      <c r="AB573" s="200"/>
      <c r="AC573" s="200"/>
      <c r="AD573" s="5"/>
      <c r="AE573" s="39"/>
      <c r="AF573" s="30"/>
      <c r="AG573" s="30"/>
      <c r="AH573" s="30"/>
      <c r="AI573" s="30"/>
      <c r="AJ573" s="30"/>
      <c r="AK573" s="30"/>
      <c r="AL573" s="30"/>
      <c r="AM573" s="30"/>
      <c r="AN573" s="31"/>
    </row>
    <row r="574" spans="1:40" ht="13" hidden="1" customHeight="1">
      <c r="A574" s="186">
        <v>213</v>
      </c>
      <c r="B574" t="s">
        <v>79</v>
      </c>
      <c r="C574" t="s">
        <v>61</v>
      </c>
      <c r="D574" t="s">
        <v>62</v>
      </c>
      <c r="E574" t="s">
        <v>257</v>
      </c>
      <c r="F574" t="s">
        <v>31</v>
      </c>
      <c r="G574" t="s">
        <v>32</v>
      </c>
      <c r="H574" t="s">
        <v>33</v>
      </c>
      <c r="I574">
        <f>2754.7*1000000+((477+70)*1000000)</f>
        <v>3301700000</v>
      </c>
      <c r="J574" t="s">
        <v>34</v>
      </c>
      <c r="K574">
        <v>1989</v>
      </c>
      <c r="L574" t="s">
        <v>80</v>
      </c>
      <c r="M574" s="186"/>
      <c r="O574" t="s">
        <v>258</v>
      </c>
      <c r="P574" s="55" t="s">
        <v>38</v>
      </c>
      <c r="Q574" t="s">
        <v>104</v>
      </c>
      <c r="R574" s="186" t="s">
        <v>699</v>
      </c>
      <c r="S574" s="19" t="s">
        <v>38</v>
      </c>
      <c r="T574" s="188" t="s">
        <v>38</v>
      </c>
      <c r="U574" s="55"/>
      <c r="V574" s="410" t="s">
        <v>1060</v>
      </c>
      <c r="W574" s="392" t="s">
        <v>1062</v>
      </c>
      <c r="X574" s="392" t="s">
        <v>1061</v>
      </c>
      <c r="Y574" s="407" t="s">
        <v>871</v>
      </c>
      <c r="Z574" s="195"/>
      <c r="AA574" s="195"/>
      <c r="AB574" s="195"/>
      <c r="AC574" s="195"/>
      <c r="AD574" s="5"/>
      <c r="AE574" s="39"/>
      <c r="AF574" s="30"/>
      <c r="AG574" s="30"/>
      <c r="AH574" s="30"/>
      <c r="AI574" s="30"/>
      <c r="AJ574" s="30"/>
      <c r="AK574" s="30"/>
      <c r="AL574" s="30"/>
      <c r="AM574" s="30"/>
      <c r="AN574" s="31"/>
    </row>
    <row r="575" spans="1:40" ht="13" customHeight="1">
      <c r="A575">
        <v>462</v>
      </c>
      <c r="B575" t="s">
        <v>636</v>
      </c>
      <c r="C575" t="s">
        <v>61</v>
      </c>
      <c r="D575" t="s">
        <v>62</v>
      </c>
      <c r="E575">
        <v>1000</v>
      </c>
      <c r="F575" t="s">
        <v>31</v>
      </c>
      <c r="G575" t="s">
        <v>32</v>
      </c>
      <c r="H575" t="s">
        <v>33</v>
      </c>
      <c r="I575">
        <f>(3.41*1000000000)*2.096-(3.41*1000000000)*0.2406</f>
        <v>6326914000</v>
      </c>
      <c r="J575" t="s">
        <v>34</v>
      </c>
      <c r="K575">
        <v>1996</v>
      </c>
      <c r="L575" t="s">
        <v>633</v>
      </c>
      <c r="O575" s="13"/>
      <c r="P575" s="55" t="s">
        <v>38</v>
      </c>
      <c r="Q575" t="s">
        <v>84</v>
      </c>
      <c r="R575" s="19" t="s">
        <v>38</v>
      </c>
      <c r="S575" s="19" t="s">
        <v>38</v>
      </c>
      <c r="T575" s="55" t="s">
        <v>38</v>
      </c>
      <c r="U575" s="55"/>
      <c r="V575" s="410"/>
      <c r="W575" s="395"/>
      <c r="X575" s="395"/>
      <c r="Y575" s="407"/>
      <c r="Z575" s="195"/>
      <c r="AA575" s="195"/>
      <c r="AB575" s="195"/>
      <c r="AC575" s="195"/>
      <c r="AD575" s="5"/>
      <c r="AE575" s="39"/>
      <c r="AF575" s="30"/>
      <c r="AG575" s="30"/>
      <c r="AH575" s="30"/>
      <c r="AI575" s="30"/>
      <c r="AJ575" s="30"/>
      <c r="AK575" s="30"/>
      <c r="AL575" s="30"/>
      <c r="AM575" s="30"/>
      <c r="AN575" s="31"/>
    </row>
    <row r="576" spans="1:40" ht="13" customHeight="1" thickBot="1">
      <c r="A576">
        <v>463</v>
      </c>
      <c r="B576" t="s">
        <v>635</v>
      </c>
      <c r="C576" t="s">
        <v>61</v>
      </c>
      <c r="D576" t="s">
        <v>62</v>
      </c>
      <c r="E576">
        <v>1700</v>
      </c>
      <c r="F576" t="s">
        <v>31</v>
      </c>
      <c r="G576" t="s">
        <v>57</v>
      </c>
      <c r="H576" t="s">
        <v>33</v>
      </c>
      <c r="I576">
        <f>(5.1*1000000000)-(5.1*1000000000)*0.079</f>
        <v>4697100000</v>
      </c>
      <c r="J576" t="s">
        <v>34</v>
      </c>
      <c r="K576">
        <v>1996</v>
      </c>
      <c r="L576" t="s">
        <v>633</v>
      </c>
      <c r="M576" t="s">
        <v>1250</v>
      </c>
      <c r="N576" t="s">
        <v>1249</v>
      </c>
      <c r="O576" s="13" t="s">
        <v>1213</v>
      </c>
      <c r="P576" s="55" t="s">
        <v>38</v>
      </c>
      <c r="Q576" t="s">
        <v>84</v>
      </c>
      <c r="R576" s="19" t="s">
        <v>38</v>
      </c>
      <c r="S576" s="19" t="s">
        <v>38</v>
      </c>
      <c r="T576" s="55" t="s">
        <v>38</v>
      </c>
      <c r="U576" s="55"/>
      <c r="V576" s="410"/>
      <c r="W576" s="411"/>
      <c r="X576" s="395"/>
      <c r="Y576" s="407"/>
      <c r="Z576" s="195"/>
      <c r="AA576" s="195"/>
      <c r="AB576" s="195"/>
      <c r="AC576" s="195"/>
      <c r="AD576" s="5"/>
      <c r="AE576" s="39"/>
      <c r="AF576" s="30"/>
      <c r="AG576" s="30"/>
      <c r="AH576" s="30"/>
      <c r="AI576" s="30"/>
      <c r="AJ576" s="30"/>
      <c r="AK576" s="30"/>
      <c r="AL576" s="30"/>
      <c r="AM576" s="30"/>
      <c r="AN576" s="31"/>
    </row>
    <row r="577" spans="1:40" ht="13" customHeight="1">
      <c r="A577">
        <v>269</v>
      </c>
      <c r="B577" t="s">
        <v>286</v>
      </c>
      <c r="C577" t="s">
        <v>61</v>
      </c>
      <c r="D577" s="141" t="s">
        <v>278</v>
      </c>
      <c r="E577">
        <v>1604</v>
      </c>
      <c r="F577" t="s">
        <v>31</v>
      </c>
      <c r="G577" t="s">
        <v>57</v>
      </c>
      <c r="H577" t="s">
        <v>33</v>
      </c>
      <c r="I577">
        <v>7270000000</v>
      </c>
      <c r="J577" t="s">
        <v>34</v>
      </c>
      <c r="K577">
        <v>2002</v>
      </c>
      <c r="L577" t="s">
        <v>287</v>
      </c>
      <c r="O577" t="s">
        <v>292</v>
      </c>
      <c r="P577" s="2">
        <v>0.68</v>
      </c>
      <c r="Q577" t="s">
        <v>84</v>
      </c>
      <c r="R577" s="19" t="s">
        <v>38</v>
      </c>
      <c r="S577" s="19" t="s">
        <v>38</v>
      </c>
      <c r="T577" s="55" t="s">
        <v>38</v>
      </c>
      <c r="U577" s="55"/>
      <c r="V577" s="407" t="s">
        <v>1059</v>
      </c>
      <c r="W577" s="408" t="s">
        <v>1057</v>
      </c>
      <c r="X577" s="408" t="s">
        <v>1058</v>
      </c>
      <c r="Y577" s="403" t="s">
        <v>871</v>
      </c>
      <c r="Z577" s="195"/>
      <c r="AA577" s="195"/>
      <c r="AB577" s="195"/>
      <c r="AC577" s="195"/>
      <c r="AD577" s="5"/>
      <c r="AE577" s="39"/>
      <c r="AF577" s="30"/>
      <c r="AG577" s="30"/>
      <c r="AH577" s="30"/>
      <c r="AI577" s="30"/>
      <c r="AJ577" s="30"/>
      <c r="AK577" s="30"/>
      <c r="AL577" s="30"/>
      <c r="AM577" s="30"/>
      <c r="AN577" s="31"/>
    </row>
    <row r="578" spans="1:40" ht="13" customHeight="1">
      <c r="A578">
        <v>270</v>
      </c>
      <c r="B578" t="s">
        <v>286</v>
      </c>
      <c r="C578" t="s">
        <v>61</v>
      </c>
      <c r="D578" s="141" t="s">
        <v>278</v>
      </c>
      <c r="E578">
        <v>1601</v>
      </c>
      <c r="F578" t="s">
        <v>31</v>
      </c>
      <c r="G578" t="s">
        <v>57</v>
      </c>
      <c r="H578" t="s">
        <v>33</v>
      </c>
      <c r="I578">
        <v>7393000000</v>
      </c>
      <c r="J578" t="s">
        <v>34</v>
      </c>
      <c r="K578">
        <v>2002</v>
      </c>
      <c r="L578" t="s">
        <v>287</v>
      </c>
      <c r="O578" t="s">
        <v>292</v>
      </c>
      <c r="P578" s="2">
        <v>0.70599999999999996</v>
      </c>
      <c r="Q578" t="s">
        <v>84</v>
      </c>
      <c r="R578" s="19" t="s">
        <v>38</v>
      </c>
      <c r="S578" s="19" t="s">
        <v>38</v>
      </c>
      <c r="T578" s="55" t="s">
        <v>38</v>
      </c>
      <c r="U578" s="55"/>
      <c r="V578" s="407"/>
      <c r="W578" s="409"/>
      <c r="X578" s="409"/>
      <c r="Y578" s="403"/>
      <c r="Z578" s="195"/>
      <c r="AA578" s="195"/>
      <c r="AB578" s="195"/>
      <c r="AC578" s="195"/>
      <c r="AD578" s="5"/>
      <c r="AE578" s="39"/>
      <c r="AF578" s="30"/>
      <c r="AG578" s="30"/>
      <c r="AH578" s="30"/>
      <c r="AI578" s="30"/>
      <c r="AJ578" s="30"/>
      <c r="AK578" s="30"/>
      <c r="AL578" s="30"/>
      <c r="AM578" s="30"/>
      <c r="AN578" s="31"/>
    </row>
    <row r="579" spans="1:40" ht="13" customHeight="1">
      <c r="A579">
        <v>271</v>
      </c>
      <c r="B579" t="s">
        <v>286</v>
      </c>
      <c r="C579" t="s">
        <v>61</v>
      </c>
      <c r="D579" s="141" t="s">
        <v>278</v>
      </c>
      <c r="E579">
        <v>1598</v>
      </c>
      <c r="F579" t="s">
        <v>31</v>
      </c>
      <c r="G579" t="s">
        <v>57</v>
      </c>
      <c r="H579" t="s">
        <v>33</v>
      </c>
      <c r="I579">
        <v>7705000000</v>
      </c>
      <c r="J579" t="s">
        <v>34</v>
      </c>
      <c r="K579">
        <v>2002</v>
      </c>
      <c r="L579" t="s">
        <v>287</v>
      </c>
      <c r="O579" t="s">
        <v>292</v>
      </c>
      <c r="P579" s="2">
        <v>0.72599999999999998</v>
      </c>
      <c r="Q579" t="s">
        <v>84</v>
      </c>
      <c r="R579" s="19" t="s">
        <v>38</v>
      </c>
      <c r="S579" s="19" t="s">
        <v>38</v>
      </c>
      <c r="T579" s="55" t="s">
        <v>38</v>
      </c>
      <c r="U579" s="55"/>
      <c r="V579" s="407"/>
      <c r="W579" s="409"/>
      <c r="X579" s="409"/>
      <c r="Y579" s="403"/>
      <c r="Z579" s="195"/>
      <c r="AA579" s="195"/>
      <c r="AB579" s="195"/>
      <c r="AC579" s="195"/>
      <c r="AE579" s="39"/>
      <c r="AF579" s="30"/>
      <c r="AG579" s="30"/>
      <c r="AH579" s="30"/>
      <c r="AI579" s="30"/>
      <c r="AJ579" s="30"/>
      <c r="AK579" s="30"/>
      <c r="AL579" s="30"/>
      <c r="AM579" s="30"/>
      <c r="AN579" s="31"/>
    </row>
    <row r="580" spans="1:40" ht="13" customHeight="1">
      <c r="A580">
        <v>272</v>
      </c>
      <c r="B580" t="s">
        <v>286</v>
      </c>
      <c r="C580" t="s">
        <v>61</v>
      </c>
      <c r="D580" s="141" t="s">
        <v>278</v>
      </c>
      <c r="E580">
        <v>1598</v>
      </c>
      <c r="F580" t="s">
        <v>31</v>
      </c>
      <c r="G580" t="s">
        <v>57</v>
      </c>
      <c r="H580" t="s">
        <v>33</v>
      </c>
      <c r="I580">
        <v>6735000000</v>
      </c>
      <c r="J580" t="s">
        <v>34</v>
      </c>
      <c r="K580">
        <v>2002</v>
      </c>
      <c r="L580" t="s">
        <v>287</v>
      </c>
      <c r="O580" t="s">
        <v>292</v>
      </c>
      <c r="P580" s="2">
        <v>0.72699999999999998</v>
      </c>
      <c r="Q580" t="s">
        <v>84</v>
      </c>
      <c r="R580" s="19" t="s">
        <v>38</v>
      </c>
      <c r="S580" s="19" t="s">
        <v>38</v>
      </c>
      <c r="T580" s="55" t="s">
        <v>38</v>
      </c>
      <c r="U580" s="55"/>
      <c r="V580" s="407"/>
      <c r="W580" s="409"/>
      <c r="X580" s="409"/>
      <c r="Y580" s="403"/>
      <c r="Z580" s="195"/>
      <c r="AA580" s="195"/>
      <c r="AB580" s="195"/>
      <c r="AC580" s="195"/>
      <c r="AE580" s="39"/>
      <c r="AF580" s="30"/>
      <c r="AG580" s="30"/>
      <c r="AH580" s="30"/>
      <c r="AI580" s="30"/>
      <c r="AJ580" s="30"/>
      <c r="AK580" s="30"/>
      <c r="AL580" s="30"/>
      <c r="AM580" s="30"/>
      <c r="AN580" s="31"/>
    </row>
    <row r="581" spans="1:40" ht="13" customHeight="1">
      <c r="A581">
        <v>297</v>
      </c>
      <c r="B581" t="s">
        <v>114</v>
      </c>
      <c r="C581" t="s">
        <v>61</v>
      </c>
      <c r="D581" t="s">
        <v>62</v>
      </c>
      <c r="E581">
        <v>1000</v>
      </c>
      <c r="F581" t="s">
        <v>31</v>
      </c>
      <c r="G581" t="s">
        <v>52</v>
      </c>
      <c r="H581" t="s">
        <v>33</v>
      </c>
      <c r="I581">
        <f>(4395-623.1-482.1)*1000000</f>
        <v>3289800000</v>
      </c>
      <c r="J581" t="s">
        <v>34</v>
      </c>
      <c r="K581">
        <v>1992</v>
      </c>
      <c r="L581" t="s">
        <v>294</v>
      </c>
      <c r="O581" t="s">
        <v>1218</v>
      </c>
      <c r="P581" s="2">
        <v>0.75</v>
      </c>
      <c r="Q581" t="s">
        <v>84</v>
      </c>
      <c r="R581" s="19" t="s">
        <v>38</v>
      </c>
      <c r="S581">
        <f>482.1*1000000</f>
        <v>482100000</v>
      </c>
      <c r="T581" s="55" t="s">
        <v>38</v>
      </c>
      <c r="U581" s="55"/>
      <c r="V581" s="407"/>
      <c r="W581" s="409"/>
      <c r="X581" s="409"/>
      <c r="Y581" s="403"/>
      <c r="Z581" s="195"/>
      <c r="AA581" s="195"/>
      <c r="AB581" s="195"/>
      <c r="AC581" s="195"/>
      <c r="AE581" s="39"/>
      <c r="AF581" s="30"/>
      <c r="AG581" s="30"/>
      <c r="AH581" s="30"/>
      <c r="AI581" s="30"/>
      <c r="AJ581" s="30"/>
      <c r="AK581" s="30"/>
      <c r="AL581" s="30"/>
      <c r="AM581" s="30"/>
      <c r="AN581" s="31"/>
    </row>
    <row r="582" spans="1:40" ht="13" customHeight="1" thickBot="1">
      <c r="A582">
        <v>302</v>
      </c>
      <c r="B582" t="s">
        <v>126</v>
      </c>
      <c r="C582" t="s">
        <v>61</v>
      </c>
      <c r="D582" t="s">
        <v>62</v>
      </c>
      <c r="E582">
        <v>1000</v>
      </c>
      <c r="F582" t="s">
        <v>31</v>
      </c>
      <c r="G582" t="s">
        <v>52</v>
      </c>
      <c r="H582" t="s">
        <v>33</v>
      </c>
      <c r="I582">
        <f>(4168.3-590.9-516.5)*1000000</f>
        <v>3060900000</v>
      </c>
      <c r="J582" t="s">
        <v>34</v>
      </c>
      <c r="K582">
        <v>1992</v>
      </c>
      <c r="L582" t="s">
        <v>294</v>
      </c>
      <c r="O582" t="s">
        <v>1218</v>
      </c>
      <c r="P582" s="2">
        <v>0.75</v>
      </c>
      <c r="Q582" t="s">
        <v>84</v>
      </c>
      <c r="R582" s="19" t="s">
        <v>38</v>
      </c>
      <c r="S582">
        <f>516.5*1000000</f>
        <v>516500000</v>
      </c>
      <c r="T582" s="55" t="s">
        <v>38</v>
      </c>
      <c r="U582" s="55"/>
      <c r="V582" s="407"/>
      <c r="W582" s="409"/>
      <c r="X582" s="409"/>
      <c r="Y582" s="403"/>
      <c r="Z582" s="195"/>
      <c r="AA582" s="195"/>
      <c r="AB582" s="195"/>
      <c r="AC582" s="195"/>
      <c r="AE582" s="39"/>
      <c r="AF582" s="30"/>
      <c r="AG582" s="30"/>
      <c r="AH582" s="30"/>
      <c r="AI582" s="30"/>
      <c r="AJ582" s="30"/>
      <c r="AK582" s="30"/>
      <c r="AL582" s="30"/>
      <c r="AM582" s="30"/>
      <c r="AN582" s="31"/>
    </row>
    <row r="583" spans="1:40" ht="13.15" customHeight="1" thickBot="1">
      <c r="A583">
        <v>303</v>
      </c>
      <c r="B583" s="149" t="s">
        <v>301</v>
      </c>
      <c r="C583" s="149" t="s">
        <v>61</v>
      </c>
      <c r="D583" s="149" t="s">
        <v>62</v>
      </c>
      <c r="E583" s="149">
        <v>1000</v>
      </c>
      <c r="F583" s="149" t="s">
        <v>31</v>
      </c>
      <c r="G583" t="s">
        <v>52</v>
      </c>
      <c r="H583" s="149" t="s">
        <v>33</v>
      </c>
      <c r="I583" s="149">
        <f>(4241.9-601.4-525.6)*1000000</f>
        <v>3114899999.9999995</v>
      </c>
      <c r="J583" s="149" t="s">
        <v>34</v>
      </c>
      <c r="K583" s="149">
        <v>1992</v>
      </c>
      <c r="L583" s="149" t="s">
        <v>294</v>
      </c>
      <c r="M583" s="149"/>
      <c r="N583" s="149"/>
      <c r="O583" s="152" t="s">
        <v>1218</v>
      </c>
      <c r="P583" s="2">
        <v>0.75</v>
      </c>
      <c r="Q583" t="s">
        <v>84</v>
      </c>
      <c r="R583" s="19" t="s">
        <v>38</v>
      </c>
      <c r="S583">
        <f>525.6*1000000</f>
        <v>525600000</v>
      </c>
      <c r="T583" s="55" t="s">
        <v>38</v>
      </c>
      <c r="U583" s="55"/>
      <c r="V583" s="407" t="s">
        <v>1067</v>
      </c>
      <c r="W583" s="408" t="s">
        <v>1056</v>
      </c>
      <c r="X583" s="408" t="s">
        <v>1055</v>
      </c>
      <c r="Y583" s="408" t="s">
        <v>1054</v>
      </c>
      <c r="Z583" s="195"/>
      <c r="AA583" s="195"/>
      <c r="AB583" s="195"/>
      <c r="AC583" s="195"/>
      <c r="AE583" s="39"/>
      <c r="AF583" s="30"/>
      <c r="AG583" s="30"/>
      <c r="AH583" s="30"/>
      <c r="AI583" s="30"/>
      <c r="AJ583" s="30"/>
      <c r="AK583" s="30"/>
      <c r="AL583" s="30"/>
      <c r="AM583" s="30"/>
      <c r="AN583" s="31"/>
    </row>
    <row r="584" spans="1:40" ht="13.15" customHeight="1" thickBot="1">
      <c r="A584">
        <v>304</v>
      </c>
      <c r="B584" s="150" t="s">
        <v>304</v>
      </c>
      <c r="C584" s="150" t="s">
        <v>61</v>
      </c>
      <c r="D584" s="150" t="s">
        <v>62</v>
      </c>
      <c r="E584" s="150">
        <v>1000</v>
      </c>
      <c r="F584" s="150" t="s">
        <v>31</v>
      </c>
      <c r="G584" t="s">
        <v>52</v>
      </c>
      <c r="H584" s="150" t="s">
        <v>33</v>
      </c>
      <c r="I584" s="150">
        <f>(3668.8-520.1-402.4)*1000000</f>
        <v>2746300000</v>
      </c>
      <c r="J584" s="150" t="s">
        <v>34</v>
      </c>
      <c r="K584" s="150">
        <v>1992</v>
      </c>
      <c r="L584" s="150" t="s">
        <v>294</v>
      </c>
      <c r="M584" s="150"/>
      <c r="N584" s="150"/>
      <c r="O584" s="152" t="s">
        <v>1218</v>
      </c>
      <c r="P584" s="2">
        <v>0.75</v>
      </c>
      <c r="Q584" t="s">
        <v>84</v>
      </c>
      <c r="R584" s="19" t="s">
        <v>38</v>
      </c>
      <c r="S584">
        <f>402.4*1000000</f>
        <v>402400000</v>
      </c>
      <c r="T584" s="55" t="s">
        <v>38</v>
      </c>
      <c r="U584" s="55"/>
      <c r="V584" s="407"/>
      <c r="W584" s="409"/>
      <c r="X584" s="409"/>
      <c r="Y584" s="409"/>
      <c r="Z584" s="195"/>
      <c r="AA584" s="195"/>
      <c r="AB584" s="195"/>
      <c r="AC584" s="195"/>
      <c r="AE584" s="39"/>
      <c r="AF584" s="30"/>
      <c r="AG584" s="30"/>
      <c r="AH584" s="30"/>
      <c r="AI584" s="30"/>
      <c r="AJ584" s="30"/>
      <c r="AK584" s="30"/>
      <c r="AL584" s="30"/>
      <c r="AM584" s="30"/>
      <c r="AN584" s="31"/>
    </row>
    <row r="585" spans="1:40" s="6" customFormat="1" ht="13.15" customHeight="1" thickBot="1">
      <c r="A585">
        <v>314</v>
      </c>
      <c r="B585" s="150" t="s">
        <v>313</v>
      </c>
      <c r="C585" s="150" t="s">
        <v>61</v>
      </c>
      <c r="D585" s="150" t="s">
        <v>62</v>
      </c>
      <c r="E585" s="150">
        <v>1500</v>
      </c>
      <c r="F585" s="150" t="s">
        <v>31</v>
      </c>
      <c r="G585" s="16" t="s">
        <v>754</v>
      </c>
      <c r="H585" s="150" t="s">
        <v>76</v>
      </c>
      <c r="I585" s="150">
        <v>2576</v>
      </c>
      <c r="J585" s="150" t="s">
        <v>82</v>
      </c>
      <c r="K585" s="150">
        <v>1998</v>
      </c>
      <c r="L585" s="150" t="s">
        <v>311</v>
      </c>
      <c r="M585"/>
      <c r="N585"/>
      <c r="O585" t="s">
        <v>1222</v>
      </c>
      <c r="P585" s="55" t="s">
        <v>38</v>
      </c>
      <c r="Q585" s="55" t="s">
        <v>38</v>
      </c>
      <c r="R585" s="19" t="s">
        <v>38</v>
      </c>
      <c r="S585" s="19" t="s">
        <v>38</v>
      </c>
      <c r="T585" s="55" t="s">
        <v>38</v>
      </c>
      <c r="U585" s="55"/>
      <c r="V585" s="401"/>
      <c r="W585" s="402" t="s">
        <v>988</v>
      </c>
      <c r="X585" s="402" t="s">
        <v>987</v>
      </c>
      <c r="Y585" s="403" t="s">
        <v>871</v>
      </c>
      <c r="Z585" s="230"/>
      <c r="AA585" s="230"/>
      <c r="AB585" s="230"/>
      <c r="AC585" s="230"/>
      <c r="AD585"/>
      <c r="AE585" s="113"/>
      <c r="AF585" s="30"/>
      <c r="AG585" s="30"/>
      <c r="AH585" s="30"/>
      <c r="AI585" s="114"/>
      <c r="AJ585" s="30"/>
      <c r="AK585" s="114"/>
      <c r="AL585" s="30"/>
      <c r="AM585" s="114"/>
      <c r="AN585" s="115"/>
    </row>
    <row r="586" spans="1:40" s="6" customFormat="1" ht="13.15" customHeight="1" thickBot="1">
      <c r="A586">
        <v>315</v>
      </c>
      <c r="B586" s="150" t="s">
        <v>313</v>
      </c>
      <c r="C586" s="150" t="s">
        <v>61</v>
      </c>
      <c r="D586" s="150" t="s">
        <v>62</v>
      </c>
      <c r="E586" s="149">
        <v>1500</v>
      </c>
      <c r="F586" t="s">
        <v>31</v>
      </c>
      <c r="G586" s="16" t="s">
        <v>52</v>
      </c>
      <c r="H586" s="150" t="s">
        <v>76</v>
      </c>
      <c r="I586" s="150">
        <v>2926</v>
      </c>
      <c r="J586" s="150" t="s">
        <v>82</v>
      </c>
      <c r="K586" s="150">
        <v>1998</v>
      </c>
      <c r="L586" s="150" t="s">
        <v>311</v>
      </c>
      <c r="M586"/>
      <c r="N586"/>
      <c r="O586" t="s">
        <v>1223</v>
      </c>
      <c r="P586" s="55" t="s">
        <v>38</v>
      </c>
      <c r="Q586" s="55" t="s">
        <v>38</v>
      </c>
      <c r="R586" s="19" t="s">
        <v>38</v>
      </c>
      <c r="S586" s="19" t="s">
        <v>38</v>
      </c>
      <c r="T586" s="55" t="s">
        <v>38</v>
      </c>
      <c r="U586" s="55"/>
      <c r="V586" s="401"/>
      <c r="W586" s="402"/>
      <c r="X586" s="402"/>
      <c r="Y586" s="403"/>
      <c r="Z586" s="230"/>
      <c r="AA586" s="230"/>
      <c r="AB586" s="230"/>
      <c r="AC586" s="230"/>
      <c r="AD586"/>
      <c r="AE586" s="113"/>
      <c r="AF586" s="30"/>
      <c r="AG586" s="30"/>
      <c r="AH586" s="30"/>
      <c r="AI586" s="114"/>
      <c r="AJ586" s="30"/>
      <c r="AK586" s="114"/>
      <c r="AL586" s="30"/>
      <c r="AM586" s="114"/>
      <c r="AN586" s="115"/>
    </row>
    <row r="587" spans="1:40" s="6" customFormat="1" ht="13.15" customHeight="1" thickBot="1">
      <c r="A587">
        <v>316</v>
      </c>
      <c r="B587" s="150" t="s">
        <v>316</v>
      </c>
      <c r="C587" s="150" t="s">
        <v>61</v>
      </c>
      <c r="D587" s="150" t="s">
        <v>62</v>
      </c>
      <c r="E587" s="149">
        <v>1000</v>
      </c>
      <c r="F587" t="s">
        <v>31</v>
      </c>
      <c r="G587" s="16" t="s">
        <v>57</v>
      </c>
      <c r="H587" s="150" t="s">
        <v>76</v>
      </c>
      <c r="I587" s="150">
        <v>5220</v>
      </c>
      <c r="J587" s="150" t="s">
        <v>82</v>
      </c>
      <c r="K587" s="150">
        <v>1998</v>
      </c>
      <c r="L587" s="150" t="s">
        <v>311</v>
      </c>
      <c r="M587"/>
      <c r="N587"/>
      <c r="O587" t="s">
        <v>1224</v>
      </c>
      <c r="P587" s="55" t="s">
        <v>38</v>
      </c>
      <c r="Q587" s="55" t="s">
        <v>38</v>
      </c>
      <c r="R587" s="19" t="s">
        <v>38</v>
      </c>
      <c r="S587" s="19" t="s">
        <v>38</v>
      </c>
      <c r="T587" s="55" t="s">
        <v>38</v>
      </c>
      <c r="U587" s="55"/>
      <c r="V587" s="401"/>
      <c r="W587" s="402"/>
      <c r="X587" s="402"/>
      <c r="Y587" s="403"/>
      <c r="Z587" s="230"/>
      <c r="AA587" s="230"/>
      <c r="AB587" s="230"/>
      <c r="AC587" s="230"/>
      <c r="AD587"/>
      <c r="AE587" s="113"/>
      <c r="AF587" s="30"/>
      <c r="AG587" s="30"/>
      <c r="AH587" s="30"/>
      <c r="AI587" s="114"/>
      <c r="AJ587" s="30"/>
      <c r="AK587" s="114"/>
      <c r="AL587" s="30"/>
      <c r="AM587" s="114"/>
      <c r="AN587" s="115"/>
    </row>
    <row r="588" spans="1:40" s="6" customFormat="1" ht="13.15" customHeight="1" thickBot="1">
      <c r="A588">
        <v>317</v>
      </c>
      <c r="B588" s="150" t="s">
        <v>318</v>
      </c>
      <c r="C588" s="150" t="s">
        <v>61</v>
      </c>
      <c r="D588" s="150" t="s">
        <v>62</v>
      </c>
      <c r="E588" s="149">
        <v>1000</v>
      </c>
      <c r="F588" t="s">
        <v>31</v>
      </c>
      <c r="G588" s="150" t="s">
        <v>32</v>
      </c>
      <c r="H588" s="150" t="s">
        <v>76</v>
      </c>
      <c r="I588" s="150">
        <v>7906</v>
      </c>
      <c r="J588" s="150" t="s">
        <v>82</v>
      </c>
      <c r="K588" s="150">
        <v>1998</v>
      </c>
      <c r="L588" s="150" t="s">
        <v>311</v>
      </c>
      <c r="M588"/>
      <c r="N588"/>
      <c r="O588" t="s">
        <v>1225</v>
      </c>
      <c r="P588" s="55" t="s">
        <v>38</v>
      </c>
      <c r="Q588" s="55" t="s">
        <v>38</v>
      </c>
      <c r="R588" s="19" t="s">
        <v>38</v>
      </c>
      <c r="S588" s="19" t="s">
        <v>38</v>
      </c>
      <c r="T588" s="55" t="s">
        <v>38</v>
      </c>
      <c r="U588" s="55"/>
      <c r="V588" s="401"/>
      <c r="W588" s="402"/>
      <c r="X588" s="402"/>
      <c r="Y588" s="403"/>
      <c r="Z588" s="230"/>
      <c r="AA588" s="230"/>
      <c r="AB588" s="230"/>
      <c r="AC588" s="230"/>
      <c r="AD588"/>
      <c r="AE588" s="113"/>
      <c r="AF588" s="30"/>
      <c r="AG588" s="30"/>
      <c r="AH588" s="30"/>
      <c r="AI588" s="114"/>
      <c r="AJ588" s="30"/>
      <c r="AK588" s="114"/>
      <c r="AL588" s="30"/>
      <c r="AM588" s="114"/>
      <c r="AN588" s="115"/>
    </row>
    <row r="589" spans="1:40" s="6" customFormat="1" ht="13.15" hidden="1" customHeight="1" thickBot="1">
      <c r="A589"/>
      <c r="B589" s="150" t="s">
        <v>795</v>
      </c>
      <c r="C589" s="150" t="s">
        <v>30</v>
      </c>
      <c r="D589" s="150" t="s">
        <v>796</v>
      </c>
      <c r="E589" s="149">
        <v>972</v>
      </c>
      <c r="F589" t="s">
        <v>115</v>
      </c>
      <c r="G589" s="150" t="s">
        <v>52</v>
      </c>
      <c r="H589" s="150" t="s">
        <v>33</v>
      </c>
      <c r="I589" s="150">
        <f>24.29*1000000</f>
        <v>24290000</v>
      </c>
      <c r="J589" s="150" t="s">
        <v>34</v>
      </c>
      <c r="K589" s="150">
        <v>1991</v>
      </c>
      <c r="L589" s="192" t="s">
        <v>799</v>
      </c>
      <c r="M589" s="80"/>
      <c r="N589" s="80"/>
      <c r="O589" t="s">
        <v>801</v>
      </c>
      <c r="P589" s="19" t="s">
        <v>38</v>
      </c>
      <c r="Q589" s="19" t="s">
        <v>38</v>
      </c>
      <c r="R589" s="19" t="s">
        <v>38</v>
      </c>
      <c r="S589" s="19" t="s">
        <v>38</v>
      </c>
      <c r="T589" s="19" t="s">
        <v>38</v>
      </c>
      <c r="U589" s="55"/>
      <c r="V589" s="401"/>
      <c r="W589" s="402"/>
      <c r="X589" s="402"/>
      <c r="Y589" s="403"/>
      <c r="Z589" s="230"/>
      <c r="AA589" s="230"/>
      <c r="AB589" s="230"/>
      <c r="AC589" s="230"/>
      <c r="AD589"/>
      <c r="AE589" s="113"/>
      <c r="AF589" s="30"/>
      <c r="AG589" s="30"/>
      <c r="AH589" s="30"/>
      <c r="AI589" s="114"/>
      <c r="AJ589" s="30"/>
      <c r="AK589" s="114"/>
      <c r="AL589" s="30"/>
      <c r="AM589" s="114"/>
      <c r="AN589" s="115"/>
    </row>
    <row r="590" spans="1:40" ht="13.15" hidden="1" customHeight="1" thickBot="1">
      <c r="B590" s="150" t="s">
        <v>797</v>
      </c>
      <c r="C590" s="150" t="s">
        <v>30</v>
      </c>
      <c r="D590" s="150" t="s">
        <v>798</v>
      </c>
      <c r="E590" s="149">
        <v>999</v>
      </c>
      <c r="F590" s="150" t="s">
        <v>115</v>
      </c>
      <c r="G590" s="150" t="s">
        <v>52</v>
      </c>
      <c r="H590" s="150" t="s">
        <v>33</v>
      </c>
      <c r="I590" s="150">
        <f>20.17*1000000</f>
        <v>20170000</v>
      </c>
      <c r="J590" s="150" t="s">
        <v>34</v>
      </c>
      <c r="K590" s="150">
        <v>1991</v>
      </c>
      <c r="L590" s="192" t="s">
        <v>799</v>
      </c>
      <c r="M590" s="192"/>
      <c r="N590" s="192"/>
      <c r="O590" s="152" t="s">
        <v>801</v>
      </c>
      <c r="P590" s="19" t="s">
        <v>38</v>
      </c>
      <c r="Q590" s="19" t="s">
        <v>38</v>
      </c>
      <c r="R590" s="19" t="s">
        <v>38</v>
      </c>
      <c r="S590" s="19" t="s">
        <v>38</v>
      </c>
      <c r="T590" s="19" t="s">
        <v>38</v>
      </c>
      <c r="U590" s="55"/>
      <c r="V590" s="401"/>
      <c r="W590" s="402"/>
      <c r="X590" s="402"/>
      <c r="Y590" s="403"/>
      <c r="Z590" s="230"/>
      <c r="AA590" s="230"/>
      <c r="AB590" s="230"/>
      <c r="AC590" s="230"/>
      <c r="AE590" s="39"/>
      <c r="AF590" s="30"/>
      <c r="AG590" s="30"/>
      <c r="AH590" s="30"/>
      <c r="AI590" s="30"/>
      <c r="AJ590" s="30"/>
      <c r="AK590" s="30"/>
      <c r="AL590" s="30"/>
      <c r="AM590" s="30"/>
      <c r="AN590" s="31"/>
    </row>
    <row r="591" spans="1:40" ht="13.15" customHeight="1" thickBot="1">
      <c r="A591">
        <v>331</v>
      </c>
      <c r="B591" s="150" t="s">
        <v>325</v>
      </c>
      <c r="C591" s="150" t="s">
        <v>61</v>
      </c>
      <c r="D591" s="150" t="s">
        <v>326</v>
      </c>
      <c r="E591" s="149">
        <v>1100</v>
      </c>
      <c r="F591" s="150" t="s">
        <v>31</v>
      </c>
      <c r="G591" s="150" t="s">
        <v>52</v>
      </c>
      <c r="H591" s="150" t="s">
        <v>33</v>
      </c>
      <c r="I591" s="150">
        <f>(2933+704)*1000000</f>
        <v>3637000000</v>
      </c>
      <c r="J591" s="150" t="s">
        <v>34</v>
      </c>
      <c r="K591" s="150">
        <v>1982</v>
      </c>
      <c r="L591" s="150" t="s">
        <v>327</v>
      </c>
      <c r="M591" s="150"/>
      <c r="N591" s="150"/>
      <c r="O591" s="152" t="s">
        <v>1214</v>
      </c>
      <c r="P591" s="2" t="s">
        <v>710</v>
      </c>
      <c r="Q591" s="19" t="s">
        <v>38</v>
      </c>
      <c r="R591" s="19" t="s">
        <v>38</v>
      </c>
      <c r="S591" s="19" t="s">
        <v>38</v>
      </c>
      <c r="T591" s="55" t="s">
        <v>38</v>
      </c>
      <c r="U591" s="55"/>
      <c r="V591" s="401"/>
      <c r="W591" s="404"/>
      <c r="X591" s="406"/>
      <c r="Y591" s="396" t="s">
        <v>871</v>
      </c>
      <c r="Z591" s="195"/>
      <c r="AA591" s="195"/>
      <c r="AB591" s="195"/>
      <c r="AC591" s="195"/>
      <c r="AE591" s="39"/>
      <c r="AF591" s="30"/>
      <c r="AG591" s="30"/>
      <c r="AH591" s="30"/>
      <c r="AI591" s="30"/>
      <c r="AJ591" s="30"/>
      <c r="AK591" s="30"/>
      <c r="AL591" s="30"/>
      <c r="AM591" s="30"/>
      <c r="AN591" s="31"/>
    </row>
    <row r="592" spans="1:40" ht="13.15" customHeight="1" thickBot="1">
      <c r="A592">
        <v>344</v>
      </c>
      <c r="B592" s="150" t="s">
        <v>343</v>
      </c>
      <c r="C592" s="150" t="s">
        <v>61</v>
      </c>
      <c r="D592" s="150" t="s">
        <v>62</v>
      </c>
      <c r="E592" s="150">
        <v>1500</v>
      </c>
      <c r="F592" s="150" t="s">
        <v>31</v>
      </c>
      <c r="G592" s="150" t="s">
        <v>57</v>
      </c>
      <c r="H592" s="150" t="s">
        <v>76</v>
      </c>
      <c r="I592" s="150">
        <v>11580</v>
      </c>
      <c r="J592" s="150" t="s">
        <v>189</v>
      </c>
      <c r="K592" s="150">
        <v>2020</v>
      </c>
      <c r="L592" s="150" t="s">
        <v>344</v>
      </c>
      <c r="M592" s="150"/>
      <c r="N592" s="150"/>
      <c r="O592" s="151"/>
      <c r="P592" s="2" t="s">
        <v>712</v>
      </c>
      <c r="Q592" t="s">
        <v>104</v>
      </c>
      <c r="R592" s="19" t="s">
        <v>38</v>
      </c>
      <c r="S592" s="19" t="s">
        <v>38</v>
      </c>
      <c r="T592" s="55" t="s">
        <v>38</v>
      </c>
      <c r="U592" s="55"/>
      <c r="V592" s="401"/>
      <c r="W592" s="404"/>
      <c r="X592" s="406"/>
      <c r="Y592" s="396"/>
      <c r="Z592" s="195"/>
      <c r="AA592" s="195"/>
      <c r="AB592" s="195"/>
      <c r="AC592" s="195"/>
      <c r="AE592" s="39"/>
      <c r="AF592" s="30"/>
      <c r="AG592" s="30"/>
      <c r="AH592" s="30"/>
      <c r="AI592" s="30"/>
      <c r="AJ592" s="30"/>
      <c r="AK592" s="30"/>
      <c r="AL592" s="30"/>
      <c r="AM592" s="30"/>
      <c r="AN592" s="31"/>
    </row>
    <row r="593" spans="1:40" s="169" customFormat="1" ht="13.15" hidden="1" customHeight="1" thickBot="1">
      <c r="A593"/>
      <c r="B593" s="150" t="s">
        <v>795</v>
      </c>
      <c r="C593" s="150" t="s">
        <v>30</v>
      </c>
      <c r="D593" s="150" t="s">
        <v>796</v>
      </c>
      <c r="E593" s="150">
        <v>972</v>
      </c>
      <c r="F593" s="150" t="s">
        <v>493</v>
      </c>
      <c r="G593" s="150" t="s">
        <v>52</v>
      </c>
      <c r="H593" s="150" t="s">
        <v>33</v>
      </c>
      <c r="I593" s="150">
        <f>4.56*1000000</f>
        <v>4560000</v>
      </c>
      <c r="J593" s="150" t="s">
        <v>34</v>
      </c>
      <c r="K593" s="150">
        <v>1991</v>
      </c>
      <c r="L593" s="192" t="s">
        <v>799</v>
      </c>
      <c r="M593" s="192"/>
      <c r="N593" s="192"/>
      <c r="O593" s="152" t="s">
        <v>802</v>
      </c>
      <c r="P593" s="2"/>
      <c r="Q593"/>
      <c r="R593" s="19" t="s">
        <v>38</v>
      </c>
      <c r="S593" s="19" t="s">
        <v>38</v>
      </c>
      <c r="T593" s="19" t="s">
        <v>38</v>
      </c>
      <c r="U593" s="55"/>
      <c r="V593" s="401"/>
      <c r="W593" s="405"/>
      <c r="X593" s="406"/>
      <c r="Y593" s="396"/>
      <c r="Z593" s="195"/>
      <c r="AA593" s="195"/>
      <c r="AB593" s="195"/>
      <c r="AC593" s="195"/>
      <c r="AD593"/>
      <c r="AE593" s="173"/>
      <c r="AF593" s="174"/>
      <c r="AG593" s="30"/>
      <c r="AH593" s="30"/>
      <c r="AI593" s="30"/>
      <c r="AJ593" s="174"/>
      <c r="AK593" s="30"/>
      <c r="AL593" s="174"/>
      <c r="AM593" s="30"/>
      <c r="AN593" s="175"/>
    </row>
    <row r="594" spans="1:40" s="169" customFormat="1" ht="13.15" hidden="1" customHeight="1" thickBot="1">
      <c r="A594"/>
      <c r="B594" s="150" t="s">
        <v>797</v>
      </c>
      <c r="C594" s="150" t="s">
        <v>30</v>
      </c>
      <c r="D594" s="150" t="s">
        <v>798</v>
      </c>
      <c r="E594" s="150">
        <v>999</v>
      </c>
      <c r="F594" s="150" t="s">
        <v>493</v>
      </c>
      <c r="G594" s="150" t="s">
        <v>52</v>
      </c>
      <c r="H594" s="150" t="s">
        <v>33</v>
      </c>
      <c r="I594" s="150">
        <f>4.56*1000000</f>
        <v>4560000</v>
      </c>
      <c r="J594" s="150" t="s">
        <v>34</v>
      </c>
      <c r="K594" s="150">
        <v>1991</v>
      </c>
      <c r="L594" s="192" t="s">
        <v>799</v>
      </c>
      <c r="M594" s="192"/>
      <c r="N594" s="192"/>
      <c r="O594" s="152" t="s">
        <v>802</v>
      </c>
      <c r="P594" s="2"/>
      <c r="Q594"/>
      <c r="R594" s="19" t="s">
        <v>38</v>
      </c>
      <c r="S594" s="19" t="s">
        <v>38</v>
      </c>
      <c r="T594" s="19" t="s">
        <v>38</v>
      </c>
      <c r="U594" s="55"/>
      <c r="V594" s="391" t="s">
        <v>868</v>
      </c>
      <c r="W594" s="398" t="s">
        <v>983</v>
      </c>
      <c r="X594" s="392" t="s">
        <v>814</v>
      </c>
      <c r="Y594" s="392" t="s">
        <v>982</v>
      </c>
      <c r="Z594" s="199"/>
      <c r="AA594" s="199"/>
      <c r="AB594" s="199"/>
      <c r="AC594" s="199"/>
      <c r="AD594"/>
      <c r="AE594" s="173"/>
      <c r="AF594" s="174"/>
      <c r="AG594" s="30"/>
      <c r="AH594" s="30"/>
      <c r="AI594" s="30"/>
      <c r="AJ594" s="174"/>
      <c r="AK594" s="30"/>
      <c r="AL594" s="174"/>
      <c r="AM594" s="30"/>
      <c r="AN594" s="175"/>
    </row>
    <row r="595" spans="1:40" s="169" customFormat="1" ht="13.15" customHeight="1" thickBot="1">
      <c r="A595">
        <v>345</v>
      </c>
      <c r="B595" s="150" t="s">
        <v>343</v>
      </c>
      <c r="C595" s="150" t="s">
        <v>61</v>
      </c>
      <c r="D595" s="150" t="s">
        <v>62</v>
      </c>
      <c r="E595" s="150">
        <v>1500</v>
      </c>
      <c r="F595" s="150" t="s">
        <v>31</v>
      </c>
      <c r="G595" s="150" t="s">
        <v>52</v>
      </c>
      <c r="H595" s="150" t="s">
        <v>76</v>
      </c>
      <c r="I595" s="150">
        <v>8168</v>
      </c>
      <c r="J595" s="150" t="s">
        <v>189</v>
      </c>
      <c r="K595" s="150">
        <v>2020</v>
      </c>
      <c r="L595" s="150" t="s">
        <v>344</v>
      </c>
      <c r="M595" s="150"/>
      <c r="N595" s="150"/>
      <c r="O595" s="151"/>
      <c r="P595" s="2" t="s">
        <v>712</v>
      </c>
      <c r="Q595" t="s">
        <v>104</v>
      </c>
      <c r="R595" s="19" t="s">
        <v>38</v>
      </c>
      <c r="S595" s="19" t="s">
        <v>38</v>
      </c>
      <c r="T595" s="55" t="s">
        <v>38</v>
      </c>
      <c r="U595" s="55"/>
      <c r="V595" s="391"/>
      <c r="W595" s="392"/>
      <c r="X595" s="392"/>
      <c r="Y595" s="392"/>
      <c r="Z595" s="199"/>
      <c r="AA595" s="199"/>
      <c r="AB595" s="199"/>
      <c r="AC595" s="199"/>
      <c r="AD595"/>
      <c r="AE595" s="173"/>
      <c r="AF595" s="174"/>
      <c r="AG595" s="30"/>
      <c r="AH595" s="30"/>
      <c r="AI595" s="30"/>
      <c r="AJ595" s="174"/>
      <c r="AK595" s="30"/>
      <c r="AL595" s="174"/>
      <c r="AM595" s="30"/>
      <c r="AN595" s="175"/>
    </row>
    <row r="596" spans="1:40" s="169" customFormat="1" ht="26.1" customHeight="1" thickBot="1">
      <c r="A596">
        <v>346</v>
      </c>
      <c r="B596" s="150" t="s">
        <v>347</v>
      </c>
      <c r="C596" s="150" t="s">
        <v>61</v>
      </c>
      <c r="D596" s="150" t="s">
        <v>62</v>
      </c>
      <c r="E596" s="150">
        <v>1500</v>
      </c>
      <c r="F596" s="150" t="s">
        <v>31</v>
      </c>
      <c r="G596" s="150" t="s">
        <v>57</v>
      </c>
      <c r="H596" s="150" t="s">
        <v>76</v>
      </c>
      <c r="I596" s="150">
        <v>7733</v>
      </c>
      <c r="J596" s="150" t="s">
        <v>189</v>
      </c>
      <c r="K596" s="150">
        <v>2020</v>
      </c>
      <c r="L596" s="150" t="s">
        <v>344</v>
      </c>
      <c r="M596" s="150"/>
      <c r="N596" s="150"/>
      <c r="O596" s="152"/>
      <c r="P596" s="2" t="s">
        <v>708</v>
      </c>
      <c r="Q596" t="s">
        <v>84</v>
      </c>
      <c r="R596" s="19" t="s">
        <v>38</v>
      </c>
      <c r="S596" s="19" t="s">
        <v>38</v>
      </c>
      <c r="T596" s="55" t="s">
        <v>38</v>
      </c>
      <c r="U596" s="55"/>
      <c r="V596" s="391"/>
      <c r="W596" s="392"/>
      <c r="X596" s="392"/>
      <c r="Y596" s="392"/>
      <c r="Z596" s="199"/>
      <c r="AA596" s="199"/>
      <c r="AB596" s="199"/>
      <c r="AC596" s="199"/>
      <c r="AD596"/>
      <c r="AE596" s="173"/>
      <c r="AF596" s="174"/>
      <c r="AG596" s="30"/>
      <c r="AH596" s="30"/>
      <c r="AI596" s="30"/>
      <c r="AJ596" s="174"/>
      <c r="AK596" s="30"/>
      <c r="AL596" s="174"/>
      <c r="AM596" s="30"/>
      <c r="AN596" s="175"/>
    </row>
    <row r="597" spans="1:40" ht="26.1" hidden="1" customHeight="1" thickBot="1">
      <c r="A597">
        <v>164</v>
      </c>
      <c r="B597" s="181" t="s">
        <v>211</v>
      </c>
      <c r="C597" s="150" t="s">
        <v>61</v>
      </c>
      <c r="D597" s="181" t="s">
        <v>62</v>
      </c>
      <c r="E597" s="181">
        <v>1546</v>
      </c>
      <c r="F597" s="181" t="s">
        <v>493</v>
      </c>
      <c r="G597" s="181" t="s">
        <v>52</v>
      </c>
      <c r="H597" s="150" t="s">
        <v>76</v>
      </c>
      <c r="I597" s="181">
        <f>(0.005*9)/100</f>
        <v>4.4999999999999999E-4</v>
      </c>
      <c r="J597" s="181" t="s">
        <v>1111</v>
      </c>
      <c r="K597" s="181">
        <v>2005</v>
      </c>
      <c r="L597" s="286" t="s">
        <v>1110</v>
      </c>
      <c r="M597" s="286"/>
      <c r="N597" s="286"/>
      <c r="O597" s="152"/>
      <c r="P597" s="55" t="s">
        <v>38</v>
      </c>
      <c r="Q597" s="55" t="s">
        <v>38</v>
      </c>
      <c r="R597" s="19" t="s">
        <v>38</v>
      </c>
      <c r="S597" s="19" t="s">
        <v>38</v>
      </c>
      <c r="T597" s="19" t="s">
        <v>122</v>
      </c>
      <c r="U597" s="55"/>
      <c r="V597" s="391"/>
      <c r="W597" s="392"/>
      <c r="X597" s="392"/>
      <c r="Y597" s="392"/>
      <c r="Z597" s="199"/>
      <c r="AA597" s="199"/>
      <c r="AB597" s="199"/>
      <c r="AC597" s="199"/>
      <c r="AD597" s="6"/>
      <c r="AE597" s="39"/>
      <c r="AF597" s="30"/>
      <c r="AG597" s="30"/>
      <c r="AH597" s="30"/>
      <c r="AI597" s="30"/>
      <c r="AJ597" s="30"/>
      <c r="AK597" s="30"/>
      <c r="AL597" s="30"/>
      <c r="AM597" s="30"/>
      <c r="AN597" s="31"/>
    </row>
    <row r="598" spans="1:40" ht="26.1" hidden="1" customHeight="1" thickBot="1">
      <c r="A598">
        <v>165</v>
      </c>
      <c r="B598" s="181" t="s">
        <v>213</v>
      </c>
      <c r="C598" s="150" t="s">
        <v>61</v>
      </c>
      <c r="D598" s="181" t="s">
        <v>62</v>
      </c>
      <c r="E598" s="181">
        <v>1332</v>
      </c>
      <c r="F598" s="181" t="s">
        <v>493</v>
      </c>
      <c r="G598" s="181" t="s">
        <v>52</v>
      </c>
      <c r="H598" s="150" t="s">
        <v>76</v>
      </c>
      <c r="I598" s="181">
        <f>(0.005*8)/100</f>
        <v>4.0000000000000002E-4</v>
      </c>
      <c r="J598" s="181" t="s">
        <v>1111</v>
      </c>
      <c r="K598" s="181">
        <v>2005</v>
      </c>
      <c r="L598" s="286" t="s">
        <v>1110</v>
      </c>
      <c r="M598" s="286"/>
      <c r="N598" s="286"/>
      <c r="O598" s="152"/>
      <c r="P598" s="55" t="s">
        <v>38</v>
      </c>
      <c r="Q598" s="55" t="s">
        <v>38</v>
      </c>
      <c r="R598" s="19" t="s">
        <v>38</v>
      </c>
      <c r="S598" s="19" t="s">
        <v>38</v>
      </c>
      <c r="T598" s="19" t="s">
        <v>122</v>
      </c>
      <c r="U598" s="55"/>
      <c r="V598" s="391"/>
      <c r="W598" s="392"/>
      <c r="X598" s="392"/>
      <c r="Y598" s="392"/>
      <c r="Z598" s="199"/>
      <c r="AA598" s="199"/>
      <c r="AB598" s="199"/>
      <c r="AC598" s="199"/>
      <c r="AD598" s="6"/>
      <c r="AE598" s="40"/>
      <c r="AF598" s="34"/>
      <c r="AG598" s="34"/>
      <c r="AH598" s="34"/>
      <c r="AI598" s="34"/>
      <c r="AJ598" s="34"/>
      <c r="AK598" s="34"/>
      <c r="AL598" s="34"/>
      <c r="AM598" s="34"/>
      <c r="AN598" s="35"/>
    </row>
    <row r="599" spans="1:40" ht="52" hidden="1" customHeight="1" thickBot="1">
      <c r="A599">
        <v>166</v>
      </c>
      <c r="B599" s="181" t="s">
        <v>214</v>
      </c>
      <c r="C599" s="150" t="s">
        <v>61</v>
      </c>
      <c r="D599" s="181" t="s">
        <v>62</v>
      </c>
      <c r="E599" s="181">
        <v>1449</v>
      </c>
      <c r="F599" s="181" t="s">
        <v>493</v>
      </c>
      <c r="G599" s="181" t="s">
        <v>52</v>
      </c>
      <c r="H599" s="150" t="s">
        <v>76</v>
      </c>
      <c r="I599" s="181">
        <f>(0.005*7)/100</f>
        <v>3.5000000000000005E-4</v>
      </c>
      <c r="J599" s="181" t="s">
        <v>1111</v>
      </c>
      <c r="K599" s="181">
        <v>2005</v>
      </c>
      <c r="L599" s="286" t="s">
        <v>1110</v>
      </c>
      <c r="M599" s="286"/>
      <c r="N599" s="286"/>
      <c r="O599" s="152"/>
      <c r="P599" s="55" t="s">
        <v>38</v>
      </c>
      <c r="Q599" s="55" t="s">
        <v>38</v>
      </c>
      <c r="R599" s="19" t="s">
        <v>38</v>
      </c>
      <c r="S599" s="19" t="s">
        <v>38</v>
      </c>
      <c r="T599" s="19" t="s">
        <v>122</v>
      </c>
      <c r="U599" s="55"/>
      <c r="V599" s="391"/>
      <c r="W599" s="392"/>
      <c r="X599" s="392"/>
      <c r="Y599" s="392"/>
      <c r="Z599" s="199"/>
      <c r="AA599" s="199"/>
      <c r="AB599" s="199"/>
      <c r="AC599" s="199"/>
      <c r="AD599" s="6"/>
      <c r="AE599" s="42"/>
      <c r="AF599" s="36"/>
      <c r="AG599" s="36"/>
      <c r="AH599" s="36"/>
      <c r="AI599" s="36"/>
      <c r="AJ599" s="36"/>
      <c r="AK599" s="36"/>
      <c r="AL599" s="36"/>
      <c r="AM599" s="36"/>
      <c r="AN599" s="37"/>
    </row>
    <row r="600" spans="1:40" ht="13.15" hidden="1" customHeight="1" thickBot="1">
      <c r="A600">
        <v>167</v>
      </c>
      <c r="B600" s="181" t="s">
        <v>215</v>
      </c>
      <c r="C600" s="150" t="s">
        <v>61</v>
      </c>
      <c r="D600" s="181" t="s">
        <v>62</v>
      </c>
      <c r="E600" s="181">
        <v>1527</v>
      </c>
      <c r="F600" s="181" t="s">
        <v>493</v>
      </c>
      <c r="G600" s="181" t="s">
        <v>52</v>
      </c>
      <c r="H600" t="s">
        <v>76</v>
      </c>
      <c r="I600" s="181">
        <f>(0.005*5)/100</f>
        <v>2.5000000000000001E-4</v>
      </c>
      <c r="J600" s="181" t="s">
        <v>1111</v>
      </c>
      <c r="K600" s="181">
        <v>2005</v>
      </c>
      <c r="L600" s="286" t="s">
        <v>1110</v>
      </c>
      <c r="M600" s="286"/>
      <c r="N600" s="286"/>
      <c r="O600" s="152"/>
      <c r="P600" s="55" t="s">
        <v>38</v>
      </c>
      <c r="Q600" s="55" t="s">
        <v>38</v>
      </c>
      <c r="R600" s="19" t="s">
        <v>38</v>
      </c>
      <c r="S600" s="19" t="s">
        <v>38</v>
      </c>
      <c r="T600" s="19" t="s">
        <v>122</v>
      </c>
      <c r="U600" s="55"/>
      <c r="V600" s="391"/>
      <c r="W600" s="392"/>
      <c r="X600" s="392"/>
      <c r="Y600" s="392"/>
      <c r="Z600" s="199"/>
      <c r="AA600" s="199"/>
      <c r="AB600" s="199"/>
      <c r="AC600" s="199"/>
      <c r="AD600" s="6"/>
      <c r="AE600" s="39"/>
      <c r="AF600" s="30"/>
      <c r="AG600" s="30"/>
      <c r="AH600" s="30"/>
      <c r="AI600" s="30"/>
      <c r="AJ600" s="30"/>
      <c r="AK600" s="30"/>
      <c r="AL600" s="30"/>
      <c r="AM600" s="30"/>
      <c r="AN600" s="31"/>
    </row>
    <row r="601" spans="1:40" ht="13.15" customHeight="1" thickBot="1">
      <c r="A601">
        <v>347</v>
      </c>
      <c r="B601" s="150" t="s">
        <v>347</v>
      </c>
      <c r="C601" s="150" t="s">
        <v>61</v>
      </c>
      <c r="D601" s="150" t="s">
        <v>62</v>
      </c>
      <c r="E601" s="150">
        <v>1500</v>
      </c>
      <c r="F601" s="150" t="s">
        <v>31</v>
      </c>
      <c r="G601" s="150" t="s">
        <v>52</v>
      </c>
      <c r="H601" t="s">
        <v>76</v>
      </c>
      <c r="I601" s="150">
        <v>5747</v>
      </c>
      <c r="J601" s="150" t="s">
        <v>189</v>
      </c>
      <c r="K601" s="150">
        <v>2020</v>
      </c>
      <c r="L601" s="150" t="s">
        <v>344</v>
      </c>
      <c r="M601" s="150"/>
      <c r="N601" s="150"/>
      <c r="O601" s="152"/>
      <c r="P601" s="2" t="s">
        <v>708</v>
      </c>
      <c r="Q601" t="s">
        <v>84</v>
      </c>
      <c r="R601" s="19" t="s">
        <v>38</v>
      </c>
      <c r="S601" s="19" t="s">
        <v>38</v>
      </c>
      <c r="T601" s="55" t="s">
        <v>38</v>
      </c>
      <c r="U601" s="55"/>
      <c r="V601" s="391"/>
      <c r="W601" s="392"/>
      <c r="X601" s="392"/>
      <c r="Y601" s="392"/>
      <c r="Z601" s="199"/>
      <c r="AA601" s="199"/>
      <c r="AB601" s="199"/>
      <c r="AC601" s="199"/>
      <c r="AD601" s="6"/>
      <c r="AE601" s="39"/>
      <c r="AF601" s="30"/>
      <c r="AG601" s="30"/>
      <c r="AH601" s="30"/>
      <c r="AI601" s="30"/>
      <c r="AJ601" s="30"/>
      <c r="AK601" s="30"/>
      <c r="AL601" s="30"/>
      <c r="AM601" s="30"/>
      <c r="AN601" s="31"/>
    </row>
    <row r="602" spans="1:40" ht="13" customHeight="1" thickBot="1">
      <c r="A602">
        <v>348</v>
      </c>
      <c r="B602" s="150" t="s">
        <v>348</v>
      </c>
      <c r="C602" s="150" t="s">
        <v>61</v>
      </c>
      <c r="D602" s="150" t="s">
        <v>62</v>
      </c>
      <c r="E602" s="150">
        <v>200</v>
      </c>
      <c r="F602" s="150" t="s">
        <v>31</v>
      </c>
      <c r="G602" s="150" t="s">
        <v>57</v>
      </c>
      <c r="H602" s="150" t="s">
        <v>76</v>
      </c>
      <c r="I602" s="150">
        <v>16343</v>
      </c>
      <c r="J602" s="150" t="s">
        <v>189</v>
      </c>
      <c r="K602" s="150">
        <v>2020</v>
      </c>
      <c r="L602" s="150" t="s">
        <v>344</v>
      </c>
      <c r="M602" s="150"/>
      <c r="N602" s="150"/>
      <c r="O602" s="152" t="s">
        <v>1215</v>
      </c>
      <c r="P602" s="55" t="s">
        <v>38</v>
      </c>
      <c r="Q602" t="s">
        <v>104</v>
      </c>
      <c r="R602" s="19" t="s">
        <v>38</v>
      </c>
      <c r="S602" s="19" t="s">
        <v>38</v>
      </c>
      <c r="T602" s="55" t="s">
        <v>38</v>
      </c>
      <c r="U602" s="55"/>
      <c r="V602" s="391"/>
      <c r="W602" s="392"/>
      <c r="X602" s="392"/>
      <c r="Y602" s="392"/>
      <c r="Z602" s="199"/>
      <c r="AA602" s="199"/>
      <c r="AB602" s="199"/>
      <c r="AC602" s="199"/>
      <c r="AD602" s="12"/>
      <c r="AE602" s="39"/>
      <c r="AF602" s="30"/>
      <c r="AG602" s="30"/>
      <c r="AH602" s="30"/>
      <c r="AI602" s="30"/>
      <c r="AJ602" s="30"/>
      <c r="AK602" s="30"/>
      <c r="AL602" s="30"/>
      <c r="AM602" s="30"/>
      <c r="AN602" s="31"/>
    </row>
    <row r="603" spans="1:40" ht="13.15" hidden="1" customHeight="1" thickBot="1">
      <c r="A603">
        <v>172</v>
      </c>
      <c r="B603" s="181" t="s">
        <v>211</v>
      </c>
      <c r="C603" s="150" t="s">
        <v>61</v>
      </c>
      <c r="D603" s="181" t="s">
        <v>62</v>
      </c>
      <c r="E603" s="181">
        <v>1546</v>
      </c>
      <c r="F603" s="181" t="s">
        <v>115</v>
      </c>
      <c r="G603" s="181" t="s">
        <v>52</v>
      </c>
      <c r="H603" s="150" t="s">
        <v>76</v>
      </c>
      <c r="I603" s="181">
        <f>(9*0.025)/100</f>
        <v>2.2500000000000003E-3</v>
      </c>
      <c r="J603" s="181" t="s">
        <v>1111</v>
      </c>
      <c r="K603" s="181">
        <v>2005</v>
      </c>
      <c r="L603" s="286" t="s">
        <v>1110</v>
      </c>
      <c r="M603" s="286"/>
      <c r="N603" s="286"/>
      <c r="O603" s="152"/>
      <c r="P603" s="19" t="s">
        <v>122</v>
      </c>
      <c r="Q603" s="55" t="s">
        <v>38</v>
      </c>
      <c r="R603" s="19" t="s">
        <v>38</v>
      </c>
      <c r="S603" s="19" t="s">
        <v>38</v>
      </c>
      <c r="T603" s="19" t="s">
        <v>122</v>
      </c>
      <c r="U603" s="55"/>
      <c r="V603" s="391"/>
      <c r="W603" s="399"/>
      <c r="X603" s="392"/>
      <c r="Y603" s="392"/>
      <c r="Z603" s="199"/>
      <c r="AA603" s="199"/>
      <c r="AB603" s="199"/>
      <c r="AC603" s="199"/>
      <c r="AD603" s="12"/>
      <c r="AE603" s="39"/>
      <c r="AF603" s="30"/>
      <c r="AG603" s="30"/>
      <c r="AH603" s="30"/>
      <c r="AI603" s="30"/>
      <c r="AJ603" s="30"/>
      <c r="AK603" s="30"/>
      <c r="AL603" s="30"/>
      <c r="AM603" s="30"/>
      <c r="AN603" s="31"/>
    </row>
    <row r="604" spans="1:40" ht="13.15" hidden="1" customHeight="1" thickBot="1">
      <c r="A604">
        <v>173</v>
      </c>
      <c r="B604" s="181" t="s">
        <v>213</v>
      </c>
      <c r="C604" s="150" t="s">
        <v>61</v>
      </c>
      <c r="D604" s="181" t="s">
        <v>62</v>
      </c>
      <c r="E604" s="181">
        <v>1332</v>
      </c>
      <c r="F604" s="181" t="s">
        <v>115</v>
      </c>
      <c r="G604" s="181" t="s">
        <v>52</v>
      </c>
      <c r="H604" s="150" t="s">
        <v>76</v>
      </c>
      <c r="I604" s="181">
        <f>(8*0.04)/100</f>
        <v>3.2000000000000002E-3</v>
      </c>
      <c r="J604" s="181" t="s">
        <v>1111</v>
      </c>
      <c r="K604" s="181">
        <v>2005</v>
      </c>
      <c r="L604" s="286" t="s">
        <v>1110</v>
      </c>
      <c r="M604" s="286"/>
      <c r="N604" s="286"/>
      <c r="O604" s="152" t="s">
        <v>216</v>
      </c>
      <c r="P604" s="19" t="s">
        <v>122</v>
      </c>
      <c r="Q604" s="55" t="s">
        <v>38</v>
      </c>
      <c r="R604" s="19" t="s">
        <v>38</v>
      </c>
      <c r="S604" s="19" t="s">
        <v>38</v>
      </c>
      <c r="T604" s="19" t="s">
        <v>122</v>
      </c>
      <c r="U604" s="55"/>
      <c r="V604" s="391" t="s">
        <v>1044</v>
      </c>
      <c r="W604" s="400" t="s">
        <v>1042</v>
      </c>
      <c r="X604" s="392" t="s">
        <v>1043</v>
      </c>
      <c r="Y604" s="396" t="s">
        <v>871</v>
      </c>
      <c r="AE604" s="39"/>
      <c r="AF604" s="30"/>
      <c r="AG604" s="30"/>
      <c r="AH604" s="30"/>
      <c r="AI604" s="30"/>
      <c r="AJ604" s="30"/>
      <c r="AK604" s="30"/>
      <c r="AL604" s="30"/>
      <c r="AM604" s="30"/>
      <c r="AN604" s="31"/>
    </row>
    <row r="605" spans="1:40" ht="13.15" hidden="1" customHeight="1" thickBot="1">
      <c r="A605">
        <v>174</v>
      </c>
      <c r="B605" s="181" t="s">
        <v>214</v>
      </c>
      <c r="C605" s="150" t="s">
        <v>61</v>
      </c>
      <c r="D605" s="181" t="s">
        <v>62</v>
      </c>
      <c r="E605" s="181">
        <v>1449</v>
      </c>
      <c r="F605" s="181" t="s">
        <v>115</v>
      </c>
      <c r="G605" s="181" t="s">
        <v>52</v>
      </c>
      <c r="H605" s="150" t="s">
        <v>76</v>
      </c>
      <c r="I605" s="181">
        <f>(0.025*7)/100</f>
        <v>1.7500000000000003E-3</v>
      </c>
      <c r="J605" s="181" t="s">
        <v>1111</v>
      </c>
      <c r="K605" s="181">
        <v>2005</v>
      </c>
      <c r="L605" s="286" t="s">
        <v>1110</v>
      </c>
      <c r="M605" s="286"/>
      <c r="N605" s="286"/>
      <c r="O605" s="152" t="s">
        <v>216</v>
      </c>
      <c r="P605" s="19" t="s">
        <v>122</v>
      </c>
      <c r="Q605" s="55" t="s">
        <v>38</v>
      </c>
      <c r="R605" s="19" t="s">
        <v>38</v>
      </c>
      <c r="S605" s="19" t="s">
        <v>38</v>
      </c>
      <c r="T605" s="19" t="s">
        <v>122</v>
      </c>
      <c r="U605" s="55"/>
      <c r="V605" s="396"/>
      <c r="W605" s="395"/>
      <c r="X605" s="395"/>
      <c r="Y605" s="396"/>
      <c r="AD605" s="169"/>
      <c r="AE605" s="39"/>
      <c r="AF605" s="30"/>
      <c r="AG605" s="30"/>
      <c r="AH605" s="30"/>
      <c r="AI605" s="30"/>
      <c r="AJ605" s="30"/>
      <c r="AK605" s="30"/>
      <c r="AL605" s="30"/>
      <c r="AM605" s="30"/>
      <c r="AN605" s="31"/>
    </row>
    <row r="606" spans="1:40" ht="13.15" hidden="1" customHeight="1" thickBot="1">
      <c r="A606">
        <v>175</v>
      </c>
      <c r="B606" s="181" t="s">
        <v>215</v>
      </c>
      <c r="C606" s="150" t="s">
        <v>61</v>
      </c>
      <c r="D606" s="181" t="s">
        <v>62</v>
      </c>
      <c r="E606" s="181">
        <v>1527</v>
      </c>
      <c r="F606" s="181" t="s">
        <v>115</v>
      </c>
      <c r="G606" s="181" t="s">
        <v>52</v>
      </c>
      <c r="H606" s="150" t="s">
        <v>76</v>
      </c>
      <c r="I606" s="181">
        <f>(5*0.025)/100</f>
        <v>1.25E-3</v>
      </c>
      <c r="J606" s="181" t="s">
        <v>1111</v>
      </c>
      <c r="K606" s="181">
        <v>2005</v>
      </c>
      <c r="L606" s="239" t="s">
        <v>1110</v>
      </c>
      <c r="M606" s="239"/>
      <c r="N606" s="239"/>
      <c r="O606" s="152" t="s">
        <v>216</v>
      </c>
      <c r="P606" s="19" t="s">
        <v>122</v>
      </c>
      <c r="Q606" s="55" t="s">
        <v>38</v>
      </c>
      <c r="R606" s="19" t="s">
        <v>38</v>
      </c>
      <c r="S606" s="19" t="s">
        <v>38</v>
      </c>
      <c r="T606" s="19" t="s">
        <v>122</v>
      </c>
      <c r="U606" s="55"/>
      <c r="V606" s="397"/>
      <c r="W606" s="392" t="s">
        <v>1052</v>
      </c>
      <c r="X606" s="392" t="s">
        <v>1053</v>
      </c>
      <c r="Y606" s="396" t="s">
        <v>871</v>
      </c>
      <c r="Z606" s="195"/>
      <c r="AA606" s="195"/>
      <c r="AB606" s="195"/>
      <c r="AC606" s="195"/>
      <c r="AD606" s="169"/>
      <c r="AE606" s="39"/>
      <c r="AF606" s="30"/>
      <c r="AG606" s="30"/>
      <c r="AH606" s="30"/>
      <c r="AI606" s="30"/>
      <c r="AJ606" s="30"/>
      <c r="AK606" s="30"/>
      <c r="AL606" s="30"/>
      <c r="AM606" s="30"/>
      <c r="AN606" s="31"/>
    </row>
    <row r="607" spans="1:40" ht="13.15" customHeight="1" thickBot="1">
      <c r="A607">
        <v>349</v>
      </c>
      <c r="B607" s="150" t="s">
        <v>348</v>
      </c>
      <c r="C607" s="150" t="s">
        <v>61</v>
      </c>
      <c r="D607" s="150" t="s">
        <v>62</v>
      </c>
      <c r="E607" s="150">
        <v>200</v>
      </c>
      <c r="F607" s="150" t="s">
        <v>31</v>
      </c>
      <c r="G607" s="150" t="s">
        <v>52</v>
      </c>
      <c r="H607" s="150" t="s">
        <v>76</v>
      </c>
      <c r="I607" s="150">
        <v>12095</v>
      </c>
      <c r="J607" s="150" t="s">
        <v>189</v>
      </c>
      <c r="K607" s="150">
        <v>2020</v>
      </c>
      <c r="L607" t="s">
        <v>344</v>
      </c>
      <c r="O607" s="152" t="s">
        <v>1215</v>
      </c>
      <c r="P607" s="55" t="s">
        <v>38</v>
      </c>
      <c r="Q607" s="19" t="s">
        <v>350</v>
      </c>
      <c r="R607" s="19" t="s">
        <v>38</v>
      </c>
      <c r="S607" s="19" t="s">
        <v>38</v>
      </c>
      <c r="T607" s="55" t="s">
        <v>38</v>
      </c>
      <c r="U607" s="55"/>
      <c r="V607" s="397"/>
      <c r="W607" s="395"/>
      <c r="X607" s="395"/>
      <c r="Y607" s="396"/>
      <c r="Z607" s="195"/>
      <c r="AA607" s="195"/>
      <c r="AB607" s="195"/>
      <c r="AC607" s="195"/>
      <c r="AD607" s="169"/>
      <c r="AE607" s="39"/>
      <c r="AF607" s="30"/>
      <c r="AG607" s="30"/>
      <c r="AH607" s="30"/>
      <c r="AI607" s="30"/>
      <c r="AJ607" s="30"/>
      <c r="AK607" s="30"/>
      <c r="AL607" s="30"/>
      <c r="AM607" s="30"/>
      <c r="AN607" s="31"/>
    </row>
    <row r="608" spans="1:40" ht="13.15" customHeight="1" thickBot="1">
      <c r="A608">
        <v>350</v>
      </c>
      <c r="B608" s="150" t="s">
        <v>348</v>
      </c>
      <c r="C608" s="150" t="s">
        <v>61</v>
      </c>
      <c r="D608" s="150" t="s">
        <v>62</v>
      </c>
      <c r="E608" s="150">
        <v>200</v>
      </c>
      <c r="F608" s="150" t="s">
        <v>31</v>
      </c>
      <c r="G608" s="150" t="s">
        <v>754</v>
      </c>
      <c r="H608" s="150" t="s">
        <v>76</v>
      </c>
      <c r="I608" s="150">
        <v>7219</v>
      </c>
      <c r="J608" s="150" t="s">
        <v>189</v>
      </c>
      <c r="K608" s="150">
        <v>2020</v>
      </c>
      <c r="L608" t="s">
        <v>344</v>
      </c>
      <c r="O608" s="152" t="s">
        <v>1215</v>
      </c>
      <c r="P608" s="55" t="s">
        <v>38</v>
      </c>
      <c r="Q608" t="s">
        <v>350</v>
      </c>
      <c r="R608" s="19" t="s">
        <v>38</v>
      </c>
      <c r="S608" s="19" t="s">
        <v>38</v>
      </c>
      <c r="T608" s="55" t="s">
        <v>38</v>
      </c>
      <c r="U608" s="55"/>
      <c r="V608" s="397"/>
      <c r="W608" s="395"/>
      <c r="X608" s="395"/>
      <c r="Y608" s="396"/>
      <c r="Z608" s="195"/>
      <c r="AA608" s="195"/>
      <c r="AB608" s="195"/>
      <c r="AC608" s="195"/>
      <c r="AD608" s="169"/>
      <c r="AE608" s="39"/>
      <c r="AF608" s="30"/>
      <c r="AG608" s="30"/>
      <c r="AH608" s="30"/>
      <c r="AI608" s="30"/>
      <c r="AJ608" s="30"/>
      <c r="AK608" s="30"/>
      <c r="AL608" s="30"/>
      <c r="AM608" s="30"/>
      <c r="AN608" s="31"/>
    </row>
    <row r="609" spans="1:40" ht="13.15" customHeight="1" thickBot="1">
      <c r="B609" s="150" t="s">
        <v>187</v>
      </c>
      <c r="C609" s="150" t="s">
        <v>61</v>
      </c>
      <c r="D609" s="150" t="s">
        <v>62</v>
      </c>
      <c r="E609" s="150">
        <v>1200</v>
      </c>
      <c r="F609" s="150" t="s">
        <v>31</v>
      </c>
      <c r="G609" s="150" t="s">
        <v>52</v>
      </c>
      <c r="H609" s="150" t="s">
        <v>76</v>
      </c>
      <c r="I609" s="150">
        <v>2178</v>
      </c>
      <c r="J609" s="150" t="s">
        <v>189</v>
      </c>
      <c r="K609" s="150">
        <v>1986</v>
      </c>
      <c r="L609" s="5" t="s">
        <v>1105</v>
      </c>
      <c r="M609" s="5"/>
      <c r="N609" s="5"/>
      <c r="O609" s="152" t="s">
        <v>1230</v>
      </c>
      <c r="P609" s="55"/>
      <c r="Q609" s="55"/>
      <c r="R609" s="19"/>
      <c r="S609" s="19"/>
      <c r="T609" s="19"/>
      <c r="U609" s="55"/>
      <c r="V609" s="397"/>
      <c r="W609" s="395"/>
      <c r="X609" s="395"/>
      <c r="Y609" s="396"/>
      <c r="Z609" s="195"/>
      <c r="AA609" s="195"/>
      <c r="AB609" s="195"/>
      <c r="AC609" s="195"/>
      <c r="AD609" s="5"/>
      <c r="AE609" s="39"/>
      <c r="AF609" s="30"/>
      <c r="AG609" s="30"/>
      <c r="AH609" s="30"/>
      <c r="AI609" s="30"/>
      <c r="AJ609" s="30"/>
      <c r="AK609" s="30"/>
      <c r="AL609" s="30"/>
      <c r="AM609" s="30"/>
      <c r="AN609" s="31"/>
    </row>
    <row r="610" spans="1:40" ht="13.15" customHeight="1" thickBot="1">
      <c r="B610" s="150" t="s">
        <v>165</v>
      </c>
      <c r="C610" s="150" t="s">
        <v>61</v>
      </c>
      <c r="D610" s="150" t="s">
        <v>62</v>
      </c>
      <c r="E610" s="150">
        <v>1200</v>
      </c>
      <c r="F610" s="150" t="s">
        <v>31</v>
      </c>
      <c r="G610" s="150" t="s">
        <v>52</v>
      </c>
      <c r="H610" s="150" t="s">
        <v>76</v>
      </c>
      <c r="I610" s="150">
        <v>2193</v>
      </c>
      <c r="J610" s="150" t="s">
        <v>189</v>
      </c>
      <c r="K610" s="150">
        <v>1986</v>
      </c>
      <c r="L610" s="5" t="s">
        <v>1105</v>
      </c>
      <c r="M610" s="5"/>
      <c r="N610" s="5"/>
      <c r="O610" s="152" t="s">
        <v>1230</v>
      </c>
      <c r="P610" s="55"/>
      <c r="Q610" s="55"/>
      <c r="R610" s="19"/>
      <c r="S610" s="19"/>
      <c r="T610" s="19"/>
      <c r="U610" s="55"/>
      <c r="V610" s="397"/>
      <c r="W610" s="395"/>
      <c r="X610" s="395"/>
      <c r="Y610" s="396"/>
      <c r="Z610" s="195"/>
      <c r="AA610" s="195"/>
      <c r="AB610" s="195"/>
      <c r="AC610" s="195"/>
      <c r="AD610" s="5"/>
      <c r="AE610" s="39"/>
      <c r="AF610" s="30"/>
      <c r="AG610" s="30"/>
      <c r="AH610" s="30"/>
      <c r="AI610" s="30"/>
      <c r="AJ610" s="30"/>
      <c r="AK610" s="30"/>
      <c r="AL610" s="30"/>
      <c r="AM610" s="30"/>
      <c r="AN610" s="31"/>
    </row>
    <row r="611" spans="1:40" ht="13.15" customHeight="1" thickBot="1">
      <c r="B611" s="150" t="s">
        <v>170</v>
      </c>
      <c r="C611" s="150" t="s">
        <v>61</v>
      </c>
      <c r="D611" s="150" t="s">
        <v>113</v>
      </c>
      <c r="E611" s="150">
        <v>970</v>
      </c>
      <c r="F611" t="s">
        <v>31</v>
      </c>
      <c r="G611" s="150" t="s">
        <v>52</v>
      </c>
      <c r="H611" s="150" t="s">
        <v>76</v>
      </c>
      <c r="I611" s="150">
        <v>1501</v>
      </c>
      <c r="J611" s="150" t="s">
        <v>189</v>
      </c>
      <c r="K611" s="150">
        <v>1986</v>
      </c>
      <c r="L611" s="5" t="s">
        <v>1105</v>
      </c>
      <c r="M611" s="5"/>
      <c r="N611" s="5"/>
      <c r="O611" s="152" t="s">
        <v>1230</v>
      </c>
      <c r="P611" s="55"/>
      <c r="Q611" s="55"/>
      <c r="R611" s="19"/>
      <c r="S611" s="19"/>
      <c r="T611" s="19"/>
      <c r="U611" s="55"/>
      <c r="V611" s="397"/>
      <c r="W611" s="395"/>
      <c r="X611" s="395"/>
      <c r="Y611" s="396"/>
      <c r="Z611" s="195"/>
      <c r="AA611" s="195"/>
      <c r="AB611" s="195"/>
      <c r="AC611" s="195"/>
      <c r="AE611" s="39"/>
      <c r="AF611" s="30"/>
      <c r="AG611" s="30"/>
      <c r="AH611" s="30"/>
      <c r="AI611" s="30"/>
      <c r="AJ611" s="30"/>
      <c r="AK611" s="30"/>
      <c r="AL611" s="30"/>
      <c r="AM611" s="30"/>
      <c r="AN611" s="31"/>
    </row>
    <row r="612" spans="1:40" ht="13.15" customHeight="1" thickBot="1">
      <c r="B612" s="150" t="s">
        <v>172</v>
      </c>
      <c r="C612" s="150" t="s">
        <v>61</v>
      </c>
      <c r="D612" s="150" t="s">
        <v>113</v>
      </c>
      <c r="E612" s="150">
        <v>970</v>
      </c>
      <c r="F612" t="s">
        <v>31</v>
      </c>
      <c r="G612" s="150" t="s">
        <v>52</v>
      </c>
      <c r="H612" s="150" t="s">
        <v>76</v>
      </c>
      <c r="I612" s="150">
        <v>1523</v>
      </c>
      <c r="J612" s="150" t="s">
        <v>189</v>
      </c>
      <c r="K612" s="150">
        <v>1986</v>
      </c>
      <c r="L612" s="5" t="s">
        <v>1105</v>
      </c>
      <c r="M612" s="5"/>
      <c r="N612" s="5"/>
      <c r="O612" s="152" t="s">
        <v>1230</v>
      </c>
      <c r="P612" s="55"/>
      <c r="Q612" s="55"/>
      <c r="R612" s="19"/>
      <c r="S612" s="19"/>
      <c r="T612" s="19"/>
      <c r="U612" s="55"/>
      <c r="V612" s="397"/>
      <c r="W612" s="395"/>
      <c r="X612" s="395"/>
      <c r="Y612" s="396"/>
      <c r="Z612" s="195"/>
      <c r="AA612" s="195"/>
      <c r="AB612" s="195"/>
      <c r="AC612" s="195"/>
      <c r="AE612" s="39"/>
      <c r="AF612" s="30"/>
      <c r="AG612" s="30"/>
      <c r="AH612" s="30"/>
      <c r="AI612" s="30"/>
      <c r="AJ612" s="30"/>
      <c r="AK612" s="30"/>
      <c r="AL612" s="30"/>
      <c r="AM612" s="30"/>
      <c r="AN612" s="31"/>
    </row>
    <row r="613" spans="1:40" ht="92.1" hidden="1" customHeight="1" thickBot="1">
      <c r="A613">
        <v>480</v>
      </c>
      <c r="B613" s="153" t="s">
        <v>449</v>
      </c>
      <c r="C613" s="153" t="s">
        <v>61</v>
      </c>
      <c r="D613" s="153" t="s">
        <v>62</v>
      </c>
      <c r="E613" s="153" t="s">
        <v>81</v>
      </c>
      <c r="F613" s="5" t="s">
        <v>75</v>
      </c>
      <c r="G613" s="238" t="s">
        <v>32</v>
      </c>
      <c r="H613" s="150" t="s">
        <v>76</v>
      </c>
      <c r="I613" s="153">
        <v>100</v>
      </c>
      <c r="J613" s="153" t="s">
        <v>450</v>
      </c>
      <c r="K613" s="153">
        <v>2005</v>
      </c>
      <c r="L613" s="185" t="s">
        <v>451</v>
      </c>
      <c r="M613" s="185"/>
      <c r="N613" s="185"/>
      <c r="O613" s="154" t="s">
        <v>648</v>
      </c>
      <c r="P613" s="55" t="s">
        <v>38</v>
      </c>
      <c r="Q613" s="55" t="s">
        <v>38</v>
      </c>
      <c r="R613" s="19" t="s">
        <v>38</v>
      </c>
      <c r="S613" s="19" t="s">
        <v>38</v>
      </c>
      <c r="T613" s="55" t="s">
        <v>38</v>
      </c>
      <c r="U613" s="55"/>
      <c r="V613" s="397"/>
      <c r="W613" s="395"/>
      <c r="X613" s="395"/>
      <c r="Y613" s="396"/>
      <c r="Z613" s="195"/>
      <c r="AA613" s="195"/>
      <c r="AB613" s="195"/>
      <c r="AC613" s="195"/>
      <c r="AE613" s="39"/>
      <c r="AF613" s="30"/>
      <c r="AG613" s="30"/>
      <c r="AH613" s="30"/>
      <c r="AI613" s="30"/>
      <c r="AJ613" s="30"/>
      <c r="AK613" s="30"/>
      <c r="AL613" s="30"/>
      <c r="AM613" s="30"/>
      <c r="AN613" s="31"/>
    </row>
    <row r="614" spans="1:40" ht="74.099999999999994" hidden="1" customHeight="1" thickBot="1">
      <c r="A614">
        <v>481</v>
      </c>
      <c r="B614" s="170" t="s">
        <v>452</v>
      </c>
      <c r="C614" s="153" t="s">
        <v>61</v>
      </c>
      <c r="D614" s="153" t="s">
        <v>62</v>
      </c>
      <c r="E614" s="153" t="s">
        <v>81</v>
      </c>
      <c r="F614" s="153" t="s">
        <v>75</v>
      </c>
      <c r="G614" s="238" t="s">
        <v>57</v>
      </c>
      <c r="H614" s="150" t="s">
        <v>76</v>
      </c>
      <c r="I614" s="153">
        <v>50</v>
      </c>
      <c r="J614" s="153" t="s">
        <v>450</v>
      </c>
      <c r="K614" s="153">
        <v>2005</v>
      </c>
      <c r="L614" s="185" t="s">
        <v>451</v>
      </c>
      <c r="M614" s="185"/>
      <c r="N614" s="185"/>
      <c r="O614" s="154" t="s">
        <v>648</v>
      </c>
      <c r="P614" s="55" t="s">
        <v>38</v>
      </c>
      <c r="Q614" s="55" t="s">
        <v>38</v>
      </c>
      <c r="R614" s="19" t="s">
        <v>38</v>
      </c>
      <c r="S614" s="19" t="s">
        <v>38</v>
      </c>
      <c r="T614" s="55" t="s">
        <v>38</v>
      </c>
      <c r="U614" s="55"/>
      <c r="V614" s="397"/>
      <c r="W614" s="395"/>
      <c r="X614" s="395"/>
      <c r="Y614" s="396"/>
      <c r="Z614" s="195"/>
      <c r="AA614" s="195"/>
      <c r="AB614" s="195"/>
      <c r="AC614" s="195"/>
      <c r="AE614" s="39"/>
      <c r="AF614" s="30"/>
      <c r="AG614" s="30"/>
      <c r="AH614" s="30"/>
      <c r="AI614" s="30"/>
      <c r="AJ614" s="30"/>
      <c r="AK614" s="30"/>
      <c r="AL614" s="30"/>
      <c r="AM614" s="30"/>
      <c r="AN614" s="31"/>
    </row>
    <row r="615" spans="1:40" ht="53.1" customHeight="1" thickBot="1">
      <c r="B615" s="150" t="s">
        <v>174</v>
      </c>
      <c r="C615" s="150" t="s">
        <v>61</v>
      </c>
      <c r="D615" s="150" t="s">
        <v>62</v>
      </c>
      <c r="E615" s="150">
        <v>1200</v>
      </c>
      <c r="F615" s="150" t="s">
        <v>31</v>
      </c>
      <c r="G615" s="150" t="s">
        <v>52</v>
      </c>
      <c r="H615" s="150" t="s">
        <v>76</v>
      </c>
      <c r="I615" s="150">
        <v>2563</v>
      </c>
      <c r="J615" s="150" t="s">
        <v>189</v>
      </c>
      <c r="K615" s="150">
        <v>1986</v>
      </c>
      <c r="L615" s="5" t="s">
        <v>1105</v>
      </c>
      <c r="M615" s="5"/>
      <c r="N615" s="5"/>
      <c r="O615" s="152" t="s">
        <v>1230</v>
      </c>
      <c r="P615" s="55"/>
      <c r="Q615" s="55"/>
      <c r="R615" s="19"/>
      <c r="S615" s="19"/>
      <c r="T615" s="19"/>
      <c r="U615" s="55"/>
      <c r="V615" s="397"/>
      <c r="W615" s="395"/>
      <c r="X615" s="395"/>
      <c r="Y615" s="396"/>
      <c r="Z615" s="195"/>
      <c r="AA615" s="195"/>
      <c r="AB615" s="195"/>
      <c r="AC615" s="195"/>
      <c r="AE615" s="39"/>
      <c r="AF615" s="30"/>
      <c r="AG615" s="30"/>
      <c r="AH615" s="30"/>
      <c r="AI615" s="30"/>
      <c r="AJ615" s="30"/>
      <c r="AK615" s="30"/>
      <c r="AL615" s="30"/>
      <c r="AM615" s="30"/>
      <c r="AN615" s="31"/>
    </row>
    <row r="616" spans="1:40" ht="46" customHeight="1" thickBot="1">
      <c r="B616" s="150" t="s">
        <v>176</v>
      </c>
      <c r="C616" s="150" t="s">
        <v>61</v>
      </c>
      <c r="D616" s="150" t="s">
        <v>62</v>
      </c>
      <c r="E616" s="150">
        <v>1200</v>
      </c>
      <c r="F616" s="150" t="s">
        <v>31</v>
      </c>
      <c r="G616" s="150" t="s">
        <v>52</v>
      </c>
      <c r="H616" s="150" t="s">
        <v>76</v>
      </c>
      <c r="I616" s="150">
        <v>1873</v>
      </c>
      <c r="J616" s="150" t="s">
        <v>189</v>
      </c>
      <c r="K616" s="150">
        <v>1986</v>
      </c>
      <c r="L616" s="5" t="s">
        <v>1105</v>
      </c>
      <c r="M616" s="5"/>
      <c r="N616" s="5"/>
      <c r="O616" s="152" t="s">
        <v>1230</v>
      </c>
      <c r="P616" s="55"/>
      <c r="Q616" s="55"/>
      <c r="R616" s="19"/>
      <c r="S616" s="19"/>
      <c r="T616" s="19"/>
      <c r="U616" s="55"/>
      <c r="V616" s="397"/>
      <c r="W616" s="395"/>
      <c r="X616" s="395"/>
      <c r="Y616" s="396"/>
      <c r="Z616" s="195"/>
      <c r="AA616" s="195"/>
      <c r="AB616" s="195"/>
      <c r="AC616" s="195"/>
      <c r="AE616" s="39"/>
      <c r="AF616" s="30"/>
      <c r="AG616" s="30"/>
      <c r="AH616" s="30"/>
      <c r="AI616" s="30"/>
      <c r="AJ616" s="30"/>
      <c r="AK616" s="30"/>
      <c r="AL616" s="30"/>
      <c r="AM616" s="30"/>
      <c r="AN616" s="31"/>
    </row>
    <row r="617" spans="1:40" ht="30.6" customHeight="1" thickBot="1">
      <c r="B617" s="150" t="s">
        <v>182</v>
      </c>
      <c r="C617" s="150" t="s">
        <v>61</v>
      </c>
      <c r="D617" s="150" t="s">
        <v>62</v>
      </c>
      <c r="E617" s="150">
        <v>1200</v>
      </c>
      <c r="F617" s="150" t="s">
        <v>31</v>
      </c>
      <c r="G617" s="150" t="s">
        <v>52</v>
      </c>
      <c r="H617" s="150" t="s">
        <v>76</v>
      </c>
      <c r="I617" s="150">
        <v>1380</v>
      </c>
      <c r="J617" s="150" t="s">
        <v>189</v>
      </c>
      <c r="K617" s="150">
        <v>1986</v>
      </c>
      <c r="L617" s="5" t="s">
        <v>1105</v>
      </c>
      <c r="M617" s="5"/>
      <c r="N617" s="5"/>
      <c r="O617" s="152" t="s">
        <v>1230</v>
      </c>
      <c r="P617" s="55"/>
      <c r="Q617" s="55"/>
      <c r="R617" s="19"/>
      <c r="S617" s="19"/>
      <c r="T617" s="19"/>
      <c r="U617" s="55"/>
      <c r="V617" s="397"/>
      <c r="W617" s="395"/>
      <c r="X617" s="395"/>
      <c r="Y617" s="396"/>
      <c r="Z617" s="195"/>
      <c r="AA617" s="195"/>
      <c r="AB617" s="195"/>
      <c r="AC617" s="195"/>
      <c r="AE617" s="39"/>
      <c r="AF617" s="30"/>
      <c r="AG617" s="30"/>
      <c r="AH617" s="30"/>
      <c r="AI617" s="30"/>
      <c r="AJ617" s="30"/>
      <c r="AK617" s="30"/>
      <c r="AL617" s="30"/>
      <c r="AM617" s="30"/>
      <c r="AN617" s="31"/>
    </row>
    <row r="618" spans="1:40" ht="37" customHeight="1" thickBot="1">
      <c r="B618" t="s">
        <v>1100</v>
      </c>
      <c r="C618" t="s">
        <v>61</v>
      </c>
      <c r="D618" t="s">
        <v>62</v>
      </c>
      <c r="E618">
        <v>1200</v>
      </c>
      <c r="F618" s="150" t="s">
        <v>31</v>
      </c>
      <c r="G618" s="150" t="s">
        <v>52</v>
      </c>
      <c r="H618" t="s">
        <v>76</v>
      </c>
      <c r="I618">
        <v>2787</v>
      </c>
      <c r="J618" t="s">
        <v>189</v>
      </c>
      <c r="K618">
        <v>1986</v>
      </c>
      <c r="L618" s="5" t="s">
        <v>1105</v>
      </c>
      <c r="M618" s="5"/>
      <c r="N618" s="5"/>
      <c r="O618" s="155" t="s">
        <v>1230</v>
      </c>
      <c r="P618" s="55"/>
      <c r="Q618" s="55"/>
      <c r="R618" s="19"/>
      <c r="S618" s="19"/>
      <c r="T618" s="19"/>
      <c r="U618" s="55"/>
      <c r="V618" s="397"/>
      <c r="W618" s="395"/>
      <c r="X618" s="395"/>
      <c r="Y618" s="396"/>
      <c r="Z618" s="195"/>
      <c r="AA618" s="195"/>
      <c r="AB618" s="195"/>
      <c r="AC618" s="195"/>
      <c r="AE618" s="39"/>
      <c r="AF618" s="30"/>
      <c r="AG618" s="30"/>
      <c r="AH618" s="30"/>
      <c r="AI618" s="30"/>
      <c r="AJ618" s="30"/>
      <c r="AK618" s="30"/>
      <c r="AL618" s="30"/>
      <c r="AM618" s="30"/>
      <c r="AN618" s="31"/>
    </row>
    <row r="619" spans="1:40" ht="38.5" customHeight="1" thickBot="1">
      <c r="B619" s="6" t="s">
        <v>839</v>
      </c>
      <c r="C619" t="s">
        <v>30</v>
      </c>
      <c r="D619" s="6" t="s">
        <v>796</v>
      </c>
      <c r="E619" s="6">
        <v>815</v>
      </c>
      <c r="F619" s="16" t="s">
        <v>31</v>
      </c>
      <c r="G619" s="16" t="s">
        <v>52</v>
      </c>
      <c r="H619" s="6" t="s">
        <v>33</v>
      </c>
      <c r="I619" s="6">
        <f>1233*1000000</f>
        <v>1233000000</v>
      </c>
      <c r="J619" s="6" t="s">
        <v>34</v>
      </c>
      <c r="K619" s="6">
        <v>1985</v>
      </c>
      <c r="L619" s="6" t="s">
        <v>842</v>
      </c>
      <c r="M619" s="6"/>
      <c r="N619" s="6"/>
      <c r="O619" s="289" t="s">
        <v>1216</v>
      </c>
      <c r="P619" s="55">
        <v>0.75</v>
      </c>
      <c r="Q619" s="55" t="s">
        <v>38</v>
      </c>
      <c r="R619" s="19" t="s">
        <v>38</v>
      </c>
      <c r="S619" s="19">
        <f>123.3*1000000</f>
        <v>123300000</v>
      </c>
      <c r="T619" s="19"/>
      <c r="U619" s="55"/>
      <c r="V619" s="397"/>
      <c r="W619" s="395"/>
      <c r="X619" s="395"/>
      <c r="Y619" s="396"/>
      <c r="Z619" s="195"/>
      <c r="AA619" s="195"/>
      <c r="AB619" s="195"/>
      <c r="AC619" s="195"/>
      <c r="AE619" s="43"/>
      <c r="AF619" s="32"/>
      <c r="AG619" s="32"/>
      <c r="AH619" s="32"/>
      <c r="AI619" s="32"/>
      <c r="AJ619" s="32"/>
      <c r="AK619" s="32"/>
      <c r="AL619" s="32"/>
      <c r="AM619" s="32"/>
      <c r="AN619" s="33"/>
    </row>
    <row r="620" spans="1:40" ht="13" hidden="1" customHeight="1">
      <c r="A620">
        <v>508</v>
      </c>
      <c r="B620" t="s">
        <v>694</v>
      </c>
      <c r="C620" t="s">
        <v>61</v>
      </c>
      <c r="D620" t="s">
        <v>62</v>
      </c>
      <c r="E620">
        <v>1200</v>
      </c>
      <c r="F620" t="s">
        <v>690</v>
      </c>
      <c r="G620" t="s">
        <v>52</v>
      </c>
      <c r="H620" t="s">
        <v>76</v>
      </c>
      <c r="I620">
        <v>1</v>
      </c>
      <c r="J620" t="s">
        <v>77</v>
      </c>
      <c r="K620">
        <v>1986</v>
      </c>
      <c r="L620" s="80" t="s">
        <v>472</v>
      </c>
      <c r="M620" s="80"/>
      <c r="N620" s="80"/>
      <c r="O620" s="155" t="s">
        <v>692</v>
      </c>
      <c r="P620" s="55" t="s">
        <v>38</v>
      </c>
      <c r="Q620" s="55" t="s">
        <v>38</v>
      </c>
      <c r="R620" s="19" t="s">
        <v>38</v>
      </c>
      <c r="S620" s="19" t="s">
        <v>38</v>
      </c>
      <c r="T620" s="55" t="s">
        <v>38</v>
      </c>
      <c r="U620" s="55"/>
      <c r="V620" s="397"/>
      <c r="W620" s="395"/>
      <c r="X620" s="395"/>
      <c r="Y620" s="396"/>
      <c r="Z620" s="195"/>
      <c r="AA620" s="195"/>
      <c r="AB620" s="195"/>
      <c r="AC620" s="195"/>
      <c r="AE620" s="27"/>
      <c r="AF620" s="13"/>
      <c r="AG620" s="13"/>
      <c r="AH620" s="13"/>
      <c r="AI620" s="13"/>
      <c r="AJ620" s="13"/>
      <c r="AK620" s="13"/>
      <c r="AL620" s="13"/>
      <c r="AM620" s="13"/>
      <c r="AN620" s="28"/>
    </row>
    <row r="621" spans="1:40" s="81" customFormat="1" ht="13" customHeight="1">
      <c r="A621"/>
      <c r="B621" s="6" t="s">
        <v>125</v>
      </c>
      <c r="C621" t="s">
        <v>30</v>
      </c>
      <c r="D621" s="6" t="s">
        <v>796</v>
      </c>
      <c r="E621" s="6">
        <v>815</v>
      </c>
      <c r="F621" s="6" t="s">
        <v>31</v>
      </c>
      <c r="G621" s="6" t="s">
        <v>52</v>
      </c>
      <c r="H621" s="6" t="s">
        <v>33</v>
      </c>
      <c r="I621" s="6">
        <f>1559.8*1000000</f>
        <v>1559800000</v>
      </c>
      <c r="J621" s="6" t="s">
        <v>34</v>
      </c>
      <c r="K621" s="6">
        <v>1985</v>
      </c>
      <c r="L621" s="6" t="s">
        <v>842</v>
      </c>
      <c r="M621" s="6"/>
      <c r="N621" s="6"/>
      <c r="O621" s="289" t="s">
        <v>1216</v>
      </c>
      <c r="P621" s="55">
        <v>0.75</v>
      </c>
      <c r="Q621" s="55" t="s">
        <v>38</v>
      </c>
      <c r="R621" s="19" t="s">
        <v>38</v>
      </c>
      <c r="S621" s="19">
        <f>210*1000000</f>
        <v>210000000</v>
      </c>
      <c r="T621" s="19"/>
      <c r="U621" s="55"/>
      <c r="V621" s="397"/>
      <c r="W621" s="395"/>
      <c r="X621" s="395"/>
      <c r="Y621" s="396"/>
      <c r="Z621" s="195"/>
      <c r="AA621" s="195"/>
      <c r="AB621" s="195"/>
      <c r="AC621" s="195"/>
      <c r="AD621"/>
      <c r="AE621" s="100"/>
      <c r="AF621" s="101"/>
      <c r="AG621" s="101"/>
      <c r="AH621" s="101"/>
      <c r="AI621" s="101"/>
      <c r="AJ621" s="101"/>
      <c r="AK621" s="101"/>
      <c r="AL621" s="101"/>
      <c r="AM621" s="101"/>
      <c r="AN621" s="102"/>
    </row>
    <row r="622" spans="1:40" ht="13" hidden="1" customHeight="1">
      <c r="A622">
        <v>482</v>
      </c>
      <c r="B622" s="245" t="s">
        <v>453</v>
      </c>
      <c r="C622" s="245" t="s">
        <v>61</v>
      </c>
      <c r="D622" s="245" t="s">
        <v>62</v>
      </c>
      <c r="E622" s="245">
        <v>1000</v>
      </c>
      <c r="F622" s="245" t="s">
        <v>1144</v>
      </c>
      <c r="G622" s="266" t="s">
        <v>52</v>
      </c>
      <c r="H622" s="245" t="s">
        <v>33</v>
      </c>
      <c r="I622" s="245">
        <f>543000000+190000000</f>
        <v>733000000</v>
      </c>
      <c r="J622" s="245" t="s">
        <v>34</v>
      </c>
      <c r="K622" s="245">
        <v>1990</v>
      </c>
      <c r="L622" s="245" t="s">
        <v>55</v>
      </c>
      <c r="M622" s="245"/>
      <c r="N622" s="245"/>
      <c r="O622" s="267" t="s">
        <v>645</v>
      </c>
      <c r="P622" s="2" t="s">
        <v>714</v>
      </c>
      <c r="Q622" t="s">
        <v>84</v>
      </c>
      <c r="R622" s="19" t="s">
        <v>38</v>
      </c>
      <c r="S622">
        <v>54000000</v>
      </c>
      <c r="T622" s="55" t="s">
        <v>38</v>
      </c>
      <c r="U622" s="55"/>
      <c r="V622" s="391" t="s">
        <v>954</v>
      </c>
      <c r="W622" s="392" t="s">
        <v>956</v>
      </c>
      <c r="X622" s="392" t="s">
        <v>955</v>
      </c>
      <c r="Y622" s="392" t="s">
        <v>953</v>
      </c>
      <c r="Z622" s="199"/>
      <c r="AA622" s="199"/>
      <c r="AB622" s="199"/>
      <c r="AC622" s="199"/>
      <c r="AE622" s="27"/>
      <c r="AF622" s="13"/>
      <c r="AG622" s="13"/>
      <c r="AH622" s="13"/>
      <c r="AI622" s="13"/>
      <c r="AJ622" s="13"/>
      <c r="AK622" s="13"/>
      <c r="AL622" s="13"/>
      <c r="AM622" s="13"/>
      <c r="AN622" s="28"/>
    </row>
    <row r="623" spans="1:40" ht="40" hidden="1" customHeight="1">
      <c r="A623">
        <v>483</v>
      </c>
      <c r="B623" s="245" t="s">
        <v>454</v>
      </c>
      <c r="C623" s="245" t="s">
        <v>61</v>
      </c>
      <c r="D623" s="245" t="s">
        <v>62</v>
      </c>
      <c r="E623" s="245">
        <v>1148</v>
      </c>
      <c r="F623" s="245" t="s">
        <v>1144</v>
      </c>
      <c r="G623" s="266" t="s">
        <v>52</v>
      </c>
      <c r="H623" s="245" t="s">
        <v>33</v>
      </c>
      <c r="I623" s="245">
        <f>208000000+73000000</f>
        <v>281000000</v>
      </c>
      <c r="J623" s="245" t="s">
        <v>34</v>
      </c>
      <c r="K623" s="245">
        <v>1990</v>
      </c>
      <c r="L623" s="245" t="s">
        <v>55</v>
      </c>
      <c r="M623" s="245"/>
      <c r="N623" s="245"/>
      <c r="O623" s="268" t="s">
        <v>641</v>
      </c>
      <c r="P623" s="2" t="s">
        <v>714</v>
      </c>
      <c r="Q623" t="s">
        <v>84</v>
      </c>
      <c r="R623" s="19" t="s">
        <v>38</v>
      </c>
      <c r="S623">
        <v>21000000</v>
      </c>
      <c r="T623" s="55" t="s">
        <v>38</v>
      </c>
      <c r="U623" s="55"/>
      <c r="V623" s="391"/>
      <c r="W623" s="392"/>
      <c r="X623" s="392"/>
      <c r="Y623" s="392"/>
      <c r="Z623" s="199"/>
      <c r="AA623" s="199"/>
      <c r="AB623" s="199"/>
      <c r="AC623" s="199"/>
      <c r="AE623" s="27"/>
      <c r="AF623" s="13"/>
      <c r="AG623" s="13"/>
      <c r="AH623" s="13"/>
      <c r="AI623" s="13"/>
      <c r="AJ623" s="13"/>
      <c r="AK623" s="13"/>
      <c r="AL623" s="13"/>
      <c r="AM623" s="13"/>
      <c r="AN623" s="28"/>
    </row>
    <row r="624" spans="1:40" ht="13" hidden="1" customHeight="1">
      <c r="A624">
        <v>484</v>
      </c>
      <c r="B624" s="245" t="s">
        <v>455</v>
      </c>
      <c r="C624" s="245" t="s">
        <v>61</v>
      </c>
      <c r="D624" s="245" t="s">
        <v>62</v>
      </c>
      <c r="E624" s="245">
        <v>1200</v>
      </c>
      <c r="F624" s="245" t="s">
        <v>1144</v>
      </c>
      <c r="G624" s="266" t="s">
        <v>52</v>
      </c>
      <c r="H624" s="245" t="s">
        <v>33</v>
      </c>
      <c r="I624" s="245">
        <f>114000000+43000000</f>
        <v>157000000</v>
      </c>
      <c r="J624" s="245" t="s">
        <v>34</v>
      </c>
      <c r="K624" s="245">
        <v>1990</v>
      </c>
      <c r="L624" s="245" t="s">
        <v>55</v>
      </c>
      <c r="M624" s="245"/>
      <c r="N624" s="245"/>
      <c r="O624" s="268" t="s">
        <v>642</v>
      </c>
      <c r="P624" s="2" t="s">
        <v>709</v>
      </c>
      <c r="Q624" t="s">
        <v>84</v>
      </c>
      <c r="R624" s="19" t="s">
        <v>38</v>
      </c>
      <c r="S624">
        <v>17000000</v>
      </c>
      <c r="T624" s="55" t="s">
        <v>38</v>
      </c>
      <c r="U624" s="55"/>
      <c r="V624" s="391"/>
      <c r="W624" s="392"/>
      <c r="X624" s="392"/>
      <c r="Y624" s="392"/>
      <c r="Z624" s="199"/>
      <c r="AA624" s="199"/>
      <c r="AB624" s="199"/>
      <c r="AC624" s="199"/>
      <c r="AE624" s="27"/>
      <c r="AF624" s="13"/>
      <c r="AG624" s="13"/>
      <c r="AH624" s="13"/>
      <c r="AI624" s="13"/>
      <c r="AJ624" s="13"/>
      <c r="AK624" s="13"/>
      <c r="AL624" s="13"/>
      <c r="AM624" s="13"/>
      <c r="AN624" s="28"/>
    </row>
    <row r="625" spans="1:40" ht="13" hidden="1" customHeight="1">
      <c r="A625">
        <v>485</v>
      </c>
      <c r="B625" s="245" t="s">
        <v>456</v>
      </c>
      <c r="C625" s="245" t="s">
        <v>61</v>
      </c>
      <c r="D625" s="245" t="s">
        <v>62</v>
      </c>
      <c r="E625" s="245">
        <v>1424</v>
      </c>
      <c r="F625" s="245" t="s">
        <v>1144</v>
      </c>
      <c r="G625" s="266" t="s">
        <v>52</v>
      </c>
      <c r="H625" s="245" t="s">
        <v>33</v>
      </c>
      <c r="I625" s="245">
        <f>242000000+91000000</f>
        <v>333000000</v>
      </c>
      <c r="J625" s="245" t="s">
        <v>34</v>
      </c>
      <c r="K625" s="245">
        <v>1990</v>
      </c>
      <c r="L625" s="245" t="s">
        <v>55</v>
      </c>
      <c r="M625" s="245"/>
      <c r="N625" s="245"/>
      <c r="O625" s="268" t="s">
        <v>643</v>
      </c>
      <c r="P625" s="2" t="s">
        <v>709</v>
      </c>
      <c r="Q625" t="s">
        <v>84</v>
      </c>
      <c r="R625" s="19" t="s">
        <v>38</v>
      </c>
      <c r="S625">
        <v>36000000</v>
      </c>
      <c r="T625" s="55" t="s">
        <v>38</v>
      </c>
      <c r="U625" s="55"/>
      <c r="V625" s="391"/>
      <c r="W625" s="392"/>
      <c r="X625" s="392"/>
      <c r="Y625" s="392"/>
      <c r="Z625" s="199"/>
      <c r="AA625" s="199"/>
      <c r="AB625" s="199"/>
      <c r="AC625" s="199"/>
      <c r="AE625" s="27"/>
      <c r="AF625" s="13"/>
      <c r="AG625" s="13"/>
      <c r="AH625" s="13"/>
      <c r="AI625" s="13"/>
      <c r="AJ625" s="13"/>
      <c r="AK625" s="13"/>
      <c r="AL625" s="13"/>
      <c r="AM625" s="13"/>
      <c r="AN625" s="28"/>
    </row>
    <row r="626" spans="1:40" ht="13" hidden="1" customHeight="1">
      <c r="A626">
        <v>486</v>
      </c>
      <c r="B626" s="245" t="s">
        <v>457</v>
      </c>
      <c r="C626" s="245" t="s">
        <v>61</v>
      </c>
      <c r="D626" s="245" t="s">
        <v>62</v>
      </c>
      <c r="E626" s="245">
        <v>1200</v>
      </c>
      <c r="F626" s="245" t="s">
        <v>1144</v>
      </c>
      <c r="G626" s="266" t="s">
        <v>52</v>
      </c>
      <c r="H626" s="245" t="s">
        <v>33</v>
      </c>
      <c r="I626" s="245">
        <f>126000000+47000000</f>
        <v>173000000</v>
      </c>
      <c r="J626" s="245" t="s">
        <v>34</v>
      </c>
      <c r="K626" s="245">
        <v>1990</v>
      </c>
      <c r="L626" s="245" t="s">
        <v>55</v>
      </c>
      <c r="M626" s="245"/>
      <c r="N626" s="245"/>
      <c r="O626" s="268" t="s">
        <v>644</v>
      </c>
      <c r="P626" s="2" t="s">
        <v>709</v>
      </c>
      <c r="Q626" t="s">
        <v>84</v>
      </c>
      <c r="R626" s="19" t="s">
        <v>38</v>
      </c>
      <c r="S626">
        <v>19000000</v>
      </c>
      <c r="T626" s="55" t="s">
        <v>38</v>
      </c>
      <c r="U626" s="55"/>
      <c r="V626" s="391"/>
      <c r="W626" s="392"/>
      <c r="X626" s="392"/>
      <c r="Y626" s="392"/>
      <c r="Z626" s="199"/>
      <c r="AA626" s="199"/>
      <c r="AB626" s="199"/>
      <c r="AC626" s="199"/>
      <c r="AE626" s="27"/>
      <c r="AF626" s="13"/>
      <c r="AG626" s="13"/>
      <c r="AH626" s="13"/>
      <c r="AI626" s="13"/>
      <c r="AJ626" s="13"/>
      <c r="AK626" s="13"/>
      <c r="AL626" s="13"/>
      <c r="AM626" s="13"/>
      <c r="AN626" s="28"/>
    </row>
    <row r="627" spans="1:40" ht="13" hidden="1" customHeight="1">
      <c r="A627">
        <v>487</v>
      </c>
      <c r="B627" s="245" t="s">
        <v>458</v>
      </c>
      <c r="C627" s="245" t="s">
        <v>61</v>
      </c>
      <c r="D627" s="245" t="s">
        <v>62</v>
      </c>
      <c r="E627" s="245">
        <v>1378</v>
      </c>
      <c r="F627" s="245" t="s">
        <v>1144</v>
      </c>
      <c r="G627" s="266" t="s">
        <v>52</v>
      </c>
      <c r="H627" s="245" t="s">
        <v>33</v>
      </c>
      <c r="I627" s="245">
        <v>174000000</v>
      </c>
      <c r="J627" s="245" t="s">
        <v>34</v>
      </c>
      <c r="K627" s="245">
        <v>1990</v>
      </c>
      <c r="L627" s="245" t="s">
        <v>55</v>
      </c>
      <c r="M627" s="245"/>
      <c r="N627" s="245"/>
      <c r="O627" s="268" t="s">
        <v>643</v>
      </c>
      <c r="P627" s="2" t="s">
        <v>709</v>
      </c>
      <c r="Q627" t="s">
        <v>84</v>
      </c>
      <c r="R627" s="19" t="s">
        <v>38</v>
      </c>
      <c r="S627">
        <v>26000000</v>
      </c>
      <c r="T627" s="55" t="s">
        <v>38</v>
      </c>
      <c r="U627" s="55"/>
      <c r="V627" s="391"/>
      <c r="W627" s="392"/>
      <c r="X627" s="392"/>
      <c r="Y627" s="392"/>
      <c r="Z627" s="199"/>
      <c r="AA627" s="199"/>
      <c r="AB627" s="199"/>
      <c r="AC627" s="199"/>
      <c r="AE627" s="27"/>
      <c r="AF627" s="13"/>
      <c r="AG627" s="13"/>
      <c r="AH627" s="13"/>
      <c r="AI627" s="13"/>
      <c r="AJ627" s="13"/>
      <c r="AK627" s="13"/>
      <c r="AL627" s="13"/>
      <c r="AM627" s="13"/>
      <c r="AN627" s="28"/>
    </row>
    <row r="628" spans="1:40" ht="13" hidden="1" customHeight="1">
      <c r="A628">
        <v>488</v>
      </c>
      <c r="B628" s="245" t="s">
        <v>114</v>
      </c>
      <c r="C628" s="245" t="s">
        <v>61</v>
      </c>
      <c r="D628" s="245" t="s">
        <v>62</v>
      </c>
      <c r="E628" s="245">
        <v>1000</v>
      </c>
      <c r="F628" s="245" t="s">
        <v>115</v>
      </c>
      <c r="G628" s="266" t="s">
        <v>52</v>
      </c>
      <c r="H628" s="245" t="s">
        <v>33</v>
      </c>
      <c r="I628" s="245">
        <v>42000000</v>
      </c>
      <c r="J628" s="245" t="s">
        <v>34</v>
      </c>
      <c r="K628" s="245">
        <v>1990</v>
      </c>
      <c r="L628" s="245" t="s">
        <v>55</v>
      </c>
      <c r="M628" s="245"/>
      <c r="N628" s="245"/>
      <c r="O628" s="268" t="s">
        <v>459</v>
      </c>
      <c r="P628" s="19" t="s">
        <v>122</v>
      </c>
      <c r="Q628" s="55" t="s">
        <v>38</v>
      </c>
      <c r="R628" s="19" t="s">
        <v>38</v>
      </c>
      <c r="S628" s="19" t="s">
        <v>38</v>
      </c>
      <c r="T628" s="55" t="s">
        <v>38</v>
      </c>
      <c r="U628" s="55"/>
      <c r="V628" s="391"/>
      <c r="W628" s="392"/>
      <c r="X628" s="392"/>
      <c r="Y628" s="392"/>
      <c r="Z628" s="199"/>
      <c r="AA628" s="199"/>
      <c r="AB628" s="199"/>
      <c r="AC628" s="199"/>
      <c r="AE628" s="27"/>
      <c r="AF628" s="13"/>
      <c r="AG628" s="13"/>
      <c r="AH628" s="13"/>
      <c r="AI628" s="13"/>
      <c r="AJ628" s="13"/>
      <c r="AK628" s="13"/>
      <c r="AL628" s="13"/>
      <c r="AM628" s="13"/>
      <c r="AN628" s="28"/>
    </row>
    <row r="629" spans="1:40" ht="13" hidden="1" customHeight="1">
      <c r="A629">
        <v>489</v>
      </c>
      <c r="B629" s="245" t="s">
        <v>460</v>
      </c>
      <c r="C629" s="245" t="s">
        <v>61</v>
      </c>
      <c r="D629" s="245" t="s">
        <v>62</v>
      </c>
      <c r="E629" s="245">
        <v>1200</v>
      </c>
      <c r="F629" s="245" t="s">
        <v>115</v>
      </c>
      <c r="G629" s="266" t="s">
        <v>52</v>
      </c>
      <c r="H629" s="245" t="s">
        <v>33</v>
      </c>
      <c r="I629" s="245">
        <v>9000000</v>
      </c>
      <c r="J629" s="245" t="s">
        <v>34</v>
      </c>
      <c r="K629" s="245">
        <v>1990</v>
      </c>
      <c r="L629" s="245" t="s">
        <v>55</v>
      </c>
      <c r="M629" s="245"/>
      <c r="N629" s="245"/>
      <c r="O629" s="268" t="s">
        <v>461</v>
      </c>
      <c r="P629" s="19" t="s">
        <v>122</v>
      </c>
      <c r="Q629" s="55" t="s">
        <v>38</v>
      </c>
      <c r="R629" s="19" t="s">
        <v>38</v>
      </c>
      <c r="S629" s="19" t="s">
        <v>38</v>
      </c>
      <c r="T629" s="55" t="s">
        <v>38</v>
      </c>
      <c r="U629" s="55"/>
      <c r="V629" s="391"/>
      <c r="W629" s="392"/>
      <c r="X629" s="392"/>
      <c r="Y629" s="392"/>
      <c r="Z629" s="199"/>
      <c r="AA629" s="199"/>
      <c r="AB629" s="199"/>
      <c r="AC629" s="199"/>
      <c r="AE629" s="27"/>
      <c r="AF629" s="13"/>
      <c r="AG629" s="13"/>
      <c r="AH629" s="13"/>
      <c r="AI629" s="13"/>
      <c r="AJ629" s="13"/>
      <c r="AK629" s="13"/>
      <c r="AL629" s="13"/>
      <c r="AM629" s="13"/>
      <c r="AN629" s="28"/>
    </row>
    <row r="630" spans="1:40" ht="13" hidden="1" customHeight="1">
      <c r="A630">
        <v>490</v>
      </c>
      <c r="B630" s="245" t="s">
        <v>462</v>
      </c>
      <c r="C630" s="245" t="s">
        <v>61</v>
      </c>
      <c r="D630" s="245" t="s">
        <v>62</v>
      </c>
      <c r="E630" s="245">
        <v>1200</v>
      </c>
      <c r="F630" s="245" t="s">
        <v>115</v>
      </c>
      <c r="G630" s="266" t="s">
        <v>52</v>
      </c>
      <c r="H630" s="245" t="s">
        <v>33</v>
      </c>
      <c r="I630" s="245">
        <v>2000000</v>
      </c>
      <c r="J630" s="245" t="s">
        <v>34</v>
      </c>
      <c r="K630" s="245">
        <v>1990</v>
      </c>
      <c r="L630" s="245" t="s">
        <v>55</v>
      </c>
      <c r="M630" s="245"/>
      <c r="N630" s="245"/>
      <c r="O630" s="268" t="s">
        <v>461</v>
      </c>
      <c r="P630" s="19" t="s">
        <v>122</v>
      </c>
      <c r="Q630" s="55" t="s">
        <v>38</v>
      </c>
      <c r="R630" s="19" t="s">
        <v>38</v>
      </c>
      <c r="S630" s="19" t="s">
        <v>38</v>
      </c>
      <c r="T630" s="55" t="s">
        <v>38</v>
      </c>
      <c r="U630" s="55"/>
      <c r="V630" s="391"/>
      <c r="W630" s="392"/>
      <c r="X630" s="392"/>
      <c r="Y630" s="392"/>
      <c r="Z630" s="199"/>
      <c r="AA630" s="199"/>
      <c r="AB630" s="199"/>
      <c r="AC630" s="199"/>
      <c r="AE630" s="27"/>
      <c r="AF630" s="13"/>
      <c r="AG630" s="13"/>
      <c r="AH630" s="13"/>
      <c r="AI630" s="13"/>
      <c r="AJ630" s="13"/>
      <c r="AK630" s="13"/>
      <c r="AL630" s="13"/>
      <c r="AM630" s="13"/>
      <c r="AN630" s="28"/>
    </row>
    <row r="631" spans="1:40" ht="13" customHeight="1">
      <c r="A631">
        <v>379</v>
      </c>
      <c r="B631" t="s">
        <v>696</v>
      </c>
      <c r="C631" t="s">
        <v>61</v>
      </c>
      <c r="D631" t="s">
        <v>62</v>
      </c>
      <c r="E631">
        <v>1200</v>
      </c>
      <c r="F631" t="s">
        <v>31</v>
      </c>
      <c r="G631" t="s">
        <v>32</v>
      </c>
      <c r="H631" t="s">
        <v>33</v>
      </c>
      <c r="I631">
        <f>(6018+1745-536)*1000000</f>
        <v>7227000000</v>
      </c>
      <c r="J631" t="s">
        <v>34</v>
      </c>
      <c r="K631">
        <v>1990</v>
      </c>
      <c r="L631" t="s">
        <v>369</v>
      </c>
      <c r="O631" s="11"/>
      <c r="P631" s="2">
        <v>0.75</v>
      </c>
      <c r="Q631" t="s">
        <v>371</v>
      </c>
      <c r="R631" s="19" t="s">
        <v>38</v>
      </c>
      <c r="S631" s="19" t="s">
        <v>38</v>
      </c>
      <c r="T631" s="55" t="s">
        <v>38</v>
      </c>
      <c r="U631" s="55"/>
      <c r="V631" s="391"/>
      <c r="W631" s="392"/>
      <c r="X631" s="392"/>
      <c r="Y631" s="392"/>
      <c r="Z631" s="199"/>
      <c r="AA631" s="199"/>
      <c r="AB631" s="199"/>
      <c r="AC631" s="199"/>
      <c r="AE631" s="27"/>
      <c r="AF631" s="13"/>
      <c r="AG631" s="13"/>
      <c r="AH631" s="13"/>
      <c r="AI631" s="13"/>
      <c r="AJ631" s="13"/>
      <c r="AK631" s="13"/>
      <c r="AL631" s="13"/>
      <c r="AM631" s="13"/>
      <c r="AN631" s="28"/>
    </row>
    <row r="632" spans="1:40" ht="13" customHeight="1">
      <c r="A632">
        <v>375</v>
      </c>
      <c r="B632" t="s">
        <v>695</v>
      </c>
      <c r="C632" t="s">
        <v>61</v>
      </c>
      <c r="D632" t="s">
        <v>62</v>
      </c>
      <c r="E632">
        <v>1200</v>
      </c>
      <c r="F632" t="s">
        <v>31</v>
      </c>
      <c r="G632" t="s">
        <v>52</v>
      </c>
      <c r="H632" t="s">
        <v>33</v>
      </c>
      <c r="I632">
        <f>(4785-270-869)*1000000</f>
        <v>3646000000</v>
      </c>
      <c r="J632" t="s">
        <v>34</v>
      </c>
      <c r="K632">
        <v>1990</v>
      </c>
      <c r="L632" t="s">
        <v>369</v>
      </c>
      <c r="O632" s="11" t="s">
        <v>1216</v>
      </c>
      <c r="P632" s="2">
        <v>0.75</v>
      </c>
      <c r="Q632" t="s">
        <v>371</v>
      </c>
      <c r="R632" s="19" t="s">
        <v>38</v>
      </c>
      <c r="S632">
        <f>270*1000000</f>
        <v>270000000</v>
      </c>
      <c r="T632" s="55" t="s">
        <v>38</v>
      </c>
      <c r="U632" s="55"/>
      <c r="V632" s="391"/>
      <c r="W632" s="392"/>
      <c r="X632" s="392"/>
      <c r="Y632" s="392"/>
      <c r="Z632" s="199"/>
      <c r="AA632" s="199"/>
      <c r="AB632" s="199"/>
      <c r="AC632" s="199"/>
      <c r="AE632" s="27"/>
      <c r="AF632" s="13"/>
      <c r="AG632" s="13"/>
      <c r="AH632" s="13"/>
      <c r="AI632" s="13"/>
      <c r="AJ632" s="13"/>
      <c r="AK632" s="13"/>
      <c r="AL632" s="13"/>
      <c r="AM632" s="13"/>
      <c r="AN632" s="28"/>
    </row>
    <row r="633" spans="1:40" ht="13" customHeight="1">
      <c r="A633">
        <v>390</v>
      </c>
      <c r="B633" t="s">
        <v>387</v>
      </c>
      <c r="C633" t="s">
        <v>30</v>
      </c>
      <c r="D633" t="s">
        <v>815</v>
      </c>
      <c r="E633">
        <v>1083</v>
      </c>
      <c r="F633" t="s">
        <v>31</v>
      </c>
      <c r="G633" s="6" t="s">
        <v>52</v>
      </c>
      <c r="H633" t="s">
        <v>33</v>
      </c>
      <c r="I633">
        <f>(4654.7-423.2)*1000000</f>
        <v>4231500000</v>
      </c>
      <c r="J633" t="s">
        <v>34</v>
      </c>
      <c r="K633">
        <v>1988</v>
      </c>
      <c r="L633" t="s">
        <v>386</v>
      </c>
      <c r="O633" s="11" t="s">
        <v>389</v>
      </c>
      <c r="P633" s="55" t="s">
        <v>38</v>
      </c>
      <c r="Q633" s="55" t="s">
        <v>38</v>
      </c>
      <c r="R633" s="19" t="s">
        <v>38</v>
      </c>
      <c r="S633">
        <f>423.2*1000000</f>
        <v>423200000</v>
      </c>
      <c r="T633" s="55" t="s">
        <v>38</v>
      </c>
      <c r="U633" s="55"/>
      <c r="V633" s="391"/>
      <c r="W633" s="392"/>
      <c r="X633" s="392"/>
      <c r="Y633" s="392"/>
      <c r="Z633" s="199"/>
      <c r="AA633" s="199"/>
      <c r="AB633" s="199"/>
      <c r="AC633" s="199"/>
      <c r="AE633" s="27"/>
      <c r="AF633" s="13"/>
      <c r="AG633" s="13"/>
      <c r="AH633" s="13"/>
      <c r="AI633" s="13"/>
      <c r="AJ633" s="13"/>
      <c r="AK633" s="13"/>
      <c r="AL633" s="13"/>
      <c r="AM633" s="13"/>
      <c r="AN633" s="28"/>
    </row>
    <row r="634" spans="1:40" ht="13" customHeight="1">
      <c r="A634">
        <v>40</v>
      </c>
      <c r="B634" t="s">
        <v>114</v>
      </c>
      <c r="C634" t="s">
        <v>61</v>
      </c>
      <c r="D634" t="s">
        <v>62</v>
      </c>
      <c r="E634">
        <v>1000</v>
      </c>
      <c r="F634" t="s">
        <v>31</v>
      </c>
      <c r="G634" t="s">
        <v>52</v>
      </c>
      <c r="H634" t="s">
        <v>33</v>
      </c>
      <c r="I634">
        <f>(3616.9-512.8-214.1)*1000000</f>
        <v>2890000000.0000005</v>
      </c>
      <c r="J634" t="s">
        <v>34</v>
      </c>
      <c r="K634">
        <v>1988</v>
      </c>
      <c r="L634" t="s">
        <v>597</v>
      </c>
      <c r="O634" s="11"/>
      <c r="P634" s="2">
        <v>0.76</v>
      </c>
      <c r="Q634" t="s">
        <v>84</v>
      </c>
      <c r="R634" s="19" t="s">
        <v>38</v>
      </c>
      <c r="S634" s="19">
        <f>214.1*1000000</f>
        <v>214100000</v>
      </c>
      <c r="T634" s="19" t="s">
        <v>38</v>
      </c>
      <c r="U634" s="55"/>
      <c r="V634" s="391"/>
      <c r="W634" s="392"/>
      <c r="X634" s="392"/>
      <c r="Y634" s="392"/>
      <c r="Z634" s="199"/>
      <c r="AA634" s="199"/>
      <c r="AB634" s="199"/>
      <c r="AC634" s="199"/>
      <c r="AE634" s="27"/>
      <c r="AF634" s="13"/>
      <c r="AG634" s="13"/>
      <c r="AH634" s="13"/>
      <c r="AI634" s="13"/>
      <c r="AJ634" s="13"/>
      <c r="AK634" s="13"/>
      <c r="AL634" s="13"/>
      <c r="AM634" s="13"/>
      <c r="AN634" s="28"/>
    </row>
    <row r="635" spans="1:40" ht="13" customHeight="1">
      <c r="A635">
        <v>442</v>
      </c>
      <c r="B635" t="s">
        <v>232</v>
      </c>
      <c r="C635" t="s">
        <v>61</v>
      </c>
      <c r="D635" t="s">
        <v>62</v>
      </c>
      <c r="E635">
        <v>1000</v>
      </c>
      <c r="F635" t="s">
        <v>31</v>
      </c>
      <c r="G635" t="s">
        <v>52</v>
      </c>
      <c r="H635" t="s">
        <v>33</v>
      </c>
      <c r="I635">
        <f>(2844-403.2-311.8)*1000000</f>
        <v>2129000000</v>
      </c>
      <c r="J635" t="s">
        <v>34</v>
      </c>
      <c r="K635">
        <v>1992</v>
      </c>
      <c r="L635" t="s">
        <v>420</v>
      </c>
      <c r="O635" s="11" t="s">
        <v>1218</v>
      </c>
      <c r="P635" s="2">
        <v>0.9</v>
      </c>
      <c r="Q635" s="19" t="s">
        <v>38</v>
      </c>
      <c r="R635" s="19" t="s">
        <v>38</v>
      </c>
      <c r="S635">
        <v>311800000</v>
      </c>
      <c r="T635" s="55" t="s">
        <v>38</v>
      </c>
      <c r="U635" s="55"/>
      <c r="V635" s="391"/>
      <c r="W635" s="392"/>
      <c r="X635" s="392"/>
      <c r="Y635" s="392"/>
      <c r="Z635" s="199"/>
      <c r="AA635" s="199"/>
      <c r="AB635" s="199"/>
      <c r="AC635" s="199"/>
      <c r="AE635" s="27"/>
      <c r="AF635" s="13"/>
      <c r="AG635" s="13"/>
      <c r="AH635" s="13"/>
      <c r="AI635" s="13"/>
      <c r="AJ635" s="13"/>
      <c r="AK635" s="13"/>
      <c r="AL635" s="13"/>
      <c r="AM635" s="13"/>
      <c r="AN635" s="28"/>
    </row>
    <row r="636" spans="1:40" ht="13" hidden="1" customHeight="1">
      <c r="A636">
        <v>494</v>
      </c>
      <c r="B636" s="245" t="s">
        <v>114</v>
      </c>
      <c r="C636" s="245" t="s">
        <v>61</v>
      </c>
      <c r="D636" s="245" t="s">
        <v>62</v>
      </c>
      <c r="E636" s="245">
        <v>1000</v>
      </c>
      <c r="F636" s="245" t="s">
        <v>116</v>
      </c>
      <c r="G636" s="266" t="s">
        <v>52</v>
      </c>
      <c r="H636" s="245" t="s">
        <v>33</v>
      </c>
      <c r="I636" s="245" t="s">
        <v>1187</v>
      </c>
      <c r="J636" s="245" t="s">
        <v>34</v>
      </c>
      <c r="K636" s="245">
        <v>1990</v>
      </c>
      <c r="L636" s="245" t="s">
        <v>55</v>
      </c>
      <c r="M636" s="245"/>
      <c r="N636" s="245"/>
      <c r="O636" s="269"/>
      <c r="P636" s="19" t="s">
        <v>122</v>
      </c>
      <c r="Q636" s="55" t="s">
        <v>38</v>
      </c>
      <c r="R636" s="19" t="s">
        <v>38</v>
      </c>
      <c r="S636" s="19" t="s">
        <v>38</v>
      </c>
      <c r="T636" s="55" t="s">
        <v>38</v>
      </c>
      <c r="U636" s="55"/>
      <c r="V636" s="391"/>
      <c r="W636" s="392"/>
      <c r="X636" s="392"/>
      <c r="Y636" s="392"/>
      <c r="Z636" s="199"/>
      <c r="AA636" s="199"/>
      <c r="AB636" s="199"/>
      <c r="AC636" s="199"/>
      <c r="AE636" s="27"/>
      <c r="AF636" s="13"/>
      <c r="AG636" s="13"/>
      <c r="AH636" s="13"/>
      <c r="AI636" s="13"/>
      <c r="AJ636" s="13"/>
      <c r="AK636" s="13"/>
      <c r="AL636" s="13"/>
      <c r="AM636" s="13"/>
      <c r="AN636" s="28"/>
    </row>
    <row r="637" spans="1:40" ht="13" hidden="1" customHeight="1">
      <c r="A637">
        <v>497</v>
      </c>
      <c r="B637" s="245" t="s">
        <v>465</v>
      </c>
      <c r="C637" s="245" t="s">
        <v>61</v>
      </c>
      <c r="D637" s="245" t="s">
        <v>62</v>
      </c>
      <c r="E637" s="245">
        <v>1148</v>
      </c>
      <c r="F637" s="245" t="s">
        <v>108</v>
      </c>
      <c r="G637" s="266" t="s">
        <v>52</v>
      </c>
      <c r="H637" s="245" t="s">
        <v>76</v>
      </c>
      <c r="I637" s="245">
        <v>72</v>
      </c>
      <c r="J637" s="245" t="s">
        <v>77</v>
      </c>
      <c r="K637" s="245">
        <v>1990</v>
      </c>
      <c r="L637" s="245" t="s">
        <v>55</v>
      </c>
      <c r="M637" s="245"/>
      <c r="N637" s="245"/>
      <c r="O637" s="269" t="s">
        <v>466</v>
      </c>
      <c r="P637" s="2" t="s">
        <v>714</v>
      </c>
      <c r="Q637" t="s">
        <v>84</v>
      </c>
      <c r="R637" s="19" t="s">
        <v>38</v>
      </c>
      <c r="S637" s="19" t="s">
        <v>38</v>
      </c>
      <c r="T637" s="55" t="s">
        <v>38</v>
      </c>
      <c r="U637" s="55"/>
      <c r="V637" s="391"/>
      <c r="W637" s="392"/>
      <c r="X637" s="392"/>
      <c r="Y637" s="392"/>
      <c r="Z637" s="199"/>
      <c r="AA637" s="199"/>
      <c r="AB637" s="199"/>
      <c r="AC637" s="199"/>
      <c r="AE637" s="27"/>
      <c r="AF637" s="13"/>
      <c r="AG637" s="13"/>
      <c r="AH637" s="13"/>
      <c r="AI637" s="13"/>
      <c r="AJ637" s="13"/>
      <c r="AK637" s="13"/>
      <c r="AL637" s="13"/>
      <c r="AM637" s="13"/>
      <c r="AN637" s="28"/>
    </row>
    <row r="638" spans="1:40" ht="13" hidden="1" customHeight="1">
      <c r="A638">
        <v>498</v>
      </c>
      <c r="B638" s="245" t="s">
        <v>455</v>
      </c>
      <c r="C638" s="245" t="s">
        <v>61</v>
      </c>
      <c r="D638" s="245" t="s">
        <v>62</v>
      </c>
      <c r="E638" s="245">
        <v>1200</v>
      </c>
      <c r="F638" s="245" t="s">
        <v>108</v>
      </c>
      <c r="G638" s="266" t="s">
        <v>52</v>
      </c>
      <c r="H638" s="245" t="s">
        <v>76</v>
      </c>
      <c r="I638" s="245">
        <v>72</v>
      </c>
      <c r="J638" s="245" t="s">
        <v>77</v>
      </c>
      <c r="K638" s="245">
        <v>1990</v>
      </c>
      <c r="L638" s="245" t="s">
        <v>55</v>
      </c>
      <c r="M638" s="245"/>
      <c r="N638" s="245"/>
      <c r="O638" s="269" t="s">
        <v>467</v>
      </c>
      <c r="P638" s="2" t="s">
        <v>709</v>
      </c>
      <c r="Q638" t="s">
        <v>84</v>
      </c>
      <c r="R638" s="19" t="s">
        <v>38</v>
      </c>
      <c r="S638" s="19" t="s">
        <v>38</v>
      </c>
      <c r="T638" s="55" t="s">
        <v>38</v>
      </c>
      <c r="U638" s="55"/>
      <c r="V638" s="391"/>
      <c r="W638" s="392"/>
      <c r="X638" s="392"/>
      <c r="Y638" s="392"/>
      <c r="Z638" s="199"/>
      <c r="AA638" s="199"/>
      <c r="AB638" s="199"/>
      <c r="AC638" s="199"/>
      <c r="AE638" s="27"/>
      <c r="AF638" s="13"/>
      <c r="AG638" s="13"/>
      <c r="AH638" s="13"/>
      <c r="AI638" s="13"/>
      <c r="AJ638" s="13"/>
      <c r="AK638" s="13"/>
      <c r="AL638" s="13"/>
      <c r="AM638" s="13"/>
      <c r="AN638" s="28"/>
    </row>
    <row r="639" spans="1:40" ht="13" hidden="1" customHeight="1">
      <c r="A639">
        <v>499</v>
      </c>
      <c r="B639" s="245" t="s">
        <v>456</v>
      </c>
      <c r="C639" s="245" t="s">
        <v>61</v>
      </c>
      <c r="D639" s="245" t="s">
        <v>62</v>
      </c>
      <c r="E639" s="245">
        <v>1424</v>
      </c>
      <c r="F639" s="245" t="s">
        <v>108</v>
      </c>
      <c r="G639" s="266" t="s">
        <v>52</v>
      </c>
      <c r="H639" s="245" t="s">
        <v>76</v>
      </c>
      <c r="I639" s="245">
        <v>57</v>
      </c>
      <c r="J639" s="245" t="s">
        <v>77</v>
      </c>
      <c r="K639" s="245">
        <v>1990</v>
      </c>
      <c r="L639" s="245" t="s">
        <v>55</v>
      </c>
      <c r="M639" s="245"/>
      <c r="N639" s="245"/>
      <c r="O639" s="269" t="s">
        <v>466</v>
      </c>
      <c r="P639" s="2" t="s">
        <v>709</v>
      </c>
      <c r="Q639" t="s">
        <v>84</v>
      </c>
      <c r="R639" s="19" t="s">
        <v>38</v>
      </c>
      <c r="S639" s="19" t="s">
        <v>38</v>
      </c>
      <c r="T639" s="55" t="s">
        <v>38</v>
      </c>
      <c r="U639" s="55"/>
      <c r="V639" s="391"/>
      <c r="W639" s="392"/>
      <c r="X639" s="392"/>
      <c r="Y639" s="392"/>
      <c r="Z639" s="199"/>
      <c r="AA639" s="199"/>
      <c r="AB639" s="199"/>
      <c r="AC639" s="199"/>
      <c r="AE639" s="27"/>
      <c r="AF639" s="13"/>
      <c r="AG639" s="13"/>
      <c r="AH639" s="13"/>
      <c r="AI639" s="13"/>
      <c r="AJ639" s="13"/>
      <c r="AK639" s="13"/>
      <c r="AL639" s="13"/>
      <c r="AM639" s="13"/>
      <c r="AN639" s="28"/>
    </row>
    <row r="640" spans="1:40" ht="13" hidden="1" customHeight="1">
      <c r="A640">
        <v>500</v>
      </c>
      <c r="B640" s="245" t="s">
        <v>468</v>
      </c>
      <c r="C640" s="245" t="s">
        <v>61</v>
      </c>
      <c r="D640" s="245" t="s">
        <v>62</v>
      </c>
      <c r="E640" s="245">
        <v>1200</v>
      </c>
      <c r="F640" s="245" t="s">
        <v>108</v>
      </c>
      <c r="G640" s="266" t="s">
        <v>52</v>
      </c>
      <c r="H640" s="245" t="s">
        <v>76</v>
      </c>
      <c r="I640" s="245">
        <v>72</v>
      </c>
      <c r="J640" s="245" t="s">
        <v>77</v>
      </c>
      <c r="K640" s="245">
        <v>1990</v>
      </c>
      <c r="L640" s="245" t="s">
        <v>55</v>
      </c>
      <c r="M640" s="245"/>
      <c r="N640" s="245"/>
      <c r="O640" s="269" t="s">
        <v>467</v>
      </c>
      <c r="P640" s="2" t="s">
        <v>714</v>
      </c>
      <c r="Q640" t="s">
        <v>84</v>
      </c>
      <c r="R640" s="19" t="s">
        <v>38</v>
      </c>
      <c r="S640" s="19" t="s">
        <v>38</v>
      </c>
      <c r="T640" s="55" t="s">
        <v>38</v>
      </c>
      <c r="U640" s="55"/>
      <c r="V640" s="391"/>
      <c r="W640" s="392"/>
      <c r="X640" s="392"/>
      <c r="Y640" s="392"/>
      <c r="Z640" s="199"/>
      <c r="AA640" s="199"/>
      <c r="AB640" s="199"/>
      <c r="AC640" s="199"/>
      <c r="AE640" s="27"/>
      <c r="AF640" s="13"/>
      <c r="AG640" s="13"/>
      <c r="AH640" s="13"/>
      <c r="AI640" s="13"/>
      <c r="AJ640" s="13"/>
      <c r="AK640" s="13"/>
      <c r="AL640" s="13"/>
      <c r="AM640" s="13"/>
      <c r="AN640" s="28"/>
    </row>
    <row r="641" spans="1:40" ht="13" hidden="1" customHeight="1">
      <c r="A641">
        <v>501</v>
      </c>
      <c r="B641" s="245" t="s">
        <v>457</v>
      </c>
      <c r="C641" s="245" t="s">
        <v>61</v>
      </c>
      <c r="D641" s="245" t="s">
        <v>62</v>
      </c>
      <c r="E641" s="245">
        <v>1200</v>
      </c>
      <c r="F641" s="245" t="s">
        <v>108</v>
      </c>
      <c r="G641" s="266" t="s">
        <v>52</v>
      </c>
      <c r="H641" s="245" t="s">
        <v>76</v>
      </c>
      <c r="I641" s="245">
        <v>57</v>
      </c>
      <c r="J641" s="245" t="s">
        <v>77</v>
      </c>
      <c r="K641" s="245">
        <v>1990</v>
      </c>
      <c r="L641" s="245" t="s">
        <v>55</v>
      </c>
      <c r="M641" s="245"/>
      <c r="N641" s="245"/>
      <c r="O641" s="269" t="s">
        <v>467</v>
      </c>
      <c r="P641" s="2" t="s">
        <v>709</v>
      </c>
      <c r="Q641" t="s">
        <v>84</v>
      </c>
      <c r="R641" s="19" t="s">
        <v>38</v>
      </c>
      <c r="S641" s="19" t="s">
        <v>38</v>
      </c>
      <c r="T641" s="55" t="s">
        <v>38</v>
      </c>
      <c r="U641" s="55"/>
      <c r="V641" s="391"/>
      <c r="W641" s="392"/>
      <c r="X641" s="392"/>
      <c r="Y641" s="392"/>
      <c r="Z641" s="199"/>
      <c r="AA641" s="199"/>
      <c r="AB641" s="199"/>
      <c r="AC641" s="199"/>
      <c r="AE641" s="27"/>
      <c r="AF641" s="13"/>
      <c r="AG641" s="13"/>
      <c r="AH641" s="13"/>
      <c r="AI641" s="13"/>
      <c r="AJ641" s="13"/>
      <c r="AK641" s="13"/>
      <c r="AL641" s="13"/>
      <c r="AM641" s="13"/>
      <c r="AN641" s="28"/>
    </row>
    <row r="642" spans="1:40" ht="13" hidden="1" customHeight="1">
      <c r="A642">
        <v>502</v>
      </c>
      <c r="B642" s="245" t="s">
        <v>458</v>
      </c>
      <c r="C642" s="245" t="s">
        <v>61</v>
      </c>
      <c r="D642" s="245" t="s">
        <v>62</v>
      </c>
      <c r="E642" s="245">
        <v>1424</v>
      </c>
      <c r="F642" s="245" t="s">
        <v>108</v>
      </c>
      <c r="G642" s="266" t="s">
        <v>52</v>
      </c>
      <c r="H642" s="245" t="s">
        <v>76</v>
      </c>
      <c r="I642" s="245">
        <v>63</v>
      </c>
      <c r="J642" s="245" t="s">
        <v>77</v>
      </c>
      <c r="K642" s="245">
        <v>1990</v>
      </c>
      <c r="L642" s="245" t="s">
        <v>55</v>
      </c>
      <c r="M642" s="245"/>
      <c r="N642" s="245"/>
      <c r="O642" s="269" t="s">
        <v>466</v>
      </c>
      <c r="P642" s="2" t="s">
        <v>709</v>
      </c>
      <c r="Q642" t="s">
        <v>84</v>
      </c>
      <c r="R642" s="19" t="s">
        <v>38</v>
      </c>
      <c r="S642" s="19" t="s">
        <v>38</v>
      </c>
      <c r="T642" s="55" t="s">
        <v>38</v>
      </c>
      <c r="U642" s="55"/>
      <c r="V642" s="391"/>
      <c r="W642" s="392"/>
      <c r="X642" s="392"/>
      <c r="Y642" s="392"/>
      <c r="Z642" s="199"/>
      <c r="AA642" s="199"/>
      <c r="AB642" s="199"/>
      <c r="AC642" s="199"/>
      <c r="AE642" s="27"/>
      <c r="AF642" s="13"/>
      <c r="AG642" s="13"/>
      <c r="AH642" s="13"/>
      <c r="AI642" s="13"/>
      <c r="AJ642" s="13"/>
      <c r="AK642" s="13"/>
      <c r="AL642" s="13"/>
      <c r="AM642" s="13"/>
      <c r="AN642" s="28"/>
    </row>
    <row r="643" spans="1:40" ht="13" hidden="1" customHeight="1">
      <c r="A643">
        <v>495</v>
      </c>
      <c r="B643" s="245" t="s">
        <v>460</v>
      </c>
      <c r="C643" s="245" t="s">
        <v>61</v>
      </c>
      <c r="D643" s="245" t="s">
        <v>62</v>
      </c>
      <c r="E643" s="245">
        <v>1200</v>
      </c>
      <c r="F643" s="245" t="s">
        <v>116</v>
      </c>
      <c r="G643" s="266" t="s">
        <v>52</v>
      </c>
      <c r="H643" s="245" t="s">
        <v>33</v>
      </c>
      <c r="I643" s="245" t="s">
        <v>1188</v>
      </c>
      <c r="J643" s="245" t="s">
        <v>34</v>
      </c>
      <c r="K643" s="245">
        <v>1990</v>
      </c>
      <c r="L643" s="245" t="s">
        <v>55</v>
      </c>
      <c r="M643" s="245"/>
      <c r="N643" s="245"/>
      <c r="O643" s="269" t="s">
        <v>1186</v>
      </c>
      <c r="P643" s="19" t="s">
        <v>122</v>
      </c>
      <c r="Q643" s="55" t="s">
        <v>38</v>
      </c>
      <c r="R643" s="19" t="s">
        <v>38</v>
      </c>
      <c r="S643" s="19" t="s">
        <v>38</v>
      </c>
      <c r="T643" s="55" t="s">
        <v>38</v>
      </c>
      <c r="U643" s="55"/>
      <c r="V643" s="391" t="s">
        <v>968</v>
      </c>
      <c r="W643" s="392" t="s">
        <v>967</v>
      </c>
      <c r="X643" s="392" t="s">
        <v>966</v>
      </c>
      <c r="Y643" s="392" t="s">
        <v>965</v>
      </c>
      <c r="Z643" s="199"/>
      <c r="AA643" s="199"/>
      <c r="AB643" s="199"/>
      <c r="AC643" s="199"/>
      <c r="AD643" t="s">
        <v>783</v>
      </c>
      <c r="AE643" s="27"/>
      <c r="AF643" s="13"/>
      <c r="AG643" s="13"/>
      <c r="AH643" s="13"/>
      <c r="AI643" s="13"/>
      <c r="AJ643" s="13"/>
      <c r="AK643" s="13"/>
      <c r="AL643" s="13"/>
      <c r="AM643" s="13"/>
      <c r="AN643" s="28"/>
    </row>
    <row r="644" spans="1:40" ht="13" hidden="1" customHeight="1">
      <c r="A644">
        <v>496</v>
      </c>
      <c r="B644" s="245" t="s">
        <v>462</v>
      </c>
      <c r="C644" s="245" t="s">
        <v>61</v>
      </c>
      <c r="D644" s="245" t="s">
        <v>62</v>
      </c>
      <c r="E644" s="245">
        <v>1200</v>
      </c>
      <c r="F644" s="245" t="s">
        <v>116</v>
      </c>
      <c r="G644" s="266" t="s">
        <v>52</v>
      </c>
      <c r="H644" s="245" t="s">
        <v>33</v>
      </c>
      <c r="I644" s="245" t="s">
        <v>1189</v>
      </c>
      <c r="J644" s="245" t="s">
        <v>34</v>
      </c>
      <c r="K644" s="245">
        <v>1990</v>
      </c>
      <c r="L644" s="245" t="s">
        <v>55</v>
      </c>
      <c r="M644" s="245"/>
      <c r="N644" s="245"/>
      <c r="O644" s="269"/>
      <c r="P644" s="19" t="s">
        <v>122</v>
      </c>
      <c r="Q644" s="55" t="s">
        <v>38</v>
      </c>
      <c r="R644" s="19" t="s">
        <v>38</v>
      </c>
      <c r="S644" s="19" t="s">
        <v>38</v>
      </c>
      <c r="T644" s="55" t="s">
        <v>38</v>
      </c>
      <c r="U644" s="55"/>
      <c r="V644" s="391"/>
      <c r="W644" s="392"/>
      <c r="X644" s="392"/>
      <c r="Y644" s="392"/>
      <c r="Z644" s="199"/>
      <c r="AA644" s="199"/>
      <c r="AB644" s="199"/>
      <c r="AC644" s="199"/>
      <c r="AE644" s="27"/>
      <c r="AF644" s="13"/>
      <c r="AG644" s="13"/>
      <c r="AH644" s="13"/>
      <c r="AI644" s="13"/>
      <c r="AJ644" s="13"/>
      <c r="AK644" s="13"/>
      <c r="AL644" s="13"/>
      <c r="AM644" s="13"/>
      <c r="AN644" s="28"/>
    </row>
    <row r="645" spans="1:40" ht="13" hidden="1" customHeight="1">
      <c r="A645">
        <v>539</v>
      </c>
      <c r="B645" t="s">
        <v>497</v>
      </c>
      <c r="C645" s="141" t="s">
        <v>61</v>
      </c>
      <c r="D645" s="141" t="s">
        <v>62</v>
      </c>
      <c r="E645">
        <v>1000</v>
      </c>
      <c r="F645" t="s">
        <v>217</v>
      </c>
      <c r="G645" s="182" t="s">
        <v>57</v>
      </c>
      <c r="H645" t="s">
        <v>33</v>
      </c>
      <c r="I645">
        <f>4140*1000000</f>
        <v>4140000000</v>
      </c>
      <c r="J645" t="s">
        <v>34</v>
      </c>
      <c r="K645">
        <v>2003</v>
      </c>
      <c r="L645" s="184" t="s">
        <v>498</v>
      </c>
      <c r="M645" s="184"/>
      <c r="N645" s="184"/>
      <c r="O645" s="11"/>
      <c r="P645" s="2">
        <v>0.75</v>
      </c>
      <c r="Q645" s="19" t="s">
        <v>38</v>
      </c>
      <c r="R645" s="19" t="s">
        <v>38</v>
      </c>
      <c r="S645" s="19" t="s">
        <v>38</v>
      </c>
      <c r="T645" s="55" t="s">
        <v>38</v>
      </c>
      <c r="U645" s="55"/>
      <c r="V645" s="391"/>
      <c r="W645" s="392"/>
      <c r="X645" s="392"/>
      <c r="Y645" s="392"/>
      <c r="Z645" s="199"/>
      <c r="AA645" s="199"/>
      <c r="AB645" s="199"/>
      <c r="AC645" s="199"/>
      <c r="AE645" s="27"/>
      <c r="AF645" s="13"/>
      <c r="AG645" s="13"/>
      <c r="AH645" s="13"/>
      <c r="AI645" s="13"/>
      <c r="AJ645" s="13"/>
      <c r="AK645" s="13"/>
      <c r="AL645" s="13"/>
      <c r="AM645" s="13"/>
      <c r="AN645" s="28"/>
    </row>
    <row r="646" spans="1:40" ht="13" hidden="1" customHeight="1">
      <c r="A646">
        <v>540</v>
      </c>
      <c r="B646" t="s">
        <v>500</v>
      </c>
      <c r="C646" s="141" t="s">
        <v>61</v>
      </c>
      <c r="D646" s="156" t="s">
        <v>62</v>
      </c>
      <c r="E646">
        <v>2000</v>
      </c>
      <c r="F646" t="s">
        <v>217</v>
      </c>
      <c r="G646" s="182" t="s">
        <v>57</v>
      </c>
      <c r="H646" t="s">
        <v>33</v>
      </c>
      <c r="I646">
        <f>7270*1000000</f>
        <v>7270000000</v>
      </c>
      <c r="J646" t="s">
        <v>34</v>
      </c>
      <c r="K646">
        <v>2003</v>
      </c>
      <c r="L646" s="184" t="s">
        <v>498</v>
      </c>
      <c r="M646" s="184"/>
      <c r="N646" s="184"/>
      <c r="O646" s="11"/>
      <c r="P646" s="2">
        <v>0.75</v>
      </c>
      <c r="Q646" s="19" t="s">
        <v>38</v>
      </c>
      <c r="R646" s="19" t="s">
        <v>38</v>
      </c>
      <c r="S646" s="19" t="s">
        <v>38</v>
      </c>
      <c r="T646" s="55" t="s">
        <v>38</v>
      </c>
      <c r="U646" s="55"/>
      <c r="V646" s="391"/>
      <c r="W646" s="392"/>
      <c r="X646" s="392"/>
      <c r="Y646" s="392"/>
      <c r="Z646" s="199"/>
      <c r="AA646" s="199"/>
      <c r="AB646" s="199"/>
      <c r="AC646" s="199"/>
      <c r="AE646" s="27"/>
      <c r="AF646" s="13"/>
      <c r="AG646" s="13"/>
      <c r="AH646" s="13"/>
      <c r="AI646" s="13"/>
      <c r="AJ646" s="13"/>
      <c r="AK646" s="13"/>
      <c r="AL646" s="13"/>
      <c r="AM646" s="13"/>
      <c r="AN646" s="28"/>
    </row>
    <row r="647" spans="1:40" ht="13" hidden="1" customHeight="1">
      <c r="A647">
        <v>541</v>
      </c>
      <c r="B647" t="s">
        <v>501</v>
      </c>
      <c r="C647" s="141" t="s">
        <v>61</v>
      </c>
      <c r="D647" s="141" t="s">
        <v>278</v>
      </c>
      <c r="E647">
        <v>1000</v>
      </c>
      <c r="F647" t="s">
        <v>217</v>
      </c>
      <c r="G647" s="182" t="s">
        <v>57</v>
      </c>
      <c r="H647" t="s">
        <v>33</v>
      </c>
      <c r="I647">
        <f>5020*1000000</f>
        <v>5020000000</v>
      </c>
      <c r="J647" t="s">
        <v>34</v>
      </c>
      <c r="K647">
        <v>2003</v>
      </c>
      <c r="L647" s="184" t="s">
        <v>498</v>
      </c>
      <c r="M647" s="184"/>
      <c r="N647" s="184"/>
      <c r="O647" s="11"/>
      <c r="P647" s="2">
        <v>0.75</v>
      </c>
      <c r="Q647" t="s">
        <v>430</v>
      </c>
      <c r="R647" s="19" t="s">
        <v>38</v>
      </c>
      <c r="S647" s="19" t="s">
        <v>38</v>
      </c>
      <c r="T647" s="55" t="s">
        <v>38</v>
      </c>
      <c r="U647" s="55"/>
      <c r="V647" s="391"/>
      <c r="W647" s="392"/>
      <c r="X647" s="392"/>
      <c r="Y647" s="392"/>
      <c r="Z647" s="199"/>
      <c r="AA647" s="199"/>
      <c r="AB647" s="199"/>
      <c r="AC647" s="199"/>
      <c r="AE647" s="27"/>
      <c r="AF647" s="13"/>
      <c r="AG647" s="13"/>
      <c r="AH647" s="13"/>
      <c r="AI647" s="13"/>
      <c r="AJ647" s="13"/>
      <c r="AK647" s="13"/>
      <c r="AL647" s="13"/>
      <c r="AM647" s="13"/>
      <c r="AN647" s="28"/>
    </row>
    <row r="648" spans="1:40" ht="13" hidden="1" customHeight="1">
      <c r="A648">
        <v>542</v>
      </c>
      <c r="B648" t="s">
        <v>502</v>
      </c>
      <c r="C648" s="141" t="s">
        <v>61</v>
      </c>
      <c r="D648" s="141" t="s">
        <v>278</v>
      </c>
      <c r="E648">
        <v>2000</v>
      </c>
      <c r="F648" t="s">
        <v>217</v>
      </c>
      <c r="G648" s="182" t="s">
        <v>57</v>
      </c>
      <c r="H648" t="s">
        <v>33</v>
      </c>
      <c r="I648">
        <f>8010*1000000</f>
        <v>8010000000</v>
      </c>
      <c r="J648" t="s">
        <v>34</v>
      </c>
      <c r="K648">
        <v>2003</v>
      </c>
      <c r="L648" s="184" t="s">
        <v>498</v>
      </c>
      <c r="M648" s="184"/>
      <c r="N648" s="184"/>
      <c r="O648" s="11"/>
      <c r="P648" s="2">
        <v>0.75</v>
      </c>
      <c r="Q648" t="s">
        <v>430</v>
      </c>
      <c r="R648" s="19" t="s">
        <v>38</v>
      </c>
      <c r="S648" s="19" t="s">
        <v>38</v>
      </c>
      <c r="T648" s="55" t="s">
        <v>38</v>
      </c>
      <c r="U648" s="55"/>
      <c r="V648" s="391"/>
      <c r="W648" s="392"/>
      <c r="X648" s="392"/>
      <c r="Y648" s="392"/>
      <c r="Z648" s="199"/>
      <c r="AA648" s="199"/>
      <c r="AB648" s="199"/>
      <c r="AC648" s="199"/>
      <c r="AE648" s="27"/>
      <c r="AF648" s="13"/>
      <c r="AG648" s="13"/>
      <c r="AH648" s="13"/>
      <c r="AI648" s="13"/>
      <c r="AJ648" s="13"/>
      <c r="AK648" s="13"/>
      <c r="AL648" s="13"/>
      <c r="AM648" s="13"/>
      <c r="AN648" s="28"/>
    </row>
    <row r="649" spans="1:40" ht="13" hidden="1" customHeight="1">
      <c r="A649">
        <v>543</v>
      </c>
      <c r="B649" s="141" t="s">
        <v>497</v>
      </c>
      <c r="C649" s="141" t="s">
        <v>61</v>
      </c>
      <c r="D649" s="141" t="s">
        <v>62</v>
      </c>
      <c r="E649" s="142">
        <v>1000</v>
      </c>
      <c r="F649" s="141" t="s">
        <v>217</v>
      </c>
      <c r="G649" s="182" t="s">
        <v>57</v>
      </c>
      <c r="H649" s="141" t="s">
        <v>33</v>
      </c>
      <c r="I649" s="142">
        <v>5112000000</v>
      </c>
      <c r="J649" s="141" t="s">
        <v>34</v>
      </c>
      <c r="K649" s="142">
        <v>2003</v>
      </c>
      <c r="L649" s="184" t="s">
        <v>503</v>
      </c>
      <c r="M649" s="184"/>
      <c r="N649" s="184"/>
      <c r="O649" s="11" t="s">
        <v>504</v>
      </c>
      <c r="P649" s="2">
        <v>0.75</v>
      </c>
      <c r="Q649" t="s">
        <v>430</v>
      </c>
      <c r="R649" s="19" t="s">
        <v>38</v>
      </c>
      <c r="S649" s="13" t="s">
        <v>487</v>
      </c>
      <c r="T649" s="55" t="s">
        <v>38</v>
      </c>
      <c r="U649" s="55"/>
      <c r="V649" s="391"/>
      <c r="W649" s="392"/>
      <c r="X649" s="392"/>
      <c r="Y649" s="392"/>
      <c r="Z649" s="199"/>
      <c r="AA649" s="199"/>
      <c r="AB649" s="199"/>
      <c r="AC649" s="199"/>
      <c r="AE649" s="27"/>
      <c r="AF649" s="13"/>
      <c r="AG649" s="13"/>
      <c r="AH649" s="13"/>
      <c r="AI649" s="13"/>
      <c r="AJ649" s="13"/>
      <c r="AK649" s="13"/>
      <c r="AL649" s="13"/>
      <c r="AM649" s="13"/>
      <c r="AN649" s="28"/>
    </row>
    <row r="650" spans="1:40" ht="13" hidden="1" customHeight="1">
      <c r="A650">
        <v>544</v>
      </c>
      <c r="B650" s="156" t="s">
        <v>505</v>
      </c>
      <c r="C650" s="156" t="s">
        <v>61</v>
      </c>
      <c r="D650" s="156" t="s">
        <v>107</v>
      </c>
      <c r="E650" s="158">
        <v>1000</v>
      </c>
      <c r="F650" s="141" t="s">
        <v>217</v>
      </c>
      <c r="G650" s="182" t="s">
        <v>57</v>
      </c>
      <c r="H650" s="156" t="s">
        <v>33</v>
      </c>
      <c r="I650" s="158">
        <v>5582000000</v>
      </c>
      <c r="J650" s="141" t="s">
        <v>34</v>
      </c>
      <c r="K650" s="142">
        <v>2003</v>
      </c>
      <c r="L650" s="184" t="s">
        <v>503</v>
      </c>
      <c r="M650" s="184"/>
      <c r="N650" s="184"/>
      <c r="O650" s="11" t="s">
        <v>504</v>
      </c>
      <c r="P650" s="2">
        <v>0.75</v>
      </c>
      <c r="Q650" t="s">
        <v>430</v>
      </c>
      <c r="R650" s="19" t="s">
        <v>38</v>
      </c>
      <c r="S650" s="13" t="s">
        <v>487</v>
      </c>
      <c r="T650" s="55" t="s">
        <v>38</v>
      </c>
      <c r="U650" s="55"/>
      <c r="V650" s="391"/>
      <c r="W650" s="392"/>
      <c r="X650" s="392"/>
      <c r="Y650" s="392"/>
      <c r="Z650" s="199"/>
      <c r="AA650" s="199"/>
      <c r="AB650" s="199"/>
      <c r="AC650" s="199"/>
      <c r="AE650" s="27"/>
      <c r="AF650" s="13"/>
      <c r="AG650" s="13"/>
      <c r="AH650" s="13"/>
      <c r="AI650" s="13"/>
      <c r="AJ650" s="13"/>
      <c r="AK650" s="13"/>
      <c r="AL650" s="13"/>
      <c r="AM650" s="13"/>
      <c r="AN650" s="28"/>
    </row>
    <row r="651" spans="1:40" ht="13" hidden="1" customHeight="1">
      <c r="A651">
        <v>545</v>
      </c>
      <c r="B651" s="141" t="s">
        <v>501</v>
      </c>
      <c r="C651" s="141" t="s">
        <v>61</v>
      </c>
      <c r="D651" s="141" t="s">
        <v>278</v>
      </c>
      <c r="E651" s="142">
        <v>1000</v>
      </c>
      <c r="F651" s="141" t="s">
        <v>217</v>
      </c>
      <c r="G651" s="182" t="s">
        <v>57</v>
      </c>
      <c r="H651" s="141" t="s">
        <v>33</v>
      </c>
      <c r="I651" s="157">
        <v>6239000000</v>
      </c>
      <c r="J651" s="141" t="s">
        <v>34</v>
      </c>
      <c r="K651" s="142">
        <v>2003</v>
      </c>
      <c r="L651" s="184" t="s">
        <v>503</v>
      </c>
      <c r="M651" s="184"/>
      <c r="N651" s="184"/>
      <c r="O651" s="11" t="s">
        <v>504</v>
      </c>
      <c r="P651" s="2">
        <v>0.75</v>
      </c>
      <c r="Q651" t="s">
        <v>430</v>
      </c>
      <c r="R651" s="19" t="s">
        <v>38</v>
      </c>
      <c r="S651" s="13" t="s">
        <v>487</v>
      </c>
      <c r="T651" s="55" t="s">
        <v>38</v>
      </c>
      <c r="U651" s="55"/>
      <c r="V651" s="391" t="s">
        <v>1029</v>
      </c>
      <c r="W651" s="392" t="s">
        <v>1019</v>
      </c>
      <c r="X651" s="392" t="s">
        <v>1020</v>
      </c>
      <c r="Y651" s="396" t="s">
        <v>871</v>
      </c>
      <c r="Z651" s="200"/>
      <c r="AA651" s="200"/>
      <c r="AB651" s="200"/>
      <c r="AC651" s="200"/>
      <c r="AE651" s="27"/>
      <c r="AF651" s="13"/>
      <c r="AG651" s="13"/>
      <c r="AH651" s="13"/>
      <c r="AI651" s="13"/>
      <c r="AJ651" s="13"/>
      <c r="AK651" s="13"/>
      <c r="AL651" s="13"/>
      <c r="AM651" s="13"/>
      <c r="AN651" s="28"/>
    </row>
    <row r="652" spans="1:40" ht="13" customHeight="1">
      <c r="A652">
        <v>448</v>
      </c>
      <c r="B652" s="5" t="s">
        <v>426</v>
      </c>
      <c r="C652" s="5" t="s">
        <v>61</v>
      </c>
      <c r="D652" s="5" t="s">
        <v>62</v>
      </c>
      <c r="E652" s="5">
        <v>1080</v>
      </c>
      <c r="F652" s="5" t="s">
        <v>31</v>
      </c>
      <c r="G652" s="5" t="s">
        <v>32</v>
      </c>
      <c r="H652" s="5" t="s">
        <v>33</v>
      </c>
      <c r="I652" s="278">
        <f>(5779.7-731.6-819.4)*1000000</f>
        <v>4228700000</v>
      </c>
      <c r="J652" s="5" t="s">
        <v>34</v>
      </c>
      <c r="K652" s="5">
        <v>2003</v>
      </c>
      <c r="L652" s="5" t="s">
        <v>427</v>
      </c>
      <c r="M652" s="5"/>
      <c r="N652" s="5"/>
      <c r="O652" s="278" t="s">
        <v>389</v>
      </c>
      <c r="P652" s="147">
        <v>0.75</v>
      </c>
      <c r="Q652" s="5" t="s">
        <v>84</v>
      </c>
      <c r="R652" s="19" t="s">
        <v>38</v>
      </c>
      <c r="S652" s="5">
        <v>731600000</v>
      </c>
      <c r="T652" s="55" t="s">
        <v>38</v>
      </c>
      <c r="U652" s="55"/>
      <c r="V652" s="391"/>
      <c r="W652" s="395"/>
      <c r="X652" s="395"/>
      <c r="Y652" s="396"/>
      <c r="Z652" s="195"/>
      <c r="AA652" s="195"/>
      <c r="AB652" s="195"/>
      <c r="AC652" s="195"/>
      <c r="AE652" s="27"/>
      <c r="AF652" s="13"/>
      <c r="AG652" s="13"/>
      <c r="AH652" s="13"/>
      <c r="AI652" s="13"/>
      <c r="AJ652" s="13"/>
      <c r="AK652" s="13"/>
      <c r="AL652" s="13"/>
      <c r="AM652" s="13"/>
      <c r="AN652" s="28"/>
    </row>
    <row r="653" spans="1:40" ht="13" customHeight="1">
      <c r="B653" t="s">
        <v>741</v>
      </c>
      <c r="C653" t="s">
        <v>61</v>
      </c>
      <c r="D653" t="s">
        <v>62</v>
      </c>
      <c r="E653">
        <v>1000</v>
      </c>
      <c r="F653" t="s">
        <v>31</v>
      </c>
      <c r="G653" t="s">
        <v>52</v>
      </c>
      <c r="H653" t="s">
        <v>76</v>
      </c>
      <c r="I653" s="288">
        <f>(5229/1.15)*(1.375)</f>
        <v>6252.0652173913049</v>
      </c>
      <c r="J653" t="s">
        <v>189</v>
      </c>
      <c r="K653">
        <v>2010</v>
      </c>
      <c r="L653" t="s">
        <v>732</v>
      </c>
      <c r="O653" s="11" t="s">
        <v>1216</v>
      </c>
      <c r="P653" s="148">
        <v>0.85</v>
      </c>
      <c r="Q653" s="5" t="s">
        <v>740</v>
      </c>
      <c r="R653" s="19"/>
      <c r="S653" s="19">
        <f>(5229-4546.96)*1000000</f>
        <v>682040000</v>
      </c>
      <c r="T653" s="55"/>
      <c r="U653" s="55"/>
      <c r="V653" s="391"/>
      <c r="W653" s="395"/>
      <c r="X653" s="395"/>
      <c r="Y653" s="396"/>
      <c r="Z653" s="195"/>
      <c r="AA653" s="195"/>
      <c r="AB653" s="195"/>
      <c r="AC653" s="195"/>
      <c r="AE653" s="27"/>
      <c r="AF653" s="13"/>
      <c r="AG653" s="13"/>
      <c r="AH653" s="13"/>
      <c r="AI653" s="13"/>
      <c r="AJ653" s="13"/>
      <c r="AK653" s="13"/>
      <c r="AL653" s="13"/>
      <c r="AM653" s="13"/>
      <c r="AN653" s="28"/>
    </row>
    <row r="654" spans="1:40" ht="13" customHeight="1">
      <c r="B654" t="s">
        <v>738</v>
      </c>
      <c r="C654" t="s">
        <v>61</v>
      </c>
      <c r="D654" t="s">
        <v>62</v>
      </c>
      <c r="E654">
        <v>1000</v>
      </c>
      <c r="F654" t="s">
        <v>31</v>
      </c>
      <c r="G654" t="s">
        <v>32</v>
      </c>
      <c r="H654" t="s">
        <v>76</v>
      </c>
      <c r="I654" s="288">
        <f>(3768/1.15)*(1.625)</f>
        <v>5324.347826086957</v>
      </c>
      <c r="J654" t="s">
        <v>189</v>
      </c>
      <c r="K654">
        <v>2010</v>
      </c>
      <c r="L654" t="s">
        <v>732</v>
      </c>
      <c r="O654" s="11" t="s">
        <v>1231</v>
      </c>
      <c r="P654" s="55" t="s">
        <v>38</v>
      </c>
      <c r="Q654" s="5" t="s">
        <v>104</v>
      </c>
      <c r="R654" s="19"/>
      <c r="S654" s="19">
        <f>(3768-3276.52)*1000000</f>
        <v>491480000</v>
      </c>
      <c r="T654" s="55"/>
      <c r="U654" s="55"/>
      <c r="V654" s="391"/>
      <c r="W654" s="395"/>
      <c r="X654" s="395"/>
      <c r="Y654" s="396"/>
      <c r="Z654" s="195"/>
      <c r="AA654" s="195"/>
      <c r="AB654" s="195"/>
      <c r="AC654" s="195"/>
      <c r="AE654" s="27"/>
      <c r="AF654" s="13"/>
      <c r="AG654" s="13"/>
      <c r="AH654" s="13"/>
      <c r="AI654" s="13"/>
      <c r="AJ654" s="13"/>
      <c r="AK654" s="13"/>
      <c r="AL654" s="13"/>
      <c r="AM654" s="13"/>
      <c r="AN654" s="28"/>
    </row>
    <row r="655" spans="1:40" ht="25.9" customHeight="1">
      <c r="A655">
        <v>453</v>
      </c>
      <c r="B655" t="s">
        <v>200</v>
      </c>
      <c r="C655" t="s">
        <v>61</v>
      </c>
      <c r="D655" t="s">
        <v>62</v>
      </c>
      <c r="E655">
        <v>1000</v>
      </c>
      <c r="F655" t="s">
        <v>31</v>
      </c>
      <c r="G655" t="s">
        <v>52</v>
      </c>
      <c r="H655" t="s">
        <v>76</v>
      </c>
      <c r="I655" s="288">
        <f>(3911/1.15)*(1.44)</f>
        <v>4897.2521739130434</v>
      </c>
      <c r="J655" t="s">
        <v>189</v>
      </c>
      <c r="K655">
        <v>2010</v>
      </c>
      <c r="L655" t="s">
        <v>732</v>
      </c>
      <c r="O655" s="11" t="s">
        <v>1232</v>
      </c>
      <c r="P655" s="148">
        <v>0.85</v>
      </c>
      <c r="Q655" t="s">
        <v>84</v>
      </c>
      <c r="R655" s="19" t="s">
        <v>38</v>
      </c>
      <c r="S655" s="19">
        <f>(3911-3400.87)*1000000</f>
        <v>510130000.00000012</v>
      </c>
      <c r="T655" s="55" t="s">
        <v>38</v>
      </c>
      <c r="U655" s="55"/>
      <c r="V655" s="391"/>
      <c r="W655" s="395"/>
      <c r="X655" s="395"/>
      <c r="Y655" s="396"/>
      <c r="Z655" s="195"/>
      <c r="AA655" s="195"/>
      <c r="AB655" s="195"/>
      <c r="AC655" s="195"/>
      <c r="AE655" s="27"/>
      <c r="AF655" s="13"/>
      <c r="AG655" s="13"/>
      <c r="AH655" s="13"/>
      <c r="AI655" s="13"/>
      <c r="AJ655" s="13"/>
      <c r="AK655" s="13"/>
      <c r="AL655" s="13"/>
      <c r="AM655" s="13"/>
      <c r="AN655" s="28"/>
    </row>
    <row r="656" spans="1:40" ht="18" customHeight="1">
      <c r="B656" t="s">
        <v>737</v>
      </c>
      <c r="C656" t="s">
        <v>61</v>
      </c>
      <c r="D656" t="s">
        <v>62</v>
      </c>
      <c r="E656">
        <v>1000</v>
      </c>
      <c r="F656" t="s">
        <v>31</v>
      </c>
      <c r="G656" t="s">
        <v>52</v>
      </c>
      <c r="H656" t="s">
        <v>76</v>
      </c>
      <c r="I656" s="288">
        <f>(2547/1.15)*(1.375)</f>
        <v>3045.326086956522</v>
      </c>
      <c r="J656" t="s">
        <v>189</v>
      </c>
      <c r="K656">
        <v>2010</v>
      </c>
      <c r="L656" t="s">
        <v>732</v>
      </c>
      <c r="O656" s="11" t="s">
        <v>1233</v>
      </c>
      <c r="P656" s="148">
        <v>0.85</v>
      </c>
      <c r="Q656" t="s">
        <v>84</v>
      </c>
      <c r="R656" s="19"/>
      <c r="S656" s="19">
        <f>(3303-2872.17)*1000000</f>
        <v>430829999.99999994</v>
      </c>
      <c r="T656" s="55"/>
      <c r="U656" s="55"/>
      <c r="V656" s="391"/>
      <c r="W656" s="395"/>
      <c r="X656" s="395"/>
      <c r="Y656" s="396"/>
      <c r="Z656" s="195"/>
      <c r="AA656" s="195"/>
      <c r="AB656" s="195"/>
      <c r="AC656" s="195"/>
      <c r="AE656" s="27"/>
      <c r="AF656" s="13"/>
      <c r="AG656" s="13"/>
      <c r="AH656" s="13"/>
      <c r="AI656" s="13"/>
      <c r="AJ656" s="13"/>
      <c r="AK656" s="13"/>
      <c r="AL656" s="13"/>
      <c r="AM656" s="13"/>
      <c r="AN656" s="28"/>
    </row>
    <row r="657" spans="1:40" ht="10.5" customHeight="1">
      <c r="A657">
        <v>454</v>
      </c>
      <c r="B657" t="s">
        <v>736</v>
      </c>
      <c r="C657" t="s">
        <v>61</v>
      </c>
      <c r="D657" t="s">
        <v>62</v>
      </c>
      <c r="E657">
        <v>1000</v>
      </c>
      <c r="F657" t="s">
        <v>31</v>
      </c>
      <c r="G657" t="s">
        <v>52</v>
      </c>
      <c r="H657" t="s">
        <v>76</v>
      </c>
      <c r="I657" s="288">
        <f>(3303/1.15)*(1.375)</f>
        <v>3949.239130434783</v>
      </c>
      <c r="J657" t="s">
        <v>189</v>
      </c>
      <c r="K657">
        <v>2010</v>
      </c>
      <c r="L657" t="s">
        <v>732</v>
      </c>
      <c r="O657" s="11" t="s">
        <v>1233</v>
      </c>
      <c r="P657" s="148">
        <v>0.85</v>
      </c>
      <c r="Q657" t="s">
        <v>84</v>
      </c>
      <c r="R657" s="19" t="s">
        <v>38</v>
      </c>
      <c r="S657" s="19">
        <f>(2547-2214.78)*1000000</f>
        <v>332219999.99999982</v>
      </c>
      <c r="T657" s="55" t="s">
        <v>38</v>
      </c>
      <c r="U657" s="55"/>
      <c r="V657" s="391"/>
      <c r="W657" s="395"/>
      <c r="X657" s="395"/>
      <c r="Y657" s="396"/>
      <c r="Z657" s="195"/>
      <c r="AA657" s="195"/>
      <c r="AB657" s="195"/>
      <c r="AC657" s="195"/>
      <c r="AE657" s="27"/>
      <c r="AF657" s="13"/>
      <c r="AG657" s="13"/>
      <c r="AH657" s="13"/>
      <c r="AI657" s="13"/>
      <c r="AJ657" s="13"/>
      <c r="AK657" s="13"/>
      <c r="AL657" s="13"/>
      <c r="AM657" s="13"/>
      <c r="AN657" s="28"/>
    </row>
    <row r="658" spans="1:40" ht="13" hidden="1" customHeight="1">
      <c r="A658">
        <v>552</v>
      </c>
      <c r="B658" s="141" t="s">
        <v>497</v>
      </c>
      <c r="C658" s="141" t="s">
        <v>61</v>
      </c>
      <c r="D658" s="141" t="s">
        <v>62</v>
      </c>
      <c r="E658" s="142">
        <v>1000</v>
      </c>
      <c r="F658" s="141" t="s">
        <v>493</v>
      </c>
      <c r="G658" s="182" t="s">
        <v>57</v>
      </c>
      <c r="H658" s="141" t="s">
        <v>76</v>
      </c>
      <c r="I658" s="157">
        <v>0.6</v>
      </c>
      <c r="J658" s="141" t="s">
        <v>77</v>
      </c>
      <c r="K658" s="142">
        <v>2003</v>
      </c>
      <c r="L658" s="184" t="s">
        <v>503</v>
      </c>
      <c r="M658" s="184"/>
      <c r="N658" s="184"/>
      <c r="O658" s="11" t="s">
        <v>504</v>
      </c>
      <c r="P658" s="19" t="s">
        <v>122</v>
      </c>
      <c r="Q658" s="55" t="s">
        <v>38</v>
      </c>
      <c r="R658" s="19" t="s">
        <v>38</v>
      </c>
      <c r="S658" s="19" t="s">
        <v>38</v>
      </c>
      <c r="T658" s="55" t="s">
        <v>38</v>
      </c>
      <c r="U658" s="55"/>
      <c r="V658" s="391"/>
      <c r="W658" s="395"/>
      <c r="X658" s="395"/>
      <c r="Y658" s="396"/>
      <c r="Z658" s="195"/>
      <c r="AA658" s="195"/>
      <c r="AB658" s="195"/>
      <c r="AC658" s="195"/>
      <c r="AE658" s="27"/>
      <c r="AF658" s="13"/>
      <c r="AG658" s="13"/>
      <c r="AH658" s="13"/>
      <c r="AI658" s="13"/>
      <c r="AJ658" s="13"/>
      <c r="AK658" s="13"/>
      <c r="AL658" s="13"/>
      <c r="AM658" s="13"/>
      <c r="AN658" s="28"/>
    </row>
    <row r="659" spans="1:40" ht="13" hidden="1" customHeight="1">
      <c r="A659">
        <v>553</v>
      </c>
      <c r="B659" s="141" t="s">
        <v>505</v>
      </c>
      <c r="C659" s="141" t="s">
        <v>61</v>
      </c>
      <c r="D659" s="156" t="s">
        <v>107</v>
      </c>
      <c r="E659" s="142">
        <v>1000</v>
      </c>
      <c r="F659" s="141" t="s">
        <v>493</v>
      </c>
      <c r="G659" s="182" t="s">
        <v>57</v>
      </c>
      <c r="H659" s="141" t="s">
        <v>76</v>
      </c>
      <c r="I659" s="157">
        <v>0.6</v>
      </c>
      <c r="J659" s="141" t="s">
        <v>77</v>
      </c>
      <c r="K659" s="142">
        <v>2003</v>
      </c>
      <c r="L659" s="184" t="s">
        <v>503</v>
      </c>
      <c r="M659" s="184"/>
      <c r="N659" s="184"/>
      <c r="O659" s="11" t="s">
        <v>504</v>
      </c>
      <c r="P659" s="19" t="s">
        <v>122</v>
      </c>
      <c r="Q659" s="55" t="s">
        <v>38</v>
      </c>
      <c r="R659" s="19" t="s">
        <v>38</v>
      </c>
      <c r="S659" s="19" t="s">
        <v>38</v>
      </c>
      <c r="T659" s="55" t="s">
        <v>38</v>
      </c>
      <c r="U659" s="55"/>
      <c r="V659" s="391" t="s">
        <v>1029</v>
      </c>
      <c r="W659" s="392" t="s">
        <v>931</v>
      </c>
      <c r="X659" s="392" t="s">
        <v>932</v>
      </c>
      <c r="Y659" s="392" t="s">
        <v>933</v>
      </c>
      <c r="Z659" s="195"/>
      <c r="AA659" s="195"/>
      <c r="AB659" s="195"/>
      <c r="AC659" s="195"/>
      <c r="AE659" s="27"/>
      <c r="AF659" s="13"/>
      <c r="AG659" s="13"/>
      <c r="AH659" s="13"/>
      <c r="AI659" s="13"/>
      <c r="AJ659" s="13"/>
      <c r="AK659" s="13"/>
      <c r="AL659" s="13"/>
      <c r="AM659" s="13"/>
      <c r="AN659" s="28"/>
    </row>
    <row r="660" spans="1:40" ht="17.5" hidden="1" customHeight="1">
      <c r="A660">
        <v>554</v>
      </c>
      <c r="B660" s="141" t="s">
        <v>501</v>
      </c>
      <c r="C660" s="141" t="s">
        <v>61</v>
      </c>
      <c r="D660" s="141" t="s">
        <v>278</v>
      </c>
      <c r="E660" s="142">
        <v>1000</v>
      </c>
      <c r="F660" s="141" t="s">
        <v>493</v>
      </c>
      <c r="G660" s="182" t="s">
        <v>57</v>
      </c>
      <c r="H660" s="141" t="s">
        <v>76</v>
      </c>
      <c r="I660" s="157">
        <v>0.6</v>
      </c>
      <c r="J660" s="141" t="s">
        <v>77</v>
      </c>
      <c r="K660" s="142">
        <v>2003</v>
      </c>
      <c r="L660" s="184" t="s">
        <v>503</v>
      </c>
      <c r="M660" s="184"/>
      <c r="N660" s="184"/>
      <c r="O660" s="11" t="s">
        <v>504</v>
      </c>
      <c r="P660" s="19" t="s">
        <v>122</v>
      </c>
      <c r="Q660" s="55" t="s">
        <v>38</v>
      </c>
      <c r="R660" s="19" t="s">
        <v>38</v>
      </c>
      <c r="S660" s="19" t="s">
        <v>38</v>
      </c>
      <c r="T660" s="55" t="s">
        <v>38</v>
      </c>
      <c r="U660" s="55"/>
      <c r="V660" s="391"/>
      <c r="W660" s="392"/>
      <c r="X660" s="392"/>
      <c r="Y660" s="392"/>
      <c r="Z660" s="199"/>
      <c r="AA660" s="199"/>
      <c r="AB660" s="199"/>
      <c r="AC660" s="199"/>
      <c r="AE660" s="27"/>
      <c r="AF660" s="13"/>
      <c r="AG660" s="13"/>
      <c r="AH660" s="13"/>
      <c r="AI660" s="13"/>
      <c r="AJ660" s="13"/>
      <c r="AK660" s="13"/>
      <c r="AL660" s="13"/>
      <c r="AM660" s="13"/>
      <c r="AN660" s="28"/>
    </row>
    <row r="661" spans="1:40" ht="34.5" hidden="1" customHeight="1">
      <c r="A661">
        <v>555</v>
      </c>
      <c r="B661" s="141" t="s">
        <v>497</v>
      </c>
      <c r="C661" s="141" t="s">
        <v>61</v>
      </c>
      <c r="D661" s="141" t="s">
        <v>62</v>
      </c>
      <c r="E661" s="142">
        <v>1000</v>
      </c>
      <c r="F661" s="141" t="s">
        <v>115</v>
      </c>
      <c r="G661" s="182" t="s">
        <v>57</v>
      </c>
      <c r="H661" s="141" t="s">
        <v>76</v>
      </c>
      <c r="I661" s="157">
        <v>8.89</v>
      </c>
      <c r="J661" s="141" t="s">
        <v>77</v>
      </c>
      <c r="K661" s="142">
        <v>2003</v>
      </c>
      <c r="L661" s="184" t="s">
        <v>503</v>
      </c>
      <c r="M661" s="184"/>
      <c r="N661" s="184"/>
      <c r="O661" s="11" t="s">
        <v>504</v>
      </c>
      <c r="P661" s="19" t="s">
        <v>122</v>
      </c>
      <c r="Q661" s="55" t="s">
        <v>38</v>
      </c>
      <c r="R661" s="19" t="s">
        <v>38</v>
      </c>
      <c r="S661" s="19" t="s">
        <v>38</v>
      </c>
      <c r="T661" s="55" t="s">
        <v>38</v>
      </c>
      <c r="U661" s="55"/>
      <c r="V661" s="391"/>
      <c r="W661" s="392"/>
      <c r="X661" s="392"/>
      <c r="Y661" s="392"/>
      <c r="Z661" s="199"/>
      <c r="AA661" s="199"/>
      <c r="AB661" s="199"/>
      <c r="AC661" s="199"/>
      <c r="AE661" s="27"/>
      <c r="AF661" s="13"/>
      <c r="AG661" s="13"/>
      <c r="AH661" s="13"/>
      <c r="AI661" s="13"/>
      <c r="AJ661" s="13"/>
      <c r="AK661" s="13"/>
      <c r="AL661" s="13"/>
      <c r="AM661" s="13"/>
      <c r="AN661" s="28"/>
    </row>
    <row r="662" spans="1:40" ht="23.5" hidden="1" customHeight="1">
      <c r="A662">
        <v>556</v>
      </c>
      <c r="B662" s="156" t="s">
        <v>505</v>
      </c>
      <c r="C662" s="156" t="s">
        <v>61</v>
      </c>
      <c r="D662" s="156" t="s">
        <v>107</v>
      </c>
      <c r="E662" s="158">
        <v>1000</v>
      </c>
      <c r="F662" s="141" t="s">
        <v>115</v>
      </c>
      <c r="G662" s="182" t="s">
        <v>57</v>
      </c>
      <c r="H662" s="141" t="s">
        <v>76</v>
      </c>
      <c r="I662" s="159">
        <v>6.18</v>
      </c>
      <c r="J662" s="141" t="s">
        <v>77</v>
      </c>
      <c r="K662" s="142">
        <v>2003</v>
      </c>
      <c r="L662" s="184" t="s">
        <v>503</v>
      </c>
      <c r="M662" s="184"/>
      <c r="N662" s="184"/>
      <c r="O662" s="11" t="s">
        <v>504</v>
      </c>
      <c r="P662" s="19" t="s">
        <v>122</v>
      </c>
      <c r="Q662" s="55" t="s">
        <v>38</v>
      </c>
      <c r="R662" s="19" t="s">
        <v>38</v>
      </c>
      <c r="S662" s="19" t="s">
        <v>38</v>
      </c>
      <c r="T662" s="55" t="s">
        <v>38</v>
      </c>
      <c r="U662" s="55"/>
      <c r="V662" s="391"/>
      <c r="W662" s="392"/>
      <c r="X662" s="392"/>
      <c r="Y662" s="392"/>
      <c r="Z662" s="199"/>
      <c r="AA662" s="199"/>
      <c r="AB662" s="199"/>
      <c r="AC662" s="199"/>
      <c r="AE662" s="27"/>
      <c r="AF662" s="13"/>
      <c r="AG662" s="13"/>
      <c r="AH662" s="13"/>
      <c r="AI662" s="13"/>
      <c r="AJ662" s="13"/>
      <c r="AK662" s="13"/>
      <c r="AL662" s="13"/>
      <c r="AM662" s="13"/>
      <c r="AN662" s="28"/>
    </row>
    <row r="663" spans="1:40" ht="13" hidden="1" customHeight="1">
      <c r="A663">
        <v>557</v>
      </c>
      <c r="B663" s="141" t="s">
        <v>501</v>
      </c>
      <c r="C663" s="141" t="s">
        <v>61</v>
      </c>
      <c r="D663" s="141" t="s">
        <v>278</v>
      </c>
      <c r="E663" s="142">
        <v>1000</v>
      </c>
      <c r="F663" s="141" t="s">
        <v>115</v>
      </c>
      <c r="G663" s="182" t="s">
        <v>57</v>
      </c>
      <c r="H663" s="141" t="s">
        <v>76</v>
      </c>
      <c r="I663" s="157">
        <v>6.9</v>
      </c>
      <c r="J663" s="141" t="s">
        <v>77</v>
      </c>
      <c r="K663" s="142">
        <v>2003</v>
      </c>
      <c r="L663" s="184" t="s">
        <v>503</v>
      </c>
      <c r="M663" s="184"/>
      <c r="N663" s="184"/>
      <c r="O663" s="11" t="s">
        <v>504</v>
      </c>
      <c r="P663" s="19" t="s">
        <v>122</v>
      </c>
      <c r="Q663" s="55" t="s">
        <v>38</v>
      </c>
      <c r="R663" s="19" t="s">
        <v>38</v>
      </c>
      <c r="S663" s="19" t="s">
        <v>38</v>
      </c>
      <c r="T663" s="55" t="s">
        <v>38</v>
      </c>
      <c r="U663" s="55"/>
      <c r="V663" s="391"/>
      <c r="W663" s="392"/>
      <c r="X663" s="392"/>
      <c r="Y663" s="392"/>
      <c r="Z663" s="199"/>
      <c r="AA663" s="199"/>
      <c r="AB663" s="199"/>
      <c r="AC663" s="199"/>
      <c r="AE663" s="27"/>
      <c r="AF663" s="13"/>
      <c r="AG663" s="13"/>
      <c r="AH663" s="13"/>
      <c r="AI663" s="13"/>
      <c r="AJ663" s="13"/>
      <c r="AK663" s="13"/>
      <c r="AL663" s="13"/>
      <c r="AM663" s="13"/>
      <c r="AN663" s="28"/>
    </row>
    <row r="664" spans="1:40" ht="16.5" customHeight="1">
      <c r="A664">
        <v>455</v>
      </c>
      <c r="B664" t="s">
        <v>735</v>
      </c>
      <c r="C664" t="s">
        <v>61</v>
      </c>
      <c r="D664" t="s">
        <v>62</v>
      </c>
      <c r="E664">
        <v>1450</v>
      </c>
      <c r="F664" t="s">
        <v>31</v>
      </c>
      <c r="G664" t="s">
        <v>52</v>
      </c>
      <c r="H664" t="s">
        <v>76</v>
      </c>
      <c r="I664" s="288">
        <f>(5096/1.15)*(1.375)</f>
        <v>6093.04347826087</v>
      </c>
      <c r="J664" t="s">
        <v>189</v>
      </c>
      <c r="K664">
        <v>2010</v>
      </c>
      <c r="L664" t="s">
        <v>732</v>
      </c>
      <c r="O664" s="11" t="s">
        <v>1234</v>
      </c>
      <c r="P664" s="55">
        <v>0.75</v>
      </c>
      <c r="Q664" t="s">
        <v>84</v>
      </c>
      <c r="R664" s="19" t="s">
        <v>38</v>
      </c>
      <c r="S664" s="19">
        <f>(7385-6421.74)*1000000</f>
        <v>963260000.00000024</v>
      </c>
      <c r="T664" s="55" t="s">
        <v>38</v>
      </c>
      <c r="U664" s="55"/>
      <c r="V664" s="391"/>
      <c r="W664" s="392"/>
      <c r="X664" s="392"/>
      <c r="Y664" s="392"/>
      <c r="Z664" s="199"/>
      <c r="AA664" s="199"/>
      <c r="AB664" s="199"/>
      <c r="AC664" s="199"/>
      <c r="AE664" s="27"/>
      <c r="AF664" s="13"/>
      <c r="AG664" s="13"/>
      <c r="AH664" s="13"/>
      <c r="AI664" s="13"/>
      <c r="AJ664" s="13"/>
      <c r="AK664" s="13"/>
      <c r="AL664" s="13"/>
      <c r="AM664" s="13"/>
      <c r="AN664" s="28"/>
    </row>
    <row r="665" spans="1:40" ht="13" customHeight="1">
      <c r="A665">
        <v>452</v>
      </c>
      <c r="B665" s="5" t="s">
        <v>60</v>
      </c>
      <c r="C665" s="5" t="s">
        <v>61</v>
      </c>
      <c r="D665" s="5" t="s">
        <v>62</v>
      </c>
      <c r="E665" s="5">
        <v>1200</v>
      </c>
      <c r="F665" s="5" t="s">
        <v>31</v>
      </c>
      <c r="G665" s="5" t="s">
        <v>52</v>
      </c>
      <c r="H665" s="5" t="s">
        <v>33</v>
      </c>
      <c r="I665" s="278">
        <f>(2581*1000000)-(274*1000000)</f>
        <v>2307000000</v>
      </c>
      <c r="J665" s="5" t="s">
        <v>34</v>
      </c>
      <c r="K665" s="5">
        <v>1983</v>
      </c>
      <c r="L665" s="5" t="s">
        <v>428</v>
      </c>
      <c r="M665" s="5"/>
      <c r="N665" s="5"/>
      <c r="O665" s="278" t="s">
        <v>389</v>
      </c>
      <c r="P665" s="148">
        <v>0.65</v>
      </c>
      <c r="Q665" s="5" t="s">
        <v>430</v>
      </c>
      <c r="R665" s="19" t="s">
        <v>38</v>
      </c>
      <c r="S665" s="5">
        <f>274*1000000</f>
        <v>274000000</v>
      </c>
      <c r="T665" s="55" t="s">
        <v>38</v>
      </c>
      <c r="U665" s="55"/>
      <c r="V665" s="391"/>
      <c r="W665" s="392"/>
      <c r="X665" s="392"/>
      <c r="Y665" s="392"/>
      <c r="Z665" s="199"/>
      <c r="AA665" s="199"/>
      <c r="AB665" s="199"/>
      <c r="AC665" s="199"/>
      <c r="AE665" s="27"/>
      <c r="AF665" s="13"/>
      <c r="AG665" s="13"/>
      <c r="AH665" s="13"/>
      <c r="AI665" s="13"/>
      <c r="AJ665" s="13"/>
      <c r="AK665" s="13"/>
      <c r="AL665" s="13"/>
      <c r="AM665" s="13"/>
      <c r="AN665" s="28"/>
    </row>
    <row r="666" spans="1:40" ht="30" customHeight="1">
      <c r="B666" t="s">
        <v>940</v>
      </c>
      <c r="C666" t="s">
        <v>61</v>
      </c>
      <c r="D666" t="s">
        <v>62</v>
      </c>
      <c r="E666">
        <v>1203</v>
      </c>
      <c r="F666" t="s">
        <v>31</v>
      </c>
      <c r="G666" t="s">
        <v>32</v>
      </c>
      <c r="H666" t="s">
        <v>33</v>
      </c>
      <c r="I666" s="11">
        <f>(7929-576)*1000000*0.789</f>
        <v>5801517000</v>
      </c>
      <c r="J666" t="s">
        <v>34</v>
      </c>
      <c r="K666">
        <v>1984</v>
      </c>
      <c r="L666" s="5" t="s">
        <v>938</v>
      </c>
      <c r="M666" s="5"/>
      <c r="N666" s="5"/>
      <c r="O666" s="11" t="s">
        <v>1236</v>
      </c>
      <c r="P666" s="55">
        <v>0.75</v>
      </c>
      <c r="Q666" s="55" t="s">
        <v>84</v>
      </c>
      <c r="R666" s="19"/>
      <c r="S666" s="19">
        <f>576*1000000</f>
        <v>576000000</v>
      </c>
      <c r="T666" s="19" t="s">
        <v>122</v>
      </c>
      <c r="U666" s="55"/>
      <c r="V666" s="391"/>
      <c r="W666" s="392"/>
      <c r="X666" s="392"/>
      <c r="Y666" s="392"/>
      <c r="Z666" s="199"/>
      <c r="AA666" s="199"/>
      <c r="AB666" s="199"/>
      <c r="AC666" s="199"/>
      <c r="AE666" s="27"/>
      <c r="AF666" s="13"/>
      <c r="AG666" s="13"/>
      <c r="AH666" s="13"/>
      <c r="AI666" s="13"/>
      <c r="AJ666" s="13"/>
      <c r="AK666" s="13"/>
      <c r="AL666" s="13"/>
      <c r="AM666" s="13"/>
      <c r="AN666" s="28"/>
    </row>
    <row r="667" spans="1:40" ht="28" customHeight="1">
      <c r="B667" t="s">
        <v>941</v>
      </c>
      <c r="C667" t="s">
        <v>61</v>
      </c>
      <c r="D667" t="s">
        <v>62</v>
      </c>
      <c r="E667">
        <v>1209</v>
      </c>
      <c r="F667" t="s">
        <v>31</v>
      </c>
      <c r="G667" t="s">
        <v>32</v>
      </c>
      <c r="H667" t="s">
        <v>33</v>
      </c>
      <c r="I667" s="11">
        <f>(5788-399)*1000000*0.789</f>
        <v>4251921000</v>
      </c>
      <c r="J667" t="s">
        <v>34</v>
      </c>
      <c r="K667">
        <v>1984</v>
      </c>
      <c r="L667" s="5" t="s">
        <v>938</v>
      </c>
      <c r="M667" s="5"/>
      <c r="N667" s="5"/>
      <c r="O667" s="11" t="s">
        <v>1236</v>
      </c>
      <c r="P667" s="55">
        <v>0.75</v>
      </c>
      <c r="Q667" s="55" t="s">
        <v>84</v>
      </c>
      <c r="R667" s="19"/>
      <c r="S667" s="19">
        <f>399*1000000</f>
        <v>399000000</v>
      </c>
      <c r="T667" s="19" t="s">
        <v>122</v>
      </c>
      <c r="U667" s="55"/>
      <c r="V667" s="391"/>
      <c r="W667" s="392"/>
      <c r="X667" s="392"/>
      <c r="Y667" s="392"/>
      <c r="Z667" s="199"/>
      <c r="AA667" s="199"/>
      <c r="AB667" s="199"/>
      <c r="AC667" s="199"/>
      <c r="AE667" s="27"/>
      <c r="AF667" s="13"/>
      <c r="AG667" s="13"/>
      <c r="AH667" s="13"/>
      <c r="AI667" s="13"/>
      <c r="AJ667" s="13"/>
      <c r="AK667" s="13"/>
      <c r="AL667" s="13"/>
      <c r="AM667" s="13"/>
      <c r="AN667" s="28"/>
    </row>
    <row r="668" spans="1:40" ht="13" customHeight="1">
      <c r="B668" t="s">
        <v>1102</v>
      </c>
      <c r="C668" t="s">
        <v>61</v>
      </c>
      <c r="D668" t="s">
        <v>62</v>
      </c>
      <c r="E668">
        <v>1164</v>
      </c>
      <c r="F668" t="s">
        <v>31</v>
      </c>
      <c r="G668" t="s">
        <v>32</v>
      </c>
      <c r="H668" t="s">
        <v>33</v>
      </c>
      <c r="I668" s="11">
        <f>((5375-371)*1000000)*0.789</f>
        <v>3948156000</v>
      </c>
      <c r="J668" t="s">
        <v>34</v>
      </c>
      <c r="K668">
        <v>1984</v>
      </c>
      <c r="L668" s="5" t="s">
        <v>938</v>
      </c>
      <c r="M668" s="5"/>
      <c r="N668" s="5"/>
      <c r="O668" s="11" t="s">
        <v>1235</v>
      </c>
      <c r="P668" s="55"/>
      <c r="Q668" s="55"/>
      <c r="R668" s="19"/>
      <c r="S668" s="19"/>
      <c r="T668" s="19"/>
      <c r="U668" s="55"/>
      <c r="V668" s="391"/>
      <c r="W668" s="392"/>
      <c r="X668" s="392"/>
      <c r="Y668" s="392"/>
      <c r="Z668" s="199"/>
      <c r="AA668" s="199"/>
      <c r="AB668" s="199"/>
      <c r="AC668" s="199"/>
      <c r="AE668" s="27"/>
      <c r="AF668" s="13"/>
      <c r="AG668" s="13"/>
      <c r="AH668" s="13"/>
      <c r="AI668" s="13"/>
      <c r="AJ668" s="13"/>
      <c r="AK668" s="13"/>
      <c r="AL668" s="13"/>
      <c r="AM668" s="13"/>
      <c r="AN668" s="28"/>
    </row>
    <row r="669" spans="1:40" ht="33" customHeight="1">
      <c r="B669" t="s">
        <v>939</v>
      </c>
      <c r="C669" t="s">
        <v>61</v>
      </c>
      <c r="D669" t="s">
        <v>62</v>
      </c>
      <c r="E669">
        <v>1247</v>
      </c>
      <c r="F669" t="s">
        <v>31</v>
      </c>
      <c r="G669" t="s">
        <v>32</v>
      </c>
      <c r="H669" t="s">
        <v>33</v>
      </c>
      <c r="I669" s="11">
        <f>((8332-574)*1000000)*0.789</f>
        <v>6121062000</v>
      </c>
      <c r="J669" t="s">
        <v>34</v>
      </c>
      <c r="K669">
        <v>1984</v>
      </c>
      <c r="L669" s="5" t="s">
        <v>938</v>
      </c>
      <c r="M669" s="5"/>
      <c r="N669" s="5"/>
      <c r="O669" s="11" t="s">
        <v>1237</v>
      </c>
      <c r="P669" s="55">
        <v>0.73</v>
      </c>
      <c r="Q669" s="55" t="s">
        <v>934</v>
      </c>
      <c r="R669" s="19"/>
      <c r="S669" s="19">
        <f>574*1000000</f>
        <v>574000000</v>
      </c>
      <c r="T669" s="19" t="s">
        <v>122</v>
      </c>
      <c r="U669" s="55"/>
      <c r="V669" s="391"/>
      <c r="W669" s="392"/>
      <c r="X669" s="392"/>
      <c r="Y669" s="392"/>
      <c r="Z669" s="199"/>
      <c r="AA669" s="199"/>
      <c r="AB669" s="199"/>
      <c r="AC669" s="199"/>
      <c r="AE669" s="27"/>
      <c r="AF669" s="13"/>
      <c r="AG669" s="13"/>
      <c r="AH669" s="13"/>
      <c r="AI669" s="13"/>
      <c r="AJ669" s="13"/>
      <c r="AK669" s="13"/>
      <c r="AL669" s="13"/>
      <c r="AM669" s="13"/>
      <c r="AN669" s="28"/>
    </row>
    <row r="670" spans="1:40" ht="31.5" hidden="1" customHeight="1">
      <c r="A670">
        <v>564</v>
      </c>
      <c r="B670" s="156" t="s">
        <v>506</v>
      </c>
      <c r="C670" s="156" t="s">
        <v>61</v>
      </c>
      <c r="D670" s="156" t="s">
        <v>62</v>
      </c>
      <c r="E670" s="158">
        <v>1000</v>
      </c>
      <c r="F670" s="156" t="s">
        <v>493</v>
      </c>
      <c r="G670" s="182" t="s">
        <v>57</v>
      </c>
      <c r="H670" s="156" t="s">
        <v>76</v>
      </c>
      <c r="I670" s="159">
        <v>0.6</v>
      </c>
      <c r="J670" s="156" t="s">
        <v>77</v>
      </c>
      <c r="K670" s="158">
        <v>2011</v>
      </c>
      <c r="L670" s="184" t="s">
        <v>507</v>
      </c>
      <c r="M670" s="184"/>
      <c r="N670" s="184"/>
      <c r="O670" s="11" t="s">
        <v>504</v>
      </c>
      <c r="P670" s="55" t="s">
        <v>38</v>
      </c>
      <c r="Q670" s="55" t="s">
        <v>38</v>
      </c>
      <c r="R670" s="19" t="s">
        <v>38</v>
      </c>
      <c r="S670" s="19" t="s">
        <v>38</v>
      </c>
      <c r="T670" s="55" t="s">
        <v>38</v>
      </c>
      <c r="U670" s="55"/>
      <c r="V670" s="391"/>
      <c r="W670" s="392"/>
      <c r="X670" s="392"/>
      <c r="Y670" s="392"/>
      <c r="Z670" s="199"/>
      <c r="AA670" s="199"/>
      <c r="AB670" s="199"/>
      <c r="AC670" s="199"/>
      <c r="AE670" s="27"/>
      <c r="AF670" s="13"/>
      <c r="AG670" s="13"/>
      <c r="AH670" s="13"/>
      <c r="AI670" s="13"/>
      <c r="AJ670" s="13"/>
      <c r="AK670" s="13"/>
      <c r="AL670" s="13"/>
      <c r="AM670" s="13"/>
      <c r="AN670" s="28"/>
    </row>
    <row r="671" spans="1:40" ht="13" hidden="1" customHeight="1">
      <c r="A671">
        <v>565</v>
      </c>
      <c r="B671" s="156" t="s">
        <v>506</v>
      </c>
      <c r="C671" s="156" t="s">
        <v>61</v>
      </c>
      <c r="D671" s="156" t="s">
        <v>62</v>
      </c>
      <c r="E671" s="158">
        <v>1000</v>
      </c>
      <c r="F671" s="156" t="s">
        <v>115</v>
      </c>
      <c r="G671" s="182" t="s">
        <v>57</v>
      </c>
      <c r="H671" s="156" t="s">
        <v>76</v>
      </c>
      <c r="I671" s="159">
        <v>5.42</v>
      </c>
      <c r="J671" s="156" t="s">
        <v>77</v>
      </c>
      <c r="K671" s="158">
        <v>2011</v>
      </c>
      <c r="L671" s="184" t="s">
        <v>507</v>
      </c>
      <c r="M671" s="184"/>
      <c r="N671" s="184"/>
      <c r="O671" s="11" t="s">
        <v>504</v>
      </c>
      <c r="P671" s="55" t="s">
        <v>38</v>
      </c>
      <c r="Q671" s="55" t="s">
        <v>38</v>
      </c>
      <c r="R671" s="19" t="s">
        <v>38</v>
      </c>
      <c r="S671" s="19" t="s">
        <v>38</v>
      </c>
      <c r="T671" s="55" t="s">
        <v>38</v>
      </c>
      <c r="U671" s="55"/>
      <c r="V671" s="391"/>
      <c r="W671" s="392"/>
      <c r="X671" s="392"/>
      <c r="Y671" s="392"/>
      <c r="Z671" s="199"/>
      <c r="AA671" s="199"/>
      <c r="AB671" s="199"/>
      <c r="AC671" s="199"/>
      <c r="AE671" s="27"/>
      <c r="AF671" s="13"/>
      <c r="AG671" s="13"/>
      <c r="AH671" s="13"/>
      <c r="AI671" s="13"/>
      <c r="AJ671" s="13"/>
      <c r="AK671" s="13"/>
      <c r="AL671" s="13"/>
      <c r="AM671" s="13"/>
      <c r="AN671" s="28"/>
    </row>
    <row r="672" spans="1:40" ht="26.5" customHeight="1">
      <c r="A672">
        <v>458</v>
      </c>
      <c r="B672" t="s">
        <v>1246</v>
      </c>
      <c r="C672" t="s">
        <v>61</v>
      </c>
      <c r="D672" t="s">
        <v>62</v>
      </c>
      <c r="E672">
        <v>1200</v>
      </c>
      <c r="F672" t="s">
        <v>31</v>
      </c>
      <c r="G672" t="s">
        <v>57</v>
      </c>
      <c r="H672" t="s">
        <v>33</v>
      </c>
      <c r="I672" s="11">
        <f>3428000000-(312*1000000)</f>
        <v>3116000000</v>
      </c>
      <c r="J672" t="s">
        <v>34</v>
      </c>
      <c r="K672">
        <v>2020</v>
      </c>
      <c r="L672" t="s">
        <v>433</v>
      </c>
      <c r="O672" s="11" t="s">
        <v>1238</v>
      </c>
      <c r="P672" s="55" t="s">
        <v>38</v>
      </c>
      <c r="Q672" t="s">
        <v>84</v>
      </c>
      <c r="R672" s="19" t="s">
        <v>38</v>
      </c>
      <c r="S672" s="19" t="s">
        <v>38</v>
      </c>
      <c r="T672" s="55" t="s">
        <v>38</v>
      </c>
      <c r="U672" s="55"/>
      <c r="V672" s="391"/>
      <c r="W672" s="392"/>
      <c r="X672" s="392"/>
      <c r="Y672" s="392"/>
      <c r="Z672" s="199"/>
      <c r="AA672" s="199"/>
      <c r="AB672" s="199"/>
      <c r="AC672" s="199"/>
      <c r="AD672" s="12"/>
      <c r="AE672" s="27"/>
      <c r="AF672" s="13"/>
      <c r="AG672" s="13"/>
      <c r="AH672" s="13"/>
      <c r="AI672" s="13"/>
      <c r="AJ672" s="13"/>
      <c r="AK672" s="13"/>
      <c r="AL672" s="13"/>
      <c r="AM672" s="13"/>
      <c r="AN672" s="28"/>
    </row>
    <row r="673" spans="1:40" ht="38.5" customHeight="1">
      <c r="A673">
        <v>466</v>
      </c>
      <c r="B673" t="s">
        <v>81</v>
      </c>
      <c r="C673" t="s">
        <v>61</v>
      </c>
      <c r="D673" t="s">
        <v>62</v>
      </c>
      <c r="E673">
        <v>1000</v>
      </c>
      <c r="F673" t="s">
        <v>31</v>
      </c>
      <c r="G673" t="s">
        <v>57</v>
      </c>
      <c r="H673" t="s">
        <v>76</v>
      </c>
      <c r="I673" s="11">
        <v>2400</v>
      </c>
      <c r="J673" t="s">
        <v>189</v>
      </c>
      <c r="K673">
        <v>2003</v>
      </c>
      <c r="L673" t="s">
        <v>440</v>
      </c>
      <c r="O673" s="11" t="s">
        <v>1217</v>
      </c>
      <c r="P673" s="55" t="s">
        <v>38</v>
      </c>
      <c r="Q673" s="55" t="s">
        <v>38</v>
      </c>
      <c r="R673" s="19" t="s">
        <v>38</v>
      </c>
      <c r="S673" s="19" t="s">
        <v>38</v>
      </c>
      <c r="T673" s="55" t="s">
        <v>38</v>
      </c>
      <c r="U673" s="55"/>
      <c r="V673" s="391"/>
      <c r="W673" s="392"/>
      <c r="X673" s="392"/>
      <c r="Y673" s="392"/>
      <c r="Z673" s="199"/>
      <c r="AA673" s="199"/>
      <c r="AB673" s="199"/>
      <c r="AC673" s="199"/>
      <c r="AD673" s="12"/>
      <c r="AE673" s="27"/>
      <c r="AF673" s="13"/>
      <c r="AG673" s="13"/>
      <c r="AH673" s="13"/>
      <c r="AI673" s="13"/>
      <c r="AJ673" s="13"/>
      <c r="AK673" s="13"/>
      <c r="AL673" s="13"/>
      <c r="AM673" s="13"/>
      <c r="AN673" s="28"/>
    </row>
    <row r="674" spans="1:40" ht="13" customHeight="1">
      <c r="A674">
        <v>467</v>
      </c>
      <c r="B674" t="s">
        <v>81</v>
      </c>
      <c r="C674" t="s">
        <v>61</v>
      </c>
      <c r="D674" t="s">
        <v>62</v>
      </c>
      <c r="E674">
        <v>1000</v>
      </c>
      <c r="F674" t="s">
        <v>31</v>
      </c>
      <c r="G674" t="s">
        <v>32</v>
      </c>
      <c r="H674" t="s">
        <v>76</v>
      </c>
      <c r="I674" s="11">
        <v>4480</v>
      </c>
      <c r="J674" t="s">
        <v>189</v>
      </c>
      <c r="K674">
        <v>2003</v>
      </c>
      <c r="L674" t="s">
        <v>440</v>
      </c>
      <c r="O674" s="11" t="s">
        <v>1217</v>
      </c>
      <c r="P674" s="55" t="s">
        <v>38</v>
      </c>
      <c r="Q674" s="55" t="s">
        <v>38</v>
      </c>
      <c r="R674" s="19" t="s">
        <v>38</v>
      </c>
      <c r="S674" s="19" t="s">
        <v>38</v>
      </c>
      <c r="T674" s="55" t="s">
        <v>38</v>
      </c>
      <c r="U674" s="55"/>
      <c r="V674" s="391"/>
      <c r="W674" s="392"/>
      <c r="X674" s="392"/>
      <c r="Y674" s="392"/>
      <c r="Z674" s="199"/>
      <c r="AA674" s="199"/>
      <c r="AB674" s="199"/>
      <c r="AC674" s="199"/>
      <c r="AD674" s="12"/>
      <c r="AE674" s="27"/>
      <c r="AF674" s="13"/>
      <c r="AG674" s="13"/>
      <c r="AH674" s="13"/>
      <c r="AI674" s="13"/>
      <c r="AJ674" s="13"/>
      <c r="AK674" s="13"/>
      <c r="AL674" s="13"/>
      <c r="AM674" s="13"/>
      <c r="AN674" s="28"/>
    </row>
    <row r="675" spans="1:40" ht="13" customHeight="1">
      <c r="A675">
        <v>470</v>
      </c>
      <c r="B675" s="6" t="s">
        <v>443</v>
      </c>
      <c r="C675" s="6" t="s">
        <v>61</v>
      </c>
      <c r="D675" s="6" t="s">
        <v>62</v>
      </c>
      <c r="E675" s="6">
        <v>1185</v>
      </c>
      <c r="F675" s="6" t="s">
        <v>31</v>
      </c>
      <c r="G675" s="6" t="s">
        <v>52</v>
      </c>
      <c r="H675" s="6" t="s">
        <v>33</v>
      </c>
      <c r="I675" s="8">
        <v>3609000000</v>
      </c>
      <c r="J675" s="6" t="s">
        <v>34</v>
      </c>
      <c r="K675" s="6">
        <v>1976</v>
      </c>
      <c r="L675" s="6" t="s">
        <v>444</v>
      </c>
      <c r="M675" s="6"/>
      <c r="N675" s="6"/>
      <c r="O675" s="8" t="s">
        <v>389</v>
      </c>
      <c r="P675" s="2" t="s">
        <v>709</v>
      </c>
      <c r="Q675" s="112" t="s">
        <v>38</v>
      </c>
      <c r="R675" s="112" t="s">
        <v>38</v>
      </c>
      <c r="S675" s="19" t="s">
        <v>38</v>
      </c>
      <c r="T675" s="55" t="s">
        <v>38</v>
      </c>
      <c r="U675" s="55"/>
      <c r="V675" s="391"/>
      <c r="W675" s="392"/>
      <c r="X675" s="392"/>
      <c r="Y675" s="392"/>
      <c r="Z675" s="199"/>
      <c r="AA675" s="199"/>
      <c r="AB675" s="199"/>
      <c r="AC675" s="199"/>
      <c r="AD675" s="12"/>
      <c r="AE675" s="27"/>
      <c r="AF675" s="13"/>
      <c r="AG675" s="13"/>
      <c r="AH675" s="13"/>
      <c r="AI675" s="13"/>
      <c r="AJ675" s="13"/>
      <c r="AK675" s="13"/>
      <c r="AL675" s="13"/>
      <c r="AM675" s="13"/>
      <c r="AN675" s="28"/>
    </row>
    <row r="676" spans="1:40" ht="13" hidden="1" customHeight="1">
      <c r="A676">
        <v>570</v>
      </c>
      <c r="B676" s="141" t="s">
        <v>508</v>
      </c>
      <c r="C676" s="156" t="s">
        <v>61</v>
      </c>
      <c r="D676" s="156" t="s">
        <v>62</v>
      </c>
      <c r="E676" s="158">
        <v>1000</v>
      </c>
      <c r="F676" s="156" t="s">
        <v>493</v>
      </c>
      <c r="G676" s="182" t="s">
        <v>57</v>
      </c>
      <c r="H676" s="141" t="s">
        <v>76</v>
      </c>
      <c r="I676" s="157">
        <v>0.6</v>
      </c>
      <c r="J676" s="141" t="s">
        <v>77</v>
      </c>
      <c r="K676" s="142">
        <v>2011</v>
      </c>
      <c r="L676" s="184" t="s">
        <v>507</v>
      </c>
      <c r="M676" s="184"/>
      <c r="N676" s="184"/>
      <c r="O676" s="163" t="s">
        <v>504</v>
      </c>
      <c r="P676" s="55" t="s">
        <v>38</v>
      </c>
      <c r="Q676" s="55" t="s">
        <v>38</v>
      </c>
      <c r="R676" s="19" t="s">
        <v>38</v>
      </c>
      <c r="S676" s="19" t="s">
        <v>38</v>
      </c>
      <c r="T676" s="55" t="s">
        <v>38</v>
      </c>
      <c r="U676" s="55"/>
      <c r="V676" s="391"/>
      <c r="W676" s="392"/>
      <c r="X676" s="392"/>
      <c r="Y676" s="392"/>
      <c r="Z676" s="199"/>
      <c r="AA676" s="199"/>
      <c r="AB676" s="199"/>
      <c r="AC676" s="199"/>
      <c r="AD676" s="12"/>
      <c r="AE676" s="27"/>
      <c r="AF676" s="13"/>
      <c r="AG676" s="13"/>
      <c r="AH676" s="13"/>
      <c r="AI676" s="13"/>
      <c r="AJ676" s="13"/>
      <c r="AK676" s="13"/>
      <c r="AL676" s="13"/>
      <c r="AM676" s="13"/>
      <c r="AN676" s="28"/>
    </row>
    <row r="677" spans="1:40" ht="13" hidden="1" customHeight="1">
      <c r="A677">
        <v>571</v>
      </c>
      <c r="B677" s="141" t="s">
        <v>508</v>
      </c>
      <c r="C677" s="160" t="s">
        <v>61</v>
      </c>
      <c r="D677" s="156" t="s">
        <v>62</v>
      </c>
      <c r="E677" s="159">
        <v>1000</v>
      </c>
      <c r="F677" s="160" t="s">
        <v>115</v>
      </c>
      <c r="G677" s="182" t="s">
        <v>57</v>
      </c>
      <c r="H677" s="162" t="s">
        <v>76</v>
      </c>
      <c r="I677" s="157">
        <v>0</v>
      </c>
      <c r="J677" s="162" t="s">
        <v>77</v>
      </c>
      <c r="K677" s="142">
        <v>2011</v>
      </c>
      <c r="L677" s="184" t="s">
        <v>507</v>
      </c>
      <c r="M677" s="184"/>
      <c r="N677" s="184"/>
      <c r="O677" s="11" t="s">
        <v>510</v>
      </c>
      <c r="P677" s="55" t="s">
        <v>38</v>
      </c>
      <c r="Q677" s="55" t="s">
        <v>38</v>
      </c>
      <c r="R677" s="19" t="s">
        <v>38</v>
      </c>
      <c r="S677" s="19" t="s">
        <v>38</v>
      </c>
      <c r="T677" s="55" t="s">
        <v>38</v>
      </c>
      <c r="U677" s="55"/>
      <c r="V677" s="391" t="s">
        <v>1029</v>
      </c>
      <c r="W677" s="392" t="s">
        <v>837</v>
      </c>
      <c r="X677" s="392" t="s">
        <v>836</v>
      </c>
      <c r="Y677" s="392" t="s">
        <v>930</v>
      </c>
      <c r="Z677" s="199"/>
      <c r="AA677" s="199"/>
      <c r="AB677" s="199"/>
      <c r="AC677" s="199"/>
      <c r="AD677" s="12"/>
      <c r="AE677" s="27"/>
      <c r="AF677" s="13"/>
      <c r="AG677" s="13"/>
      <c r="AH677" s="13"/>
      <c r="AI677" s="13"/>
      <c r="AJ677" s="13"/>
      <c r="AK677" s="13"/>
      <c r="AL677" s="13"/>
      <c r="AM677" s="13"/>
      <c r="AN677" s="28"/>
    </row>
    <row r="678" spans="1:40" ht="13" customHeight="1">
      <c r="A678">
        <v>479</v>
      </c>
      <c r="B678" s="5" t="s">
        <v>1245</v>
      </c>
      <c r="C678" s="5" t="s">
        <v>61</v>
      </c>
      <c r="D678" s="5" t="s">
        <v>62</v>
      </c>
      <c r="E678" s="5">
        <v>2000</v>
      </c>
      <c r="F678" s="5" t="s">
        <v>31</v>
      </c>
      <c r="G678" s="5" t="s">
        <v>52</v>
      </c>
      <c r="H678" t="s">
        <v>76</v>
      </c>
      <c r="I678" s="278">
        <v>9000</v>
      </c>
      <c r="J678" s="5" t="s">
        <v>189</v>
      </c>
      <c r="K678" s="5">
        <v>2020</v>
      </c>
      <c r="L678" t="s">
        <v>730</v>
      </c>
      <c r="O678" s="11" t="s">
        <v>1224</v>
      </c>
      <c r="P678" s="55" t="s">
        <v>38</v>
      </c>
      <c r="Q678" s="55" t="s">
        <v>38</v>
      </c>
      <c r="R678" s="172" t="s">
        <v>38</v>
      </c>
      <c r="S678" s="19" t="s">
        <v>38</v>
      </c>
      <c r="T678" s="171" t="s">
        <v>38</v>
      </c>
      <c r="U678" s="55"/>
      <c r="V678" s="391"/>
      <c r="W678" s="392"/>
      <c r="X678" s="392"/>
      <c r="Y678" s="392"/>
      <c r="Z678" s="199"/>
      <c r="AA678" s="199"/>
      <c r="AB678" s="199"/>
      <c r="AC678" s="199"/>
      <c r="AD678" s="12"/>
      <c r="AE678" s="27"/>
      <c r="AF678" s="13"/>
      <c r="AG678" s="13"/>
      <c r="AH678" s="13"/>
      <c r="AI678" s="13"/>
      <c r="AJ678" s="13"/>
      <c r="AK678" s="13"/>
      <c r="AL678" s="13"/>
      <c r="AM678" s="13"/>
      <c r="AN678" s="28"/>
    </row>
    <row r="679" spans="1:40" ht="13" hidden="1" customHeight="1">
      <c r="A679">
        <v>573</v>
      </c>
      <c r="B679" s="141" t="s">
        <v>512</v>
      </c>
      <c r="C679" s="141" t="s">
        <v>30</v>
      </c>
      <c r="D679" s="141" t="s">
        <v>803</v>
      </c>
      <c r="E679" s="142">
        <v>1000</v>
      </c>
      <c r="F679" s="156" t="s">
        <v>217</v>
      </c>
      <c r="G679" s="182" t="s">
        <v>57</v>
      </c>
      <c r="H679" s="141" t="s">
        <v>33</v>
      </c>
      <c r="I679" s="157">
        <v>5050000000</v>
      </c>
      <c r="J679" s="141" t="s">
        <v>34</v>
      </c>
      <c r="K679" s="142">
        <v>2011</v>
      </c>
      <c r="L679" s="184" t="s">
        <v>507</v>
      </c>
      <c r="M679" s="184"/>
      <c r="N679" s="184"/>
      <c r="O679" s="163" t="s">
        <v>834</v>
      </c>
      <c r="P679" s="161" t="s">
        <v>1124</v>
      </c>
      <c r="Q679" s="19" t="s">
        <v>38</v>
      </c>
      <c r="R679" s="19" t="s">
        <v>38</v>
      </c>
      <c r="S679" s="19" t="s">
        <v>38</v>
      </c>
      <c r="T679" s="55" t="s">
        <v>38</v>
      </c>
      <c r="U679" s="55"/>
      <c r="V679" s="391"/>
      <c r="W679" s="392"/>
      <c r="X679" s="392"/>
      <c r="Y679" s="392"/>
      <c r="Z679" s="199"/>
      <c r="AA679" s="199"/>
      <c r="AB679" s="199"/>
      <c r="AC679" s="199"/>
      <c r="AD679" s="12"/>
      <c r="AE679" s="27"/>
      <c r="AF679" s="13"/>
      <c r="AG679" s="13"/>
      <c r="AH679" s="13"/>
      <c r="AI679" s="13"/>
      <c r="AJ679" s="13"/>
      <c r="AK679" s="13"/>
      <c r="AL679" s="13"/>
      <c r="AM679" s="13"/>
      <c r="AN679" s="28"/>
    </row>
    <row r="680" spans="1:40" ht="13" customHeight="1">
      <c r="A680">
        <v>477</v>
      </c>
      <c r="B680" s="5" t="s">
        <v>211</v>
      </c>
      <c r="C680" s="5" t="s">
        <v>61</v>
      </c>
      <c r="D680" s="5" t="s">
        <v>62</v>
      </c>
      <c r="E680" s="5">
        <v>500</v>
      </c>
      <c r="F680" s="5" t="s">
        <v>31</v>
      </c>
      <c r="G680" s="5" t="s">
        <v>32</v>
      </c>
      <c r="H680" t="s">
        <v>76</v>
      </c>
      <c r="I680" s="278">
        <v>30000</v>
      </c>
      <c r="J680" s="5" t="s">
        <v>189</v>
      </c>
      <c r="K680" s="5">
        <v>2020</v>
      </c>
      <c r="L680" t="s">
        <v>731</v>
      </c>
      <c r="O680" s="11"/>
      <c r="P680" s="55" t="s">
        <v>38</v>
      </c>
      <c r="Q680" s="55" t="s">
        <v>38</v>
      </c>
      <c r="R680" s="19" t="s">
        <v>38</v>
      </c>
      <c r="S680" s="19" t="s">
        <v>38</v>
      </c>
      <c r="T680" s="55" t="s">
        <v>38</v>
      </c>
      <c r="U680" s="55"/>
      <c r="V680" s="391"/>
      <c r="W680" s="392"/>
      <c r="X680" s="392"/>
      <c r="Y680" s="392"/>
      <c r="Z680" s="199"/>
      <c r="AA680" s="199"/>
      <c r="AB680" s="199"/>
      <c r="AC680" s="199"/>
      <c r="AD680" s="12"/>
      <c r="AE680" s="27"/>
      <c r="AF680" s="13"/>
      <c r="AG680" s="13"/>
      <c r="AH680" s="13"/>
      <c r="AI680" s="13"/>
      <c r="AJ680" s="13"/>
      <c r="AK680" s="13"/>
      <c r="AL680" s="13"/>
      <c r="AM680" s="13"/>
      <c r="AN680" s="28"/>
    </row>
    <row r="681" spans="1:40" ht="13" customHeight="1">
      <c r="A681">
        <v>478</v>
      </c>
      <c r="B681" s="5" t="s">
        <v>447</v>
      </c>
      <c r="C681" s="5" t="s">
        <v>61</v>
      </c>
      <c r="D681" s="5" t="s">
        <v>62</v>
      </c>
      <c r="E681" s="5">
        <v>2000</v>
      </c>
      <c r="F681" s="5" t="s">
        <v>31</v>
      </c>
      <c r="G681" s="5" t="s">
        <v>32</v>
      </c>
      <c r="H681" t="s">
        <v>76</v>
      </c>
      <c r="I681" s="278">
        <v>12000</v>
      </c>
      <c r="J681" s="5" t="s">
        <v>189</v>
      </c>
      <c r="K681" s="5">
        <v>2020</v>
      </c>
      <c r="L681" t="s">
        <v>731</v>
      </c>
      <c r="O681" s="11"/>
      <c r="P681" s="55" t="s">
        <v>38</v>
      </c>
      <c r="Q681" s="55" t="s">
        <v>38</v>
      </c>
      <c r="R681" s="172" t="s">
        <v>38</v>
      </c>
      <c r="S681" s="19" t="s">
        <v>38</v>
      </c>
      <c r="T681" s="171" t="s">
        <v>38</v>
      </c>
      <c r="U681" s="55"/>
      <c r="V681" s="391"/>
      <c r="W681" s="392"/>
      <c r="X681" s="392"/>
      <c r="Y681" s="392"/>
      <c r="Z681" s="199"/>
      <c r="AA681" s="199"/>
      <c r="AB681" s="199"/>
      <c r="AC681" s="199"/>
      <c r="AD681" s="12"/>
      <c r="AE681" s="27"/>
      <c r="AF681" s="13"/>
      <c r="AG681" s="13"/>
      <c r="AH681" s="13"/>
      <c r="AI681" s="13"/>
      <c r="AJ681" s="13"/>
      <c r="AK681" s="13"/>
      <c r="AL681" s="13"/>
      <c r="AM681" s="13"/>
      <c r="AN681" s="28"/>
    </row>
    <row r="682" spans="1:40" ht="13" customHeight="1">
      <c r="B682" t="s">
        <v>795</v>
      </c>
      <c r="C682" t="s">
        <v>30</v>
      </c>
      <c r="D682" t="s">
        <v>796</v>
      </c>
      <c r="E682">
        <v>972</v>
      </c>
      <c r="F682" t="s">
        <v>31</v>
      </c>
      <c r="G682" t="s">
        <v>52</v>
      </c>
      <c r="H682" t="s">
        <v>33</v>
      </c>
      <c r="I682" s="11">
        <f>(4060.29-575.66+445.27)*1000000</f>
        <v>3929900000</v>
      </c>
      <c r="J682" t="s">
        <v>34</v>
      </c>
      <c r="K682">
        <v>1991</v>
      </c>
      <c r="L682" t="s">
        <v>799</v>
      </c>
      <c r="O682" s="279" t="s">
        <v>93</v>
      </c>
      <c r="P682" s="2">
        <v>0.79400000000000004</v>
      </c>
      <c r="Q682" t="s">
        <v>37</v>
      </c>
      <c r="S682">
        <f>445.27*1000000</f>
        <v>445270000</v>
      </c>
      <c r="T682" s="19" t="s">
        <v>38</v>
      </c>
      <c r="U682" s="55"/>
      <c r="V682" s="391"/>
      <c r="W682" s="392"/>
      <c r="X682" s="392"/>
      <c r="Y682" s="392"/>
      <c r="Z682" s="199"/>
      <c r="AA682" s="199"/>
      <c r="AB682" s="199"/>
      <c r="AC682" s="199"/>
      <c r="AD682" s="12"/>
      <c r="AE682" s="27"/>
      <c r="AF682" s="13"/>
      <c r="AG682" s="13"/>
      <c r="AH682" s="13"/>
      <c r="AI682" s="13"/>
      <c r="AJ682" s="13"/>
      <c r="AK682" s="13"/>
      <c r="AL682" s="13"/>
      <c r="AM682" s="13"/>
      <c r="AN682" s="28"/>
    </row>
    <row r="683" spans="1:40" ht="13" hidden="1" customHeight="1">
      <c r="A683">
        <v>577</v>
      </c>
      <c r="B683" s="141" t="s">
        <v>513</v>
      </c>
      <c r="C683" s="162" t="s">
        <v>61</v>
      </c>
      <c r="D683" s="141" t="s">
        <v>62</v>
      </c>
      <c r="E683" s="157">
        <v>1000</v>
      </c>
      <c r="F683" s="156" t="s">
        <v>493</v>
      </c>
      <c r="G683" s="182" t="s">
        <v>57</v>
      </c>
      <c r="H683" s="160" t="s">
        <v>76</v>
      </c>
      <c r="I683" s="159">
        <v>0.6</v>
      </c>
      <c r="J683" s="160" t="s">
        <v>77</v>
      </c>
      <c r="K683" s="159">
        <v>2011</v>
      </c>
      <c r="L683" s="193" t="s">
        <v>507</v>
      </c>
      <c r="M683" s="193"/>
      <c r="N683" s="193"/>
      <c r="O683" s="163" t="s">
        <v>504</v>
      </c>
      <c r="P683" s="55" t="s">
        <v>38</v>
      </c>
      <c r="Q683" s="55" t="s">
        <v>38</v>
      </c>
      <c r="R683" s="19" t="s">
        <v>38</v>
      </c>
      <c r="S683" s="19" t="s">
        <v>38</v>
      </c>
      <c r="T683" s="55" t="s">
        <v>38</v>
      </c>
      <c r="U683" s="55"/>
      <c r="V683" s="391"/>
      <c r="W683" s="392"/>
      <c r="X683" s="392"/>
      <c r="Y683" s="392"/>
      <c r="Z683" s="199"/>
      <c r="AA683" s="199"/>
      <c r="AB683" s="199"/>
      <c r="AC683" s="199"/>
      <c r="AD683" s="12"/>
      <c r="AE683" s="27"/>
      <c r="AF683" s="13"/>
      <c r="AG683" s="13"/>
      <c r="AH683" s="13"/>
      <c r="AI683" s="13"/>
      <c r="AJ683" s="13"/>
      <c r="AK683" s="13"/>
      <c r="AL683" s="13"/>
      <c r="AM683" s="13"/>
      <c r="AN683" s="28"/>
    </row>
    <row r="684" spans="1:40" ht="13" hidden="1" customHeight="1">
      <c r="A684">
        <v>578</v>
      </c>
      <c r="B684" s="141" t="s">
        <v>513</v>
      </c>
      <c r="C684" s="141" t="s">
        <v>61</v>
      </c>
      <c r="D684" s="141" t="s">
        <v>62</v>
      </c>
      <c r="E684" s="142">
        <v>1000</v>
      </c>
      <c r="F684" s="156" t="s">
        <v>115</v>
      </c>
      <c r="G684" s="182" t="s">
        <v>57</v>
      </c>
      <c r="H684" s="156" t="s">
        <v>76</v>
      </c>
      <c r="I684" s="159">
        <v>8.89</v>
      </c>
      <c r="J684" s="156" t="s">
        <v>77</v>
      </c>
      <c r="K684" s="158">
        <v>2011</v>
      </c>
      <c r="L684" s="184" t="s">
        <v>507</v>
      </c>
      <c r="M684" s="184"/>
      <c r="N684" s="184"/>
      <c r="O684" s="163" t="s">
        <v>504</v>
      </c>
      <c r="P684" s="55" t="s">
        <v>38</v>
      </c>
      <c r="Q684" s="55" t="s">
        <v>38</v>
      </c>
      <c r="R684" s="19" t="s">
        <v>38</v>
      </c>
      <c r="S684" s="19" t="s">
        <v>38</v>
      </c>
      <c r="T684" s="55" t="s">
        <v>38</v>
      </c>
      <c r="U684" s="55"/>
      <c r="V684" s="391"/>
      <c r="W684" s="392"/>
      <c r="X684" s="392"/>
      <c r="Y684" s="392"/>
      <c r="Z684" s="199"/>
      <c r="AA684" s="199"/>
      <c r="AB684" s="199"/>
      <c r="AC684" s="199"/>
      <c r="AD684" s="12"/>
      <c r="AE684" s="27"/>
      <c r="AF684" s="13"/>
      <c r="AG684" s="13"/>
      <c r="AH684" s="13"/>
      <c r="AI684" s="13"/>
      <c r="AJ684" s="13"/>
      <c r="AK684" s="13"/>
      <c r="AL684" s="13"/>
      <c r="AM684" s="13"/>
      <c r="AN684" s="28"/>
    </row>
    <row r="685" spans="1:40" ht="49.5" customHeight="1">
      <c r="B685" t="s">
        <v>797</v>
      </c>
      <c r="C685" s="11" t="s">
        <v>30</v>
      </c>
      <c r="D685" t="s">
        <v>798</v>
      </c>
      <c r="E685" s="11">
        <v>999</v>
      </c>
      <c r="F685" t="s">
        <v>31</v>
      </c>
      <c r="G685" t="s">
        <v>52</v>
      </c>
      <c r="H685" t="s">
        <v>33</v>
      </c>
      <c r="I685" s="11">
        <f>(3628.34-397.9-514.42)*1000000</f>
        <v>2716020000</v>
      </c>
      <c r="J685" t="s">
        <v>34</v>
      </c>
      <c r="K685">
        <v>1991</v>
      </c>
      <c r="L685" t="s">
        <v>799</v>
      </c>
      <c r="O685" s="279" t="s">
        <v>93</v>
      </c>
      <c r="P685" s="2">
        <v>0.80800000000000005</v>
      </c>
      <c r="Q685" t="s">
        <v>37</v>
      </c>
      <c r="S685">
        <f>397.9*1000000</f>
        <v>397900000</v>
      </c>
      <c r="T685" s="19" t="s">
        <v>38</v>
      </c>
      <c r="U685" s="55"/>
      <c r="V685" s="391"/>
      <c r="W685" s="392"/>
      <c r="X685" s="392"/>
      <c r="Y685" s="392"/>
      <c r="Z685" s="199"/>
      <c r="AA685" s="199"/>
      <c r="AB685" s="199"/>
      <c r="AC685" s="199"/>
      <c r="AD685" s="12"/>
      <c r="AE685" s="27"/>
      <c r="AF685" s="13"/>
      <c r="AG685" s="13"/>
      <c r="AH685" s="13"/>
      <c r="AI685" s="13"/>
      <c r="AJ685" s="13"/>
      <c r="AK685" s="13"/>
      <c r="AL685" s="13"/>
      <c r="AM685" s="13"/>
      <c r="AN685" s="28"/>
    </row>
    <row r="686" spans="1:40" ht="42" customHeight="1">
      <c r="A686">
        <v>503</v>
      </c>
      <c r="B686" t="s">
        <v>469</v>
      </c>
      <c r="C686" s="11" t="s">
        <v>470</v>
      </c>
      <c r="D686" t="s">
        <v>471</v>
      </c>
      <c r="E686" s="11">
        <v>150</v>
      </c>
      <c r="F686" t="s">
        <v>31</v>
      </c>
      <c r="G686" t="s">
        <v>52</v>
      </c>
      <c r="H686" t="s">
        <v>33</v>
      </c>
      <c r="I686" s="11">
        <f>701000000-98*1000000</f>
        <v>603000000</v>
      </c>
      <c r="J686" t="s">
        <v>34</v>
      </c>
      <c r="K686">
        <v>2016</v>
      </c>
      <c r="L686" t="s">
        <v>472</v>
      </c>
      <c r="O686" s="11" t="s">
        <v>747</v>
      </c>
      <c r="P686" s="55" t="s">
        <v>38</v>
      </c>
      <c r="Q686" t="s">
        <v>474</v>
      </c>
      <c r="R686" s="13" t="s">
        <v>717</v>
      </c>
      <c r="S686">
        <f>98*1000000</f>
        <v>98000000</v>
      </c>
      <c r="T686" s="55" t="s">
        <v>38</v>
      </c>
      <c r="U686" s="55"/>
      <c r="V686" s="391"/>
      <c r="W686" s="392"/>
      <c r="X686" s="392"/>
      <c r="Y686" s="392"/>
      <c r="Z686" s="199"/>
      <c r="AA686" s="199"/>
      <c r="AB686" s="199"/>
      <c r="AC686" s="199"/>
      <c r="AD686" s="12"/>
      <c r="AE686" s="27"/>
      <c r="AF686" s="13"/>
      <c r="AG686" s="13"/>
      <c r="AH686" s="13"/>
      <c r="AI686" s="13"/>
      <c r="AJ686" s="13"/>
      <c r="AK686" s="13"/>
      <c r="AL686" s="13"/>
      <c r="AM686" s="13"/>
      <c r="AN686" s="28"/>
    </row>
    <row r="687" spans="1:40" ht="56.5" customHeight="1">
      <c r="A687">
        <v>506</v>
      </c>
      <c r="B687" t="s">
        <v>481</v>
      </c>
      <c r="C687" s="11" t="s">
        <v>470</v>
      </c>
      <c r="D687" t="s">
        <v>471</v>
      </c>
      <c r="E687" s="11">
        <v>150</v>
      </c>
      <c r="F687" t="s">
        <v>31</v>
      </c>
      <c r="G687" t="s">
        <v>52</v>
      </c>
      <c r="H687" t="s">
        <v>33</v>
      </c>
      <c r="I687" s="11">
        <f>1.313*1000000000</f>
        <v>1313000000</v>
      </c>
      <c r="J687" t="s">
        <v>34</v>
      </c>
      <c r="K687">
        <v>2016</v>
      </c>
      <c r="L687" t="s">
        <v>472</v>
      </c>
      <c r="O687" s="11" t="s">
        <v>482</v>
      </c>
      <c r="P687" s="55" t="s">
        <v>38</v>
      </c>
      <c r="Q687" t="s">
        <v>474</v>
      </c>
      <c r="R687" s="13" t="s">
        <v>717</v>
      </c>
      <c r="S687">
        <f>AVERAGE(S686,S690)</f>
        <v>98000000</v>
      </c>
      <c r="T687" s="55" t="s">
        <v>38</v>
      </c>
      <c r="U687" s="55"/>
      <c r="V687" s="391"/>
      <c r="W687" s="392"/>
      <c r="X687" s="392"/>
      <c r="Y687" s="392"/>
      <c r="Z687" s="199"/>
      <c r="AA687" s="199"/>
      <c r="AB687" s="199"/>
      <c r="AC687" s="199"/>
      <c r="AD687" s="12"/>
      <c r="AE687" s="27"/>
      <c r="AF687" s="13"/>
      <c r="AG687" s="13"/>
      <c r="AH687" s="13"/>
      <c r="AI687" s="13"/>
      <c r="AJ687" s="13"/>
      <c r="AK687" s="13"/>
      <c r="AL687" s="13"/>
      <c r="AM687" s="13"/>
      <c r="AN687" s="28"/>
    </row>
    <row r="688" spans="1:40" ht="51" customHeight="1">
      <c r="A688">
        <v>513</v>
      </c>
      <c r="B688" t="s">
        <v>483</v>
      </c>
      <c r="C688" s="11" t="s">
        <v>470</v>
      </c>
      <c r="D688" t="s">
        <v>471</v>
      </c>
      <c r="E688" s="11">
        <v>150</v>
      </c>
      <c r="F688" t="s">
        <v>31</v>
      </c>
      <c r="G688" t="s">
        <v>52</v>
      </c>
      <c r="H688" t="s">
        <v>33</v>
      </c>
      <c r="I688" s="11">
        <f>1925000000-211*1000000</f>
        <v>1714000000</v>
      </c>
      <c r="J688" t="s">
        <v>34</v>
      </c>
      <c r="K688">
        <v>2016</v>
      </c>
      <c r="L688" t="s">
        <v>472</v>
      </c>
      <c r="O688" s="11" t="s">
        <v>473</v>
      </c>
      <c r="P688" s="55" t="s">
        <v>38</v>
      </c>
      <c r="Q688" t="s">
        <v>474</v>
      </c>
      <c r="R688" s="13" t="s">
        <v>717</v>
      </c>
      <c r="S688">
        <f>211*1000000</f>
        <v>211000000</v>
      </c>
      <c r="T688" s="55" t="s">
        <v>38</v>
      </c>
      <c r="U688" s="55"/>
      <c r="V688" s="391"/>
      <c r="W688" s="392"/>
      <c r="X688" s="392"/>
      <c r="Y688" s="392"/>
      <c r="Z688" s="199"/>
      <c r="AA688" s="199"/>
      <c r="AB688" s="199"/>
      <c r="AC688" s="199"/>
      <c r="AD688" s="12"/>
      <c r="AE688" s="27"/>
      <c r="AF688" s="13"/>
      <c r="AG688" s="13"/>
      <c r="AH688" s="13"/>
      <c r="AI688" s="13"/>
      <c r="AJ688" s="13"/>
      <c r="AK688" s="13"/>
      <c r="AL688" s="13"/>
      <c r="AM688" s="13"/>
      <c r="AN688" s="28"/>
    </row>
    <row r="689" spans="1:40" ht="13" hidden="1" customHeight="1">
      <c r="A689">
        <v>583</v>
      </c>
      <c r="B689" s="141" t="s">
        <v>514</v>
      </c>
      <c r="C689" s="162" t="s">
        <v>61</v>
      </c>
      <c r="D689" s="156" t="s">
        <v>107</v>
      </c>
      <c r="E689" s="159">
        <v>1000</v>
      </c>
      <c r="F689" s="160" t="s">
        <v>493</v>
      </c>
      <c r="G689" s="182" t="s">
        <v>57</v>
      </c>
      <c r="H689" s="162" t="s">
        <v>76</v>
      </c>
      <c r="I689" s="159">
        <v>0.6</v>
      </c>
      <c r="J689" s="162" t="s">
        <v>77</v>
      </c>
      <c r="K689" s="159">
        <v>2009</v>
      </c>
      <c r="L689" s="193" t="s">
        <v>507</v>
      </c>
      <c r="M689" s="193"/>
      <c r="N689" s="193"/>
      <c r="O689" s="163" t="s">
        <v>504</v>
      </c>
      <c r="P689" s="55" t="s">
        <v>38</v>
      </c>
      <c r="Q689" s="55" t="s">
        <v>38</v>
      </c>
      <c r="R689" s="19" t="s">
        <v>38</v>
      </c>
      <c r="S689" s="19" t="s">
        <v>38</v>
      </c>
      <c r="T689" s="55" t="s">
        <v>38</v>
      </c>
      <c r="U689" s="55"/>
      <c r="V689" s="391"/>
      <c r="W689" s="392"/>
      <c r="X689" s="392"/>
      <c r="Y689" s="392"/>
      <c r="Z689" s="199"/>
      <c r="AA689" s="199"/>
      <c r="AB689" s="199"/>
      <c r="AC689" s="199"/>
      <c r="AD689" s="12"/>
      <c r="AE689" s="27"/>
      <c r="AF689" s="13"/>
      <c r="AG689" s="13"/>
      <c r="AH689" s="13"/>
      <c r="AI689" s="13"/>
      <c r="AJ689" s="13"/>
      <c r="AK689" s="13"/>
      <c r="AL689" s="13"/>
      <c r="AM689" s="13"/>
      <c r="AN689" s="28"/>
    </row>
    <row r="690" spans="1:40" ht="13" hidden="1" customHeight="1">
      <c r="A690">
        <v>584</v>
      </c>
      <c r="B690" s="141" t="s">
        <v>514</v>
      </c>
      <c r="C690" s="141" t="s">
        <v>61</v>
      </c>
      <c r="D690" s="156" t="s">
        <v>107</v>
      </c>
      <c r="E690" s="158">
        <v>1000</v>
      </c>
      <c r="F690" s="156" t="s">
        <v>115</v>
      </c>
      <c r="G690" s="182" t="s">
        <v>57</v>
      </c>
      <c r="H690" s="141" t="s">
        <v>76</v>
      </c>
      <c r="I690" s="159">
        <v>6.18</v>
      </c>
      <c r="J690" s="141" t="s">
        <v>77</v>
      </c>
      <c r="K690" s="158">
        <v>2010</v>
      </c>
      <c r="L690" s="184" t="s">
        <v>507</v>
      </c>
      <c r="M690" s="184"/>
      <c r="N690" s="184"/>
      <c r="O690" s="163" t="s">
        <v>504</v>
      </c>
      <c r="P690" s="55" t="s">
        <v>38</v>
      </c>
      <c r="Q690" s="55" t="s">
        <v>38</v>
      </c>
      <c r="R690" s="19" t="s">
        <v>38</v>
      </c>
      <c r="S690" s="19" t="s">
        <v>38</v>
      </c>
      <c r="T690" s="55" t="s">
        <v>38</v>
      </c>
      <c r="U690" s="55"/>
      <c r="V690" s="391"/>
      <c r="W690" s="392"/>
      <c r="X690" s="392"/>
      <c r="Y690" s="392"/>
      <c r="Z690" s="199"/>
      <c r="AA690" s="199"/>
      <c r="AB690" s="199"/>
      <c r="AC690" s="199"/>
      <c r="AD690" s="12"/>
      <c r="AE690" s="27"/>
      <c r="AF690" s="13"/>
      <c r="AG690" s="13"/>
      <c r="AH690" s="13"/>
      <c r="AI690" s="13"/>
      <c r="AJ690" s="13"/>
      <c r="AK690" s="13"/>
      <c r="AL690" s="13"/>
      <c r="AM690" s="13"/>
      <c r="AN690" s="28"/>
    </row>
    <row r="691" spans="1:40" ht="13" customHeight="1">
      <c r="A691">
        <v>187</v>
      </c>
      <c r="B691" s="141" t="s">
        <v>226</v>
      </c>
      <c r="C691" s="141" t="s">
        <v>61</v>
      </c>
      <c r="D691" s="141" t="s">
        <v>62</v>
      </c>
      <c r="E691" s="142">
        <v>1000</v>
      </c>
      <c r="F691" s="162" t="s">
        <v>230</v>
      </c>
      <c r="G691" s="141" t="s">
        <v>52</v>
      </c>
      <c r="H691" s="162" t="s">
        <v>76</v>
      </c>
      <c r="I691" s="157">
        <v>8500</v>
      </c>
      <c r="J691" s="162" t="s">
        <v>189</v>
      </c>
      <c r="K691" s="142">
        <v>2000</v>
      </c>
      <c r="L691" s="141" t="s">
        <v>227</v>
      </c>
      <c r="M691" s="184"/>
      <c r="N691" s="141"/>
      <c r="O691" s="11" t="s">
        <v>231</v>
      </c>
      <c r="P691" s="2">
        <v>0.9</v>
      </c>
      <c r="Q691" s="19" t="s">
        <v>122</v>
      </c>
      <c r="R691" s="19" t="s">
        <v>38</v>
      </c>
      <c r="S691" s="19" t="s">
        <v>38</v>
      </c>
      <c r="T691" s="19" t="s">
        <v>122</v>
      </c>
      <c r="U691" s="55"/>
      <c r="V691" s="391"/>
      <c r="W691" s="392"/>
      <c r="X691" s="392"/>
      <c r="Y691" s="392"/>
      <c r="Z691" s="199"/>
      <c r="AA691" s="199"/>
      <c r="AB691" s="199"/>
      <c r="AC691" s="199"/>
      <c r="AD691" s="12"/>
      <c r="AE691" s="27"/>
      <c r="AF691" s="13"/>
      <c r="AG691" s="13"/>
      <c r="AH691" s="13"/>
      <c r="AI691" s="13"/>
      <c r="AJ691" s="13"/>
      <c r="AK691" s="13"/>
      <c r="AL691" s="13"/>
      <c r="AM691" s="13"/>
      <c r="AN691" s="28"/>
    </row>
    <row r="692" spans="1:40" ht="13" hidden="1" customHeight="1">
      <c r="A692">
        <v>586</v>
      </c>
      <c r="B692" s="141" t="s">
        <v>514</v>
      </c>
      <c r="C692" s="156" t="s">
        <v>61</v>
      </c>
      <c r="D692" s="156" t="s">
        <v>107</v>
      </c>
      <c r="E692" s="158">
        <v>1000</v>
      </c>
      <c r="F692" s="156" t="s">
        <v>217</v>
      </c>
      <c r="G692" s="182" t="s">
        <v>57</v>
      </c>
      <c r="H692" s="160" t="s">
        <v>33</v>
      </c>
      <c r="I692" s="159">
        <f>5582*1000000</f>
        <v>5582000000</v>
      </c>
      <c r="J692" s="160" t="s">
        <v>34</v>
      </c>
      <c r="K692" s="159">
        <v>2011</v>
      </c>
      <c r="L692" s="193" t="s">
        <v>507</v>
      </c>
      <c r="M692" s="193"/>
      <c r="N692" s="193"/>
      <c r="O692" s="163" t="s">
        <v>504</v>
      </c>
      <c r="P692" s="161">
        <v>0.75</v>
      </c>
      <c r="Q692" s="19" t="s">
        <v>38</v>
      </c>
      <c r="R692" s="19" t="s">
        <v>38</v>
      </c>
      <c r="S692" s="19" t="s">
        <v>38</v>
      </c>
      <c r="T692" s="55" t="s">
        <v>38</v>
      </c>
      <c r="U692" s="55"/>
      <c r="V692" s="391"/>
      <c r="W692" s="392"/>
      <c r="X692" s="392"/>
      <c r="Y692" s="392"/>
      <c r="Z692" s="199"/>
      <c r="AA692" s="199"/>
      <c r="AB692" s="199"/>
      <c r="AC692" s="199"/>
      <c r="AD692" s="12"/>
      <c r="AE692" s="27"/>
      <c r="AF692" s="13"/>
      <c r="AG692" s="13"/>
      <c r="AH692" s="13"/>
      <c r="AI692" s="13"/>
      <c r="AJ692" s="13"/>
      <c r="AK692" s="13"/>
      <c r="AL692" s="13"/>
      <c r="AM692" s="13"/>
      <c r="AN692" s="28"/>
    </row>
    <row r="693" spans="1:40" ht="13" customHeight="1">
      <c r="A693">
        <v>188</v>
      </c>
      <c r="B693" s="141" t="s">
        <v>229</v>
      </c>
      <c r="C693" s="141" t="s">
        <v>61</v>
      </c>
      <c r="D693" s="141" t="s">
        <v>62</v>
      </c>
      <c r="E693" s="142">
        <v>1000</v>
      </c>
      <c r="F693" s="141" t="s">
        <v>230</v>
      </c>
      <c r="G693" s="141" t="s">
        <v>52</v>
      </c>
      <c r="H693" s="162" t="s">
        <v>76</v>
      </c>
      <c r="I693" s="157">
        <v>6600</v>
      </c>
      <c r="J693" s="162" t="s">
        <v>189</v>
      </c>
      <c r="K693" s="157">
        <v>2000</v>
      </c>
      <c r="L693" s="162" t="s">
        <v>227</v>
      </c>
      <c r="M693" s="193"/>
      <c r="N693" s="162"/>
      <c r="O693" s="11" t="s">
        <v>231</v>
      </c>
      <c r="P693" s="2">
        <v>0.9</v>
      </c>
      <c r="Q693" s="19" t="s">
        <v>122</v>
      </c>
      <c r="R693" s="19" t="s">
        <v>38</v>
      </c>
      <c r="S693" s="19" t="s">
        <v>38</v>
      </c>
      <c r="T693" s="19" t="s">
        <v>122</v>
      </c>
      <c r="U693" s="55"/>
      <c r="V693" s="391"/>
      <c r="W693" s="392"/>
      <c r="X693" s="392"/>
      <c r="Y693" s="392"/>
      <c r="Z693" s="199"/>
      <c r="AA693" s="199"/>
      <c r="AB693" s="199"/>
      <c r="AC693" s="199"/>
      <c r="AD693" s="12"/>
      <c r="AE693" s="27"/>
      <c r="AF693" s="13"/>
      <c r="AG693" s="13"/>
      <c r="AH693" s="13"/>
      <c r="AI693" s="13"/>
      <c r="AJ693" s="13"/>
      <c r="AK693" s="13"/>
      <c r="AL693" s="13"/>
      <c r="AM693" s="13"/>
      <c r="AN693" s="28"/>
    </row>
    <row r="694" spans="1:40" ht="13" customHeight="1">
      <c r="A694">
        <v>475</v>
      </c>
      <c r="B694" s="141" t="s">
        <v>445</v>
      </c>
      <c r="C694" s="141" t="s">
        <v>61</v>
      </c>
      <c r="D694" s="141" t="s">
        <v>62</v>
      </c>
      <c r="E694" t="s">
        <v>81</v>
      </c>
      <c r="F694" s="141" t="s">
        <v>230</v>
      </c>
      <c r="G694" s="141" t="s">
        <v>57</v>
      </c>
      <c r="H694" s="162" t="s">
        <v>76</v>
      </c>
      <c r="I694" s="157">
        <v>5670</v>
      </c>
      <c r="J694" s="162" t="s">
        <v>189</v>
      </c>
      <c r="K694" s="157">
        <v>2000</v>
      </c>
      <c r="L694" s="162" t="s">
        <v>446</v>
      </c>
      <c r="M694" s="193"/>
      <c r="N694" s="162"/>
      <c r="O694" s="11" t="s">
        <v>1129</v>
      </c>
      <c r="P694" s="55" t="s">
        <v>38</v>
      </c>
      <c r="Q694" t="s">
        <v>84</v>
      </c>
      <c r="R694" s="19" t="s">
        <v>38</v>
      </c>
      <c r="S694" s="19" t="s">
        <v>38</v>
      </c>
      <c r="T694" s="55" t="s">
        <v>38</v>
      </c>
      <c r="U694" s="55"/>
      <c r="V694" s="391"/>
      <c r="W694" s="392"/>
      <c r="X694" s="392"/>
      <c r="Y694" s="392"/>
      <c r="Z694" s="199"/>
      <c r="AA694" s="199"/>
      <c r="AB694" s="199"/>
      <c r="AC694" s="199"/>
      <c r="AD694" s="12"/>
      <c r="AE694" s="27"/>
      <c r="AF694" s="13"/>
      <c r="AG694" s="13"/>
      <c r="AH694" s="13"/>
      <c r="AI694" s="13"/>
      <c r="AJ694" s="13"/>
      <c r="AK694" s="13"/>
      <c r="AL694" s="13"/>
      <c r="AM694" s="13"/>
      <c r="AN694" s="28"/>
    </row>
    <row r="695" spans="1:40" ht="15" hidden="1" customHeight="1">
      <c r="A695">
        <v>589</v>
      </c>
      <c r="B695" s="141" t="s">
        <v>515</v>
      </c>
      <c r="C695" s="141" t="s">
        <v>61</v>
      </c>
      <c r="D695" s="141" t="s">
        <v>278</v>
      </c>
      <c r="E695" s="158">
        <v>1000</v>
      </c>
      <c r="F695" s="156" t="s">
        <v>493</v>
      </c>
      <c r="G695" s="182" t="s">
        <v>57</v>
      </c>
      <c r="H695" s="162" t="s">
        <v>76</v>
      </c>
      <c r="I695" s="159">
        <v>0.6</v>
      </c>
      <c r="J695" s="162" t="s">
        <v>77</v>
      </c>
      <c r="K695" s="159">
        <v>2009</v>
      </c>
      <c r="L695" s="193" t="s">
        <v>507</v>
      </c>
      <c r="M695" s="193"/>
      <c r="N695" s="193"/>
      <c r="O695" s="163" t="s">
        <v>504</v>
      </c>
      <c r="P695" s="55" t="s">
        <v>38</v>
      </c>
      <c r="Q695" s="55" t="s">
        <v>38</v>
      </c>
      <c r="R695" s="19" t="s">
        <v>38</v>
      </c>
      <c r="S695" s="19" t="s">
        <v>38</v>
      </c>
      <c r="T695" s="55" t="s">
        <v>38</v>
      </c>
      <c r="U695" s="55"/>
      <c r="V695" s="391"/>
      <c r="W695" s="392"/>
      <c r="X695" s="392"/>
      <c r="Y695" s="392"/>
      <c r="Z695" s="199"/>
      <c r="AA695" s="199"/>
      <c r="AB695" s="199"/>
      <c r="AC695" s="199"/>
      <c r="AD695" s="12"/>
      <c r="AE695" s="27"/>
      <c r="AF695" s="13"/>
      <c r="AG695" s="13"/>
      <c r="AH695" s="13"/>
      <c r="AI695" s="13"/>
      <c r="AJ695" s="13"/>
      <c r="AK695" s="13"/>
      <c r="AL695" s="13"/>
      <c r="AM695" s="13"/>
      <c r="AN695" s="28"/>
    </row>
    <row r="696" spans="1:40" ht="13" hidden="1" customHeight="1">
      <c r="A696">
        <v>590</v>
      </c>
      <c r="B696" s="141" t="s">
        <v>515</v>
      </c>
      <c r="C696" s="141" t="s">
        <v>61</v>
      </c>
      <c r="D696" s="141" t="s">
        <v>278</v>
      </c>
      <c r="E696" s="158">
        <v>1000</v>
      </c>
      <c r="F696" s="156" t="s">
        <v>115</v>
      </c>
      <c r="G696" s="182" t="s">
        <v>57</v>
      </c>
      <c r="H696" s="141" t="s">
        <v>76</v>
      </c>
      <c r="I696" s="159">
        <v>6.9</v>
      </c>
      <c r="J696" s="141" t="s">
        <v>77</v>
      </c>
      <c r="K696" s="159">
        <v>2010</v>
      </c>
      <c r="L696" s="184" t="s">
        <v>507</v>
      </c>
      <c r="M696" s="184"/>
      <c r="N696" s="184"/>
      <c r="O696" s="163" t="s">
        <v>504</v>
      </c>
      <c r="P696" s="55" t="s">
        <v>38</v>
      </c>
      <c r="Q696" s="55" t="s">
        <v>38</v>
      </c>
      <c r="R696" s="19" t="s">
        <v>38</v>
      </c>
      <c r="S696" s="19" t="s">
        <v>38</v>
      </c>
      <c r="T696" s="55" t="s">
        <v>38</v>
      </c>
      <c r="U696" s="55"/>
      <c r="V696" s="391"/>
      <c r="W696" s="392"/>
      <c r="X696" s="392"/>
      <c r="Y696" s="392"/>
      <c r="Z696" s="199"/>
      <c r="AA696" s="199"/>
      <c r="AB696" s="199"/>
      <c r="AC696" s="199"/>
      <c r="AD696" s="12"/>
      <c r="AE696" s="27"/>
      <c r="AF696" s="13"/>
      <c r="AG696" s="13"/>
      <c r="AH696" s="13"/>
      <c r="AI696" s="13"/>
      <c r="AJ696" s="13"/>
      <c r="AK696" s="13"/>
      <c r="AL696" s="13"/>
      <c r="AM696" s="13"/>
      <c r="AN696" s="28"/>
    </row>
    <row r="697" spans="1:40" ht="13" customHeight="1">
      <c r="A697">
        <v>476</v>
      </c>
      <c r="B697" s="141" t="s">
        <v>445</v>
      </c>
      <c r="C697" s="162" t="s">
        <v>61</v>
      </c>
      <c r="D697" s="141" t="s">
        <v>62</v>
      </c>
      <c r="E697" s="11" t="s">
        <v>81</v>
      </c>
      <c r="F697" s="141" t="s">
        <v>230</v>
      </c>
      <c r="G697" s="141" t="s">
        <v>57</v>
      </c>
      <c r="H697" s="162" t="s">
        <v>76</v>
      </c>
      <c r="I697" s="157">
        <v>8820</v>
      </c>
      <c r="J697" s="162" t="s">
        <v>189</v>
      </c>
      <c r="K697" s="157">
        <v>2000</v>
      </c>
      <c r="L697" s="162" t="s">
        <v>446</v>
      </c>
      <c r="M697" s="193"/>
      <c r="N697" s="162"/>
      <c r="O697" s="11" t="s">
        <v>1130</v>
      </c>
      <c r="P697" s="55" t="s">
        <v>38</v>
      </c>
      <c r="Q697" t="s">
        <v>84</v>
      </c>
      <c r="R697" s="19" t="s">
        <v>38</v>
      </c>
      <c r="S697" s="19" t="s">
        <v>38</v>
      </c>
      <c r="T697" s="55" t="s">
        <v>38</v>
      </c>
      <c r="U697" s="55"/>
      <c r="V697" s="391"/>
      <c r="W697" s="392"/>
      <c r="X697" s="392"/>
      <c r="Y697" s="392"/>
      <c r="Z697" s="199"/>
      <c r="AA697" s="199"/>
      <c r="AB697" s="199"/>
      <c r="AC697" s="199"/>
      <c r="AD697" s="12"/>
      <c r="AE697" s="27"/>
      <c r="AF697" s="13"/>
      <c r="AG697" s="13"/>
      <c r="AH697" s="13"/>
      <c r="AI697" s="13"/>
      <c r="AJ697" s="13"/>
      <c r="AK697" s="13"/>
      <c r="AL697" s="13"/>
      <c r="AM697" s="13"/>
      <c r="AN697" s="28"/>
    </row>
    <row r="698" spans="1:40" ht="13" hidden="1" customHeight="1">
      <c r="A698">
        <v>593</v>
      </c>
      <c r="B698" s="141" t="s">
        <v>515</v>
      </c>
      <c r="C698" s="156" t="s">
        <v>61</v>
      </c>
      <c r="D698" s="141" t="s">
        <v>278</v>
      </c>
      <c r="E698" s="159">
        <v>1000</v>
      </c>
      <c r="F698" s="156" t="s">
        <v>217</v>
      </c>
      <c r="G698" s="182" t="s">
        <v>57</v>
      </c>
      <c r="H698" s="156" t="s">
        <v>33</v>
      </c>
      <c r="I698" s="159">
        <f>6239*1000000</f>
        <v>6239000000</v>
      </c>
      <c r="J698" s="156" t="s">
        <v>34</v>
      </c>
      <c r="K698" s="159">
        <v>2011</v>
      </c>
      <c r="L698" s="184" t="s">
        <v>507</v>
      </c>
      <c r="M698" s="184"/>
      <c r="N698" s="184"/>
      <c r="O698" s="163" t="s">
        <v>504</v>
      </c>
      <c r="P698" s="161">
        <v>0.75</v>
      </c>
      <c r="Q698" s="19" t="s">
        <v>38</v>
      </c>
      <c r="R698" s="19" t="s">
        <v>38</v>
      </c>
      <c r="S698" s="19" t="s">
        <v>38</v>
      </c>
      <c r="T698" s="55" t="s">
        <v>38</v>
      </c>
      <c r="U698" s="55"/>
      <c r="V698" s="391"/>
      <c r="W698" s="392"/>
      <c r="X698" s="392"/>
      <c r="Y698" s="392"/>
      <c r="Z698" s="199"/>
      <c r="AA698" s="199"/>
      <c r="AB698" s="199"/>
      <c r="AC698" s="199"/>
      <c r="AD698" s="12"/>
      <c r="AE698" s="27"/>
      <c r="AF698" s="13"/>
      <c r="AG698" s="13"/>
      <c r="AH698" s="13"/>
      <c r="AI698" s="13"/>
      <c r="AJ698" s="13"/>
      <c r="AK698" s="13"/>
      <c r="AL698" s="13"/>
      <c r="AM698" s="13"/>
      <c r="AN698" s="28"/>
    </row>
    <row r="699" spans="1:40" ht="13" hidden="1" customHeight="1">
      <c r="E699" s="11"/>
      <c r="G699" s="119"/>
      <c r="I699" s="11"/>
      <c r="K699" s="11"/>
      <c r="L699" s="80"/>
      <c r="M699" s="80"/>
      <c r="N699" s="80"/>
      <c r="O699" s="11" t="s">
        <v>728</v>
      </c>
      <c r="P699" s="2">
        <v>0.9</v>
      </c>
      <c r="Q699" t="s">
        <v>350</v>
      </c>
      <c r="R699" s="19" t="s">
        <v>38</v>
      </c>
      <c r="S699" s="13" t="s">
        <v>487</v>
      </c>
      <c r="T699" s="55" t="s">
        <v>38</v>
      </c>
      <c r="U699" s="55"/>
      <c r="V699" s="391"/>
      <c r="W699" s="392"/>
      <c r="X699" s="392"/>
      <c r="Y699" s="392"/>
      <c r="Z699" s="199"/>
      <c r="AA699" s="199"/>
      <c r="AB699" s="199"/>
      <c r="AC699" s="199"/>
      <c r="AD699" s="12"/>
      <c r="AE699" s="27"/>
      <c r="AF699" s="13"/>
      <c r="AG699" s="13"/>
      <c r="AH699" s="13"/>
      <c r="AI699" s="13"/>
      <c r="AJ699" s="13"/>
      <c r="AK699" s="13"/>
      <c r="AL699" s="13"/>
      <c r="AM699" s="13"/>
      <c r="AN699" s="28"/>
    </row>
    <row r="700" spans="1:40" ht="13" hidden="1" customHeight="1">
      <c r="E700" s="11"/>
      <c r="G700" s="119"/>
      <c r="I700" s="11"/>
      <c r="K700" s="11"/>
      <c r="L700" s="80"/>
      <c r="M700" s="80"/>
      <c r="N700" s="80"/>
      <c r="O700" s="11"/>
      <c r="P700" s="19" t="s">
        <v>122</v>
      </c>
      <c r="Q700" s="55" t="s">
        <v>38</v>
      </c>
      <c r="R700" s="19" t="s">
        <v>38</v>
      </c>
      <c r="S700" s="19" t="s">
        <v>38</v>
      </c>
      <c r="T700" s="55" t="s">
        <v>38</v>
      </c>
      <c r="U700" s="55"/>
      <c r="V700" s="391"/>
      <c r="W700" s="392"/>
      <c r="X700" s="392"/>
      <c r="Y700" s="392"/>
      <c r="Z700" s="199"/>
      <c r="AA700" s="199"/>
      <c r="AB700" s="199"/>
      <c r="AC700" s="199"/>
      <c r="AD700" s="12"/>
      <c r="AE700" s="27"/>
      <c r="AF700" s="13"/>
      <c r="AG700" s="13"/>
      <c r="AH700" s="13"/>
      <c r="AI700" s="13"/>
      <c r="AJ700" s="13"/>
      <c r="AK700" s="13"/>
      <c r="AL700" s="13"/>
      <c r="AM700" s="13"/>
      <c r="AN700" s="28"/>
    </row>
    <row r="701" spans="1:40" ht="13" hidden="1" customHeight="1">
      <c r="E701" s="11"/>
      <c r="G701" s="119"/>
      <c r="I701" s="11"/>
      <c r="K701" s="11"/>
      <c r="L701" s="80"/>
      <c r="M701" s="80"/>
      <c r="N701" s="80"/>
      <c r="O701" s="11"/>
      <c r="P701" s="19" t="s">
        <v>122</v>
      </c>
      <c r="Q701" s="55" t="s">
        <v>38</v>
      </c>
      <c r="R701" s="19" t="s">
        <v>38</v>
      </c>
      <c r="S701" s="19" t="s">
        <v>38</v>
      </c>
      <c r="T701" s="55" t="s">
        <v>38</v>
      </c>
      <c r="U701" s="55"/>
      <c r="V701" s="391"/>
      <c r="W701" s="392"/>
      <c r="X701" s="392"/>
      <c r="Y701" s="392"/>
      <c r="Z701" s="199"/>
      <c r="AA701" s="199"/>
      <c r="AB701" s="199"/>
      <c r="AC701" s="199"/>
      <c r="AD701" s="12"/>
      <c r="AE701" s="27"/>
      <c r="AF701" s="13"/>
      <c r="AG701" s="13"/>
      <c r="AH701" s="13"/>
      <c r="AI701" s="13"/>
      <c r="AJ701" s="13"/>
      <c r="AK701" s="13"/>
      <c r="AL701" s="13"/>
      <c r="AM701" s="13"/>
      <c r="AN701" s="28"/>
    </row>
    <row r="702" spans="1:40" ht="13" hidden="1" customHeight="1">
      <c r="E702" s="11"/>
      <c r="G702" s="119"/>
      <c r="I702" s="11"/>
      <c r="K702" s="11"/>
      <c r="L702" s="80"/>
      <c r="M702" s="80"/>
      <c r="N702" s="80"/>
      <c r="O702" s="11" t="s">
        <v>490</v>
      </c>
      <c r="P702" s="19" t="s">
        <v>122</v>
      </c>
      <c r="Q702" s="55" t="s">
        <v>38</v>
      </c>
      <c r="R702" s="19" t="s">
        <v>38</v>
      </c>
      <c r="S702" s="19" t="s">
        <v>38</v>
      </c>
      <c r="T702" s="55" t="s">
        <v>38</v>
      </c>
      <c r="U702" s="55"/>
      <c r="V702" s="391"/>
      <c r="W702" s="392"/>
      <c r="X702" s="392"/>
      <c r="Y702" s="392"/>
      <c r="Z702" s="199"/>
      <c r="AA702" s="199"/>
      <c r="AB702" s="199"/>
      <c r="AC702" s="199"/>
      <c r="AD702" s="12"/>
      <c r="AE702" s="27"/>
      <c r="AF702" s="13"/>
      <c r="AG702" s="13"/>
      <c r="AH702" s="13"/>
      <c r="AI702" s="13"/>
      <c r="AJ702" s="13"/>
      <c r="AK702" s="13"/>
      <c r="AL702" s="13"/>
      <c r="AM702" s="13"/>
      <c r="AN702" s="28"/>
    </row>
    <row r="703" spans="1:40" ht="13" hidden="1" customHeight="1">
      <c r="C703" s="11"/>
      <c r="E703" s="11"/>
      <c r="G703" s="119"/>
      <c r="H703" s="11"/>
      <c r="I703" s="11"/>
      <c r="J703" s="11"/>
      <c r="K703" s="11"/>
      <c r="L703" s="277"/>
      <c r="M703" s="277"/>
      <c r="N703" s="277"/>
      <c r="O703" s="11"/>
      <c r="P703" s="19" t="s">
        <v>122</v>
      </c>
      <c r="Q703" s="55" t="s">
        <v>38</v>
      </c>
      <c r="R703" s="19" t="s">
        <v>38</v>
      </c>
      <c r="S703" s="19" t="s">
        <v>38</v>
      </c>
      <c r="T703" s="55" t="s">
        <v>38</v>
      </c>
      <c r="U703" s="55"/>
      <c r="V703" s="391"/>
      <c r="W703" s="392"/>
      <c r="X703" s="392"/>
      <c r="Y703" s="392"/>
      <c r="Z703" s="199"/>
      <c r="AA703" s="199"/>
      <c r="AB703" s="199"/>
      <c r="AC703" s="199"/>
      <c r="AD703" s="12"/>
      <c r="AE703" s="27"/>
      <c r="AF703" s="13"/>
      <c r="AG703" s="13"/>
      <c r="AH703" s="13"/>
      <c r="AI703" s="13"/>
      <c r="AJ703" s="13"/>
      <c r="AK703" s="13"/>
      <c r="AL703" s="13"/>
      <c r="AM703" s="13"/>
      <c r="AN703" s="28"/>
    </row>
    <row r="704" spans="1:40" ht="13" hidden="1" customHeight="1">
      <c r="E704" s="11"/>
      <c r="G704" s="119"/>
      <c r="I704" s="11"/>
      <c r="K704" s="11"/>
      <c r="L704" s="80"/>
      <c r="M704" s="80"/>
      <c r="N704" s="80"/>
      <c r="O704" s="11"/>
      <c r="P704" s="2">
        <v>0.9</v>
      </c>
      <c r="Q704" t="s">
        <v>350</v>
      </c>
      <c r="R704" s="19" t="s">
        <v>38</v>
      </c>
      <c r="S704" s="19" t="s">
        <v>38</v>
      </c>
      <c r="T704" s="55" t="s">
        <v>38</v>
      </c>
      <c r="U704" s="55"/>
      <c r="V704" s="391"/>
      <c r="W704" s="392"/>
      <c r="X704" s="392"/>
      <c r="Y704" s="392"/>
      <c r="Z704" s="199"/>
      <c r="AA704" s="199"/>
      <c r="AB704" s="199"/>
      <c r="AC704" s="199"/>
      <c r="AD704" s="12"/>
      <c r="AE704" s="27"/>
      <c r="AF704" s="13"/>
      <c r="AG704" s="13"/>
      <c r="AH704" s="13"/>
      <c r="AI704" s="13"/>
      <c r="AJ704" s="13"/>
      <c r="AK704" s="13"/>
      <c r="AL704" s="13"/>
      <c r="AM704" s="13"/>
      <c r="AN704" s="28"/>
    </row>
    <row r="705" spans="2:40" ht="13" hidden="1" customHeight="1">
      <c r="E705" s="11"/>
      <c r="G705" s="119"/>
      <c r="I705" s="11"/>
      <c r="K705" s="11"/>
      <c r="L705" s="80"/>
      <c r="M705" s="80"/>
      <c r="N705" s="80"/>
      <c r="O705" s="11"/>
      <c r="P705" s="2">
        <v>0.9</v>
      </c>
      <c r="Q705" t="s">
        <v>350</v>
      </c>
      <c r="R705" s="19" t="s">
        <v>38</v>
      </c>
      <c r="S705" s="19" t="s">
        <v>38</v>
      </c>
      <c r="T705" s="55" t="s">
        <v>38</v>
      </c>
      <c r="U705" s="55"/>
      <c r="V705" s="391"/>
      <c r="W705" s="392"/>
      <c r="X705" s="392"/>
      <c r="Y705" s="392"/>
      <c r="Z705" s="199"/>
      <c r="AA705" s="199"/>
      <c r="AB705" s="199"/>
      <c r="AC705" s="199"/>
      <c r="AD705" s="12"/>
      <c r="AE705" s="27"/>
      <c r="AF705" s="13"/>
      <c r="AG705" s="13"/>
      <c r="AH705" s="13"/>
      <c r="AI705" s="13"/>
      <c r="AJ705" s="13"/>
      <c r="AK705" s="13"/>
      <c r="AL705" s="13"/>
      <c r="AM705" s="13"/>
      <c r="AN705" s="28"/>
    </row>
    <row r="706" spans="2:40" ht="13" hidden="1" customHeight="1">
      <c r="B706" s="245"/>
      <c r="C706" s="245"/>
      <c r="D706" s="245"/>
      <c r="E706" s="269"/>
      <c r="F706" s="245"/>
      <c r="G706" s="266"/>
      <c r="H706" s="245"/>
      <c r="I706" s="269"/>
      <c r="J706" s="245"/>
      <c r="K706" s="269"/>
      <c r="L706" s="245"/>
      <c r="M706" s="245"/>
      <c r="N706" s="245"/>
      <c r="O706" s="269" t="s">
        <v>463</v>
      </c>
      <c r="P706" s="19" t="s">
        <v>122</v>
      </c>
      <c r="Q706" s="55" t="s">
        <v>38</v>
      </c>
      <c r="R706" s="19" t="s">
        <v>38</v>
      </c>
      <c r="S706" s="19" t="s">
        <v>38</v>
      </c>
      <c r="T706" s="55" t="s">
        <v>38</v>
      </c>
      <c r="U706" s="55"/>
      <c r="V706" s="391"/>
      <c r="W706" s="392"/>
      <c r="X706" s="392"/>
      <c r="Y706" s="392"/>
      <c r="Z706" s="199"/>
      <c r="AA706" s="199"/>
      <c r="AB706" s="199"/>
      <c r="AC706" s="199"/>
      <c r="AD706" s="12"/>
      <c r="AE706" s="27"/>
      <c r="AF706" s="13"/>
      <c r="AG706" s="13"/>
      <c r="AH706" s="13"/>
      <c r="AI706" s="13"/>
      <c r="AJ706" s="13"/>
      <c r="AK706" s="13"/>
      <c r="AL706" s="13"/>
      <c r="AM706" s="13"/>
      <c r="AN706" s="28"/>
    </row>
    <row r="707" spans="2:40" ht="40.5" hidden="1" customHeight="1">
      <c r="B707" s="245"/>
      <c r="C707" s="245"/>
      <c r="D707" s="245"/>
      <c r="E707" s="269"/>
      <c r="F707" s="245"/>
      <c r="G707" s="266"/>
      <c r="H707" s="245"/>
      <c r="I707" s="269"/>
      <c r="J707" s="245"/>
      <c r="K707" s="269"/>
      <c r="L707" s="245"/>
      <c r="M707" s="245"/>
      <c r="N707" s="245"/>
      <c r="O707" s="269" t="s">
        <v>464</v>
      </c>
      <c r="P707" s="19" t="s">
        <v>122</v>
      </c>
      <c r="Q707" s="55" t="s">
        <v>38</v>
      </c>
      <c r="R707" s="19" t="s">
        <v>38</v>
      </c>
      <c r="S707" s="19" t="s">
        <v>38</v>
      </c>
      <c r="T707" s="55" t="s">
        <v>38</v>
      </c>
      <c r="U707" s="55"/>
      <c r="V707" s="391"/>
      <c r="W707" s="392"/>
      <c r="X707" s="392"/>
      <c r="Y707" s="392"/>
      <c r="Z707" s="199"/>
      <c r="AA707" s="199"/>
      <c r="AB707" s="199"/>
      <c r="AC707" s="199"/>
      <c r="AD707" s="12"/>
      <c r="AE707" s="27"/>
      <c r="AF707" s="13"/>
      <c r="AG707" s="13"/>
      <c r="AH707" s="13"/>
      <c r="AI707" s="13"/>
      <c r="AJ707" s="13"/>
      <c r="AK707" s="13"/>
      <c r="AL707" s="13"/>
      <c r="AM707" s="13"/>
      <c r="AN707" s="28"/>
    </row>
    <row r="708" spans="2:40" ht="22.5" hidden="1" customHeight="1" thickBot="1">
      <c r="B708" s="245"/>
      <c r="C708" s="245"/>
      <c r="D708" s="245"/>
      <c r="E708" s="245"/>
      <c r="F708" s="245"/>
      <c r="G708" s="266"/>
      <c r="H708" s="245"/>
      <c r="I708" s="269"/>
      <c r="J708" s="245"/>
      <c r="K708" s="269"/>
      <c r="L708" s="245"/>
      <c r="M708" s="245"/>
      <c r="N708" s="245"/>
      <c r="O708" s="269" t="s">
        <v>464</v>
      </c>
      <c r="P708" s="19" t="s">
        <v>122</v>
      </c>
      <c r="Q708" s="55" t="s">
        <v>38</v>
      </c>
      <c r="R708" s="19" t="s">
        <v>38</v>
      </c>
      <c r="S708" s="19" t="s">
        <v>38</v>
      </c>
      <c r="T708" s="55" t="s">
        <v>38</v>
      </c>
      <c r="U708" s="55"/>
      <c r="V708" s="393"/>
      <c r="W708" s="394"/>
      <c r="X708" s="394"/>
      <c r="Y708" s="394"/>
      <c r="Z708" s="199"/>
      <c r="AA708" s="199"/>
      <c r="AB708" s="199"/>
      <c r="AC708" s="199"/>
      <c r="AD708" s="12"/>
      <c r="AE708" s="27"/>
      <c r="AF708" s="13"/>
      <c r="AG708" s="13"/>
      <c r="AH708" s="13"/>
      <c r="AI708" s="13"/>
      <c r="AJ708" s="13"/>
      <c r="AK708" s="13"/>
      <c r="AL708" s="13"/>
      <c r="AM708" s="13"/>
      <c r="AN708" s="28"/>
    </row>
    <row r="709" spans="2:40">
      <c r="U709" s="55"/>
      <c r="AD709" s="12"/>
    </row>
    <row r="710" spans="2:40">
      <c r="O710" s="20"/>
      <c r="U710" s="55"/>
      <c r="AD710" s="12"/>
    </row>
    <row r="711" spans="2:40">
      <c r="U711" s="55"/>
      <c r="AD711" s="12"/>
    </row>
    <row r="712" spans="2:40">
      <c r="U712" s="55"/>
      <c r="AD712" s="12"/>
    </row>
    <row r="713" spans="2:40">
      <c r="U713" s="55"/>
      <c r="AD713" s="12"/>
    </row>
    <row r="714" spans="2:40">
      <c r="G714" t="s">
        <v>1128</v>
      </c>
      <c r="U714" s="55"/>
      <c r="AD714" s="12"/>
    </row>
    <row r="715" spans="2:40">
      <c r="U715" s="55"/>
      <c r="AD715" s="12"/>
    </row>
    <row r="716" spans="2:40">
      <c r="U716" s="55"/>
      <c r="AD716" s="12"/>
    </row>
    <row r="717" spans="2:40">
      <c r="U717" s="55"/>
      <c r="AD717" s="12"/>
    </row>
    <row r="718" spans="2:40">
      <c r="K718" t="s">
        <v>1089</v>
      </c>
      <c r="U718" s="55"/>
      <c r="AD718" s="12"/>
    </row>
    <row r="719" spans="2:40">
      <c r="U719" s="55"/>
      <c r="AD719" s="12"/>
    </row>
    <row r="720" spans="2:40">
      <c r="G720" s="13"/>
      <c r="L720" t="s">
        <v>1001</v>
      </c>
      <c r="U720" s="55"/>
      <c r="AD720" s="12"/>
    </row>
    <row r="721" spans="12:21">
      <c r="L721" t="s">
        <v>1002</v>
      </c>
      <c r="U721" s="55"/>
    </row>
    <row r="722" spans="12:21">
      <c r="L722" t="s">
        <v>1003</v>
      </c>
    </row>
    <row r="723" spans="12:21">
      <c r="L723" t="s">
        <v>1030</v>
      </c>
    </row>
    <row r="724" spans="12:21">
      <c r="L724" t="s">
        <v>1082</v>
      </c>
    </row>
    <row r="725" spans="12:21">
      <c r="L725" t="s">
        <v>1083</v>
      </c>
    </row>
    <row r="745" spans="26:29">
      <c r="Z745" s="199"/>
      <c r="AA745" s="199"/>
      <c r="AB745" s="199"/>
      <c r="AC745" s="199"/>
    </row>
    <row r="746" spans="26:29">
      <c r="Z746" s="200"/>
      <c r="AA746" s="200"/>
      <c r="AB746" s="200"/>
      <c r="AC746" s="200"/>
    </row>
    <row r="747" spans="26:29">
      <c r="Z747" s="200"/>
      <c r="AA747" s="200"/>
      <c r="AB747" s="200"/>
      <c r="AC747" s="200"/>
    </row>
    <row r="748" spans="26:29">
      <c r="Z748" s="200"/>
      <c r="AA748" s="200"/>
      <c r="AB748" s="200"/>
      <c r="AC748" s="200"/>
    </row>
    <row r="752" spans="26:29">
      <c r="Z752" s="199"/>
      <c r="AA752" s="199"/>
      <c r="AB752" s="199"/>
      <c r="AC752" s="199"/>
    </row>
    <row r="753" spans="26:29">
      <c r="Z753" s="200"/>
      <c r="AA753" s="200"/>
      <c r="AB753" s="200"/>
      <c r="AC753" s="200"/>
    </row>
    <row r="754" spans="26:29">
      <c r="Z754" s="200"/>
      <c r="AA754" s="200"/>
      <c r="AB754" s="200"/>
      <c r="AC754" s="200"/>
    </row>
    <row r="755" spans="26:29">
      <c r="Z755" s="200"/>
      <c r="AA755" s="200"/>
      <c r="AB755" s="200"/>
      <c r="AC755" s="200"/>
    </row>
  </sheetData>
  <mergeCells count="289">
    <mergeCell ref="V4:V6"/>
    <mergeCell ref="W4:W6"/>
    <mergeCell ref="X4:X6"/>
    <mergeCell ref="Y4:Y6"/>
    <mergeCell ref="V8:V40"/>
    <mergeCell ref="W8:W40"/>
    <mergeCell ref="X8:X40"/>
    <mergeCell ref="Y8:Y40"/>
    <mergeCell ref="AK15:AK17"/>
    <mergeCell ref="AL15:AL17"/>
    <mergeCell ref="AM15:AM17"/>
    <mergeCell ref="AN15:AN17"/>
    <mergeCell ref="AE18:AE23"/>
    <mergeCell ref="AF18:AF23"/>
    <mergeCell ref="AG18:AG23"/>
    <mergeCell ref="AI18:AI23"/>
    <mergeCell ref="AJ18:AJ23"/>
    <mergeCell ref="AK18:AK23"/>
    <mergeCell ref="AE15:AE16"/>
    <mergeCell ref="AF15:AF17"/>
    <mergeCell ref="AG15:AG17"/>
    <mergeCell ref="AH15:AH17"/>
    <mergeCell ref="AI15:AI17"/>
    <mergeCell ref="AJ15:AJ17"/>
    <mergeCell ref="AL18:AL23"/>
    <mergeCell ref="AM18:AM23"/>
    <mergeCell ref="AN18:AN23"/>
    <mergeCell ref="U28:U30"/>
    <mergeCell ref="V42:V47"/>
    <mergeCell ref="W42:W47"/>
    <mergeCell ref="X42:X47"/>
    <mergeCell ref="Y42:Y47"/>
    <mergeCell ref="Z42:Z47"/>
    <mergeCell ref="AA42:AA47"/>
    <mergeCell ref="V57:V58"/>
    <mergeCell ref="W57:W58"/>
    <mergeCell ref="X57:X58"/>
    <mergeCell ref="Y57:Y58"/>
    <mergeCell ref="V59:V60"/>
    <mergeCell ref="W59:W60"/>
    <mergeCell ref="X59:X60"/>
    <mergeCell ref="Y59:Y60"/>
    <mergeCell ref="AB42:AB47"/>
    <mergeCell ref="V48:V50"/>
    <mergeCell ref="W48:W50"/>
    <mergeCell ref="X48:X50"/>
    <mergeCell ref="Y48:Y50"/>
    <mergeCell ref="V51:V56"/>
    <mergeCell ref="W51:W56"/>
    <mergeCell ref="X51:X56"/>
    <mergeCell ref="Y51:Y56"/>
    <mergeCell ref="V61:V87"/>
    <mergeCell ref="W61:W87"/>
    <mergeCell ref="X61:X87"/>
    <mergeCell ref="Y61:Y87"/>
    <mergeCell ref="AE72:AE98"/>
    <mergeCell ref="V88:V94"/>
    <mergeCell ref="W88:W94"/>
    <mergeCell ref="X88:X94"/>
    <mergeCell ref="Y88:Y94"/>
    <mergeCell ref="V95:V105"/>
    <mergeCell ref="AJ99:AJ105"/>
    <mergeCell ref="AK99:AK105"/>
    <mergeCell ref="AL99:AL105"/>
    <mergeCell ref="AM99:AM105"/>
    <mergeCell ref="AN99:AN105"/>
    <mergeCell ref="V106:V155"/>
    <mergeCell ref="W106:W155"/>
    <mergeCell ref="X106:X155"/>
    <mergeCell ref="Y106:Y155"/>
    <mergeCell ref="AE106:AE116"/>
    <mergeCell ref="W95:W105"/>
    <mergeCell ref="X95:X105"/>
    <mergeCell ref="Y95:Y105"/>
    <mergeCell ref="AF99:AF105"/>
    <mergeCell ref="AG99:AG105"/>
    <mergeCell ref="AI99:AI105"/>
    <mergeCell ref="AN118:AN166"/>
    <mergeCell ref="AR121:AY121"/>
    <mergeCell ref="AR123:AY123"/>
    <mergeCell ref="AR126:AY126"/>
    <mergeCell ref="V157:V176"/>
    <mergeCell ref="W157:W176"/>
    <mergeCell ref="X157:X176"/>
    <mergeCell ref="Y157:Y176"/>
    <mergeCell ref="AE169:AE186"/>
    <mergeCell ref="AF118:AF166"/>
    <mergeCell ref="AG118:AG166"/>
    <mergeCell ref="AI118:AI166"/>
    <mergeCell ref="AJ118:AJ166"/>
    <mergeCell ref="AK118:AK166"/>
    <mergeCell ref="AL118:AL166"/>
    <mergeCell ref="W185:W190"/>
    <mergeCell ref="X185:X190"/>
    <mergeCell ref="AF169:AF186"/>
    <mergeCell ref="AG169:AG186"/>
    <mergeCell ref="AH169:AH186"/>
    <mergeCell ref="AI169:AI186"/>
    <mergeCell ref="AJ169:AJ186"/>
    <mergeCell ref="AK169:AK186"/>
    <mergeCell ref="AM118:AM166"/>
    <mergeCell ref="AK188:AK204"/>
    <mergeCell ref="AL188:AL204"/>
    <mergeCell ref="AM188:AM204"/>
    <mergeCell ref="AN188:AN204"/>
    <mergeCell ref="V191:V195"/>
    <mergeCell ref="W191:W195"/>
    <mergeCell ref="X191:X195"/>
    <mergeCell ref="Y191:Y195"/>
    <mergeCell ref="V196:V235"/>
    <mergeCell ref="W196:W235"/>
    <mergeCell ref="Y185:Y190"/>
    <mergeCell ref="AE188:AE204"/>
    <mergeCell ref="AF188:AF204"/>
    <mergeCell ref="AG188:AG204"/>
    <mergeCell ref="AI188:AI204"/>
    <mergeCell ref="AJ188:AJ204"/>
    <mergeCell ref="AL169:AL186"/>
    <mergeCell ref="AM169:AM186"/>
    <mergeCell ref="AN169:AN186"/>
    <mergeCell ref="V177:V184"/>
    <mergeCell ref="W177:W184"/>
    <mergeCell ref="X177:X184"/>
    <mergeCell ref="Y177:Y184"/>
    <mergeCell ref="V185:V190"/>
    <mergeCell ref="V240:V256"/>
    <mergeCell ref="W240:W256"/>
    <mergeCell ref="X240:X256"/>
    <mergeCell ref="Y240:Y256"/>
    <mergeCell ref="V258:V260"/>
    <mergeCell ref="W258:W260"/>
    <mergeCell ref="X258:X260"/>
    <mergeCell ref="Y258:Y260"/>
    <mergeCell ref="X196:X235"/>
    <mergeCell ref="Y196:Y235"/>
    <mergeCell ref="V236:V239"/>
    <mergeCell ref="W236:W239"/>
    <mergeCell ref="X236:X239"/>
    <mergeCell ref="Y236:Y239"/>
    <mergeCell ref="V261:V262"/>
    <mergeCell ref="W261:W262"/>
    <mergeCell ref="X261:X262"/>
    <mergeCell ref="Y261:Y262"/>
    <mergeCell ref="U263:U270"/>
    <mergeCell ref="V263:V283"/>
    <mergeCell ref="W263:W283"/>
    <mergeCell ref="X263:X283"/>
    <mergeCell ref="Y263:Y283"/>
    <mergeCell ref="V321:V322"/>
    <mergeCell ref="W321:W322"/>
    <mergeCell ref="X321:X322"/>
    <mergeCell ref="Y321:Y322"/>
    <mergeCell ref="V323:V342"/>
    <mergeCell ref="W323:W342"/>
    <mergeCell ref="X323:X342"/>
    <mergeCell ref="Y323:Y342"/>
    <mergeCell ref="V284:Y287"/>
    <mergeCell ref="V288:V315"/>
    <mergeCell ref="W288:W315"/>
    <mergeCell ref="X288:X315"/>
    <mergeCell ref="Y288:Y315"/>
    <mergeCell ref="V316:V319"/>
    <mergeCell ref="W316:W319"/>
    <mergeCell ref="X316:X319"/>
    <mergeCell ref="Y316:Y319"/>
    <mergeCell ref="V390:V392"/>
    <mergeCell ref="W390:W392"/>
    <mergeCell ref="X390:X392"/>
    <mergeCell ref="Y390:Y392"/>
    <mergeCell ref="V393:V405"/>
    <mergeCell ref="W393:W405"/>
    <mergeCell ref="X393:X405"/>
    <mergeCell ref="Y393:Y405"/>
    <mergeCell ref="V343:V377"/>
    <mergeCell ref="W343:W377"/>
    <mergeCell ref="X343:X377"/>
    <mergeCell ref="Y343:Y377"/>
    <mergeCell ref="V379:V389"/>
    <mergeCell ref="W379:W389"/>
    <mergeCell ref="X379:X389"/>
    <mergeCell ref="Y379:Y389"/>
    <mergeCell ref="V435:V442"/>
    <mergeCell ref="W435:W442"/>
    <mergeCell ref="X435:X442"/>
    <mergeCell ref="Y435:Y442"/>
    <mergeCell ref="V443:V454"/>
    <mergeCell ref="W443:W454"/>
    <mergeCell ref="X443:X454"/>
    <mergeCell ref="Y443:Y454"/>
    <mergeCell ref="V406:V421"/>
    <mergeCell ref="W406:W421"/>
    <mergeCell ref="X406:X421"/>
    <mergeCell ref="Y406:Y421"/>
    <mergeCell ref="V422:Y424"/>
    <mergeCell ref="V425:V434"/>
    <mergeCell ref="W425:W434"/>
    <mergeCell ref="X425:X434"/>
    <mergeCell ref="Y425:Y434"/>
    <mergeCell ref="V455:Y458"/>
    <mergeCell ref="V459:V460"/>
    <mergeCell ref="W459:W460"/>
    <mergeCell ref="X459:X460"/>
    <mergeCell ref="Y459:Y460"/>
    <mergeCell ref="V461:V464"/>
    <mergeCell ref="W461:W464"/>
    <mergeCell ref="X461:X464"/>
    <mergeCell ref="Y461:Y464"/>
    <mergeCell ref="V465:Y467"/>
    <mergeCell ref="V468:V474"/>
    <mergeCell ref="W468:W474"/>
    <mergeCell ref="X468:X474"/>
    <mergeCell ref="Y468:Y474"/>
    <mergeCell ref="V476:V483"/>
    <mergeCell ref="W476:W483"/>
    <mergeCell ref="X476:X483"/>
    <mergeCell ref="Y476:Y483"/>
    <mergeCell ref="V484:V485"/>
    <mergeCell ref="W484:W485"/>
    <mergeCell ref="X484:X485"/>
    <mergeCell ref="Y484:Y485"/>
    <mergeCell ref="V487:Y487"/>
    <mergeCell ref="V488:V522"/>
    <mergeCell ref="W488:W522"/>
    <mergeCell ref="X488:X522"/>
    <mergeCell ref="Y488:Y522"/>
    <mergeCell ref="V571:V573"/>
    <mergeCell ref="W571:W573"/>
    <mergeCell ref="X571:X573"/>
    <mergeCell ref="Y571:Y573"/>
    <mergeCell ref="V574:V576"/>
    <mergeCell ref="W574:W576"/>
    <mergeCell ref="X574:X576"/>
    <mergeCell ref="Y574:Y576"/>
    <mergeCell ref="V523:V526"/>
    <mergeCell ref="W523:W526"/>
    <mergeCell ref="X523:X526"/>
    <mergeCell ref="Y523:Y526"/>
    <mergeCell ref="V527:V570"/>
    <mergeCell ref="W527:W570"/>
    <mergeCell ref="X527:X570"/>
    <mergeCell ref="Y527:Y570"/>
    <mergeCell ref="V585:V590"/>
    <mergeCell ref="W585:W590"/>
    <mergeCell ref="X585:X590"/>
    <mergeCell ref="Y585:Y590"/>
    <mergeCell ref="V591:V593"/>
    <mergeCell ref="W591:W593"/>
    <mergeCell ref="X591:X593"/>
    <mergeCell ref="Y591:Y593"/>
    <mergeCell ref="V577:V582"/>
    <mergeCell ref="W577:W582"/>
    <mergeCell ref="X577:X582"/>
    <mergeCell ref="Y577:Y582"/>
    <mergeCell ref="V583:V584"/>
    <mergeCell ref="W583:W584"/>
    <mergeCell ref="X583:X584"/>
    <mergeCell ref="Y583:Y584"/>
    <mergeCell ref="V606:V621"/>
    <mergeCell ref="W606:W621"/>
    <mergeCell ref="X606:X621"/>
    <mergeCell ref="Y606:Y621"/>
    <mergeCell ref="V622:V642"/>
    <mergeCell ref="W622:W642"/>
    <mergeCell ref="X622:X642"/>
    <mergeCell ref="Y622:Y642"/>
    <mergeCell ref="V594:V603"/>
    <mergeCell ref="W594:W603"/>
    <mergeCell ref="X594:X603"/>
    <mergeCell ref="Y594:Y603"/>
    <mergeCell ref="V604:V605"/>
    <mergeCell ref="W604:W605"/>
    <mergeCell ref="X604:X605"/>
    <mergeCell ref="Y604:Y605"/>
    <mergeCell ref="V659:V676"/>
    <mergeCell ref="W659:W676"/>
    <mergeCell ref="X659:X676"/>
    <mergeCell ref="Y659:Y676"/>
    <mergeCell ref="V677:V708"/>
    <mergeCell ref="W677:W708"/>
    <mergeCell ref="X677:X708"/>
    <mergeCell ref="Y677:Y708"/>
    <mergeCell ref="V643:V650"/>
    <mergeCell ref="W643:W650"/>
    <mergeCell ref="X643:X650"/>
    <mergeCell ref="Y643:Y650"/>
    <mergeCell ref="V651:V658"/>
    <mergeCell ref="W651:W658"/>
    <mergeCell ref="X651:X658"/>
    <mergeCell ref="Y651:Y658"/>
  </mergeCells>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AX755"/>
  <sheetViews>
    <sheetView tabSelected="1" topLeftCell="C424" zoomScale="80" zoomScaleNormal="80" zoomScaleSheetLayoutView="40" workbookViewId="0">
      <selection activeCell="F262" sqref="F262"/>
    </sheetView>
  </sheetViews>
  <sheetFormatPr baseColWidth="10" defaultColWidth="11.41015625" defaultRowHeight="12.9"/>
  <cols>
    <col min="2" max="2" width="47.29296875" customWidth="1"/>
    <col min="3" max="3" width="11" customWidth="1"/>
    <col min="4" max="4" width="29.5859375" customWidth="1"/>
    <col min="5" max="5" width="12" customWidth="1"/>
    <col min="6" max="6" width="17.1171875" customWidth="1"/>
    <col min="8" max="8" width="9.1171875" customWidth="1"/>
    <col min="9" max="9" width="13.41015625" customWidth="1"/>
    <col min="11" max="11" width="5.41015625" customWidth="1"/>
    <col min="12" max="12" width="38" customWidth="1"/>
    <col min="13" max="13" width="186" customWidth="1"/>
    <col min="14" max="14" width="10.29296875" style="2" customWidth="1"/>
    <col min="15" max="16" width="15.41015625" customWidth="1"/>
    <col min="17" max="17" width="16.41015625" customWidth="1"/>
    <col min="18" max="18" width="26.5859375" customWidth="1"/>
    <col min="19" max="19" width="13.703125" customWidth="1"/>
    <col min="20" max="20" width="25.41015625" style="569" customWidth="1"/>
    <col min="21" max="21" width="179.41015625" style="569" customWidth="1"/>
    <col min="22" max="27" width="132.29296875" style="569" customWidth="1"/>
    <col min="28" max="28" width="43" style="570" customWidth="1"/>
    <col min="29" max="29" width="10.87890625" style="570" customWidth="1"/>
    <col min="30" max="30" width="13.703125" style="570" customWidth="1"/>
    <col min="31" max="31" width="6" style="570" hidden="1" customWidth="1"/>
    <col min="32" max="32" width="3.703125" style="570" hidden="1" customWidth="1"/>
    <col min="33" max="33" width="1.87890625" style="570" hidden="1" customWidth="1"/>
    <col min="34" max="34" width="89.5859375" style="570" customWidth="1"/>
    <col min="35" max="35" width="4" style="570" hidden="1" customWidth="1"/>
    <col min="36" max="36" width="129" style="570" customWidth="1"/>
    <col min="37" max="37" width="4.41015625" style="570" hidden="1" customWidth="1"/>
    <col min="38" max="38" width="96.29296875" style="570" customWidth="1"/>
    <col min="39" max="39" width="4.87890625" style="570" customWidth="1"/>
    <col min="40" max="50" width="11.41015625" style="570"/>
  </cols>
  <sheetData>
    <row r="2" spans="1:38">
      <c r="A2" t="s">
        <v>0</v>
      </c>
    </row>
    <row r="3" spans="1:38" ht="32.65" customHeight="1">
      <c r="A3" s="564" t="s">
        <v>2</v>
      </c>
      <c r="B3" s="564" t="s">
        <v>3</v>
      </c>
      <c r="C3" s="564" t="s">
        <v>4</v>
      </c>
      <c r="D3" s="564" t="s">
        <v>5</v>
      </c>
      <c r="E3" s="564" t="s">
        <v>6</v>
      </c>
      <c r="F3" s="564" t="s">
        <v>7</v>
      </c>
      <c r="G3" s="564" t="s">
        <v>8</v>
      </c>
      <c r="H3" s="564" t="s">
        <v>9</v>
      </c>
      <c r="I3" s="564" t="s">
        <v>10</v>
      </c>
      <c r="J3" s="564" t="s">
        <v>11</v>
      </c>
      <c r="K3" s="564" t="s">
        <v>12</v>
      </c>
      <c r="L3" s="564" t="s">
        <v>13</v>
      </c>
      <c r="M3" s="564" t="s">
        <v>14</v>
      </c>
      <c r="N3" s="632" t="s">
        <v>15</v>
      </c>
      <c r="O3" s="564" t="s">
        <v>16</v>
      </c>
      <c r="P3" s="564" t="s">
        <v>17</v>
      </c>
      <c r="Q3" s="564" t="s">
        <v>718</v>
      </c>
      <c r="R3" s="564" t="s">
        <v>18</v>
      </c>
      <c r="T3" s="571"/>
      <c r="U3" s="572"/>
      <c r="V3" s="572"/>
      <c r="W3" s="572"/>
      <c r="X3" s="572"/>
      <c r="Y3" s="572"/>
      <c r="Z3" s="572"/>
      <c r="AA3" s="572"/>
      <c r="AC3" s="573"/>
      <c r="AD3" s="573"/>
      <c r="AE3" s="573"/>
      <c r="AF3" s="573"/>
      <c r="AG3" s="573"/>
      <c r="AH3" s="573"/>
      <c r="AI3" s="573"/>
      <c r="AJ3" s="573"/>
      <c r="AK3" s="573"/>
      <c r="AL3" s="573"/>
    </row>
    <row r="4" spans="1:38" ht="32.65" customHeight="1">
      <c r="A4" s="564">
        <v>1</v>
      </c>
      <c r="B4" s="564" t="s">
        <v>29</v>
      </c>
      <c r="C4" s="564" t="s">
        <v>30</v>
      </c>
      <c r="D4" s="564" t="s">
        <v>798</v>
      </c>
      <c r="E4" s="564">
        <v>400</v>
      </c>
      <c r="F4" s="564" t="s">
        <v>217</v>
      </c>
      <c r="G4" s="564" t="s">
        <v>32</v>
      </c>
      <c r="H4" s="564" t="s">
        <v>33</v>
      </c>
      <c r="I4" s="564">
        <v>6000000000</v>
      </c>
      <c r="J4" s="564" t="s">
        <v>34</v>
      </c>
      <c r="K4" s="564">
        <v>2011</v>
      </c>
      <c r="L4" s="564" t="s">
        <v>35</v>
      </c>
      <c r="M4" s="564" t="s">
        <v>1178</v>
      </c>
      <c r="N4" s="632">
        <v>0.5</v>
      </c>
      <c r="O4" s="564" t="s">
        <v>37</v>
      </c>
      <c r="P4" s="633" t="s">
        <v>38</v>
      </c>
      <c r="Q4" s="633" t="s">
        <v>38</v>
      </c>
      <c r="R4" s="633" t="s">
        <v>38</v>
      </c>
      <c r="T4" s="574"/>
      <c r="U4" s="575"/>
      <c r="V4" s="575"/>
      <c r="W4" s="576"/>
      <c r="X4" s="577"/>
      <c r="Y4" s="577"/>
      <c r="Z4" s="577"/>
      <c r="AA4" s="577"/>
      <c r="AC4" s="573"/>
      <c r="AD4" s="573"/>
      <c r="AE4" s="573"/>
      <c r="AF4" s="573"/>
      <c r="AG4" s="573"/>
      <c r="AH4" s="573"/>
      <c r="AI4" s="573"/>
      <c r="AJ4" s="573"/>
      <c r="AK4" s="573"/>
      <c r="AL4" s="573"/>
    </row>
    <row r="5" spans="1:38" ht="32.65" customHeight="1">
      <c r="A5" s="564">
        <v>2</v>
      </c>
      <c r="B5" s="564" t="s">
        <v>51</v>
      </c>
      <c r="C5" s="564" t="s">
        <v>30</v>
      </c>
      <c r="D5" s="564" t="s">
        <v>798</v>
      </c>
      <c r="E5" s="564">
        <v>2200</v>
      </c>
      <c r="F5" s="564" t="s">
        <v>217</v>
      </c>
      <c r="G5" s="564" t="s">
        <v>57</v>
      </c>
      <c r="H5" s="564" t="s">
        <v>33</v>
      </c>
      <c r="I5" s="564">
        <f>(6000000000+4000000000)/2</f>
        <v>5000000000</v>
      </c>
      <c r="J5" s="564" t="s">
        <v>34</v>
      </c>
      <c r="K5" s="564">
        <v>2011</v>
      </c>
      <c r="L5" s="564" t="s">
        <v>35</v>
      </c>
      <c r="M5" s="564" t="s">
        <v>1179</v>
      </c>
      <c r="N5" s="632">
        <v>0.92</v>
      </c>
      <c r="O5" s="564" t="s">
        <v>37</v>
      </c>
      <c r="P5" s="633" t="s">
        <v>38</v>
      </c>
      <c r="Q5" s="633" t="s">
        <v>38</v>
      </c>
      <c r="R5" s="633" t="s">
        <v>38</v>
      </c>
      <c r="T5" s="574"/>
      <c r="U5" s="575"/>
      <c r="V5" s="575"/>
      <c r="W5" s="576"/>
      <c r="X5" s="577"/>
      <c r="Y5" s="577"/>
      <c r="Z5" s="577"/>
      <c r="AA5" s="577"/>
      <c r="AC5" s="573"/>
      <c r="AD5" s="573"/>
      <c r="AE5" s="573"/>
      <c r="AF5" s="573"/>
      <c r="AG5" s="573"/>
      <c r="AH5" s="573"/>
      <c r="AI5" s="573"/>
      <c r="AJ5" s="573"/>
      <c r="AK5" s="573"/>
      <c r="AL5" s="573"/>
    </row>
    <row r="6" spans="1:38" ht="32.65" customHeight="1">
      <c r="A6" s="564">
        <v>3</v>
      </c>
      <c r="B6" s="564" t="s">
        <v>56</v>
      </c>
      <c r="C6" s="564" t="s">
        <v>30</v>
      </c>
      <c r="D6" s="564" t="s">
        <v>798</v>
      </c>
      <c r="E6" s="564">
        <v>2660</v>
      </c>
      <c r="F6" s="564" t="s">
        <v>217</v>
      </c>
      <c r="G6" s="564" t="s">
        <v>52</v>
      </c>
      <c r="H6" s="564" t="s">
        <v>33</v>
      </c>
      <c r="I6" s="564">
        <v>4000000000</v>
      </c>
      <c r="J6" s="564" t="s">
        <v>34</v>
      </c>
      <c r="K6" s="564">
        <v>2011</v>
      </c>
      <c r="L6" s="564" t="s">
        <v>35</v>
      </c>
      <c r="M6" s="564" t="s">
        <v>1180</v>
      </c>
      <c r="N6" s="632">
        <v>0.92</v>
      </c>
      <c r="O6" s="564" t="s">
        <v>37</v>
      </c>
      <c r="P6" s="633" t="s">
        <v>38</v>
      </c>
      <c r="Q6" s="633" t="s">
        <v>38</v>
      </c>
      <c r="R6" s="633" t="s">
        <v>38</v>
      </c>
      <c r="T6" s="574"/>
      <c r="U6" s="575"/>
      <c r="V6" s="575"/>
      <c r="W6" s="576"/>
      <c r="X6" s="577"/>
      <c r="Y6" s="577"/>
      <c r="Z6" s="577"/>
      <c r="AA6" s="577"/>
      <c r="AC6" s="573"/>
      <c r="AD6" s="573"/>
      <c r="AE6" s="573"/>
      <c r="AF6" s="573"/>
      <c r="AG6" s="573"/>
      <c r="AH6" s="573"/>
      <c r="AI6" s="573"/>
      <c r="AJ6" s="573"/>
      <c r="AK6" s="573"/>
      <c r="AL6" s="573"/>
    </row>
    <row r="7" spans="1:38" ht="32.65" customHeight="1">
      <c r="A7" s="564">
        <v>4</v>
      </c>
      <c r="B7" s="564" t="s">
        <v>443</v>
      </c>
      <c r="C7" s="564" t="s">
        <v>61</v>
      </c>
      <c r="D7" s="564" t="s">
        <v>62</v>
      </c>
      <c r="E7" s="564">
        <v>1985</v>
      </c>
      <c r="F7" s="564" t="s">
        <v>31</v>
      </c>
      <c r="G7" s="564" t="s">
        <v>52</v>
      </c>
      <c r="H7" s="564" t="s">
        <v>33</v>
      </c>
      <c r="I7" s="564">
        <f>(4250-980)*1000000</f>
        <v>3270000000</v>
      </c>
      <c r="J7" s="564" t="s">
        <v>34</v>
      </c>
      <c r="K7" s="564">
        <v>1975</v>
      </c>
      <c r="L7" s="564" t="s">
        <v>1075</v>
      </c>
      <c r="M7" s="565" t="s">
        <v>1069</v>
      </c>
      <c r="N7" s="634" t="s">
        <v>1077</v>
      </c>
      <c r="O7" s="564" t="s">
        <v>1068</v>
      </c>
      <c r="P7" s="633" t="s">
        <v>38</v>
      </c>
      <c r="Q7" s="633">
        <f>980*1000000</f>
        <v>980000000</v>
      </c>
      <c r="R7" s="633" t="s">
        <v>38</v>
      </c>
      <c r="T7" s="578"/>
      <c r="U7" s="579"/>
      <c r="V7" s="579"/>
      <c r="W7" s="577"/>
      <c r="X7" s="577"/>
      <c r="Y7" s="577"/>
      <c r="Z7" s="577"/>
      <c r="AA7" s="577"/>
      <c r="AC7" s="573"/>
      <c r="AD7" s="573"/>
      <c r="AE7" s="573"/>
      <c r="AF7" s="573"/>
      <c r="AG7" s="573"/>
      <c r="AH7" s="573"/>
      <c r="AI7" s="573"/>
      <c r="AJ7" s="573"/>
      <c r="AK7" s="573"/>
      <c r="AL7" s="573"/>
    </row>
    <row r="8" spans="1:38" ht="32.65" customHeight="1">
      <c r="A8" s="564">
        <v>10</v>
      </c>
      <c r="B8" s="564" t="s">
        <v>81</v>
      </c>
      <c r="C8" s="564" t="s">
        <v>61</v>
      </c>
      <c r="D8" s="564" t="s">
        <v>62</v>
      </c>
      <c r="E8" s="564">
        <v>1500</v>
      </c>
      <c r="F8" s="564" t="s">
        <v>31</v>
      </c>
      <c r="G8" s="564" t="s">
        <v>32</v>
      </c>
      <c r="H8" s="564" t="s">
        <v>76</v>
      </c>
      <c r="I8" s="564">
        <v>8000</v>
      </c>
      <c r="J8" s="564" t="s">
        <v>82</v>
      </c>
      <c r="K8" s="564">
        <v>2011</v>
      </c>
      <c r="L8" s="564" t="s">
        <v>83</v>
      </c>
      <c r="M8" s="565" t="s">
        <v>1145</v>
      </c>
      <c r="N8" s="632" t="s">
        <v>706</v>
      </c>
      <c r="O8" s="564" t="s">
        <v>84</v>
      </c>
      <c r="P8" s="633" t="s">
        <v>38</v>
      </c>
      <c r="Q8" s="633" t="s">
        <v>38</v>
      </c>
      <c r="R8" s="633" t="s">
        <v>38</v>
      </c>
      <c r="T8" s="574"/>
      <c r="U8" s="575"/>
      <c r="V8" s="575"/>
      <c r="W8" s="576"/>
      <c r="X8" s="577"/>
      <c r="Y8" s="577"/>
      <c r="Z8" s="577"/>
      <c r="AA8" s="577"/>
      <c r="AC8" s="573"/>
      <c r="AD8" s="573"/>
      <c r="AE8" s="573"/>
      <c r="AF8" s="573"/>
      <c r="AG8" s="573"/>
      <c r="AH8" s="573"/>
      <c r="AI8" s="573"/>
      <c r="AJ8" s="573"/>
      <c r="AK8" s="573"/>
      <c r="AL8" s="573"/>
    </row>
    <row r="9" spans="1:38" ht="32.65" customHeight="1">
      <c r="A9" s="564">
        <v>11</v>
      </c>
      <c r="B9" s="564" t="s">
        <v>81</v>
      </c>
      <c r="C9" s="564" t="s">
        <v>61</v>
      </c>
      <c r="D9" s="564" t="s">
        <v>62</v>
      </c>
      <c r="E9" s="564">
        <v>1500</v>
      </c>
      <c r="F9" s="564" t="s">
        <v>217</v>
      </c>
      <c r="G9" s="564" t="s">
        <v>32</v>
      </c>
      <c r="H9" s="564" t="s">
        <v>76</v>
      </c>
      <c r="I9" s="564">
        <v>7450</v>
      </c>
      <c r="J9" s="564" t="s">
        <v>82</v>
      </c>
      <c r="K9" s="564">
        <v>2011</v>
      </c>
      <c r="L9" s="564" t="s">
        <v>83</v>
      </c>
      <c r="M9" s="564" t="s">
        <v>1146</v>
      </c>
      <c r="N9" s="632" t="s">
        <v>706</v>
      </c>
      <c r="O9" s="564" t="s">
        <v>84</v>
      </c>
      <c r="P9" s="633" t="s">
        <v>38</v>
      </c>
      <c r="Q9" s="633" t="s">
        <v>38</v>
      </c>
      <c r="R9" s="633" t="s">
        <v>38</v>
      </c>
      <c r="T9" s="574"/>
      <c r="U9" s="575"/>
      <c r="V9" s="575"/>
      <c r="W9" s="576"/>
      <c r="X9" s="577"/>
      <c r="Y9" s="577"/>
      <c r="Z9" s="577"/>
      <c r="AA9" s="577"/>
      <c r="AC9" s="573"/>
      <c r="AD9" s="573"/>
      <c r="AE9" s="573"/>
      <c r="AF9" s="573"/>
      <c r="AG9" s="573"/>
      <c r="AH9" s="573"/>
      <c r="AI9" s="573"/>
      <c r="AJ9" s="573"/>
      <c r="AK9" s="573"/>
      <c r="AL9" s="573"/>
    </row>
    <row r="10" spans="1:38" ht="32.65" customHeight="1">
      <c r="A10" s="564">
        <v>12</v>
      </c>
      <c r="B10" s="564" t="s">
        <v>81</v>
      </c>
      <c r="C10" s="564" t="s">
        <v>61</v>
      </c>
      <c r="D10" s="564" t="s">
        <v>62</v>
      </c>
      <c r="E10" s="564">
        <v>1500</v>
      </c>
      <c r="F10" s="564" t="s">
        <v>217</v>
      </c>
      <c r="G10" s="564" t="s">
        <v>52</v>
      </c>
      <c r="H10" s="564" t="s">
        <v>76</v>
      </c>
      <c r="I10" s="564">
        <v>4300</v>
      </c>
      <c r="J10" s="564" t="s">
        <v>82</v>
      </c>
      <c r="K10" s="564">
        <v>2011</v>
      </c>
      <c r="L10" s="564" t="s">
        <v>83</v>
      </c>
      <c r="M10" s="564" t="s">
        <v>1147</v>
      </c>
      <c r="N10" s="632" t="s">
        <v>706</v>
      </c>
      <c r="O10" s="564" t="s">
        <v>84</v>
      </c>
      <c r="P10" s="633" t="s">
        <v>38</v>
      </c>
      <c r="Q10" s="633" t="s">
        <v>38</v>
      </c>
      <c r="R10" s="633" t="s">
        <v>38</v>
      </c>
      <c r="T10" s="574"/>
      <c r="U10" s="575"/>
      <c r="V10" s="575"/>
      <c r="W10" s="576"/>
      <c r="X10" s="577"/>
      <c r="Y10" s="577"/>
      <c r="Z10" s="577"/>
      <c r="AA10" s="577"/>
      <c r="AC10" s="573"/>
      <c r="AD10" s="573"/>
      <c r="AE10" s="573"/>
      <c r="AF10" s="573"/>
      <c r="AG10" s="573"/>
      <c r="AH10" s="573"/>
      <c r="AI10" s="573"/>
      <c r="AJ10" s="573"/>
      <c r="AK10" s="573"/>
      <c r="AL10" s="573"/>
    </row>
    <row r="11" spans="1:38" ht="32.65" customHeight="1">
      <c r="A11" s="564">
        <v>13</v>
      </c>
      <c r="B11" s="564" t="s">
        <v>81</v>
      </c>
      <c r="C11" s="564" t="s">
        <v>61</v>
      </c>
      <c r="D11" s="564" t="s">
        <v>62</v>
      </c>
      <c r="E11" s="564">
        <v>1500</v>
      </c>
      <c r="F11" s="564" t="s">
        <v>217</v>
      </c>
      <c r="G11" s="564" t="s">
        <v>52</v>
      </c>
      <c r="H11" s="564" t="s">
        <v>76</v>
      </c>
      <c r="I11" s="564">
        <v>3700</v>
      </c>
      <c r="J11" s="564" t="s">
        <v>82</v>
      </c>
      <c r="K11" s="564">
        <v>2011</v>
      </c>
      <c r="L11" s="564" t="s">
        <v>83</v>
      </c>
      <c r="M11" s="564" t="s">
        <v>1148</v>
      </c>
      <c r="N11" s="632" t="s">
        <v>706</v>
      </c>
      <c r="O11" s="564" t="s">
        <v>84</v>
      </c>
      <c r="P11" s="633" t="s">
        <v>38</v>
      </c>
      <c r="Q11" s="633" t="s">
        <v>38</v>
      </c>
      <c r="R11" s="633" t="s">
        <v>38</v>
      </c>
      <c r="T11" s="574"/>
      <c r="U11" s="575"/>
      <c r="V11" s="575"/>
      <c r="W11" s="576"/>
      <c r="X11" s="577"/>
      <c r="Y11" s="577"/>
      <c r="Z11" s="577"/>
      <c r="AA11" s="577"/>
      <c r="AC11" s="573"/>
      <c r="AD11" s="573"/>
      <c r="AE11" s="573"/>
      <c r="AF11" s="573"/>
      <c r="AG11" s="573"/>
      <c r="AH11" s="573"/>
      <c r="AI11" s="573"/>
      <c r="AJ11" s="573"/>
      <c r="AK11" s="573"/>
      <c r="AL11" s="573"/>
    </row>
    <row r="12" spans="1:38" ht="32.65" customHeight="1">
      <c r="A12" s="564">
        <v>14</v>
      </c>
      <c r="B12" s="564" t="s">
        <v>81</v>
      </c>
      <c r="C12" s="564" t="s">
        <v>61</v>
      </c>
      <c r="D12" s="564" t="s">
        <v>62</v>
      </c>
      <c r="E12" s="564">
        <v>1500</v>
      </c>
      <c r="F12" s="564" t="s">
        <v>217</v>
      </c>
      <c r="G12" s="564" t="s">
        <v>32</v>
      </c>
      <c r="H12" s="564" t="s">
        <v>76</v>
      </c>
      <c r="I12" s="564">
        <v>6000</v>
      </c>
      <c r="J12" s="564" t="s">
        <v>82</v>
      </c>
      <c r="K12" s="564">
        <v>2011</v>
      </c>
      <c r="L12" s="564" t="s">
        <v>83</v>
      </c>
      <c r="M12" s="564" t="s">
        <v>1149</v>
      </c>
      <c r="N12" s="632" t="s">
        <v>706</v>
      </c>
      <c r="O12" s="564" t="s">
        <v>84</v>
      </c>
      <c r="P12" s="633" t="s">
        <v>38</v>
      </c>
      <c r="Q12" s="633" t="s">
        <v>38</v>
      </c>
      <c r="R12" s="633" t="s">
        <v>38</v>
      </c>
      <c r="T12" s="574"/>
      <c r="U12" s="575"/>
      <c r="V12" s="575"/>
      <c r="W12" s="576"/>
      <c r="X12" s="577"/>
      <c r="Y12" s="577"/>
      <c r="Z12" s="577"/>
      <c r="AA12" s="577"/>
      <c r="AC12" s="573"/>
      <c r="AD12" s="573"/>
      <c r="AE12" s="573"/>
      <c r="AF12" s="573"/>
      <c r="AG12" s="573"/>
      <c r="AH12" s="573"/>
      <c r="AI12" s="573"/>
      <c r="AJ12" s="573"/>
      <c r="AK12" s="573"/>
      <c r="AL12" s="573"/>
    </row>
    <row r="13" spans="1:38" ht="32.65" customHeight="1">
      <c r="A13" s="564">
        <v>15</v>
      </c>
      <c r="B13" s="564" t="s">
        <v>81</v>
      </c>
      <c r="C13" s="564" t="s">
        <v>61</v>
      </c>
      <c r="D13" s="564" t="s">
        <v>62</v>
      </c>
      <c r="E13" s="564">
        <v>1500</v>
      </c>
      <c r="F13" s="564" t="s">
        <v>217</v>
      </c>
      <c r="G13" s="564" t="s">
        <v>52</v>
      </c>
      <c r="H13" s="564" t="s">
        <v>76</v>
      </c>
      <c r="I13" s="564">
        <v>2600</v>
      </c>
      <c r="J13" s="564" t="s">
        <v>82</v>
      </c>
      <c r="K13" s="564">
        <v>2011</v>
      </c>
      <c r="L13" s="564" t="s">
        <v>83</v>
      </c>
      <c r="M13" s="564" t="s">
        <v>1150</v>
      </c>
      <c r="N13" s="632" t="s">
        <v>706</v>
      </c>
      <c r="O13" s="564" t="s">
        <v>84</v>
      </c>
      <c r="P13" s="633" t="s">
        <v>38</v>
      </c>
      <c r="Q13" s="633" t="s">
        <v>38</v>
      </c>
      <c r="R13" s="633" t="s">
        <v>38</v>
      </c>
      <c r="T13" s="574"/>
      <c r="U13" s="575"/>
      <c r="V13" s="575"/>
      <c r="W13" s="576"/>
      <c r="X13" s="577"/>
      <c r="Y13" s="577"/>
      <c r="Z13" s="577"/>
      <c r="AA13" s="577"/>
      <c r="AC13" s="573"/>
      <c r="AD13" s="573"/>
      <c r="AE13" s="573"/>
      <c r="AF13" s="573"/>
      <c r="AG13" s="573"/>
      <c r="AH13" s="573"/>
      <c r="AI13" s="573"/>
      <c r="AJ13" s="573"/>
      <c r="AK13" s="573"/>
      <c r="AL13" s="573"/>
    </row>
    <row r="14" spans="1:38" ht="32.65" customHeight="1">
      <c r="A14" s="564">
        <v>16</v>
      </c>
      <c r="B14" s="564" t="s">
        <v>81</v>
      </c>
      <c r="C14" s="564" t="s">
        <v>61</v>
      </c>
      <c r="D14" s="564" t="s">
        <v>62</v>
      </c>
      <c r="E14" s="564">
        <v>1500</v>
      </c>
      <c r="F14" s="564" t="s">
        <v>75</v>
      </c>
      <c r="G14" s="564" t="s">
        <v>32</v>
      </c>
      <c r="H14" s="564" t="s">
        <v>76</v>
      </c>
      <c r="I14" s="564">
        <v>78.400000000000006</v>
      </c>
      <c r="J14" s="564" t="s">
        <v>88</v>
      </c>
      <c r="K14" s="564">
        <v>2011</v>
      </c>
      <c r="L14" s="564" t="s">
        <v>83</v>
      </c>
      <c r="M14" s="565" t="s">
        <v>1151</v>
      </c>
      <c r="N14" s="632" t="s">
        <v>706</v>
      </c>
      <c r="O14" s="564" t="s">
        <v>84</v>
      </c>
      <c r="P14" s="633" t="s">
        <v>38</v>
      </c>
      <c r="Q14" s="633" t="s">
        <v>38</v>
      </c>
      <c r="R14" s="633" t="s">
        <v>38</v>
      </c>
      <c r="T14" s="574"/>
      <c r="U14" s="575"/>
      <c r="V14" s="575"/>
      <c r="W14" s="576"/>
      <c r="X14" s="577"/>
      <c r="Y14" s="577"/>
      <c r="Z14" s="577"/>
      <c r="AA14" s="577"/>
      <c r="AC14" s="573"/>
      <c r="AD14" s="573"/>
      <c r="AE14" s="573"/>
      <c r="AF14" s="573"/>
      <c r="AG14" s="573"/>
      <c r="AH14" s="573"/>
      <c r="AI14" s="573"/>
      <c r="AJ14" s="573"/>
      <c r="AK14" s="573"/>
      <c r="AL14" s="573"/>
    </row>
    <row r="15" spans="1:38" ht="13" customHeight="1">
      <c r="A15" s="564">
        <v>17</v>
      </c>
      <c r="B15" s="564" t="s">
        <v>81</v>
      </c>
      <c r="C15" s="564" t="s">
        <v>61</v>
      </c>
      <c r="D15" s="564" t="s">
        <v>62</v>
      </c>
      <c r="E15" s="564">
        <v>1500</v>
      </c>
      <c r="F15" s="564" t="s">
        <v>75</v>
      </c>
      <c r="G15" s="564" t="s">
        <v>32</v>
      </c>
      <c r="H15" s="564" t="s">
        <v>76</v>
      </c>
      <c r="I15" s="564">
        <v>64.5</v>
      </c>
      <c r="J15" s="564" t="s">
        <v>88</v>
      </c>
      <c r="K15" s="564">
        <v>2011</v>
      </c>
      <c r="L15" s="564" t="s">
        <v>83</v>
      </c>
      <c r="M15" s="564" t="s">
        <v>1152</v>
      </c>
      <c r="N15" s="632" t="s">
        <v>706</v>
      </c>
      <c r="O15" s="564" t="s">
        <v>84</v>
      </c>
      <c r="P15" s="633" t="s">
        <v>38</v>
      </c>
      <c r="Q15" s="633" t="s">
        <v>38</v>
      </c>
      <c r="R15" s="633" t="s">
        <v>38</v>
      </c>
      <c r="T15" s="574"/>
      <c r="U15" s="575"/>
      <c r="V15" s="575"/>
      <c r="W15" s="576"/>
      <c r="X15" s="577"/>
      <c r="Y15" s="577"/>
      <c r="Z15" s="577"/>
      <c r="AA15" s="577"/>
      <c r="AC15" s="580"/>
      <c r="AD15" s="575"/>
      <c r="AE15" s="575"/>
      <c r="AF15" s="575"/>
      <c r="AG15" s="575"/>
      <c r="AH15" s="580"/>
      <c r="AI15" s="581"/>
      <c r="AJ15" s="575"/>
      <c r="AK15" s="575"/>
      <c r="AL15" s="575"/>
    </row>
    <row r="16" spans="1:38" ht="13" customHeight="1">
      <c r="A16" s="564">
        <v>18</v>
      </c>
      <c r="B16" s="564" t="s">
        <v>81</v>
      </c>
      <c r="C16" s="564" t="s">
        <v>61</v>
      </c>
      <c r="D16" s="564" t="s">
        <v>62</v>
      </c>
      <c r="E16" s="564">
        <v>1500</v>
      </c>
      <c r="F16" s="564" t="s">
        <v>75</v>
      </c>
      <c r="G16" s="564" t="s">
        <v>52</v>
      </c>
      <c r="H16" s="564" t="s">
        <v>76</v>
      </c>
      <c r="I16" s="564">
        <v>61.1</v>
      </c>
      <c r="J16" s="564" t="s">
        <v>88</v>
      </c>
      <c r="K16" s="564">
        <v>2011</v>
      </c>
      <c r="L16" s="564" t="s">
        <v>83</v>
      </c>
      <c r="M16" s="564" t="s">
        <v>1153</v>
      </c>
      <c r="N16" s="632" t="s">
        <v>706</v>
      </c>
      <c r="O16" s="564" t="s">
        <v>84</v>
      </c>
      <c r="P16" s="633" t="s">
        <v>38</v>
      </c>
      <c r="Q16" s="633" t="s">
        <v>38</v>
      </c>
      <c r="R16" s="633" t="s">
        <v>38</v>
      </c>
      <c r="T16" s="574"/>
      <c r="U16" s="575"/>
      <c r="V16" s="575"/>
      <c r="W16" s="576"/>
      <c r="X16" s="577"/>
      <c r="Y16" s="577"/>
      <c r="Z16" s="577"/>
      <c r="AA16" s="577"/>
      <c r="AC16" s="580"/>
      <c r="AD16" s="575"/>
      <c r="AE16" s="575"/>
      <c r="AF16" s="575"/>
      <c r="AG16" s="575"/>
      <c r="AH16" s="580"/>
      <c r="AI16" s="575"/>
      <c r="AJ16" s="575"/>
      <c r="AK16" s="575"/>
      <c r="AL16" s="575"/>
    </row>
    <row r="17" spans="1:42" ht="236.5" customHeight="1">
      <c r="A17" s="564">
        <v>19</v>
      </c>
      <c r="B17" s="564" t="s">
        <v>81</v>
      </c>
      <c r="C17" s="564" t="s">
        <v>61</v>
      </c>
      <c r="D17" s="564" t="s">
        <v>62</v>
      </c>
      <c r="E17" s="564">
        <v>1500</v>
      </c>
      <c r="F17" s="564" t="s">
        <v>75</v>
      </c>
      <c r="G17" s="564" t="s">
        <v>52</v>
      </c>
      <c r="H17" s="564" t="s">
        <v>76</v>
      </c>
      <c r="I17" s="564">
        <v>49.3</v>
      </c>
      <c r="J17" s="564" t="s">
        <v>88</v>
      </c>
      <c r="K17" s="564">
        <v>2011</v>
      </c>
      <c r="L17" s="564" t="s">
        <v>83</v>
      </c>
      <c r="M17" s="564" t="s">
        <v>1154</v>
      </c>
      <c r="N17" s="632" t="s">
        <v>706</v>
      </c>
      <c r="O17" s="564" t="s">
        <v>84</v>
      </c>
      <c r="P17" s="633" t="s">
        <v>38</v>
      </c>
      <c r="Q17" s="633" t="s">
        <v>38</v>
      </c>
      <c r="R17" s="633" t="s">
        <v>38</v>
      </c>
      <c r="T17" s="574"/>
      <c r="U17" s="575"/>
      <c r="V17" s="575"/>
      <c r="W17" s="576"/>
      <c r="X17" s="577"/>
      <c r="Y17" s="577"/>
      <c r="Z17" s="577"/>
      <c r="AA17" s="577"/>
      <c r="AC17" s="579"/>
      <c r="AD17" s="575"/>
      <c r="AE17" s="575"/>
      <c r="AF17" s="575"/>
      <c r="AG17" s="575"/>
      <c r="AH17" s="580"/>
      <c r="AI17" s="575"/>
      <c r="AJ17" s="575"/>
      <c r="AK17" s="575"/>
      <c r="AL17" s="575"/>
    </row>
    <row r="18" spans="1:42" ht="70.150000000000006" customHeight="1">
      <c r="A18" s="564">
        <v>20</v>
      </c>
      <c r="B18" s="564" t="s">
        <v>81</v>
      </c>
      <c r="C18" s="564" t="s">
        <v>61</v>
      </c>
      <c r="D18" s="564" t="s">
        <v>62</v>
      </c>
      <c r="E18" s="564">
        <v>1500</v>
      </c>
      <c r="F18" s="564" t="s">
        <v>75</v>
      </c>
      <c r="G18" s="564" t="s">
        <v>32</v>
      </c>
      <c r="H18" s="564" t="s">
        <v>76</v>
      </c>
      <c r="I18" s="564">
        <v>51.3</v>
      </c>
      <c r="J18" s="564" t="s">
        <v>88</v>
      </c>
      <c r="K18" s="564">
        <v>2011</v>
      </c>
      <c r="L18" s="564" t="s">
        <v>83</v>
      </c>
      <c r="M18" s="564" t="s">
        <v>1155</v>
      </c>
      <c r="N18" s="632" t="s">
        <v>706</v>
      </c>
      <c r="O18" s="564" t="s">
        <v>84</v>
      </c>
      <c r="P18" s="633" t="s">
        <v>38</v>
      </c>
      <c r="Q18" s="633" t="s">
        <v>38</v>
      </c>
      <c r="R18" s="633" t="s">
        <v>38</v>
      </c>
      <c r="T18" s="574"/>
      <c r="U18" s="575"/>
      <c r="V18" s="575"/>
      <c r="W18" s="576"/>
      <c r="X18" s="577"/>
      <c r="Y18" s="577"/>
      <c r="Z18" s="577"/>
      <c r="AA18" s="577"/>
      <c r="AC18" s="580"/>
      <c r="AD18" s="582"/>
      <c r="AE18" s="582"/>
      <c r="AF18" s="583"/>
      <c r="AG18" s="575"/>
      <c r="AH18" s="575"/>
      <c r="AI18" s="584"/>
      <c r="AJ18" s="575"/>
      <c r="AK18" s="575"/>
      <c r="AL18" s="575"/>
    </row>
    <row r="19" spans="1:42" ht="47.1" customHeight="1">
      <c r="A19" s="564">
        <v>21</v>
      </c>
      <c r="B19" s="564" t="s">
        <v>81</v>
      </c>
      <c r="C19" s="564" t="s">
        <v>61</v>
      </c>
      <c r="D19" s="564" t="s">
        <v>62</v>
      </c>
      <c r="E19" s="564">
        <v>1500</v>
      </c>
      <c r="F19" s="564" t="s">
        <v>75</v>
      </c>
      <c r="G19" s="564" t="s">
        <v>52</v>
      </c>
      <c r="H19" s="564" t="s">
        <v>76</v>
      </c>
      <c r="I19" s="564">
        <v>39.4</v>
      </c>
      <c r="J19" s="564" t="s">
        <v>88</v>
      </c>
      <c r="K19" s="564">
        <v>2011</v>
      </c>
      <c r="L19" s="564" t="s">
        <v>83</v>
      </c>
      <c r="M19" s="564" t="s">
        <v>1156</v>
      </c>
      <c r="N19" s="632" t="s">
        <v>706</v>
      </c>
      <c r="O19" s="564" t="s">
        <v>84</v>
      </c>
      <c r="P19" s="633" t="s">
        <v>38</v>
      </c>
      <c r="Q19" s="633" t="s">
        <v>38</v>
      </c>
      <c r="R19" s="633" t="s">
        <v>38</v>
      </c>
      <c r="T19" s="574"/>
      <c r="U19" s="575"/>
      <c r="V19" s="575"/>
      <c r="W19" s="576"/>
      <c r="X19" s="577"/>
      <c r="Y19" s="577"/>
      <c r="Z19" s="577"/>
      <c r="AA19" s="577"/>
      <c r="AC19" s="580"/>
      <c r="AD19" s="582"/>
      <c r="AE19" s="582"/>
      <c r="AF19" s="583"/>
      <c r="AG19" s="575"/>
      <c r="AH19" s="575"/>
      <c r="AI19" s="575"/>
      <c r="AJ19" s="575"/>
      <c r="AK19" s="575"/>
      <c r="AL19" s="575"/>
    </row>
    <row r="20" spans="1:42" ht="24.6" customHeight="1">
      <c r="A20" s="564"/>
      <c r="B20" s="564" t="s">
        <v>81</v>
      </c>
      <c r="C20" s="564" t="s">
        <v>61</v>
      </c>
      <c r="D20" s="564" t="s">
        <v>62</v>
      </c>
      <c r="E20" s="564">
        <v>1500</v>
      </c>
      <c r="F20" s="564" t="s">
        <v>75</v>
      </c>
      <c r="G20" s="564" t="s">
        <v>57</v>
      </c>
      <c r="H20" s="564" t="s">
        <v>76</v>
      </c>
      <c r="I20" s="564">
        <v>66.7</v>
      </c>
      <c r="J20" s="564" t="s">
        <v>88</v>
      </c>
      <c r="K20" s="564">
        <v>2011</v>
      </c>
      <c r="L20" s="564" t="s">
        <v>83</v>
      </c>
      <c r="M20" s="565" t="s">
        <v>1157</v>
      </c>
      <c r="N20" s="632"/>
      <c r="O20" s="564"/>
      <c r="P20" s="633"/>
      <c r="Q20" s="633"/>
      <c r="R20" s="633"/>
      <c r="T20" s="574"/>
      <c r="U20" s="575"/>
      <c r="V20" s="575"/>
      <c r="W20" s="576"/>
      <c r="X20" s="577"/>
      <c r="Y20" s="577"/>
      <c r="Z20" s="577"/>
      <c r="AA20" s="577"/>
      <c r="AC20" s="580"/>
      <c r="AD20" s="582"/>
      <c r="AE20" s="582"/>
      <c r="AF20" s="583"/>
      <c r="AG20" s="575"/>
      <c r="AH20" s="575"/>
      <c r="AI20" s="575"/>
      <c r="AJ20" s="575"/>
      <c r="AK20" s="575"/>
      <c r="AL20" s="575"/>
    </row>
    <row r="21" spans="1:42" ht="180.6" customHeight="1">
      <c r="A21" s="564"/>
      <c r="B21" s="564" t="s">
        <v>81</v>
      </c>
      <c r="C21" s="564" t="s">
        <v>61</v>
      </c>
      <c r="D21" s="564" t="s">
        <v>62</v>
      </c>
      <c r="E21" s="564">
        <v>1500</v>
      </c>
      <c r="F21" s="564" t="s">
        <v>75</v>
      </c>
      <c r="G21" s="564" t="s">
        <v>57</v>
      </c>
      <c r="H21" s="564" t="s">
        <v>76</v>
      </c>
      <c r="I21" s="564">
        <v>54.8</v>
      </c>
      <c r="J21" s="564" t="s">
        <v>88</v>
      </c>
      <c r="K21" s="564">
        <v>2011</v>
      </c>
      <c r="L21" s="564" t="s">
        <v>83</v>
      </c>
      <c r="M21" s="564" t="s">
        <v>1158</v>
      </c>
      <c r="N21" s="632"/>
      <c r="O21" s="564"/>
      <c r="P21" s="633"/>
      <c r="Q21" s="633"/>
      <c r="R21" s="633"/>
      <c r="T21" s="574"/>
      <c r="U21" s="575"/>
      <c r="V21" s="575"/>
      <c r="W21" s="576"/>
      <c r="X21" s="577"/>
      <c r="Y21" s="577"/>
      <c r="Z21" s="577"/>
      <c r="AA21" s="577"/>
      <c r="AC21" s="580"/>
      <c r="AD21" s="582"/>
      <c r="AE21" s="582"/>
      <c r="AF21" s="583"/>
      <c r="AG21" s="575"/>
      <c r="AH21" s="575"/>
      <c r="AI21" s="575"/>
      <c r="AJ21" s="575"/>
      <c r="AK21" s="575"/>
      <c r="AL21" s="575"/>
    </row>
    <row r="22" spans="1:42" ht="126.6" customHeight="1">
      <c r="A22" s="564"/>
      <c r="B22" s="564" t="s">
        <v>81</v>
      </c>
      <c r="C22" s="564" t="s">
        <v>61</v>
      </c>
      <c r="D22" s="564" t="s">
        <v>62</v>
      </c>
      <c r="E22" s="564">
        <v>1500</v>
      </c>
      <c r="F22" s="564" t="s">
        <v>75</v>
      </c>
      <c r="G22" s="564" t="s">
        <v>57</v>
      </c>
      <c r="H22" s="564" t="s">
        <v>76</v>
      </c>
      <c r="I22" s="564">
        <v>43.6</v>
      </c>
      <c r="J22" s="564" t="s">
        <v>88</v>
      </c>
      <c r="K22" s="564">
        <v>2011</v>
      </c>
      <c r="L22" s="564" t="s">
        <v>83</v>
      </c>
      <c r="M22" s="564" t="s">
        <v>1159</v>
      </c>
      <c r="N22" s="632"/>
      <c r="O22" s="564"/>
      <c r="P22" s="633"/>
      <c r="Q22" s="633"/>
      <c r="R22" s="633"/>
      <c r="T22" s="574"/>
      <c r="U22" s="575"/>
      <c r="V22" s="575"/>
      <c r="W22" s="576"/>
      <c r="X22" s="577"/>
      <c r="Y22" s="577"/>
      <c r="Z22" s="577"/>
      <c r="AA22" s="577"/>
      <c r="AC22" s="580"/>
      <c r="AD22" s="582"/>
      <c r="AE22" s="582"/>
      <c r="AF22" s="583"/>
      <c r="AG22" s="575"/>
      <c r="AH22" s="575"/>
      <c r="AI22" s="575"/>
      <c r="AJ22" s="575"/>
      <c r="AK22" s="575"/>
      <c r="AL22" s="575"/>
    </row>
    <row r="23" spans="1:42" ht="83.5" customHeight="1">
      <c r="A23" s="564"/>
      <c r="B23" s="564" t="s">
        <v>81</v>
      </c>
      <c r="C23" s="564" t="s">
        <v>61</v>
      </c>
      <c r="D23" s="564" t="s">
        <v>62</v>
      </c>
      <c r="E23" s="564">
        <v>1500</v>
      </c>
      <c r="F23" s="564" t="s">
        <v>75</v>
      </c>
      <c r="G23" s="564" t="s">
        <v>754</v>
      </c>
      <c r="H23" s="564" t="s">
        <v>76</v>
      </c>
      <c r="I23" s="564">
        <v>57.3</v>
      </c>
      <c r="J23" s="564" t="s">
        <v>88</v>
      </c>
      <c r="K23" s="564">
        <v>2011</v>
      </c>
      <c r="L23" s="564" t="s">
        <v>83</v>
      </c>
      <c r="M23" s="565" t="s">
        <v>1160</v>
      </c>
      <c r="N23" s="632"/>
      <c r="O23" s="564"/>
      <c r="P23" s="633"/>
      <c r="Q23" s="633"/>
      <c r="R23" s="633"/>
      <c r="T23" s="574"/>
      <c r="U23" s="575"/>
      <c r="V23" s="575"/>
      <c r="W23" s="576"/>
      <c r="X23" s="577"/>
      <c r="Y23" s="577"/>
      <c r="Z23" s="577"/>
      <c r="AA23" s="577"/>
      <c r="AC23" s="580"/>
      <c r="AD23" s="582"/>
      <c r="AE23" s="582"/>
      <c r="AF23" s="583"/>
      <c r="AG23" s="575"/>
      <c r="AH23" s="575"/>
      <c r="AI23" s="575"/>
      <c r="AJ23" s="575"/>
      <c r="AK23" s="575"/>
      <c r="AL23" s="575"/>
    </row>
    <row r="24" spans="1:42" ht="13" customHeight="1">
      <c r="A24" s="564"/>
      <c r="B24" s="564" t="s">
        <v>81</v>
      </c>
      <c r="C24" s="564" t="s">
        <v>61</v>
      </c>
      <c r="D24" s="564" t="s">
        <v>62</v>
      </c>
      <c r="E24" s="564">
        <v>1500</v>
      </c>
      <c r="F24" s="564" t="s">
        <v>75</v>
      </c>
      <c r="G24" s="564" t="s">
        <v>754</v>
      </c>
      <c r="H24" s="564" t="s">
        <v>76</v>
      </c>
      <c r="I24" s="564">
        <v>45.6</v>
      </c>
      <c r="J24" s="564" t="s">
        <v>88</v>
      </c>
      <c r="K24" s="564">
        <v>2011</v>
      </c>
      <c r="L24" s="564" t="s">
        <v>83</v>
      </c>
      <c r="M24" s="564" t="s">
        <v>1161</v>
      </c>
      <c r="N24" s="632"/>
      <c r="O24" s="564"/>
      <c r="P24" s="633"/>
      <c r="Q24" s="633"/>
      <c r="R24" s="633"/>
      <c r="T24" s="574"/>
      <c r="U24" s="575"/>
      <c r="V24" s="575"/>
      <c r="W24" s="576"/>
      <c r="X24" s="577"/>
      <c r="Y24" s="577"/>
      <c r="Z24" s="577"/>
      <c r="AA24" s="577"/>
      <c r="AC24" s="585"/>
      <c r="AD24" s="585"/>
      <c r="AE24" s="585"/>
      <c r="AF24" s="585"/>
      <c r="AG24" s="585"/>
      <c r="AH24" s="585"/>
      <c r="AI24" s="585"/>
      <c r="AJ24" s="585"/>
      <c r="AK24" s="585"/>
      <c r="AL24" s="585"/>
    </row>
    <row r="25" spans="1:42" ht="13" customHeight="1">
      <c r="A25" s="564"/>
      <c r="B25" s="564" t="s">
        <v>81</v>
      </c>
      <c r="C25" s="564" t="s">
        <v>61</v>
      </c>
      <c r="D25" s="564" t="s">
        <v>62</v>
      </c>
      <c r="E25" s="564">
        <v>1500</v>
      </c>
      <c r="F25" s="564" t="s">
        <v>75</v>
      </c>
      <c r="G25" s="564" t="s">
        <v>754</v>
      </c>
      <c r="H25" s="564" t="s">
        <v>76</v>
      </c>
      <c r="I25" s="564">
        <v>36.4</v>
      </c>
      <c r="J25" s="564" t="s">
        <v>88</v>
      </c>
      <c r="K25" s="564">
        <v>2011</v>
      </c>
      <c r="L25" s="564" t="s">
        <v>83</v>
      </c>
      <c r="M25" s="564" t="s">
        <v>1162</v>
      </c>
      <c r="N25" s="632" t="s">
        <v>706</v>
      </c>
      <c r="O25" s="564"/>
      <c r="P25" s="633"/>
      <c r="Q25" s="633"/>
      <c r="R25" s="633"/>
      <c r="T25" s="574"/>
      <c r="U25" s="575"/>
      <c r="V25" s="575"/>
      <c r="W25" s="576"/>
      <c r="X25" s="577"/>
      <c r="Y25" s="577"/>
      <c r="Z25" s="577"/>
      <c r="AA25" s="577"/>
      <c r="AC25" s="585"/>
      <c r="AD25" s="585"/>
      <c r="AE25" s="585"/>
      <c r="AF25" s="585"/>
      <c r="AG25" s="585"/>
      <c r="AH25" s="585"/>
      <c r="AI25" s="585"/>
      <c r="AJ25" s="585"/>
      <c r="AK25" s="585"/>
      <c r="AL25" s="585"/>
      <c r="AP25" s="586"/>
    </row>
    <row r="26" spans="1:42" ht="13" customHeight="1">
      <c r="A26" s="564">
        <v>22</v>
      </c>
      <c r="B26" s="564" t="s">
        <v>81</v>
      </c>
      <c r="C26" s="564" t="s">
        <v>61</v>
      </c>
      <c r="D26" s="564" t="s">
        <v>62</v>
      </c>
      <c r="E26" s="564">
        <v>1500</v>
      </c>
      <c r="F26" s="564" t="s">
        <v>75</v>
      </c>
      <c r="G26" s="564" t="s">
        <v>755</v>
      </c>
      <c r="H26" s="564" t="s">
        <v>76</v>
      </c>
      <c r="I26" s="564">
        <v>54.6</v>
      </c>
      <c r="J26" s="564" t="s">
        <v>88</v>
      </c>
      <c r="K26" s="564">
        <v>2011</v>
      </c>
      <c r="L26" s="564" t="s">
        <v>83</v>
      </c>
      <c r="M26" s="565" t="s">
        <v>1163</v>
      </c>
      <c r="N26" s="632" t="s">
        <v>706</v>
      </c>
      <c r="O26" s="564" t="s">
        <v>84</v>
      </c>
      <c r="P26" s="633" t="s">
        <v>38</v>
      </c>
      <c r="Q26" s="633" t="s">
        <v>38</v>
      </c>
      <c r="R26" s="633" t="s">
        <v>38</v>
      </c>
      <c r="T26" s="574"/>
      <c r="U26" s="575"/>
      <c r="V26" s="575"/>
      <c r="W26" s="576"/>
      <c r="X26" s="577"/>
      <c r="Y26" s="577"/>
      <c r="Z26" s="577"/>
      <c r="AA26" s="577"/>
      <c r="AC26" s="585"/>
      <c r="AD26" s="585"/>
      <c r="AE26" s="585"/>
      <c r="AF26" s="585"/>
      <c r="AG26" s="585"/>
      <c r="AH26" s="585"/>
      <c r="AI26" s="585"/>
      <c r="AJ26" s="585"/>
      <c r="AK26" s="585"/>
      <c r="AL26" s="585"/>
      <c r="AP26" s="586"/>
    </row>
    <row r="27" spans="1:42" ht="13" customHeight="1">
      <c r="A27" s="564">
        <v>23</v>
      </c>
      <c r="B27" s="564" t="s">
        <v>81</v>
      </c>
      <c r="C27" s="564" t="s">
        <v>61</v>
      </c>
      <c r="D27" s="564" t="s">
        <v>62</v>
      </c>
      <c r="E27" s="564">
        <v>1500</v>
      </c>
      <c r="F27" s="564" t="s">
        <v>75</v>
      </c>
      <c r="G27" s="564" t="s">
        <v>755</v>
      </c>
      <c r="H27" s="564" t="s">
        <v>76</v>
      </c>
      <c r="I27" s="564">
        <v>42.9</v>
      </c>
      <c r="J27" s="564" t="s">
        <v>88</v>
      </c>
      <c r="K27" s="564">
        <v>2011</v>
      </c>
      <c r="L27" s="564" t="s">
        <v>83</v>
      </c>
      <c r="M27" s="564" t="s">
        <v>1164</v>
      </c>
      <c r="N27" s="632" t="s">
        <v>706</v>
      </c>
      <c r="O27" s="564" t="s">
        <v>84</v>
      </c>
      <c r="P27" s="633" t="s">
        <v>38</v>
      </c>
      <c r="Q27" s="633" t="s">
        <v>38</v>
      </c>
      <c r="R27" s="633" t="s">
        <v>38</v>
      </c>
      <c r="T27" s="574"/>
      <c r="U27" s="575"/>
      <c r="V27" s="575"/>
      <c r="W27" s="576"/>
      <c r="X27" s="577"/>
      <c r="Y27" s="577"/>
      <c r="Z27" s="577"/>
      <c r="AA27" s="577"/>
      <c r="AC27" s="585"/>
      <c r="AD27" s="585"/>
      <c r="AE27" s="585"/>
      <c r="AF27" s="585"/>
      <c r="AG27" s="585"/>
      <c r="AH27" s="585"/>
      <c r="AI27" s="585"/>
      <c r="AJ27" s="585"/>
      <c r="AK27" s="585"/>
      <c r="AL27" s="585"/>
      <c r="AP27" s="586"/>
    </row>
    <row r="28" spans="1:42" ht="13" customHeight="1">
      <c r="A28" s="564">
        <v>24</v>
      </c>
      <c r="B28" s="564" t="s">
        <v>81</v>
      </c>
      <c r="C28" s="564" t="s">
        <v>61</v>
      </c>
      <c r="D28" s="564" t="s">
        <v>62</v>
      </c>
      <c r="E28" s="564">
        <v>1500</v>
      </c>
      <c r="F28" s="564" t="s">
        <v>75</v>
      </c>
      <c r="G28" s="564" t="s">
        <v>755</v>
      </c>
      <c r="H28" s="564" t="s">
        <v>76</v>
      </c>
      <c r="I28" s="564">
        <v>34.299999999999997</v>
      </c>
      <c r="J28" s="564" t="s">
        <v>88</v>
      </c>
      <c r="K28" s="564">
        <v>2011</v>
      </c>
      <c r="L28" s="564" t="s">
        <v>83</v>
      </c>
      <c r="M28" s="564" t="s">
        <v>1165</v>
      </c>
      <c r="N28" s="632" t="s">
        <v>706</v>
      </c>
      <c r="O28" s="564" t="s">
        <v>84</v>
      </c>
      <c r="P28" s="633" t="s">
        <v>38</v>
      </c>
      <c r="Q28" s="633" t="s">
        <v>38</v>
      </c>
      <c r="R28" s="633" t="s">
        <v>38</v>
      </c>
      <c r="S28" s="476"/>
      <c r="T28" s="574"/>
      <c r="U28" s="575"/>
      <c r="V28" s="575"/>
      <c r="W28" s="576"/>
      <c r="X28" s="577"/>
      <c r="Y28" s="577"/>
      <c r="Z28" s="577"/>
      <c r="AA28" s="577"/>
      <c r="AC28" s="585"/>
      <c r="AD28" s="585"/>
      <c r="AE28" s="585"/>
      <c r="AF28" s="585"/>
      <c r="AG28" s="585"/>
      <c r="AH28" s="585"/>
      <c r="AI28" s="585"/>
      <c r="AJ28" s="585"/>
      <c r="AK28" s="585"/>
      <c r="AL28" s="585"/>
      <c r="AP28" s="586"/>
    </row>
    <row r="29" spans="1:42" ht="13" customHeight="1">
      <c r="A29" s="564"/>
      <c r="B29" s="564" t="s">
        <v>81</v>
      </c>
      <c r="C29" s="564" t="s">
        <v>61</v>
      </c>
      <c r="D29" s="564" t="s">
        <v>62</v>
      </c>
      <c r="E29" s="564">
        <v>1500</v>
      </c>
      <c r="F29" s="564" t="s">
        <v>217</v>
      </c>
      <c r="G29" s="564" t="s">
        <v>755</v>
      </c>
      <c r="H29" s="564" t="s">
        <v>76</v>
      </c>
      <c r="I29" s="564">
        <v>3650</v>
      </c>
      <c r="J29" s="564" t="s">
        <v>82</v>
      </c>
      <c r="K29" s="564">
        <v>2011</v>
      </c>
      <c r="L29" s="564" t="s">
        <v>83</v>
      </c>
      <c r="M29" s="565" t="s">
        <v>1166</v>
      </c>
      <c r="N29" s="632"/>
      <c r="O29" s="564"/>
      <c r="P29" s="633"/>
      <c r="Q29" s="633"/>
      <c r="R29" s="633"/>
      <c r="S29" s="476"/>
      <c r="T29" s="574"/>
      <c r="U29" s="575"/>
      <c r="V29" s="575"/>
      <c r="W29" s="576"/>
      <c r="X29" s="577"/>
      <c r="Y29" s="577"/>
      <c r="Z29" s="577"/>
      <c r="AA29" s="577"/>
      <c r="AC29" s="585"/>
      <c r="AD29" s="585"/>
      <c r="AE29" s="585"/>
      <c r="AF29" s="585"/>
      <c r="AG29" s="585"/>
      <c r="AH29" s="585"/>
      <c r="AI29" s="585"/>
      <c r="AJ29" s="585"/>
      <c r="AK29" s="585"/>
      <c r="AL29" s="585"/>
      <c r="AP29" s="586"/>
    </row>
    <row r="30" spans="1:42" ht="42.6" customHeight="1">
      <c r="A30" s="564"/>
      <c r="B30" s="564" t="s">
        <v>81</v>
      </c>
      <c r="C30" s="564" t="s">
        <v>61</v>
      </c>
      <c r="D30" s="564" t="s">
        <v>62</v>
      </c>
      <c r="E30" s="564">
        <v>1500</v>
      </c>
      <c r="F30" s="564" t="s">
        <v>217</v>
      </c>
      <c r="G30" s="564" t="s">
        <v>755</v>
      </c>
      <c r="H30" s="564" t="s">
        <v>76</v>
      </c>
      <c r="I30" s="564">
        <v>2850</v>
      </c>
      <c r="J30" s="564" t="s">
        <v>82</v>
      </c>
      <c r="K30" s="564">
        <v>2011</v>
      </c>
      <c r="L30" s="564" t="s">
        <v>83</v>
      </c>
      <c r="M30" s="564" t="s">
        <v>1167</v>
      </c>
      <c r="N30" s="632"/>
      <c r="O30" s="564"/>
      <c r="P30" s="633"/>
      <c r="Q30" s="633"/>
      <c r="R30" s="633"/>
      <c r="S30" s="476"/>
      <c r="T30" s="574"/>
      <c r="U30" s="575"/>
      <c r="V30" s="575"/>
      <c r="W30" s="576"/>
      <c r="X30" s="577"/>
      <c r="Y30" s="577"/>
      <c r="Z30" s="577"/>
      <c r="AA30" s="577"/>
      <c r="AC30" s="585"/>
      <c r="AD30" s="585"/>
      <c r="AE30" s="585"/>
      <c r="AF30" s="585"/>
      <c r="AG30" s="585"/>
      <c r="AH30" s="585"/>
      <c r="AI30" s="587"/>
      <c r="AJ30" s="585"/>
      <c r="AK30" s="585"/>
      <c r="AL30" s="585"/>
      <c r="AP30" s="586"/>
    </row>
    <row r="31" spans="1:42" ht="13" customHeight="1">
      <c r="A31" s="564"/>
      <c r="B31" s="564" t="s">
        <v>81</v>
      </c>
      <c r="C31" s="564" t="s">
        <v>61</v>
      </c>
      <c r="D31" s="564" t="s">
        <v>62</v>
      </c>
      <c r="E31" s="564">
        <v>1500</v>
      </c>
      <c r="F31" s="564" t="s">
        <v>217</v>
      </c>
      <c r="G31" s="564" t="s">
        <v>755</v>
      </c>
      <c r="H31" s="564" t="s">
        <v>76</v>
      </c>
      <c r="I31" s="564">
        <v>2050</v>
      </c>
      <c r="J31" s="564" t="s">
        <v>82</v>
      </c>
      <c r="K31" s="564">
        <v>2011</v>
      </c>
      <c r="L31" s="564" t="s">
        <v>83</v>
      </c>
      <c r="M31" s="564" t="s">
        <v>1168</v>
      </c>
      <c r="N31" s="632"/>
      <c r="O31" s="564"/>
      <c r="P31" s="633"/>
      <c r="Q31" s="633"/>
      <c r="R31" s="633"/>
      <c r="S31" s="19"/>
      <c r="T31" s="574"/>
      <c r="U31" s="575"/>
      <c r="V31" s="575"/>
      <c r="W31" s="576"/>
      <c r="X31" s="577"/>
      <c r="Y31" s="577"/>
      <c r="Z31" s="577"/>
      <c r="AA31" s="577"/>
      <c r="AC31" s="585"/>
      <c r="AD31" s="585"/>
      <c r="AE31" s="585"/>
      <c r="AF31" s="585"/>
      <c r="AG31" s="585"/>
      <c r="AH31" s="585"/>
      <c r="AI31" s="585"/>
      <c r="AJ31" s="585"/>
      <c r="AK31" s="585"/>
      <c r="AL31" s="585"/>
      <c r="AP31" s="586"/>
    </row>
    <row r="32" spans="1:42" ht="13" customHeight="1">
      <c r="A32" s="564"/>
      <c r="B32" s="564" t="s">
        <v>81</v>
      </c>
      <c r="C32" s="564" t="s">
        <v>61</v>
      </c>
      <c r="D32" s="564" t="s">
        <v>62</v>
      </c>
      <c r="E32" s="564">
        <v>1500</v>
      </c>
      <c r="F32" s="564" t="s">
        <v>217</v>
      </c>
      <c r="G32" s="564" t="s">
        <v>755</v>
      </c>
      <c r="H32" s="564" t="s">
        <v>76</v>
      </c>
      <c r="I32" s="564">
        <v>3300</v>
      </c>
      <c r="J32" s="564" t="s">
        <v>82</v>
      </c>
      <c r="K32" s="564">
        <v>2011</v>
      </c>
      <c r="L32" s="564" t="s">
        <v>83</v>
      </c>
      <c r="M32" s="565" t="s">
        <v>1169</v>
      </c>
      <c r="N32" s="632"/>
      <c r="O32" s="564"/>
      <c r="P32" s="633"/>
      <c r="Q32" s="633"/>
      <c r="R32" s="633"/>
      <c r="S32" s="19"/>
      <c r="T32" s="574"/>
      <c r="U32" s="575"/>
      <c r="V32" s="575"/>
      <c r="W32" s="576"/>
      <c r="X32" s="577"/>
      <c r="Y32" s="577"/>
      <c r="Z32" s="577"/>
      <c r="AA32" s="577"/>
      <c r="AC32" s="585"/>
      <c r="AD32" s="585"/>
      <c r="AE32" s="585"/>
      <c r="AF32" s="585"/>
      <c r="AG32" s="585"/>
      <c r="AH32" s="585"/>
      <c r="AI32" s="585"/>
      <c r="AJ32" s="585"/>
      <c r="AK32" s="585"/>
      <c r="AL32" s="585"/>
      <c r="AP32" s="586"/>
    </row>
    <row r="33" spans="1:42" ht="13" customHeight="1">
      <c r="A33" s="564"/>
      <c r="B33" s="564" t="s">
        <v>81</v>
      </c>
      <c r="C33" s="564" t="s">
        <v>61</v>
      </c>
      <c r="D33" s="564" t="s">
        <v>62</v>
      </c>
      <c r="E33" s="564">
        <v>1500</v>
      </c>
      <c r="F33" s="564" t="s">
        <v>217</v>
      </c>
      <c r="G33" s="564" t="s">
        <v>755</v>
      </c>
      <c r="H33" s="564" t="s">
        <v>76</v>
      </c>
      <c r="I33" s="564">
        <v>2600</v>
      </c>
      <c r="J33" s="564" t="s">
        <v>82</v>
      </c>
      <c r="K33" s="564">
        <v>2011</v>
      </c>
      <c r="L33" s="564" t="s">
        <v>83</v>
      </c>
      <c r="M33" s="564" t="s">
        <v>1170</v>
      </c>
      <c r="N33" s="632"/>
      <c r="O33" s="564"/>
      <c r="P33" s="633"/>
      <c r="Q33" s="633"/>
      <c r="R33" s="633"/>
      <c r="S33" s="19"/>
      <c r="T33" s="574"/>
      <c r="U33" s="575"/>
      <c r="V33" s="575"/>
      <c r="W33" s="576"/>
      <c r="X33" s="577"/>
      <c r="Y33" s="577"/>
      <c r="Z33" s="577"/>
      <c r="AA33" s="577"/>
      <c r="AC33" s="585"/>
      <c r="AD33" s="585"/>
      <c r="AE33" s="585"/>
      <c r="AF33" s="585"/>
      <c r="AG33" s="585"/>
      <c r="AH33" s="585"/>
      <c r="AI33" s="585"/>
      <c r="AJ33" s="585"/>
      <c r="AK33" s="585"/>
      <c r="AL33" s="585"/>
      <c r="AP33" s="586"/>
    </row>
    <row r="34" spans="1:42" ht="13" customHeight="1">
      <c r="A34" s="564"/>
      <c r="B34" s="564" t="s">
        <v>81</v>
      </c>
      <c r="C34" s="564" t="s">
        <v>61</v>
      </c>
      <c r="D34" s="564" t="s">
        <v>62</v>
      </c>
      <c r="E34" s="564">
        <v>1500</v>
      </c>
      <c r="F34" s="564" t="s">
        <v>217</v>
      </c>
      <c r="G34" s="564" t="s">
        <v>755</v>
      </c>
      <c r="H34" s="564" t="s">
        <v>76</v>
      </c>
      <c r="I34" s="564">
        <v>1850</v>
      </c>
      <c r="J34" s="564" t="s">
        <v>82</v>
      </c>
      <c r="K34" s="564">
        <v>2011</v>
      </c>
      <c r="L34" s="564" t="s">
        <v>83</v>
      </c>
      <c r="M34" s="564" t="s">
        <v>1171</v>
      </c>
      <c r="N34" s="632"/>
      <c r="O34" s="564"/>
      <c r="P34" s="633"/>
      <c r="Q34" s="633"/>
      <c r="R34" s="633"/>
      <c r="S34" s="19"/>
      <c r="T34" s="574"/>
      <c r="U34" s="575"/>
      <c r="V34" s="575"/>
      <c r="W34" s="576"/>
      <c r="X34" s="577"/>
      <c r="Y34" s="577"/>
      <c r="Z34" s="577"/>
      <c r="AA34" s="577"/>
      <c r="AC34" s="585"/>
      <c r="AD34" s="585"/>
      <c r="AE34" s="585"/>
      <c r="AF34" s="585"/>
      <c r="AG34" s="585"/>
      <c r="AH34" s="585"/>
      <c r="AI34" s="585"/>
      <c r="AJ34" s="585"/>
      <c r="AK34" s="585"/>
      <c r="AL34" s="585"/>
      <c r="AP34" s="586"/>
    </row>
    <row r="35" spans="1:42" ht="13" customHeight="1">
      <c r="A35" s="564"/>
      <c r="B35" s="564" t="s">
        <v>81</v>
      </c>
      <c r="C35" s="564" t="s">
        <v>61</v>
      </c>
      <c r="D35" s="564" t="s">
        <v>62</v>
      </c>
      <c r="E35" s="564">
        <v>1500</v>
      </c>
      <c r="F35" s="564" t="s">
        <v>217</v>
      </c>
      <c r="G35" s="564" t="s">
        <v>754</v>
      </c>
      <c r="H35" s="564" t="s">
        <v>76</v>
      </c>
      <c r="I35" s="564">
        <v>3950</v>
      </c>
      <c r="J35" s="564" t="s">
        <v>82</v>
      </c>
      <c r="K35" s="564">
        <v>2011</v>
      </c>
      <c r="L35" s="564" t="s">
        <v>83</v>
      </c>
      <c r="M35" s="565" t="s">
        <v>1172</v>
      </c>
      <c r="N35" s="632"/>
      <c r="O35" s="564"/>
      <c r="P35" s="633"/>
      <c r="Q35" s="633"/>
      <c r="R35" s="633"/>
      <c r="S35" s="19"/>
      <c r="T35" s="574"/>
      <c r="U35" s="575"/>
      <c r="V35" s="575"/>
      <c r="W35" s="576"/>
      <c r="X35" s="577"/>
      <c r="Y35" s="577"/>
      <c r="Z35" s="577"/>
      <c r="AA35" s="577"/>
      <c r="AC35" s="585"/>
      <c r="AD35" s="585"/>
      <c r="AE35" s="585"/>
      <c r="AF35" s="585"/>
      <c r="AG35" s="585"/>
      <c r="AH35" s="585"/>
      <c r="AI35" s="585"/>
      <c r="AJ35" s="585"/>
      <c r="AK35" s="585"/>
      <c r="AL35" s="585"/>
      <c r="AP35" s="586"/>
    </row>
    <row r="36" spans="1:42" ht="13" customHeight="1">
      <c r="A36" s="564"/>
      <c r="B36" s="564" t="s">
        <v>81</v>
      </c>
      <c r="C36" s="564" t="s">
        <v>61</v>
      </c>
      <c r="D36" s="564" t="s">
        <v>62</v>
      </c>
      <c r="E36" s="564">
        <v>1500</v>
      </c>
      <c r="F36" s="564" t="s">
        <v>217</v>
      </c>
      <c r="G36" s="564" t="s">
        <v>754</v>
      </c>
      <c r="H36" s="564" t="s">
        <v>76</v>
      </c>
      <c r="I36" s="564">
        <v>3150</v>
      </c>
      <c r="J36" s="564" t="s">
        <v>82</v>
      </c>
      <c r="K36" s="564">
        <v>2011</v>
      </c>
      <c r="L36" s="564" t="s">
        <v>83</v>
      </c>
      <c r="M36" s="564" t="s">
        <v>1173</v>
      </c>
      <c r="N36" s="632"/>
      <c r="O36" s="564"/>
      <c r="P36" s="633"/>
      <c r="Q36" s="633"/>
      <c r="R36" s="633"/>
      <c r="S36" s="19"/>
      <c r="T36" s="574"/>
      <c r="U36" s="575"/>
      <c r="V36" s="575"/>
      <c r="W36" s="576"/>
      <c r="X36" s="577"/>
      <c r="Y36" s="577"/>
      <c r="Z36" s="577"/>
      <c r="AA36" s="577"/>
      <c r="AC36" s="585"/>
      <c r="AD36" s="585"/>
      <c r="AE36" s="585"/>
      <c r="AF36" s="585"/>
      <c r="AG36" s="585"/>
      <c r="AH36" s="585"/>
      <c r="AI36" s="585"/>
      <c r="AJ36" s="585"/>
      <c r="AK36" s="585"/>
      <c r="AL36" s="585"/>
      <c r="AP36" s="586"/>
    </row>
    <row r="37" spans="1:42" ht="13" customHeight="1">
      <c r="A37" s="564"/>
      <c r="B37" s="564" t="s">
        <v>81</v>
      </c>
      <c r="C37" s="564" t="s">
        <v>61</v>
      </c>
      <c r="D37" s="564" t="s">
        <v>62</v>
      </c>
      <c r="E37" s="564">
        <v>1500</v>
      </c>
      <c r="F37" s="564" t="s">
        <v>217</v>
      </c>
      <c r="G37" s="564" t="s">
        <v>754</v>
      </c>
      <c r="H37" s="564" t="s">
        <v>76</v>
      </c>
      <c r="I37" s="564">
        <v>2250</v>
      </c>
      <c r="J37" s="564" t="s">
        <v>82</v>
      </c>
      <c r="K37" s="564">
        <v>2011</v>
      </c>
      <c r="L37" s="564" t="s">
        <v>83</v>
      </c>
      <c r="M37" s="564" t="s">
        <v>1174</v>
      </c>
      <c r="N37" s="632"/>
      <c r="O37" s="564"/>
      <c r="P37" s="633"/>
      <c r="Q37" s="633"/>
      <c r="R37" s="633"/>
      <c r="S37" s="19"/>
      <c r="T37" s="574"/>
      <c r="U37" s="575"/>
      <c r="V37" s="575"/>
      <c r="W37" s="576"/>
      <c r="X37" s="577"/>
      <c r="Y37" s="577"/>
      <c r="Z37" s="577"/>
      <c r="AA37" s="577"/>
      <c r="AC37" s="585"/>
      <c r="AD37" s="585"/>
      <c r="AE37" s="585"/>
      <c r="AF37" s="585"/>
      <c r="AG37" s="585"/>
      <c r="AH37" s="585"/>
      <c r="AI37" s="585"/>
      <c r="AJ37" s="585"/>
      <c r="AK37" s="585"/>
      <c r="AL37" s="585"/>
      <c r="AP37" s="586"/>
    </row>
    <row r="38" spans="1:42" ht="13" customHeight="1">
      <c r="A38" s="564">
        <v>25</v>
      </c>
      <c r="B38" s="564" t="s">
        <v>81</v>
      </c>
      <c r="C38" s="564" t="s">
        <v>61</v>
      </c>
      <c r="D38" s="564" t="s">
        <v>62</v>
      </c>
      <c r="E38" s="564">
        <v>1500</v>
      </c>
      <c r="F38" s="564" t="s">
        <v>217</v>
      </c>
      <c r="G38" s="564" t="s">
        <v>57</v>
      </c>
      <c r="H38" s="564" t="s">
        <v>76</v>
      </c>
      <c r="I38" s="564">
        <v>5350</v>
      </c>
      <c r="J38" s="564" t="s">
        <v>82</v>
      </c>
      <c r="K38" s="564">
        <v>2011</v>
      </c>
      <c r="L38" s="564" t="s">
        <v>83</v>
      </c>
      <c r="M38" s="565" t="s">
        <v>1175</v>
      </c>
      <c r="N38" s="632" t="s">
        <v>706</v>
      </c>
      <c r="O38" s="564" t="s">
        <v>84</v>
      </c>
      <c r="P38" s="633" t="s">
        <v>38</v>
      </c>
      <c r="Q38" s="633" t="s">
        <v>38</v>
      </c>
      <c r="R38" s="633" t="s">
        <v>38</v>
      </c>
      <c r="S38" s="19"/>
      <c r="T38" s="574"/>
      <c r="U38" s="575"/>
      <c r="V38" s="575"/>
      <c r="W38" s="576"/>
      <c r="X38" s="577"/>
      <c r="Y38" s="577"/>
      <c r="Z38" s="577"/>
      <c r="AA38" s="577"/>
      <c r="AC38" s="585"/>
      <c r="AD38" s="585"/>
      <c r="AE38" s="585"/>
      <c r="AF38" s="585"/>
      <c r="AG38" s="585"/>
      <c r="AH38" s="585"/>
      <c r="AI38" s="585"/>
      <c r="AJ38" s="585"/>
      <c r="AK38" s="585"/>
      <c r="AL38" s="585"/>
      <c r="AP38" s="586"/>
    </row>
    <row r="39" spans="1:42" ht="13" customHeight="1">
      <c r="A39" s="564">
        <v>26</v>
      </c>
      <c r="B39" s="564" t="s">
        <v>81</v>
      </c>
      <c r="C39" s="564" t="s">
        <v>61</v>
      </c>
      <c r="D39" s="564" t="s">
        <v>62</v>
      </c>
      <c r="E39" s="564">
        <v>1500</v>
      </c>
      <c r="F39" s="564" t="s">
        <v>217</v>
      </c>
      <c r="G39" s="564" t="s">
        <v>57</v>
      </c>
      <c r="H39" s="564" t="s">
        <v>76</v>
      </c>
      <c r="I39" s="564">
        <v>3700</v>
      </c>
      <c r="J39" s="564" t="s">
        <v>82</v>
      </c>
      <c r="K39" s="564">
        <v>2011</v>
      </c>
      <c r="L39" s="564" t="s">
        <v>83</v>
      </c>
      <c r="M39" s="564" t="s">
        <v>1176</v>
      </c>
      <c r="N39" s="632" t="s">
        <v>706</v>
      </c>
      <c r="O39" s="564" t="s">
        <v>84</v>
      </c>
      <c r="P39" s="633" t="s">
        <v>38</v>
      </c>
      <c r="Q39" s="633" t="s">
        <v>38</v>
      </c>
      <c r="R39" s="633" t="s">
        <v>38</v>
      </c>
      <c r="S39" s="19"/>
      <c r="T39" s="574"/>
      <c r="U39" s="575"/>
      <c r="V39" s="575"/>
      <c r="W39" s="576"/>
      <c r="X39" s="577"/>
      <c r="Y39" s="577"/>
      <c r="Z39" s="577"/>
      <c r="AA39" s="577"/>
      <c r="AC39" s="585"/>
      <c r="AD39" s="585"/>
      <c r="AE39" s="585"/>
      <c r="AF39" s="585"/>
      <c r="AG39" s="585"/>
      <c r="AH39" s="585"/>
      <c r="AI39" s="585"/>
      <c r="AJ39" s="585"/>
      <c r="AK39" s="585"/>
      <c r="AL39" s="585"/>
      <c r="AP39" s="586"/>
    </row>
    <row r="40" spans="1:42" ht="13" customHeight="1">
      <c r="A40" s="564">
        <v>27</v>
      </c>
      <c r="B40" s="564" t="s">
        <v>81</v>
      </c>
      <c r="C40" s="564" t="s">
        <v>61</v>
      </c>
      <c r="D40" s="564" t="s">
        <v>62</v>
      </c>
      <c r="E40" s="564">
        <v>1500</v>
      </c>
      <c r="F40" s="564" t="s">
        <v>217</v>
      </c>
      <c r="G40" s="564" t="s">
        <v>57</v>
      </c>
      <c r="H40" s="564" t="s">
        <v>76</v>
      </c>
      <c r="I40" s="564">
        <v>2600</v>
      </c>
      <c r="J40" s="564" t="s">
        <v>82</v>
      </c>
      <c r="K40" s="564">
        <v>2011</v>
      </c>
      <c r="L40" s="564" t="s">
        <v>83</v>
      </c>
      <c r="M40" s="564" t="s">
        <v>1177</v>
      </c>
      <c r="N40" s="632" t="s">
        <v>706</v>
      </c>
      <c r="O40" s="564" t="s">
        <v>84</v>
      </c>
      <c r="P40" s="633" t="s">
        <v>38</v>
      </c>
      <c r="Q40" s="633" t="s">
        <v>38</v>
      </c>
      <c r="R40" s="633" t="s">
        <v>38</v>
      </c>
      <c r="S40" s="19"/>
      <c r="T40" s="574"/>
      <c r="U40" s="575"/>
      <c r="V40" s="575"/>
      <c r="W40" s="576"/>
      <c r="X40" s="577"/>
      <c r="Y40" s="577"/>
      <c r="Z40" s="577"/>
      <c r="AA40" s="577"/>
      <c r="AC40" s="585"/>
      <c r="AD40" s="585"/>
      <c r="AE40" s="585"/>
      <c r="AF40" s="585"/>
      <c r="AG40" s="585"/>
      <c r="AH40" s="585"/>
      <c r="AI40" s="585"/>
      <c r="AJ40" s="585"/>
      <c r="AK40" s="585"/>
      <c r="AL40" s="585"/>
      <c r="AP40" s="586"/>
    </row>
    <row r="41" spans="1:42" ht="71.5" customHeight="1">
      <c r="A41" s="564">
        <v>28</v>
      </c>
      <c r="B41" s="564" t="s">
        <v>90</v>
      </c>
      <c r="C41" s="564" t="s">
        <v>61</v>
      </c>
      <c r="D41" s="564" t="s">
        <v>91</v>
      </c>
      <c r="E41" s="564">
        <v>1198</v>
      </c>
      <c r="F41" s="564" t="s">
        <v>31</v>
      </c>
      <c r="G41" s="564" t="s">
        <v>52</v>
      </c>
      <c r="H41" s="564" t="s">
        <v>33</v>
      </c>
      <c r="I41" s="564">
        <f>(5405-436)*1000000</f>
        <v>4969000000</v>
      </c>
      <c r="J41" s="564" t="s">
        <v>34</v>
      </c>
      <c r="K41" s="564">
        <v>1985</v>
      </c>
      <c r="L41" s="564" t="s">
        <v>92</v>
      </c>
      <c r="M41" s="564" t="s">
        <v>93</v>
      </c>
      <c r="N41" s="632" t="s">
        <v>94</v>
      </c>
      <c r="O41" s="564" t="s">
        <v>84</v>
      </c>
      <c r="P41" s="633" t="s">
        <v>38</v>
      </c>
      <c r="Q41" s="564">
        <f>436*1000000</f>
        <v>436000000</v>
      </c>
      <c r="R41" s="633" t="s">
        <v>38</v>
      </c>
      <c r="S41" s="19"/>
      <c r="T41" s="588"/>
      <c r="U41" s="588"/>
      <c r="V41" s="588"/>
      <c r="W41" s="579"/>
      <c r="X41" s="579"/>
      <c r="Y41" s="579"/>
      <c r="Z41" s="579"/>
      <c r="AA41" s="579"/>
      <c r="AC41" s="585"/>
      <c r="AD41" s="585"/>
      <c r="AE41" s="585"/>
      <c r="AF41" s="585"/>
      <c r="AG41" s="585"/>
      <c r="AH41" s="585"/>
      <c r="AI41" s="585"/>
      <c r="AJ41" s="585"/>
      <c r="AK41" s="585"/>
      <c r="AL41" s="585"/>
      <c r="AP41" s="586"/>
    </row>
    <row r="42" spans="1:42" ht="13" customHeight="1">
      <c r="A42" s="564"/>
      <c r="B42" s="567" t="s">
        <v>827</v>
      </c>
      <c r="C42" s="564" t="s">
        <v>30</v>
      </c>
      <c r="D42" s="567" t="s">
        <v>796</v>
      </c>
      <c r="E42" s="567">
        <v>1010</v>
      </c>
      <c r="F42" s="567" t="s">
        <v>31</v>
      </c>
      <c r="G42" s="564" t="s">
        <v>52</v>
      </c>
      <c r="H42" s="567" t="s">
        <v>33</v>
      </c>
      <c r="I42" s="567">
        <f>(880-328)*1000000</f>
        <v>552000000</v>
      </c>
      <c r="J42" s="567" t="s">
        <v>34</v>
      </c>
      <c r="K42" s="567">
        <v>1983</v>
      </c>
      <c r="L42" s="567" t="s">
        <v>825</v>
      </c>
      <c r="M42" s="635" t="s">
        <v>822</v>
      </c>
      <c r="N42" s="634">
        <v>0.7</v>
      </c>
      <c r="O42" s="633" t="s">
        <v>824</v>
      </c>
      <c r="P42" s="633"/>
      <c r="Q42" s="633">
        <f>328*1000000</f>
        <v>328000000</v>
      </c>
      <c r="R42" s="633" t="s">
        <v>122</v>
      </c>
      <c r="S42" s="19"/>
      <c r="T42" s="574"/>
      <c r="U42" s="575"/>
      <c r="V42" s="575"/>
      <c r="W42" s="575"/>
      <c r="X42" s="589"/>
      <c r="Y42" s="590"/>
      <c r="Z42" s="590"/>
      <c r="AC42" s="585"/>
      <c r="AD42" s="585"/>
      <c r="AE42" s="585"/>
      <c r="AF42" s="585"/>
      <c r="AG42" s="585"/>
      <c r="AH42" s="585"/>
      <c r="AI42" s="585"/>
      <c r="AJ42" s="585"/>
      <c r="AK42" s="585"/>
      <c r="AL42" s="585"/>
      <c r="AP42" s="586"/>
    </row>
    <row r="43" spans="1:42" ht="13" customHeight="1">
      <c r="A43" s="564"/>
      <c r="B43" s="567" t="s">
        <v>827</v>
      </c>
      <c r="C43" s="564" t="s">
        <v>30</v>
      </c>
      <c r="D43" s="567" t="s">
        <v>796</v>
      </c>
      <c r="E43" s="567">
        <v>1010</v>
      </c>
      <c r="F43" s="567" t="s">
        <v>116</v>
      </c>
      <c r="G43" s="564" t="s">
        <v>52</v>
      </c>
      <c r="H43" s="567" t="s">
        <v>76</v>
      </c>
      <c r="I43" s="567">
        <v>11</v>
      </c>
      <c r="J43" s="567" t="s">
        <v>77</v>
      </c>
      <c r="K43" s="567">
        <v>1983</v>
      </c>
      <c r="L43" s="567" t="s">
        <v>825</v>
      </c>
      <c r="M43" s="635"/>
      <c r="N43" s="634"/>
      <c r="O43" s="633"/>
      <c r="P43" s="633"/>
      <c r="Q43" s="633"/>
      <c r="R43" s="633"/>
      <c r="S43" s="19"/>
      <c r="T43" s="574"/>
      <c r="U43" s="575"/>
      <c r="V43" s="575"/>
      <c r="W43" s="575"/>
      <c r="X43" s="589"/>
      <c r="Y43" s="590"/>
      <c r="Z43" s="590"/>
      <c r="AC43" s="585"/>
      <c r="AD43" s="585"/>
      <c r="AE43" s="585"/>
      <c r="AF43" s="585"/>
      <c r="AG43" s="585"/>
      <c r="AH43" s="585"/>
      <c r="AI43" s="585"/>
      <c r="AJ43" s="585"/>
      <c r="AK43" s="585"/>
      <c r="AL43" s="585"/>
      <c r="AP43" s="586"/>
    </row>
    <row r="44" spans="1:42" ht="13" customHeight="1">
      <c r="A44" s="564"/>
      <c r="B44" s="567" t="s">
        <v>828</v>
      </c>
      <c r="C44" s="564" t="s">
        <v>30</v>
      </c>
      <c r="D44" s="567" t="s">
        <v>796</v>
      </c>
      <c r="E44" s="567">
        <v>2000</v>
      </c>
      <c r="F44" s="567" t="s">
        <v>116</v>
      </c>
      <c r="G44" s="564" t="s">
        <v>52</v>
      </c>
      <c r="H44" s="567" t="s">
        <v>76</v>
      </c>
      <c r="I44" s="567">
        <v>8</v>
      </c>
      <c r="J44" s="567" t="s">
        <v>77</v>
      </c>
      <c r="K44" s="567">
        <v>1983</v>
      </c>
      <c r="L44" s="567" t="s">
        <v>825</v>
      </c>
      <c r="M44" s="635"/>
      <c r="N44" s="634"/>
      <c r="O44" s="633"/>
      <c r="P44" s="633"/>
      <c r="Q44" s="564"/>
      <c r="R44" s="633"/>
      <c r="S44" s="19"/>
      <c r="T44" s="574"/>
      <c r="U44" s="575"/>
      <c r="V44" s="575"/>
      <c r="W44" s="575"/>
      <c r="X44" s="589"/>
      <c r="Y44" s="590"/>
      <c r="Z44" s="590"/>
      <c r="AC44" s="585"/>
      <c r="AD44" s="585"/>
      <c r="AE44" s="585"/>
      <c r="AF44" s="585"/>
      <c r="AG44" s="585"/>
      <c r="AH44" s="585"/>
      <c r="AI44" s="585"/>
      <c r="AJ44" s="585"/>
      <c r="AK44" s="585"/>
      <c r="AL44" s="585"/>
      <c r="AP44" s="586"/>
    </row>
    <row r="45" spans="1:42" ht="13" customHeight="1">
      <c r="A45" s="564"/>
      <c r="B45" s="567" t="s">
        <v>827</v>
      </c>
      <c r="C45" s="564" t="s">
        <v>30</v>
      </c>
      <c r="D45" s="567" t="s">
        <v>796</v>
      </c>
      <c r="E45" s="567">
        <v>1010</v>
      </c>
      <c r="F45" s="567" t="s">
        <v>75</v>
      </c>
      <c r="G45" s="564" t="s">
        <v>52</v>
      </c>
      <c r="H45" s="567" t="s">
        <v>76</v>
      </c>
      <c r="I45" s="567">
        <v>75</v>
      </c>
      <c r="J45" s="567" t="s">
        <v>77</v>
      </c>
      <c r="K45" s="567">
        <v>1983</v>
      </c>
      <c r="L45" s="567" t="s">
        <v>825</v>
      </c>
      <c r="M45" s="567" t="s">
        <v>820</v>
      </c>
      <c r="N45" s="634">
        <v>0.7</v>
      </c>
      <c r="O45" s="633" t="s">
        <v>824</v>
      </c>
      <c r="P45" s="633"/>
      <c r="Q45" s="633"/>
      <c r="R45" s="633" t="s">
        <v>122</v>
      </c>
      <c r="S45" s="19"/>
      <c r="T45" s="574"/>
      <c r="U45" s="575"/>
      <c r="V45" s="575"/>
      <c r="W45" s="575"/>
      <c r="X45" s="589"/>
      <c r="Y45" s="590"/>
      <c r="Z45" s="590"/>
      <c r="AC45" s="585"/>
      <c r="AD45" s="585"/>
      <c r="AE45" s="585"/>
      <c r="AF45" s="585"/>
      <c r="AG45" s="585"/>
      <c r="AH45" s="585"/>
      <c r="AI45" s="585"/>
      <c r="AJ45" s="585"/>
      <c r="AK45" s="585"/>
      <c r="AL45" s="585"/>
      <c r="AP45" s="586"/>
    </row>
    <row r="46" spans="1:42" ht="13" customHeight="1">
      <c r="A46" s="564"/>
      <c r="B46" s="567" t="s">
        <v>828</v>
      </c>
      <c r="C46" s="564" t="s">
        <v>30</v>
      </c>
      <c r="D46" s="567" t="s">
        <v>796</v>
      </c>
      <c r="E46" s="567">
        <v>2000</v>
      </c>
      <c r="F46" s="567" t="s">
        <v>31</v>
      </c>
      <c r="G46" s="564" t="s">
        <v>52</v>
      </c>
      <c r="H46" s="567" t="s">
        <v>33</v>
      </c>
      <c r="I46" s="567">
        <f>(1363-508)*1000000</f>
        <v>855000000</v>
      </c>
      <c r="J46" s="567" t="s">
        <v>34</v>
      </c>
      <c r="K46" s="567">
        <v>1983</v>
      </c>
      <c r="L46" s="567" t="s">
        <v>825</v>
      </c>
      <c r="M46" s="567" t="s">
        <v>821</v>
      </c>
      <c r="N46" s="634">
        <v>0.7</v>
      </c>
      <c r="O46" s="633" t="s">
        <v>824</v>
      </c>
      <c r="P46" s="633"/>
      <c r="Q46" s="633">
        <f>508*1000000</f>
        <v>508000000</v>
      </c>
      <c r="R46" s="633" t="s">
        <v>122</v>
      </c>
      <c r="S46" s="19"/>
      <c r="T46" s="574"/>
      <c r="U46" s="575"/>
      <c r="V46" s="575"/>
      <c r="W46" s="575"/>
      <c r="X46" s="589"/>
      <c r="Y46" s="590"/>
      <c r="Z46" s="590"/>
      <c r="AA46" s="579"/>
      <c r="AC46" s="585"/>
      <c r="AD46" s="585"/>
      <c r="AE46" s="585"/>
      <c r="AF46" s="585"/>
      <c r="AG46" s="585"/>
      <c r="AH46" s="585"/>
      <c r="AI46" s="585"/>
      <c r="AJ46" s="585"/>
      <c r="AK46" s="585"/>
      <c r="AL46" s="585"/>
      <c r="AP46" s="586"/>
    </row>
    <row r="47" spans="1:42" ht="13" customHeight="1">
      <c r="A47" s="564"/>
      <c r="B47" s="567" t="s">
        <v>828</v>
      </c>
      <c r="C47" s="564" t="s">
        <v>30</v>
      </c>
      <c r="D47" s="567" t="s">
        <v>796</v>
      </c>
      <c r="E47" s="567">
        <v>2000</v>
      </c>
      <c r="F47" s="567" t="s">
        <v>75</v>
      </c>
      <c r="G47" s="564" t="s">
        <v>52</v>
      </c>
      <c r="H47" s="567" t="s">
        <v>76</v>
      </c>
      <c r="I47" s="567">
        <v>58</v>
      </c>
      <c r="J47" s="567" t="s">
        <v>77</v>
      </c>
      <c r="K47" s="567">
        <v>1983</v>
      </c>
      <c r="L47" s="567" t="s">
        <v>825</v>
      </c>
      <c r="M47" s="567" t="s">
        <v>820</v>
      </c>
      <c r="N47" s="634">
        <v>0.7</v>
      </c>
      <c r="O47" s="633" t="s">
        <v>824</v>
      </c>
      <c r="P47" s="633"/>
      <c r="Q47" s="564"/>
      <c r="R47" s="633" t="s">
        <v>122</v>
      </c>
      <c r="S47" s="19"/>
      <c r="T47" s="574"/>
      <c r="U47" s="575"/>
      <c r="V47" s="575"/>
      <c r="W47" s="575"/>
      <c r="X47" s="589"/>
      <c r="Y47" s="590"/>
      <c r="Z47" s="590"/>
      <c r="AA47" s="579"/>
      <c r="AC47" s="585"/>
      <c r="AD47" s="585"/>
      <c r="AE47" s="585"/>
      <c r="AF47" s="585"/>
      <c r="AG47" s="585"/>
      <c r="AH47" s="585"/>
      <c r="AI47" s="585"/>
      <c r="AJ47" s="585"/>
      <c r="AK47" s="585"/>
      <c r="AL47" s="585"/>
      <c r="AP47" s="586"/>
    </row>
    <row r="48" spans="1:42" ht="13" customHeight="1">
      <c r="A48" s="564">
        <v>29</v>
      </c>
      <c r="B48" s="636" t="s">
        <v>95</v>
      </c>
      <c r="C48" s="636" t="s">
        <v>81</v>
      </c>
      <c r="D48" s="636" t="s">
        <v>81</v>
      </c>
      <c r="E48" s="637">
        <v>1000</v>
      </c>
      <c r="F48" s="636" t="s">
        <v>902</v>
      </c>
      <c r="G48" s="564" t="s">
        <v>57</v>
      </c>
      <c r="H48" s="636" t="s">
        <v>76</v>
      </c>
      <c r="I48" s="637" t="s">
        <v>1115</v>
      </c>
      <c r="J48" s="636" t="s">
        <v>82</v>
      </c>
      <c r="K48" s="637">
        <v>2019</v>
      </c>
      <c r="L48" s="636" t="s">
        <v>96</v>
      </c>
      <c r="M48" s="636" t="s">
        <v>97</v>
      </c>
      <c r="N48" s="638">
        <v>0.8</v>
      </c>
      <c r="O48" s="636" t="s">
        <v>84</v>
      </c>
      <c r="P48" s="633" t="s">
        <v>38</v>
      </c>
      <c r="Q48" s="633" t="s">
        <v>38</v>
      </c>
      <c r="R48" s="633" t="s">
        <v>38</v>
      </c>
      <c r="S48" s="19"/>
      <c r="T48" s="576"/>
      <c r="U48" s="575"/>
      <c r="V48" s="575"/>
      <c r="W48" s="591"/>
      <c r="X48" s="592"/>
      <c r="Y48" s="592"/>
      <c r="Z48" s="592"/>
      <c r="AA48" s="592"/>
      <c r="AC48" s="585"/>
      <c r="AD48" s="585"/>
      <c r="AE48" s="585"/>
      <c r="AF48" s="585"/>
      <c r="AG48" s="585"/>
      <c r="AH48" s="585"/>
      <c r="AI48" s="585"/>
      <c r="AJ48" s="585"/>
      <c r="AK48" s="585"/>
      <c r="AL48" s="585"/>
      <c r="AP48" s="586"/>
    </row>
    <row r="49" spans="1:42" ht="13" customHeight="1">
      <c r="A49" s="564">
        <v>30</v>
      </c>
      <c r="B49" s="636" t="s">
        <v>95</v>
      </c>
      <c r="C49" s="636" t="s">
        <v>81</v>
      </c>
      <c r="D49" s="636" t="s">
        <v>81</v>
      </c>
      <c r="E49" s="637">
        <v>1000</v>
      </c>
      <c r="F49" s="636" t="s">
        <v>391</v>
      </c>
      <c r="G49" s="564" t="s">
        <v>57</v>
      </c>
      <c r="H49" s="636" t="s">
        <v>76</v>
      </c>
      <c r="I49" s="637" t="s">
        <v>1116</v>
      </c>
      <c r="J49" s="636" t="s">
        <v>82</v>
      </c>
      <c r="K49" s="637">
        <v>2019</v>
      </c>
      <c r="L49" s="636" t="s">
        <v>96</v>
      </c>
      <c r="M49" s="567" t="s">
        <v>1114</v>
      </c>
      <c r="N49" s="633" t="s">
        <v>38</v>
      </c>
      <c r="O49" s="633" t="s">
        <v>38</v>
      </c>
      <c r="P49" s="633" t="s">
        <v>38</v>
      </c>
      <c r="Q49" s="633" t="s">
        <v>38</v>
      </c>
      <c r="R49" s="633" t="s">
        <v>38</v>
      </c>
      <c r="S49" s="19"/>
      <c r="T49" s="576"/>
      <c r="U49" s="593"/>
      <c r="V49" s="593"/>
      <c r="W49" s="591"/>
      <c r="X49" s="592"/>
      <c r="Y49" s="592"/>
      <c r="Z49" s="592"/>
      <c r="AA49" s="592"/>
      <c r="AC49" s="585"/>
      <c r="AD49" s="585"/>
      <c r="AE49" s="585"/>
      <c r="AF49" s="585"/>
      <c r="AG49" s="585"/>
      <c r="AH49" s="585"/>
      <c r="AI49" s="585"/>
      <c r="AJ49" s="585"/>
      <c r="AK49" s="585"/>
      <c r="AL49" s="585"/>
      <c r="AP49" s="586"/>
    </row>
    <row r="50" spans="1:42" ht="13" customHeight="1">
      <c r="A50" s="564">
        <v>31</v>
      </c>
      <c r="B50" s="639" t="s">
        <v>95</v>
      </c>
      <c r="C50" s="639" t="s">
        <v>81</v>
      </c>
      <c r="D50" s="639" t="s">
        <v>81</v>
      </c>
      <c r="E50" s="640">
        <v>1000</v>
      </c>
      <c r="F50" s="639" t="s">
        <v>75</v>
      </c>
      <c r="G50" s="564" t="s">
        <v>57</v>
      </c>
      <c r="H50" s="639" t="s">
        <v>76</v>
      </c>
      <c r="I50" s="640" t="s">
        <v>1117</v>
      </c>
      <c r="J50" s="639" t="s">
        <v>88</v>
      </c>
      <c r="K50" s="637">
        <v>2019</v>
      </c>
      <c r="L50" s="639" t="s">
        <v>96</v>
      </c>
      <c r="M50" s="567" t="s">
        <v>1114</v>
      </c>
      <c r="N50" s="638">
        <v>0.8</v>
      </c>
      <c r="O50" s="636" t="s">
        <v>84</v>
      </c>
      <c r="P50" s="633" t="s">
        <v>38</v>
      </c>
      <c r="Q50" s="633" t="s">
        <v>38</v>
      </c>
      <c r="R50" s="633" t="s">
        <v>38</v>
      </c>
      <c r="S50" s="19"/>
      <c r="T50" s="576"/>
      <c r="U50" s="593"/>
      <c r="V50" s="593"/>
      <c r="W50" s="591"/>
      <c r="X50" s="592"/>
      <c r="Y50" s="592"/>
      <c r="Z50" s="592"/>
      <c r="AA50" s="592"/>
      <c r="AC50" s="585"/>
      <c r="AD50" s="585"/>
      <c r="AE50" s="585"/>
      <c r="AF50" s="585"/>
      <c r="AG50" s="585"/>
      <c r="AH50" s="585"/>
      <c r="AI50" s="585"/>
      <c r="AJ50" s="585"/>
      <c r="AK50" s="585"/>
      <c r="AL50" s="585"/>
      <c r="AP50" s="586"/>
    </row>
    <row r="51" spans="1:42" ht="13" customHeight="1">
      <c r="A51" s="564">
        <v>6</v>
      </c>
      <c r="B51" s="564" t="s">
        <v>60</v>
      </c>
      <c r="C51" s="564" t="s">
        <v>61</v>
      </c>
      <c r="D51" s="564" t="s">
        <v>62</v>
      </c>
      <c r="E51" s="564">
        <v>1200</v>
      </c>
      <c r="F51" s="564" t="s">
        <v>115</v>
      </c>
      <c r="G51" s="564" t="s">
        <v>52</v>
      </c>
      <c r="H51" s="564" t="s">
        <v>33</v>
      </c>
      <c r="I51" s="564">
        <f>17.36*1000000</f>
        <v>17360000</v>
      </c>
      <c r="J51" s="564" t="s">
        <v>34</v>
      </c>
      <c r="K51" s="564">
        <v>1980</v>
      </c>
      <c r="L51" s="564" t="s">
        <v>975</v>
      </c>
      <c r="M51" s="565" t="s">
        <v>78</v>
      </c>
      <c r="N51" s="633" t="s">
        <v>38</v>
      </c>
      <c r="O51" s="633" t="s">
        <v>38</v>
      </c>
      <c r="P51" s="633" t="s">
        <v>38</v>
      </c>
      <c r="Q51" s="633" t="s">
        <v>38</v>
      </c>
      <c r="R51" s="633" t="s">
        <v>38</v>
      </c>
      <c r="S51" s="19"/>
      <c r="T51" s="591"/>
      <c r="U51" s="575"/>
      <c r="V51" s="575"/>
      <c r="W51" s="575"/>
      <c r="X51" s="579"/>
      <c r="Y51" s="579"/>
      <c r="Z51" s="579"/>
      <c r="AA51" s="579"/>
      <c r="AC51" s="585"/>
      <c r="AD51" s="585"/>
      <c r="AE51" s="585"/>
      <c r="AF51" s="585"/>
      <c r="AG51" s="585"/>
      <c r="AH51" s="585"/>
      <c r="AI51" s="585"/>
      <c r="AJ51" s="585"/>
      <c r="AK51" s="585"/>
      <c r="AL51" s="585"/>
      <c r="AP51" s="586"/>
    </row>
    <row r="52" spans="1:42" ht="13" customHeight="1">
      <c r="A52" s="564">
        <v>7</v>
      </c>
      <c r="B52" s="564" t="s">
        <v>60</v>
      </c>
      <c r="C52" s="564" t="s">
        <v>61</v>
      </c>
      <c r="D52" s="564" t="s">
        <v>62</v>
      </c>
      <c r="E52" s="564">
        <v>1200</v>
      </c>
      <c r="F52" s="564" t="s">
        <v>63</v>
      </c>
      <c r="G52" s="564" t="s">
        <v>52</v>
      </c>
      <c r="H52" s="564" t="s">
        <v>76</v>
      </c>
      <c r="I52" s="564">
        <v>0.04</v>
      </c>
      <c r="J52" s="564" t="s">
        <v>77</v>
      </c>
      <c r="K52" s="564">
        <v>1980</v>
      </c>
      <c r="L52" s="564" t="s">
        <v>975</v>
      </c>
      <c r="M52" s="565" t="s">
        <v>789</v>
      </c>
      <c r="N52" s="633" t="s">
        <v>38</v>
      </c>
      <c r="O52" s="633" t="s">
        <v>38</v>
      </c>
      <c r="P52" s="565" t="s">
        <v>698</v>
      </c>
      <c r="Q52" s="633" t="s">
        <v>38</v>
      </c>
      <c r="R52" s="633" t="s">
        <v>38</v>
      </c>
      <c r="S52" s="19"/>
      <c r="T52" s="591"/>
      <c r="U52" s="575"/>
      <c r="V52" s="575"/>
      <c r="W52" s="575"/>
      <c r="X52" s="579"/>
      <c r="Y52" s="579"/>
      <c r="Z52" s="579"/>
      <c r="AA52" s="579"/>
      <c r="AC52" s="585"/>
      <c r="AD52" s="585"/>
      <c r="AE52" s="585"/>
      <c r="AF52" s="585"/>
      <c r="AG52" s="585"/>
      <c r="AH52" s="585"/>
      <c r="AI52" s="585"/>
      <c r="AJ52" s="585"/>
      <c r="AK52" s="585"/>
      <c r="AL52" s="585"/>
      <c r="AP52" s="586"/>
    </row>
    <row r="53" spans="1:42" ht="13" customHeight="1">
      <c r="A53" s="564">
        <v>8</v>
      </c>
      <c r="B53" s="564" t="s">
        <v>60</v>
      </c>
      <c r="C53" s="564" t="s">
        <v>61</v>
      </c>
      <c r="D53" s="564" t="s">
        <v>62</v>
      </c>
      <c r="E53" s="564">
        <v>1200</v>
      </c>
      <c r="F53" s="564" t="s">
        <v>116</v>
      </c>
      <c r="G53" s="564" t="s">
        <v>52</v>
      </c>
      <c r="H53" s="564" t="s">
        <v>33</v>
      </c>
      <c r="I53" s="564">
        <f>19.41*1000000</f>
        <v>19410000</v>
      </c>
      <c r="J53" s="564" t="s">
        <v>34</v>
      </c>
      <c r="K53" s="564">
        <v>1980</v>
      </c>
      <c r="L53" s="564" t="s">
        <v>975</v>
      </c>
      <c r="M53" s="565"/>
      <c r="N53" s="633" t="s">
        <v>38</v>
      </c>
      <c r="O53" s="633" t="s">
        <v>38</v>
      </c>
      <c r="P53" s="633" t="s">
        <v>38</v>
      </c>
      <c r="Q53" s="633" t="s">
        <v>38</v>
      </c>
      <c r="R53" s="633" t="s">
        <v>38</v>
      </c>
      <c r="S53" s="19"/>
      <c r="T53" s="591"/>
      <c r="U53" s="575"/>
      <c r="V53" s="575"/>
      <c r="W53" s="575"/>
      <c r="X53" s="579"/>
      <c r="Y53" s="579"/>
      <c r="Z53" s="579"/>
      <c r="AA53" s="579"/>
      <c r="AC53" s="585"/>
      <c r="AD53" s="585"/>
      <c r="AE53" s="585"/>
      <c r="AF53" s="585"/>
      <c r="AG53" s="585"/>
      <c r="AH53" s="585"/>
      <c r="AI53" s="585"/>
      <c r="AJ53" s="585"/>
      <c r="AK53" s="585"/>
      <c r="AL53" s="585"/>
      <c r="AP53" s="586"/>
    </row>
    <row r="54" spans="1:42" ht="13" customHeight="1">
      <c r="A54" s="564">
        <v>9</v>
      </c>
      <c r="B54" s="564" t="s">
        <v>60</v>
      </c>
      <c r="C54" s="564" t="s">
        <v>61</v>
      </c>
      <c r="D54" s="564" t="s">
        <v>62</v>
      </c>
      <c r="E54" s="564">
        <v>1200</v>
      </c>
      <c r="F54" s="564" t="s">
        <v>31</v>
      </c>
      <c r="G54" s="564" t="s">
        <v>52</v>
      </c>
      <c r="H54" s="564" t="s">
        <v>33</v>
      </c>
      <c r="I54" s="564">
        <f>(2123.57-188.04)*1000000</f>
        <v>1935530000.0000002</v>
      </c>
      <c r="J54" s="564" t="s">
        <v>34</v>
      </c>
      <c r="K54" s="564">
        <v>1980</v>
      </c>
      <c r="L54" s="564" t="s">
        <v>975</v>
      </c>
      <c r="M54" s="565" t="s">
        <v>788</v>
      </c>
      <c r="N54" s="632" t="s">
        <v>65</v>
      </c>
      <c r="O54" s="565" t="s">
        <v>66</v>
      </c>
      <c r="P54" s="633" t="s">
        <v>38</v>
      </c>
      <c r="Q54" s="564">
        <f>188.04*1000000</f>
        <v>188040000</v>
      </c>
      <c r="R54" s="633" t="s">
        <v>38</v>
      </c>
      <c r="S54" s="19"/>
      <c r="T54" s="591"/>
      <c r="U54" s="575"/>
      <c r="V54" s="575"/>
      <c r="W54" s="575"/>
      <c r="X54" s="579"/>
      <c r="Y54" s="579"/>
      <c r="Z54" s="579"/>
      <c r="AA54" s="579"/>
      <c r="AC54" s="585"/>
      <c r="AD54" s="585"/>
      <c r="AE54" s="585"/>
      <c r="AF54" s="585"/>
      <c r="AG54" s="585"/>
      <c r="AH54" s="585"/>
      <c r="AI54" s="585"/>
      <c r="AJ54" s="585"/>
      <c r="AK54" s="585"/>
      <c r="AL54" s="585"/>
      <c r="AP54" s="586"/>
    </row>
    <row r="55" spans="1:42" ht="13" customHeight="1">
      <c r="A55" s="564">
        <v>5</v>
      </c>
      <c r="B55" s="564" t="s">
        <v>60</v>
      </c>
      <c r="C55" s="564" t="s">
        <v>61</v>
      </c>
      <c r="D55" s="564" t="s">
        <v>62</v>
      </c>
      <c r="E55" s="564">
        <v>1200</v>
      </c>
      <c r="F55" s="564" t="s">
        <v>75</v>
      </c>
      <c r="G55" s="564" t="s">
        <v>52</v>
      </c>
      <c r="H55" s="564" t="s">
        <v>76</v>
      </c>
      <c r="I55" s="564">
        <f>35.1</f>
        <v>35.1</v>
      </c>
      <c r="J55" s="564" t="s">
        <v>77</v>
      </c>
      <c r="K55" s="564">
        <v>1980</v>
      </c>
      <c r="L55" s="564" t="s">
        <v>975</v>
      </c>
      <c r="M55" s="565" t="s">
        <v>791</v>
      </c>
      <c r="N55" s="632" t="s">
        <v>65</v>
      </c>
      <c r="O55" s="565" t="s">
        <v>66</v>
      </c>
      <c r="P55" s="633" t="s">
        <v>38</v>
      </c>
      <c r="Q55" s="633" t="s">
        <v>38</v>
      </c>
      <c r="R55" s="633" t="s">
        <v>38</v>
      </c>
      <c r="S55" s="19"/>
      <c r="T55" s="591"/>
      <c r="U55" s="575"/>
      <c r="V55" s="575"/>
      <c r="W55" s="575"/>
      <c r="X55" s="579"/>
      <c r="Y55" s="579"/>
      <c r="Z55" s="579"/>
      <c r="AA55" s="579"/>
      <c r="AC55" s="585"/>
      <c r="AD55" s="585"/>
      <c r="AE55" s="585"/>
      <c r="AF55" s="585"/>
      <c r="AG55" s="585"/>
      <c r="AH55" s="585"/>
      <c r="AI55" s="585"/>
      <c r="AJ55" s="585"/>
      <c r="AK55" s="585"/>
      <c r="AL55" s="585"/>
      <c r="AP55" s="586"/>
    </row>
    <row r="56" spans="1:42" ht="13" customHeight="1">
      <c r="A56" s="564">
        <v>32</v>
      </c>
      <c r="B56" s="564" t="s">
        <v>100</v>
      </c>
      <c r="C56" s="564" t="s">
        <v>61</v>
      </c>
      <c r="D56" s="564" t="s">
        <v>62</v>
      </c>
      <c r="E56" s="564">
        <v>121.1</v>
      </c>
      <c r="F56" s="564" t="s">
        <v>31</v>
      </c>
      <c r="G56" s="564" t="s">
        <v>32</v>
      </c>
      <c r="H56" s="564" t="s">
        <v>33</v>
      </c>
      <c r="I56" s="564">
        <f>(3457.2-443.2-434.6)*1000000</f>
        <v>2579400000</v>
      </c>
      <c r="J56" s="564" t="s">
        <v>34</v>
      </c>
      <c r="K56" s="564">
        <v>2009</v>
      </c>
      <c r="L56" s="564" t="s">
        <v>101</v>
      </c>
      <c r="M56" s="567" t="s">
        <v>102</v>
      </c>
      <c r="N56" s="632" t="s">
        <v>103</v>
      </c>
      <c r="O56" s="564" t="s">
        <v>104</v>
      </c>
      <c r="P56" s="633" t="s">
        <v>38</v>
      </c>
      <c r="Q56" s="564">
        <f>434.6*1000000</f>
        <v>434600000</v>
      </c>
      <c r="R56" s="633" t="s">
        <v>38</v>
      </c>
      <c r="S56" s="19"/>
      <c r="T56" s="591"/>
      <c r="U56" s="575"/>
      <c r="V56" s="575"/>
      <c r="W56" s="575"/>
      <c r="X56" s="579"/>
      <c r="Y56" s="579"/>
      <c r="Z56" s="579"/>
      <c r="AA56" s="579"/>
      <c r="AC56" s="585"/>
      <c r="AD56" s="585"/>
      <c r="AE56" s="585"/>
      <c r="AF56" s="585"/>
      <c r="AG56" s="585"/>
      <c r="AH56" s="585"/>
      <c r="AI56" s="585"/>
      <c r="AJ56" s="585"/>
      <c r="AK56" s="585"/>
      <c r="AL56" s="585"/>
      <c r="AP56" s="586"/>
    </row>
    <row r="57" spans="1:42" ht="13" customHeight="1">
      <c r="A57" s="564">
        <v>33</v>
      </c>
      <c r="B57" s="564" t="s">
        <v>105</v>
      </c>
      <c r="C57" s="564" t="s">
        <v>61</v>
      </c>
      <c r="D57" s="564" t="s">
        <v>62</v>
      </c>
      <c r="E57" s="564">
        <v>121.1</v>
      </c>
      <c r="F57" s="564" t="s">
        <v>31</v>
      </c>
      <c r="G57" s="564" t="s">
        <v>32</v>
      </c>
      <c r="H57" s="564" t="s">
        <v>33</v>
      </c>
      <c r="I57" s="564">
        <f>(1895.8-243-238.3)*1000000</f>
        <v>1414500000</v>
      </c>
      <c r="J57" s="564" t="s">
        <v>34</v>
      </c>
      <c r="K57" s="564">
        <v>2009</v>
      </c>
      <c r="L57" s="564" t="s">
        <v>101</v>
      </c>
      <c r="M57" s="567" t="s">
        <v>106</v>
      </c>
      <c r="N57" s="632" t="s">
        <v>103</v>
      </c>
      <c r="O57" s="564" t="s">
        <v>104</v>
      </c>
      <c r="P57" s="633" t="s">
        <v>38</v>
      </c>
      <c r="Q57" s="564">
        <f>238.3*1000000</f>
        <v>238300000</v>
      </c>
      <c r="R57" s="633" t="s">
        <v>38</v>
      </c>
      <c r="S57" s="19"/>
      <c r="T57" s="591"/>
      <c r="U57" s="575"/>
      <c r="V57" s="575"/>
      <c r="W57" s="575"/>
      <c r="X57" s="579"/>
      <c r="Y57" s="579"/>
      <c r="Z57" s="579"/>
      <c r="AA57" s="579"/>
      <c r="AC57" s="585"/>
      <c r="AD57" s="585"/>
      <c r="AE57" s="585"/>
      <c r="AF57" s="585"/>
      <c r="AG57" s="585"/>
      <c r="AH57" s="585"/>
      <c r="AI57" s="585"/>
      <c r="AJ57" s="585"/>
      <c r="AK57" s="585"/>
      <c r="AL57" s="585"/>
      <c r="AP57" s="586"/>
    </row>
    <row r="58" spans="1:42" ht="135" customHeight="1">
      <c r="A58" s="564">
        <v>34</v>
      </c>
      <c r="B58" s="564" t="s">
        <v>85</v>
      </c>
      <c r="C58" s="564" t="s">
        <v>61</v>
      </c>
      <c r="D58" s="564" t="s">
        <v>107</v>
      </c>
      <c r="E58" s="564">
        <v>735.77</v>
      </c>
      <c r="F58" s="564" t="s">
        <v>108</v>
      </c>
      <c r="G58" s="564" t="s">
        <v>32</v>
      </c>
      <c r="H58" s="564" t="s">
        <v>76</v>
      </c>
      <c r="I58" s="564">
        <v>0.06</v>
      </c>
      <c r="J58" s="564" t="s">
        <v>109</v>
      </c>
      <c r="K58" s="564">
        <v>2009</v>
      </c>
      <c r="L58" s="564" t="s">
        <v>86</v>
      </c>
      <c r="M58" s="564" t="s">
        <v>110</v>
      </c>
      <c r="N58" s="632" t="s">
        <v>707</v>
      </c>
      <c r="O58" s="564" t="s">
        <v>84</v>
      </c>
      <c r="P58" s="564" t="s">
        <v>161</v>
      </c>
      <c r="Q58" s="633" t="s">
        <v>38</v>
      </c>
      <c r="R58" s="633" t="s">
        <v>38</v>
      </c>
      <c r="S58" s="19"/>
      <c r="T58" s="591"/>
      <c r="U58" s="575"/>
      <c r="V58" s="575"/>
      <c r="W58" s="575"/>
      <c r="X58" s="579"/>
      <c r="Y58" s="579"/>
      <c r="Z58" s="579"/>
      <c r="AA58" s="579"/>
      <c r="AC58" s="594"/>
      <c r="AD58" s="585"/>
      <c r="AE58" s="585"/>
      <c r="AF58" s="585"/>
      <c r="AG58" s="585"/>
      <c r="AH58" s="585"/>
      <c r="AI58" s="585"/>
      <c r="AJ58" s="585"/>
      <c r="AK58" s="585"/>
      <c r="AL58" s="585"/>
    </row>
    <row r="59" spans="1:42" ht="13" customHeight="1">
      <c r="A59" s="564">
        <v>35</v>
      </c>
      <c r="B59" s="564" t="s">
        <v>85</v>
      </c>
      <c r="C59" s="564" t="s">
        <v>61</v>
      </c>
      <c r="D59" s="564" t="s">
        <v>107</v>
      </c>
      <c r="E59" s="564">
        <v>735.77</v>
      </c>
      <c r="F59" s="564" t="s">
        <v>667</v>
      </c>
      <c r="G59" s="564" t="s">
        <v>32</v>
      </c>
      <c r="H59" s="564" t="s">
        <v>33</v>
      </c>
      <c r="I59" s="564">
        <f>(5023-0.1*3464-0.05*3464)*1000000</f>
        <v>4503400000.000001</v>
      </c>
      <c r="J59" s="564" t="s">
        <v>34</v>
      </c>
      <c r="K59" s="564">
        <v>2009</v>
      </c>
      <c r="L59" s="564" t="s">
        <v>86</v>
      </c>
      <c r="M59" s="564" t="s">
        <v>111</v>
      </c>
      <c r="N59" s="632" t="s">
        <v>707</v>
      </c>
      <c r="O59" s="564" t="s">
        <v>84</v>
      </c>
      <c r="P59" s="564" t="s">
        <v>161</v>
      </c>
      <c r="Q59" s="633" t="s">
        <v>38</v>
      </c>
      <c r="R59" s="633" t="s">
        <v>38</v>
      </c>
      <c r="S59" s="19"/>
      <c r="T59" s="595"/>
      <c r="U59" s="575"/>
      <c r="V59" s="575"/>
      <c r="W59" s="575"/>
      <c r="X59" s="579"/>
      <c r="Y59" s="579"/>
      <c r="Z59" s="579"/>
      <c r="AA59" s="579"/>
      <c r="AC59" s="585"/>
      <c r="AD59" s="585"/>
      <c r="AE59" s="585"/>
      <c r="AF59" s="585"/>
      <c r="AG59" s="585"/>
      <c r="AH59" s="585"/>
      <c r="AI59" s="585"/>
      <c r="AJ59" s="585"/>
      <c r="AK59" s="585"/>
      <c r="AL59" s="585"/>
    </row>
    <row r="60" spans="1:42" ht="13" customHeight="1">
      <c r="A60" s="564">
        <v>45</v>
      </c>
      <c r="B60" s="564" t="s">
        <v>124</v>
      </c>
      <c r="C60" s="564" t="s">
        <v>30</v>
      </c>
      <c r="D60" s="564" t="s">
        <v>796</v>
      </c>
      <c r="E60" s="564">
        <v>1010</v>
      </c>
      <c r="F60" s="564" t="s">
        <v>667</v>
      </c>
      <c r="G60" s="564" t="s">
        <v>52</v>
      </c>
      <c r="H60" s="564" t="s">
        <v>33</v>
      </c>
      <c r="I60" s="564">
        <f>2970*1000000</f>
        <v>2970000000</v>
      </c>
      <c r="J60" s="564" t="s">
        <v>34</v>
      </c>
      <c r="K60" s="564">
        <v>1988</v>
      </c>
      <c r="L60" s="564" t="s">
        <v>120</v>
      </c>
      <c r="M60" s="564" t="s">
        <v>121</v>
      </c>
      <c r="N60" s="632">
        <v>0.76</v>
      </c>
      <c r="O60" s="633" t="s">
        <v>122</v>
      </c>
      <c r="P60" s="633" t="s">
        <v>38</v>
      </c>
      <c r="Q60" s="633" t="s">
        <v>38</v>
      </c>
      <c r="R60" s="633" t="s">
        <v>38</v>
      </c>
      <c r="S60" s="19"/>
      <c r="T60" s="595"/>
      <c r="U60" s="575"/>
      <c r="V60" s="575"/>
      <c r="W60" s="575"/>
      <c r="X60" s="579"/>
      <c r="Y60" s="579"/>
      <c r="Z60" s="579"/>
      <c r="AA60" s="579"/>
      <c r="AC60" s="585"/>
      <c r="AD60" s="585"/>
      <c r="AE60" s="585"/>
      <c r="AF60" s="585"/>
      <c r="AG60" s="585"/>
      <c r="AH60" s="585"/>
      <c r="AI60" s="585"/>
      <c r="AJ60" s="585"/>
      <c r="AK60" s="585"/>
      <c r="AL60" s="585"/>
    </row>
    <row r="61" spans="1:42" ht="13" customHeight="1">
      <c r="A61" s="564">
        <v>46</v>
      </c>
      <c r="B61" s="564" t="s">
        <v>125</v>
      </c>
      <c r="C61" s="564" t="s">
        <v>30</v>
      </c>
      <c r="D61" s="564" t="s">
        <v>796</v>
      </c>
      <c r="E61" s="564">
        <v>815</v>
      </c>
      <c r="F61" s="564" t="s">
        <v>667</v>
      </c>
      <c r="G61" s="564" t="s">
        <v>52</v>
      </c>
      <c r="H61" s="564" t="s">
        <v>33</v>
      </c>
      <c r="I61" s="564">
        <f>1195*1000000</f>
        <v>1195000000</v>
      </c>
      <c r="J61" s="564" t="s">
        <v>34</v>
      </c>
      <c r="K61" s="564">
        <v>1988</v>
      </c>
      <c r="L61" s="564" t="s">
        <v>120</v>
      </c>
      <c r="M61" s="564" t="s">
        <v>121</v>
      </c>
      <c r="N61" s="632">
        <v>0.76</v>
      </c>
      <c r="O61" s="633" t="s">
        <v>122</v>
      </c>
      <c r="P61" s="633" t="s">
        <v>38</v>
      </c>
      <c r="Q61" s="633" t="s">
        <v>38</v>
      </c>
      <c r="R61" s="633" t="s">
        <v>38</v>
      </c>
      <c r="S61" s="19"/>
      <c r="T61" s="574"/>
      <c r="U61" s="575"/>
      <c r="V61" s="575"/>
      <c r="W61" s="576"/>
      <c r="X61" s="577"/>
      <c r="Y61" s="577"/>
      <c r="Z61" s="577"/>
      <c r="AA61" s="577"/>
      <c r="AC61" s="585"/>
      <c r="AD61" s="585"/>
      <c r="AE61" s="585"/>
      <c r="AF61" s="585"/>
      <c r="AG61" s="585"/>
      <c r="AH61" s="585"/>
      <c r="AI61" s="585"/>
      <c r="AJ61" s="585"/>
      <c r="AK61" s="585"/>
      <c r="AL61" s="585"/>
    </row>
    <row r="62" spans="1:42" ht="37.15" customHeight="1">
      <c r="A62" s="564">
        <v>55</v>
      </c>
      <c r="B62" s="564" t="s">
        <v>125</v>
      </c>
      <c r="C62" s="564" t="s">
        <v>30</v>
      </c>
      <c r="D62" s="564" t="s">
        <v>796</v>
      </c>
      <c r="E62" s="564">
        <v>815</v>
      </c>
      <c r="F62" s="564" t="s">
        <v>116</v>
      </c>
      <c r="G62" s="564" t="s">
        <v>52</v>
      </c>
      <c r="H62" s="564" t="s">
        <v>76</v>
      </c>
      <c r="I62" s="564">
        <v>7</v>
      </c>
      <c r="J62" s="564" t="s">
        <v>77</v>
      </c>
      <c r="K62" s="564">
        <v>1988</v>
      </c>
      <c r="L62" s="564" t="s">
        <v>120</v>
      </c>
      <c r="M62" s="564" t="s">
        <v>121</v>
      </c>
      <c r="N62" s="633" t="s">
        <v>122</v>
      </c>
      <c r="O62" s="633" t="s">
        <v>122</v>
      </c>
      <c r="P62" s="633" t="s">
        <v>38</v>
      </c>
      <c r="Q62" s="633" t="s">
        <v>38</v>
      </c>
      <c r="R62" s="633" t="s">
        <v>38</v>
      </c>
      <c r="S62" s="19"/>
      <c r="T62" s="574"/>
      <c r="U62" s="575"/>
      <c r="V62" s="575"/>
      <c r="W62" s="576"/>
      <c r="X62" s="577"/>
      <c r="Y62" s="577"/>
      <c r="Z62" s="577"/>
      <c r="AA62" s="577"/>
      <c r="AC62" s="585"/>
      <c r="AD62" s="585"/>
      <c r="AE62" s="585"/>
      <c r="AF62" s="585"/>
      <c r="AG62" s="585"/>
      <c r="AH62" s="585"/>
      <c r="AI62" s="585"/>
      <c r="AJ62" s="585"/>
      <c r="AK62" s="585"/>
      <c r="AL62" s="585"/>
    </row>
    <row r="63" spans="1:42" ht="36" customHeight="1">
      <c r="A63" s="564">
        <v>58</v>
      </c>
      <c r="B63" s="564" t="s">
        <v>124</v>
      </c>
      <c r="C63" s="564" t="s">
        <v>30</v>
      </c>
      <c r="D63" s="564" t="s">
        <v>796</v>
      </c>
      <c r="E63" s="564">
        <v>1010</v>
      </c>
      <c r="F63" s="564" t="s">
        <v>116</v>
      </c>
      <c r="G63" s="564" t="s">
        <v>52</v>
      </c>
      <c r="H63" s="564" t="s">
        <v>76</v>
      </c>
      <c r="I63" s="564">
        <v>7</v>
      </c>
      <c r="J63" s="564" t="s">
        <v>77</v>
      </c>
      <c r="K63" s="564">
        <v>1988</v>
      </c>
      <c r="L63" s="564" t="s">
        <v>120</v>
      </c>
      <c r="M63" s="564" t="s">
        <v>121</v>
      </c>
      <c r="N63" s="633" t="s">
        <v>122</v>
      </c>
      <c r="O63" s="633" t="s">
        <v>122</v>
      </c>
      <c r="P63" s="633" t="s">
        <v>38</v>
      </c>
      <c r="Q63" s="633" t="s">
        <v>38</v>
      </c>
      <c r="R63" s="633" t="s">
        <v>38</v>
      </c>
      <c r="S63" s="19"/>
      <c r="T63" s="574"/>
      <c r="U63" s="575"/>
      <c r="V63" s="575"/>
      <c r="W63" s="576"/>
      <c r="X63" s="577"/>
      <c r="Y63" s="577"/>
      <c r="Z63" s="577"/>
      <c r="AA63" s="577"/>
      <c r="AC63" s="585"/>
      <c r="AD63" s="585"/>
      <c r="AE63" s="585"/>
      <c r="AF63" s="585"/>
      <c r="AG63" s="585"/>
      <c r="AH63" s="585"/>
      <c r="AI63" s="585"/>
      <c r="AJ63" s="585"/>
      <c r="AK63" s="585"/>
      <c r="AL63" s="585"/>
    </row>
    <row r="64" spans="1:42" ht="13" customHeight="1">
      <c r="A64" s="564">
        <v>65</v>
      </c>
      <c r="B64" s="564" t="s">
        <v>124</v>
      </c>
      <c r="C64" s="564" t="s">
        <v>30</v>
      </c>
      <c r="D64" s="564" t="s">
        <v>796</v>
      </c>
      <c r="E64" s="564">
        <v>1010</v>
      </c>
      <c r="F64" s="564" t="s">
        <v>108</v>
      </c>
      <c r="G64" s="564" t="s">
        <v>52</v>
      </c>
      <c r="H64" s="564" t="s">
        <v>76</v>
      </c>
      <c r="I64" s="564">
        <v>80</v>
      </c>
      <c r="J64" s="564" t="s">
        <v>77</v>
      </c>
      <c r="K64" s="564">
        <v>1988</v>
      </c>
      <c r="L64" s="564" t="s">
        <v>120</v>
      </c>
      <c r="M64" s="564" t="s">
        <v>121</v>
      </c>
      <c r="N64" s="632">
        <v>0.76</v>
      </c>
      <c r="O64" s="633" t="s">
        <v>122</v>
      </c>
      <c r="P64" s="633" t="s">
        <v>38</v>
      </c>
      <c r="Q64" s="633" t="s">
        <v>38</v>
      </c>
      <c r="R64" s="633" t="s">
        <v>38</v>
      </c>
      <c r="S64" s="19"/>
      <c r="T64" s="574"/>
      <c r="U64" s="575"/>
      <c r="V64" s="575"/>
      <c r="W64" s="576"/>
      <c r="X64" s="577"/>
      <c r="Y64" s="577"/>
      <c r="Z64" s="577"/>
      <c r="AA64" s="577"/>
      <c r="AC64" s="585"/>
      <c r="AD64" s="585"/>
      <c r="AE64" s="585"/>
      <c r="AF64" s="585"/>
      <c r="AG64" s="585"/>
      <c r="AH64" s="585"/>
      <c r="AI64" s="585"/>
      <c r="AJ64" s="585"/>
      <c r="AK64" s="585"/>
      <c r="AL64" s="585"/>
    </row>
    <row r="65" spans="1:38" ht="13" customHeight="1">
      <c r="A65" s="564">
        <v>66</v>
      </c>
      <c r="B65" s="564" t="s">
        <v>125</v>
      </c>
      <c r="C65" s="564" t="s">
        <v>30</v>
      </c>
      <c r="D65" s="564" t="s">
        <v>796</v>
      </c>
      <c r="E65" s="564">
        <v>815</v>
      </c>
      <c r="F65" s="564" t="s">
        <v>108</v>
      </c>
      <c r="G65" s="564" t="s">
        <v>52</v>
      </c>
      <c r="H65" s="564" t="s">
        <v>76</v>
      </c>
      <c r="I65" s="564">
        <v>44</v>
      </c>
      <c r="J65" s="564" t="s">
        <v>77</v>
      </c>
      <c r="K65" s="564">
        <v>1988</v>
      </c>
      <c r="L65" s="564" t="s">
        <v>120</v>
      </c>
      <c r="M65" s="564" t="s">
        <v>121</v>
      </c>
      <c r="N65" s="632">
        <v>0.76</v>
      </c>
      <c r="O65" s="633" t="s">
        <v>122</v>
      </c>
      <c r="P65" s="633" t="s">
        <v>38</v>
      </c>
      <c r="Q65" s="633" t="s">
        <v>38</v>
      </c>
      <c r="R65" s="633" t="s">
        <v>38</v>
      </c>
      <c r="S65" s="19"/>
      <c r="T65" s="574"/>
      <c r="U65" s="575"/>
      <c r="V65" s="575"/>
      <c r="W65" s="576"/>
      <c r="X65" s="577"/>
      <c r="Y65" s="577"/>
      <c r="Z65" s="577"/>
      <c r="AA65" s="577"/>
      <c r="AC65" s="585"/>
      <c r="AD65" s="585"/>
      <c r="AE65" s="585"/>
      <c r="AF65" s="585"/>
      <c r="AG65" s="585"/>
      <c r="AH65" s="585"/>
      <c r="AI65" s="585"/>
      <c r="AJ65" s="585"/>
      <c r="AK65" s="585"/>
      <c r="AL65" s="585"/>
    </row>
    <row r="66" spans="1:38" ht="13" customHeight="1">
      <c r="A66" s="564">
        <v>49</v>
      </c>
      <c r="B66" s="564" t="s">
        <v>114</v>
      </c>
      <c r="C66" s="564" t="s">
        <v>61</v>
      </c>
      <c r="D66" s="564" t="s">
        <v>62</v>
      </c>
      <c r="E66" s="564">
        <v>1000</v>
      </c>
      <c r="F66" s="564" t="s">
        <v>493</v>
      </c>
      <c r="G66" s="564" t="s">
        <v>52</v>
      </c>
      <c r="H66" s="564" t="s">
        <v>33</v>
      </c>
      <c r="I66" s="564">
        <f>0.5*1000000</f>
        <v>500000</v>
      </c>
      <c r="J66" s="564" t="s">
        <v>34</v>
      </c>
      <c r="K66" s="564">
        <v>1988</v>
      </c>
      <c r="L66" s="564" t="s">
        <v>120</v>
      </c>
      <c r="M66" s="564"/>
      <c r="N66" s="633" t="s">
        <v>122</v>
      </c>
      <c r="O66" s="633" t="s">
        <v>122</v>
      </c>
      <c r="P66" s="633" t="s">
        <v>38</v>
      </c>
      <c r="Q66" s="633" t="s">
        <v>38</v>
      </c>
      <c r="R66" s="633" t="s">
        <v>38</v>
      </c>
      <c r="S66" s="19"/>
      <c r="T66" s="574"/>
      <c r="U66" s="575"/>
      <c r="V66" s="575"/>
      <c r="W66" s="576"/>
      <c r="X66" s="577"/>
      <c r="Y66" s="577"/>
      <c r="Z66" s="577"/>
      <c r="AA66" s="577"/>
      <c r="AC66" s="585"/>
      <c r="AD66" s="585"/>
      <c r="AE66" s="585"/>
      <c r="AF66" s="585"/>
      <c r="AG66" s="585"/>
      <c r="AH66" s="585"/>
      <c r="AI66" s="585"/>
      <c r="AJ66" s="585"/>
      <c r="AK66" s="585"/>
      <c r="AL66" s="585"/>
    </row>
    <row r="67" spans="1:38" ht="13" customHeight="1">
      <c r="A67" s="564">
        <v>50</v>
      </c>
      <c r="B67" s="564" t="s">
        <v>124</v>
      </c>
      <c r="C67" s="564" t="s">
        <v>30</v>
      </c>
      <c r="D67" s="564" t="s">
        <v>796</v>
      </c>
      <c r="E67" s="564">
        <v>1010</v>
      </c>
      <c r="F67" s="564" t="s">
        <v>493</v>
      </c>
      <c r="G67" s="564" t="s">
        <v>52</v>
      </c>
      <c r="H67" s="564" t="s">
        <v>76</v>
      </c>
      <c r="I67" s="564">
        <v>0.5</v>
      </c>
      <c r="J67" s="564" t="s">
        <v>77</v>
      </c>
      <c r="K67" s="564">
        <v>1988</v>
      </c>
      <c r="L67" s="564" t="s">
        <v>120</v>
      </c>
      <c r="M67" s="564"/>
      <c r="N67" s="633" t="s">
        <v>122</v>
      </c>
      <c r="O67" s="633" t="s">
        <v>122</v>
      </c>
      <c r="P67" s="633" t="s">
        <v>38</v>
      </c>
      <c r="Q67" s="633" t="s">
        <v>38</v>
      </c>
      <c r="R67" s="633" t="s">
        <v>38</v>
      </c>
      <c r="S67" s="19"/>
      <c r="T67" s="574"/>
      <c r="U67" s="575"/>
      <c r="V67" s="575"/>
      <c r="W67" s="576"/>
      <c r="X67" s="577"/>
      <c r="Y67" s="577"/>
      <c r="Z67" s="577"/>
      <c r="AA67" s="577"/>
      <c r="AC67" s="585"/>
      <c r="AD67" s="585"/>
      <c r="AE67" s="585"/>
      <c r="AF67" s="585"/>
      <c r="AG67" s="585"/>
      <c r="AH67" s="585"/>
      <c r="AI67" s="585"/>
      <c r="AJ67" s="585"/>
      <c r="AK67" s="585"/>
      <c r="AL67" s="585"/>
    </row>
    <row r="68" spans="1:38" ht="13" customHeight="1">
      <c r="A68" s="564">
        <v>51</v>
      </c>
      <c r="B68" s="564" t="s">
        <v>125</v>
      </c>
      <c r="C68" s="564" t="s">
        <v>30</v>
      </c>
      <c r="D68" s="564" t="s">
        <v>796</v>
      </c>
      <c r="E68" s="564">
        <v>815</v>
      </c>
      <c r="F68" s="564" t="s">
        <v>493</v>
      </c>
      <c r="G68" s="564" t="s">
        <v>52</v>
      </c>
      <c r="H68" s="564" t="s">
        <v>76</v>
      </c>
      <c r="I68" s="564">
        <v>0.5</v>
      </c>
      <c r="J68" s="564" t="s">
        <v>77</v>
      </c>
      <c r="K68" s="564">
        <v>1988</v>
      </c>
      <c r="L68" s="564" t="s">
        <v>120</v>
      </c>
      <c r="M68" s="564"/>
      <c r="N68" s="633" t="s">
        <v>122</v>
      </c>
      <c r="O68" s="633" t="s">
        <v>122</v>
      </c>
      <c r="P68" s="633" t="s">
        <v>38</v>
      </c>
      <c r="Q68" s="633" t="s">
        <v>38</v>
      </c>
      <c r="R68" s="633" t="s">
        <v>38</v>
      </c>
      <c r="S68" s="19"/>
      <c r="T68" s="574"/>
      <c r="U68" s="575"/>
      <c r="V68" s="575"/>
      <c r="W68" s="576"/>
      <c r="X68" s="577"/>
      <c r="Y68" s="577"/>
      <c r="Z68" s="577"/>
      <c r="AA68" s="577"/>
      <c r="AC68" s="585"/>
      <c r="AD68" s="585"/>
      <c r="AE68" s="585"/>
      <c r="AF68" s="585"/>
      <c r="AG68" s="585"/>
      <c r="AH68" s="585"/>
      <c r="AI68" s="585"/>
      <c r="AJ68" s="585"/>
      <c r="AK68" s="585"/>
      <c r="AL68" s="585"/>
    </row>
    <row r="69" spans="1:38" ht="27" customHeight="1">
      <c r="A69" s="564">
        <v>52</v>
      </c>
      <c r="B69" s="564" t="s">
        <v>126</v>
      </c>
      <c r="C69" s="564" t="s">
        <v>61</v>
      </c>
      <c r="D69" s="564" t="s">
        <v>62</v>
      </c>
      <c r="E69" s="564">
        <v>1000</v>
      </c>
      <c r="F69" s="564" t="s">
        <v>493</v>
      </c>
      <c r="G69" s="564" t="s">
        <v>52</v>
      </c>
      <c r="H69" s="564" t="s">
        <v>33</v>
      </c>
      <c r="I69" s="564">
        <f>0.5*1000000</f>
        <v>500000</v>
      </c>
      <c r="J69" s="564" t="s">
        <v>34</v>
      </c>
      <c r="K69" s="564">
        <v>1988</v>
      </c>
      <c r="L69" s="564" t="s">
        <v>120</v>
      </c>
      <c r="M69" s="564"/>
      <c r="N69" s="633" t="s">
        <v>122</v>
      </c>
      <c r="O69" s="633" t="s">
        <v>122</v>
      </c>
      <c r="P69" s="633" t="s">
        <v>38</v>
      </c>
      <c r="Q69" s="633" t="s">
        <v>38</v>
      </c>
      <c r="R69" s="633" t="s">
        <v>38</v>
      </c>
      <c r="S69" s="19"/>
      <c r="T69" s="574"/>
      <c r="U69" s="575"/>
      <c r="V69" s="575"/>
      <c r="W69" s="576"/>
      <c r="X69" s="577"/>
      <c r="Y69" s="577"/>
      <c r="Z69" s="577"/>
      <c r="AA69" s="577"/>
      <c r="AC69" s="585"/>
      <c r="AD69" s="585"/>
      <c r="AE69" s="585"/>
      <c r="AF69" s="585"/>
      <c r="AG69" s="585"/>
      <c r="AH69" s="585"/>
      <c r="AI69" s="585"/>
      <c r="AJ69" s="585"/>
      <c r="AK69" s="585"/>
      <c r="AL69" s="585"/>
    </row>
    <row r="70" spans="1:38" ht="25" customHeight="1">
      <c r="A70" s="564">
        <v>53</v>
      </c>
      <c r="B70" s="564" t="s">
        <v>112</v>
      </c>
      <c r="C70" s="564" t="s">
        <v>61</v>
      </c>
      <c r="D70" s="564" t="s">
        <v>113</v>
      </c>
      <c r="E70" s="564">
        <v>970</v>
      </c>
      <c r="F70" s="564" t="s">
        <v>493</v>
      </c>
      <c r="G70" s="564" t="s">
        <v>52</v>
      </c>
      <c r="H70" s="564" t="s">
        <v>33</v>
      </c>
      <c r="I70" s="564">
        <f>0.5*1000000</f>
        <v>500000</v>
      </c>
      <c r="J70" s="564" t="s">
        <v>34</v>
      </c>
      <c r="K70" s="564">
        <v>1988</v>
      </c>
      <c r="L70" s="564" t="s">
        <v>120</v>
      </c>
      <c r="M70" s="564"/>
      <c r="N70" s="633" t="s">
        <v>122</v>
      </c>
      <c r="O70" s="633" t="s">
        <v>122</v>
      </c>
      <c r="P70" s="633" t="s">
        <v>38</v>
      </c>
      <c r="Q70" s="633" t="s">
        <v>38</v>
      </c>
      <c r="R70" s="633" t="s">
        <v>38</v>
      </c>
      <c r="S70" s="19"/>
      <c r="T70" s="574"/>
      <c r="U70" s="575"/>
      <c r="V70" s="575"/>
      <c r="W70" s="576"/>
      <c r="X70" s="577"/>
      <c r="Y70" s="577"/>
      <c r="Z70" s="577"/>
      <c r="AA70" s="577"/>
      <c r="AB70" s="596"/>
      <c r="AC70" s="585"/>
      <c r="AD70" s="585"/>
      <c r="AE70" s="585"/>
      <c r="AF70" s="585"/>
      <c r="AG70" s="585"/>
      <c r="AH70" s="585"/>
      <c r="AI70" s="585"/>
      <c r="AJ70" s="585"/>
      <c r="AK70" s="585"/>
      <c r="AL70" s="585"/>
    </row>
    <row r="71" spans="1:38" ht="24.4" customHeight="1">
      <c r="A71" s="564">
        <v>57</v>
      </c>
      <c r="B71" s="564" t="s">
        <v>119</v>
      </c>
      <c r="C71" s="564" t="s">
        <v>61</v>
      </c>
      <c r="D71" s="564" t="s">
        <v>113</v>
      </c>
      <c r="E71" s="564">
        <v>1200</v>
      </c>
      <c r="F71" s="564" t="s">
        <v>115</v>
      </c>
      <c r="G71" s="564" t="s">
        <v>52</v>
      </c>
      <c r="H71" s="564" t="s">
        <v>76</v>
      </c>
      <c r="I71" s="564">
        <v>10</v>
      </c>
      <c r="J71" s="564" t="s">
        <v>77</v>
      </c>
      <c r="K71" s="564">
        <v>1988</v>
      </c>
      <c r="L71" s="564" t="s">
        <v>120</v>
      </c>
      <c r="M71" s="564" t="s">
        <v>1121</v>
      </c>
      <c r="N71" s="633" t="s">
        <v>122</v>
      </c>
      <c r="O71" s="633" t="s">
        <v>122</v>
      </c>
      <c r="P71" s="633" t="s">
        <v>38</v>
      </c>
      <c r="Q71" s="633" t="s">
        <v>38</v>
      </c>
      <c r="R71" s="564">
        <v>0</v>
      </c>
      <c r="S71" s="19"/>
      <c r="T71" s="574"/>
      <c r="U71" s="575"/>
      <c r="V71" s="575"/>
      <c r="W71" s="576"/>
      <c r="X71" s="577"/>
      <c r="Y71" s="577"/>
      <c r="Z71" s="577"/>
      <c r="AA71" s="577"/>
      <c r="AB71" s="597"/>
      <c r="AC71" s="585"/>
      <c r="AD71" s="585"/>
      <c r="AE71" s="585"/>
      <c r="AF71" s="585"/>
      <c r="AG71" s="585"/>
      <c r="AH71" s="585"/>
      <c r="AI71" s="585"/>
      <c r="AJ71" s="585"/>
      <c r="AK71" s="585"/>
      <c r="AL71" s="585"/>
    </row>
    <row r="72" spans="1:38" ht="36.4" customHeight="1">
      <c r="A72" s="564">
        <v>59</v>
      </c>
      <c r="B72" s="564" t="s">
        <v>126</v>
      </c>
      <c r="C72" s="564" t="s">
        <v>61</v>
      </c>
      <c r="D72" s="564" t="s">
        <v>62</v>
      </c>
      <c r="E72" s="564">
        <v>1000</v>
      </c>
      <c r="F72" s="564" t="s">
        <v>115</v>
      </c>
      <c r="G72" s="564" t="s">
        <v>52</v>
      </c>
      <c r="H72" s="564" t="s">
        <v>76</v>
      </c>
      <c r="I72" s="564">
        <v>6</v>
      </c>
      <c r="J72" s="564" t="s">
        <v>77</v>
      </c>
      <c r="K72" s="564">
        <v>1988</v>
      </c>
      <c r="L72" s="564" t="s">
        <v>120</v>
      </c>
      <c r="M72" s="564" t="s">
        <v>1121</v>
      </c>
      <c r="N72" s="633" t="s">
        <v>122</v>
      </c>
      <c r="O72" s="633" t="s">
        <v>122</v>
      </c>
      <c r="P72" s="633" t="s">
        <v>38</v>
      </c>
      <c r="Q72" s="633" t="s">
        <v>38</v>
      </c>
      <c r="R72" s="633" t="s">
        <v>38</v>
      </c>
      <c r="S72" s="19"/>
      <c r="T72" s="574"/>
      <c r="U72" s="575"/>
      <c r="V72" s="575"/>
      <c r="W72" s="576"/>
      <c r="X72" s="577"/>
      <c r="Y72" s="577"/>
      <c r="Z72" s="577"/>
      <c r="AA72" s="577"/>
      <c r="AB72" s="598"/>
      <c r="AC72" s="599"/>
      <c r="AD72" s="585"/>
      <c r="AE72" s="585"/>
      <c r="AF72" s="585"/>
      <c r="AG72" s="585"/>
      <c r="AH72" s="585"/>
      <c r="AI72" s="585"/>
      <c r="AJ72" s="585"/>
      <c r="AK72" s="585"/>
      <c r="AL72" s="585"/>
    </row>
    <row r="73" spans="1:38" ht="32.5" customHeight="1">
      <c r="A73" s="564">
        <v>61</v>
      </c>
      <c r="B73" s="564" t="s">
        <v>112</v>
      </c>
      <c r="C73" s="564" t="s">
        <v>61</v>
      </c>
      <c r="D73" s="564" t="s">
        <v>113</v>
      </c>
      <c r="E73" s="564">
        <v>970</v>
      </c>
      <c r="F73" s="564" t="s">
        <v>115</v>
      </c>
      <c r="G73" s="564" t="s">
        <v>52</v>
      </c>
      <c r="H73" s="564" t="s">
        <v>76</v>
      </c>
      <c r="I73" s="564">
        <v>3.5</v>
      </c>
      <c r="J73" s="564" t="s">
        <v>77</v>
      </c>
      <c r="K73" s="564">
        <v>1988</v>
      </c>
      <c r="L73" s="564" t="s">
        <v>120</v>
      </c>
      <c r="M73" s="564" t="s">
        <v>1121</v>
      </c>
      <c r="N73" s="633" t="s">
        <v>122</v>
      </c>
      <c r="O73" s="633" t="s">
        <v>122</v>
      </c>
      <c r="P73" s="633" t="s">
        <v>38</v>
      </c>
      <c r="Q73" s="633" t="s">
        <v>38</v>
      </c>
      <c r="R73" s="633" t="s">
        <v>38</v>
      </c>
      <c r="S73" s="19"/>
      <c r="T73" s="574"/>
      <c r="U73" s="575"/>
      <c r="V73" s="575"/>
      <c r="W73" s="576"/>
      <c r="X73" s="577"/>
      <c r="Y73" s="577"/>
      <c r="Z73" s="577"/>
      <c r="AA73" s="577"/>
      <c r="AC73" s="599"/>
      <c r="AD73" s="585"/>
      <c r="AE73" s="585"/>
      <c r="AF73" s="585"/>
      <c r="AG73" s="585"/>
      <c r="AH73" s="585"/>
      <c r="AI73" s="585"/>
      <c r="AJ73" s="585"/>
      <c r="AK73" s="585"/>
      <c r="AL73" s="585"/>
    </row>
    <row r="74" spans="1:38" ht="13" customHeight="1">
      <c r="A74" s="564">
        <v>43</v>
      </c>
      <c r="B74" s="564" t="s">
        <v>119</v>
      </c>
      <c r="C74" s="564" t="s">
        <v>61</v>
      </c>
      <c r="D74" s="564" t="s">
        <v>113</v>
      </c>
      <c r="E74" s="564">
        <v>1200</v>
      </c>
      <c r="F74" s="564" t="s">
        <v>108</v>
      </c>
      <c r="G74" s="564" t="s">
        <v>52</v>
      </c>
      <c r="H74" s="564" t="s">
        <v>76</v>
      </c>
      <c r="I74" s="564">
        <v>57</v>
      </c>
      <c r="J74" s="564" t="s">
        <v>77</v>
      </c>
      <c r="K74" s="564">
        <v>1988</v>
      </c>
      <c r="L74" s="564" t="s">
        <v>120</v>
      </c>
      <c r="M74" s="564" t="s">
        <v>121</v>
      </c>
      <c r="N74" s="632">
        <v>0.76</v>
      </c>
      <c r="O74" s="633" t="s">
        <v>122</v>
      </c>
      <c r="P74" s="633" t="s">
        <v>38</v>
      </c>
      <c r="Q74" s="633" t="s">
        <v>38</v>
      </c>
      <c r="R74" s="633" t="s">
        <v>38</v>
      </c>
      <c r="S74" s="19"/>
      <c r="T74" s="574"/>
      <c r="U74" s="575"/>
      <c r="V74" s="575"/>
      <c r="W74" s="576"/>
      <c r="X74" s="577"/>
      <c r="Y74" s="577"/>
      <c r="Z74" s="577"/>
      <c r="AA74" s="577"/>
      <c r="AC74" s="599"/>
      <c r="AD74" s="585"/>
      <c r="AE74" s="585"/>
      <c r="AF74" s="585"/>
      <c r="AG74" s="585"/>
      <c r="AH74" s="585"/>
      <c r="AI74" s="585"/>
      <c r="AJ74" s="585"/>
      <c r="AK74" s="585"/>
      <c r="AL74" s="585"/>
    </row>
    <row r="75" spans="1:38" ht="13" customHeight="1">
      <c r="A75" s="564">
        <v>44</v>
      </c>
      <c r="B75" s="564" t="s">
        <v>119</v>
      </c>
      <c r="C75" s="564" t="s">
        <v>61</v>
      </c>
      <c r="D75" s="564" t="s">
        <v>113</v>
      </c>
      <c r="E75" s="564">
        <v>1200</v>
      </c>
      <c r="F75" s="564" t="s">
        <v>667</v>
      </c>
      <c r="G75" s="564" t="s">
        <v>52</v>
      </c>
      <c r="H75" s="564" t="s">
        <v>33</v>
      </c>
      <c r="I75" s="564">
        <f>1800*1000000</f>
        <v>1800000000</v>
      </c>
      <c r="J75" s="564" t="s">
        <v>34</v>
      </c>
      <c r="K75" s="564">
        <v>1988</v>
      </c>
      <c r="L75" s="564" t="s">
        <v>120</v>
      </c>
      <c r="M75" s="564" t="s">
        <v>121</v>
      </c>
      <c r="N75" s="632">
        <v>0.76</v>
      </c>
      <c r="O75" s="633" t="s">
        <v>122</v>
      </c>
      <c r="P75" s="633" t="s">
        <v>38</v>
      </c>
      <c r="Q75" s="633" t="s">
        <v>38</v>
      </c>
      <c r="R75" s="633" t="s">
        <v>38</v>
      </c>
      <c r="S75" s="19"/>
      <c r="T75" s="574"/>
      <c r="U75" s="575"/>
      <c r="V75" s="575"/>
      <c r="W75" s="576"/>
      <c r="X75" s="577"/>
      <c r="Y75" s="577"/>
      <c r="Z75" s="577"/>
      <c r="AA75" s="577"/>
      <c r="AC75" s="599"/>
      <c r="AD75" s="585"/>
      <c r="AE75" s="585"/>
      <c r="AF75" s="585"/>
      <c r="AG75" s="585"/>
      <c r="AH75" s="585"/>
      <c r="AI75" s="585"/>
      <c r="AJ75" s="585"/>
      <c r="AK75" s="585"/>
      <c r="AL75" s="585"/>
    </row>
    <row r="76" spans="1:38" ht="19.5" customHeight="1">
      <c r="A76" s="564">
        <v>64</v>
      </c>
      <c r="B76" s="564" t="s">
        <v>114</v>
      </c>
      <c r="C76" s="564" t="s">
        <v>61</v>
      </c>
      <c r="D76" s="564" t="s">
        <v>62</v>
      </c>
      <c r="E76" s="564">
        <v>1000</v>
      </c>
      <c r="F76" s="564" t="s">
        <v>115</v>
      </c>
      <c r="G76" s="564" t="s">
        <v>52</v>
      </c>
      <c r="H76" s="564" t="s">
        <v>76</v>
      </c>
      <c r="I76" s="564">
        <v>6</v>
      </c>
      <c r="J76" s="564" t="s">
        <v>77</v>
      </c>
      <c r="K76" s="564">
        <v>1988</v>
      </c>
      <c r="L76" s="564" t="s">
        <v>120</v>
      </c>
      <c r="M76" s="564" t="s">
        <v>127</v>
      </c>
      <c r="N76" s="633" t="s">
        <v>122</v>
      </c>
      <c r="O76" s="633" t="s">
        <v>122</v>
      </c>
      <c r="P76" s="633" t="s">
        <v>38</v>
      </c>
      <c r="Q76" s="633" t="s">
        <v>38</v>
      </c>
      <c r="R76" s="633" t="s">
        <v>38</v>
      </c>
      <c r="S76" s="19"/>
      <c r="T76" s="574"/>
      <c r="U76" s="575"/>
      <c r="V76" s="575"/>
      <c r="W76" s="576"/>
      <c r="X76" s="577"/>
      <c r="Y76" s="577"/>
      <c r="Z76" s="577"/>
      <c r="AA76" s="577"/>
      <c r="AC76" s="599"/>
      <c r="AD76" s="585"/>
      <c r="AE76" s="585"/>
      <c r="AF76" s="585"/>
      <c r="AG76" s="585"/>
      <c r="AH76" s="585"/>
      <c r="AI76" s="585"/>
      <c r="AJ76" s="585"/>
      <c r="AK76" s="585"/>
      <c r="AL76" s="585"/>
    </row>
    <row r="77" spans="1:38" ht="13" customHeight="1">
      <c r="A77" s="564">
        <v>48</v>
      </c>
      <c r="B77" s="564" t="s">
        <v>112</v>
      </c>
      <c r="C77" s="564" t="s">
        <v>61</v>
      </c>
      <c r="D77" s="564" t="s">
        <v>113</v>
      </c>
      <c r="E77" s="564">
        <v>970</v>
      </c>
      <c r="F77" s="564" t="s">
        <v>667</v>
      </c>
      <c r="G77" s="564" t="s">
        <v>52</v>
      </c>
      <c r="H77" s="564" t="s">
        <v>33</v>
      </c>
      <c r="I77" s="564">
        <f>1470*1000000</f>
        <v>1470000000</v>
      </c>
      <c r="J77" s="564" t="s">
        <v>34</v>
      </c>
      <c r="K77" s="564">
        <v>1988</v>
      </c>
      <c r="L77" s="564" t="s">
        <v>120</v>
      </c>
      <c r="M77" s="564" t="s">
        <v>121</v>
      </c>
      <c r="N77" s="632">
        <v>0.76</v>
      </c>
      <c r="O77" s="633" t="s">
        <v>122</v>
      </c>
      <c r="P77" s="633" t="s">
        <v>38</v>
      </c>
      <c r="Q77" s="633" t="s">
        <v>38</v>
      </c>
      <c r="R77" s="633" t="s">
        <v>38</v>
      </c>
      <c r="S77" s="19"/>
      <c r="T77" s="574"/>
      <c r="U77" s="575"/>
      <c r="V77" s="575"/>
      <c r="W77" s="576"/>
      <c r="X77" s="577"/>
      <c r="Y77" s="577"/>
      <c r="Z77" s="577"/>
      <c r="AA77" s="577"/>
      <c r="AC77" s="599"/>
      <c r="AD77" s="585"/>
      <c r="AE77" s="585"/>
      <c r="AF77" s="585"/>
      <c r="AG77" s="585"/>
      <c r="AH77" s="585"/>
      <c r="AI77" s="585"/>
      <c r="AJ77" s="585"/>
      <c r="AK77" s="585"/>
      <c r="AL77" s="585"/>
    </row>
    <row r="78" spans="1:38" ht="16.5" customHeight="1">
      <c r="A78" s="564">
        <v>56</v>
      </c>
      <c r="B78" s="564" t="s">
        <v>119</v>
      </c>
      <c r="C78" s="564" t="s">
        <v>61</v>
      </c>
      <c r="D78" s="564" t="s">
        <v>113</v>
      </c>
      <c r="E78" s="564">
        <v>1200</v>
      </c>
      <c r="F78" s="564" t="s">
        <v>116</v>
      </c>
      <c r="G78" s="564" t="s">
        <v>52</v>
      </c>
      <c r="H78" s="564" t="s">
        <v>76</v>
      </c>
      <c r="I78" s="564">
        <v>10</v>
      </c>
      <c r="J78" s="564" t="s">
        <v>77</v>
      </c>
      <c r="K78" s="564">
        <v>1988</v>
      </c>
      <c r="L78" s="564" t="s">
        <v>120</v>
      </c>
      <c r="M78" s="564" t="s">
        <v>121</v>
      </c>
      <c r="N78" s="633" t="s">
        <v>122</v>
      </c>
      <c r="O78" s="633" t="s">
        <v>122</v>
      </c>
      <c r="P78" s="633" t="s">
        <v>38</v>
      </c>
      <c r="Q78" s="633" t="s">
        <v>38</v>
      </c>
      <c r="R78" s="564">
        <v>0</v>
      </c>
      <c r="S78" s="19"/>
      <c r="T78" s="574"/>
      <c r="U78" s="575"/>
      <c r="V78" s="575"/>
      <c r="W78" s="576"/>
      <c r="X78" s="577"/>
      <c r="Y78" s="577"/>
      <c r="Z78" s="577"/>
      <c r="AA78" s="577"/>
      <c r="AC78" s="599"/>
      <c r="AD78" s="585"/>
      <c r="AE78" s="585"/>
      <c r="AF78" s="585"/>
      <c r="AG78" s="585"/>
      <c r="AH78" s="585"/>
      <c r="AI78" s="585"/>
      <c r="AJ78" s="585"/>
      <c r="AK78" s="585"/>
      <c r="AL78" s="585"/>
    </row>
    <row r="79" spans="1:38" ht="23.5" customHeight="1">
      <c r="A79" s="564">
        <v>63</v>
      </c>
      <c r="B79" s="564" t="s">
        <v>112</v>
      </c>
      <c r="C79" s="564" t="s">
        <v>61</v>
      </c>
      <c r="D79" s="564" t="s">
        <v>113</v>
      </c>
      <c r="E79" s="564">
        <v>970</v>
      </c>
      <c r="F79" s="564" t="s">
        <v>116</v>
      </c>
      <c r="G79" s="564" t="s">
        <v>52</v>
      </c>
      <c r="H79" s="564" t="s">
        <v>76</v>
      </c>
      <c r="I79" s="564">
        <v>7</v>
      </c>
      <c r="J79" s="564" t="s">
        <v>77</v>
      </c>
      <c r="K79" s="564">
        <v>1988</v>
      </c>
      <c r="L79" s="564" t="s">
        <v>120</v>
      </c>
      <c r="M79" s="564" t="s">
        <v>121</v>
      </c>
      <c r="N79" s="633" t="s">
        <v>122</v>
      </c>
      <c r="O79" s="633" t="s">
        <v>122</v>
      </c>
      <c r="P79" s="633" t="s">
        <v>38</v>
      </c>
      <c r="Q79" s="633" t="s">
        <v>38</v>
      </c>
      <c r="R79" s="633" t="s">
        <v>38</v>
      </c>
      <c r="S79" s="19"/>
      <c r="T79" s="574"/>
      <c r="U79" s="575"/>
      <c r="V79" s="575"/>
      <c r="W79" s="576"/>
      <c r="X79" s="577"/>
      <c r="Y79" s="577"/>
      <c r="Z79" s="577"/>
      <c r="AA79" s="577"/>
      <c r="AC79" s="599"/>
      <c r="AD79" s="585"/>
      <c r="AE79" s="585"/>
      <c r="AF79" s="585"/>
      <c r="AG79" s="585"/>
      <c r="AH79" s="585"/>
      <c r="AI79" s="585"/>
      <c r="AJ79" s="585"/>
      <c r="AK79" s="585"/>
      <c r="AL79" s="585"/>
    </row>
    <row r="80" spans="1:38" ht="13" customHeight="1">
      <c r="A80" s="564">
        <v>68</v>
      </c>
      <c r="B80" s="564" t="s">
        <v>112</v>
      </c>
      <c r="C80" s="564" t="s">
        <v>61</v>
      </c>
      <c r="D80" s="564" t="s">
        <v>113</v>
      </c>
      <c r="E80" s="564">
        <v>970</v>
      </c>
      <c r="F80" s="564" t="s">
        <v>108</v>
      </c>
      <c r="G80" s="564" t="s">
        <v>52</v>
      </c>
      <c r="H80" s="564" t="s">
        <v>76</v>
      </c>
      <c r="I80" s="564">
        <v>40</v>
      </c>
      <c r="J80" s="564" t="s">
        <v>77</v>
      </c>
      <c r="K80" s="564">
        <v>1988</v>
      </c>
      <c r="L80" s="564" t="s">
        <v>120</v>
      </c>
      <c r="M80" s="564" t="s">
        <v>121</v>
      </c>
      <c r="N80" s="632">
        <v>0.76</v>
      </c>
      <c r="O80" s="633" t="s">
        <v>122</v>
      </c>
      <c r="P80" s="633" t="s">
        <v>38</v>
      </c>
      <c r="Q80" s="633" t="s">
        <v>38</v>
      </c>
      <c r="R80" s="633" t="s">
        <v>38</v>
      </c>
      <c r="S80" s="19"/>
      <c r="T80" s="574"/>
      <c r="U80" s="575"/>
      <c r="V80" s="575"/>
      <c r="W80" s="576"/>
      <c r="X80" s="577"/>
      <c r="Y80" s="577"/>
      <c r="Z80" s="577"/>
      <c r="AA80" s="577"/>
      <c r="AC80" s="599"/>
      <c r="AD80" s="585"/>
      <c r="AE80" s="585"/>
      <c r="AF80" s="585"/>
      <c r="AG80" s="585"/>
      <c r="AH80" s="585"/>
      <c r="AI80" s="585"/>
      <c r="AJ80" s="585"/>
      <c r="AK80" s="585"/>
      <c r="AL80" s="585"/>
    </row>
    <row r="81" spans="1:38" ht="13" customHeight="1">
      <c r="A81" s="564">
        <v>47</v>
      </c>
      <c r="B81" s="564" t="s">
        <v>126</v>
      </c>
      <c r="C81" s="564" t="s">
        <v>61</v>
      </c>
      <c r="D81" s="564" t="s">
        <v>62</v>
      </c>
      <c r="E81" s="564">
        <v>1000</v>
      </c>
      <c r="F81" s="564" t="s">
        <v>667</v>
      </c>
      <c r="G81" s="564" t="s">
        <v>52</v>
      </c>
      <c r="H81" s="564" t="s">
        <v>33</v>
      </c>
      <c r="I81" s="564">
        <f>1430*1000000</f>
        <v>1430000000</v>
      </c>
      <c r="J81" s="564" t="s">
        <v>34</v>
      </c>
      <c r="K81" s="564">
        <v>1988</v>
      </c>
      <c r="L81" s="564" t="s">
        <v>120</v>
      </c>
      <c r="M81" s="564" t="s">
        <v>121</v>
      </c>
      <c r="N81" s="632">
        <v>0.76</v>
      </c>
      <c r="O81" s="633" t="s">
        <v>122</v>
      </c>
      <c r="P81" s="633" t="s">
        <v>38</v>
      </c>
      <c r="Q81" s="633" t="s">
        <v>38</v>
      </c>
      <c r="R81" s="633" t="s">
        <v>38</v>
      </c>
      <c r="S81" s="19"/>
      <c r="T81" s="574"/>
      <c r="U81" s="575"/>
      <c r="V81" s="575"/>
      <c r="W81" s="576"/>
      <c r="X81" s="577"/>
      <c r="Y81" s="577"/>
      <c r="Z81" s="577"/>
      <c r="AA81" s="577"/>
      <c r="AC81" s="599"/>
      <c r="AD81" s="585"/>
      <c r="AE81" s="585"/>
      <c r="AF81" s="585"/>
      <c r="AG81" s="585"/>
      <c r="AH81" s="585"/>
      <c r="AI81" s="585"/>
      <c r="AJ81" s="585"/>
      <c r="AK81" s="585"/>
      <c r="AL81" s="585"/>
    </row>
    <row r="82" spans="1:38" ht="13" customHeight="1">
      <c r="A82" s="564">
        <v>54</v>
      </c>
      <c r="B82" s="564" t="s">
        <v>114</v>
      </c>
      <c r="C82" s="564" t="s">
        <v>61</v>
      </c>
      <c r="D82" s="564" t="s">
        <v>62</v>
      </c>
      <c r="E82" s="564">
        <v>1000</v>
      </c>
      <c r="F82" s="564" t="s">
        <v>667</v>
      </c>
      <c r="G82" s="564" t="s">
        <v>52</v>
      </c>
      <c r="H82" s="564" t="s">
        <v>33</v>
      </c>
      <c r="I82" s="564">
        <f>2140*1000000</f>
        <v>2140000000</v>
      </c>
      <c r="J82" s="564" t="s">
        <v>34</v>
      </c>
      <c r="K82" s="564">
        <v>1988</v>
      </c>
      <c r="L82" s="564" t="s">
        <v>120</v>
      </c>
      <c r="M82" s="564" t="s">
        <v>121</v>
      </c>
      <c r="N82" s="632">
        <v>0.76</v>
      </c>
      <c r="O82" s="633" t="s">
        <v>122</v>
      </c>
      <c r="P82" s="633" t="s">
        <v>38</v>
      </c>
      <c r="Q82" s="633" t="s">
        <v>38</v>
      </c>
      <c r="R82" s="633" t="s">
        <v>38</v>
      </c>
      <c r="S82" s="19"/>
      <c r="T82" s="574"/>
      <c r="U82" s="575"/>
      <c r="V82" s="575"/>
      <c r="W82" s="576"/>
      <c r="X82" s="577"/>
      <c r="Y82" s="577"/>
      <c r="Z82" s="577"/>
      <c r="AA82" s="577"/>
      <c r="AC82" s="599"/>
      <c r="AD82" s="585"/>
      <c r="AE82" s="585"/>
      <c r="AF82" s="585"/>
      <c r="AG82" s="585"/>
      <c r="AH82" s="585"/>
      <c r="AI82" s="585"/>
      <c r="AJ82" s="585"/>
      <c r="AK82" s="585"/>
      <c r="AL82" s="585"/>
    </row>
    <row r="83" spans="1:38" ht="13" customHeight="1">
      <c r="A83" s="564">
        <v>60</v>
      </c>
      <c r="B83" s="564" t="s">
        <v>126</v>
      </c>
      <c r="C83" s="564" t="s">
        <v>61</v>
      </c>
      <c r="D83" s="564" t="s">
        <v>62</v>
      </c>
      <c r="E83" s="564">
        <v>1000</v>
      </c>
      <c r="F83" s="564" t="s">
        <v>116</v>
      </c>
      <c r="G83" s="564" t="s">
        <v>52</v>
      </c>
      <c r="H83" s="564" t="s">
        <v>76</v>
      </c>
      <c r="I83" s="564">
        <v>7</v>
      </c>
      <c r="J83" s="564" t="s">
        <v>77</v>
      </c>
      <c r="K83" s="564">
        <v>1988</v>
      </c>
      <c r="L83" s="564" t="s">
        <v>120</v>
      </c>
      <c r="M83" s="564" t="s">
        <v>121</v>
      </c>
      <c r="N83" s="633" t="s">
        <v>122</v>
      </c>
      <c r="O83" s="633" t="s">
        <v>122</v>
      </c>
      <c r="P83" s="633" t="s">
        <v>38</v>
      </c>
      <c r="Q83" s="633" t="s">
        <v>38</v>
      </c>
      <c r="R83" s="633" t="s">
        <v>38</v>
      </c>
      <c r="S83" s="19"/>
      <c r="T83" s="574"/>
      <c r="U83" s="575"/>
      <c r="V83" s="575"/>
      <c r="W83" s="576"/>
      <c r="X83" s="577"/>
      <c r="Y83" s="577"/>
      <c r="Z83" s="577"/>
      <c r="AA83" s="577"/>
      <c r="AC83" s="599"/>
      <c r="AD83" s="585"/>
      <c r="AE83" s="585"/>
      <c r="AF83" s="585"/>
      <c r="AG83" s="585"/>
      <c r="AH83" s="585"/>
      <c r="AI83" s="585"/>
      <c r="AJ83" s="585"/>
      <c r="AK83" s="585"/>
      <c r="AL83" s="585"/>
    </row>
    <row r="84" spans="1:38" ht="13" customHeight="1">
      <c r="A84" s="564">
        <v>62</v>
      </c>
      <c r="B84" s="564" t="s">
        <v>114</v>
      </c>
      <c r="C84" s="564" t="s">
        <v>61</v>
      </c>
      <c r="D84" s="564" t="s">
        <v>62</v>
      </c>
      <c r="E84" s="564">
        <v>1000</v>
      </c>
      <c r="F84" s="564" t="s">
        <v>116</v>
      </c>
      <c r="G84" s="564" t="s">
        <v>52</v>
      </c>
      <c r="H84" s="564" t="s">
        <v>76</v>
      </c>
      <c r="I84" s="564">
        <v>7</v>
      </c>
      <c r="J84" s="564" t="s">
        <v>77</v>
      </c>
      <c r="K84" s="564">
        <v>1988</v>
      </c>
      <c r="L84" s="564" t="s">
        <v>120</v>
      </c>
      <c r="M84" s="564" t="s">
        <v>121</v>
      </c>
      <c r="N84" s="633" t="s">
        <v>122</v>
      </c>
      <c r="O84" s="633" t="s">
        <v>122</v>
      </c>
      <c r="P84" s="633" t="s">
        <v>38</v>
      </c>
      <c r="Q84" s="633" t="s">
        <v>38</v>
      </c>
      <c r="R84" s="633" t="s">
        <v>38</v>
      </c>
      <c r="S84" s="19"/>
      <c r="T84" s="574"/>
      <c r="U84" s="575"/>
      <c r="V84" s="575"/>
      <c r="W84" s="576"/>
      <c r="X84" s="577"/>
      <c r="Y84" s="577"/>
      <c r="Z84" s="577"/>
      <c r="AA84" s="577"/>
      <c r="AC84" s="599"/>
      <c r="AD84" s="585"/>
      <c r="AE84" s="585"/>
      <c r="AF84" s="585"/>
      <c r="AG84" s="585"/>
      <c r="AH84" s="585"/>
      <c r="AI84" s="585"/>
      <c r="AJ84" s="585"/>
      <c r="AK84" s="585"/>
      <c r="AL84" s="585"/>
    </row>
    <row r="85" spans="1:38" ht="13" customHeight="1">
      <c r="A85" s="564">
        <v>67</v>
      </c>
      <c r="B85" s="564" t="s">
        <v>126</v>
      </c>
      <c r="C85" s="564" t="s">
        <v>61</v>
      </c>
      <c r="D85" s="564" t="s">
        <v>62</v>
      </c>
      <c r="E85" s="564">
        <v>1000</v>
      </c>
      <c r="F85" s="564" t="s">
        <v>108</v>
      </c>
      <c r="G85" s="564" t="s">
        <v>52</v>
      </c>
      <c r="H85" s="564" t="s">
        <v>76</v>
      </c>
      <c r="I85" s="564">
        <v>48</v>
      </c>
      <c r="J85" s="564" t="s">
        <v>77</v>
      </c>
      <c r="K85" s="564">
        <v>1988</v>
      </c>
      <c r="L85" s="564" t="s">
        <v>120</v>
      </c>
      <c r="M85" s="564" t="s">
        <v>121</v>
      </c>
      <c r="N85" s="632">
        <v>0.76</v>
      </c>
      <c r="O85" s="633" t="s">
        <v>122</v>
      </c>
      <c r="P85" s="633" t="s">
        <v>38</v>
      </c>
      <c r="Q85" s="633" t="s">
        <v>38</v>
      </c>
      <c r="R85" s="633" t="s">
        <v>38</v>
      </c>
      <c r="S85" s="19"/>
      <c r="T85" s="574"/>
      <c r="U85" s="575"/>
      <c r="V85" s="575"/>
      <c r="W85" s="576"/>
      <c r="X85" s="577"/>
      <c r="Y85" s="577"/>
      <c r="Z85" s="577"/>
      <c r="AA85" s="577"/>
      <c r="AC85" s="599"/>
      <c r="AD85" s="585"/>
      <c r="AE85" s="585"/>
      <c r="AF85" s="585"/>
      <c r="AG85" s="585"/>
      <c r="AH85" s="585"/>
      <c r="AI85" s="585"/>
      <c r="AJ85" s="585"/>
      <c r="AK85" s="585"/>
      <c r="AL85" s="585"/>
    </row>
    <row r="86" spans="1:38" ht="13" customHeight="1">
      <c r="A86" s="564">
        <v>69</v>
      </c>
      <c r="B86" s="564" t="s">
        <v>114</v>
      </c>
      <c r="C86" s="564" t="s">
        <v>61</v>
      </c>
      <c r="D86" s="564" t="s">
        <v>62</v>
      </c>
      <c r="E86" s="564">
        <v>1000</v>
      </c>
      <c r="F86" s="564" t="s">
        <v>108</v>
      </c>
      <c r="G86" s="564" t="s">
        <v>52</v>
      </c>
      <c r="H86" s="564" t="s">
        <v>76</v>
      </c>
      <c r="I86" s="564">
        <v>69</v>
      </c>
      <c r="J86" s="564" t="s">
        <v>77</v>
      </c>
      <c r="K86" s="564">
        <v>1988</v>
      </c>
      <c r="L86" s="564" t="s">
        <v>120</v>
      </c>
      <c r="M86" s="564" t="s">
        <v>121</v>
      </c>
      <c r="N86" s="632">
        <v>0.76</v>
      </c>
      <c r="O86" s="633" t="s">
        <v>122</v>
      </c>
      <c r="P86" s="633" t="s">
        <v>38</v>
      </c>
      <c r="Q86" s="633" t="s">
        <v>38</v>
      </c>
      <c r="R86" s="633" t="s">
        <v>38</v>
      </c>
      <c r="S86" s="19"/>
      <c r="T86" s="574"/>
      <c r="U86" s="575"/>
      <c r="V86" s="575"/>
      <c r="W86" s="576"/>
      <c r="X86" s="577"/>
      <c r="Y86" s="577"/>
      <c r="Z86" s="577"/>
      <c r="AA86" s="577"/>
      <c r="AC86" s="599"/>
      <c r="AD86" s="585"/>
      <c r="AE86" s="585"/>
      <c r="AF86" s="585"/>
      <c r="AG86" s="585"/>
      <c r="AH86" s="585"/>
      <c r="AI86" s="585"/>
      <c r="AJ86" s="585"/>
      <c r="AK86" s="585"/>
      <c r="AL86" s="585"/>
    </row>
    <row r="87" spans="1:38" ht="13" customHeight="1">
      <c r="A87" s="564">
        <v>70</v>
      </c>
      <c r="B87" s="564" t="s">
        <v>81</v>
      </c>
      <c r="C87" s="564" t="s">
        <v>61</v>
      </c>
      <c r="D87" s="564" t="s">
        <v>62</v>
      </c>
      <c r="E87" s="564">
        <v>1000</v>
      </c>
      <c r="F87" s="564" t="s">
        <v>75</v>
      </c>
      <c r="G87" s="564" t="s">
        <v>57</v>
      </c>
      <c r="H87" s="564" t="s">
        <v>76</v>
      </c>
      <c r="I87" s="564">
        <v>70</v>
      </c>
      <c r="J87" s="564" t="s">
        <v>128</v>
      </c>
      <c r="K87" s="564">
        <v>1996</v>
      </c>
      <c r="L87" s="564" t="s">
        <v>129</v>
      </c>
      <c r="M87" s="564" t="s">
        <v>130</v>
      </c>
      <c r="N87" s="634" t="s">
        <v>122</v>
      </c>
      <c r="O87" s="564" t="s">
        <v>84</v>
      </c>
      <c r="P87" s="633" t="s">
        <v>38</v>
      </c>
      <c r="Q87" s="633" t="s">
        <v>38</v>
      </c>
      <c r="R87" s="633" t="s">
        <v>38</v>
      </c>
      <c r="S87" s="19"/>
      <c r="T87" s="574"/>
      <c r="U87" s="575"/>
      <c r="V87" s="575"/>
      <c r="W87" s="576"/>
      <c r="X87" s="577"/>
      <c r="Y87" s="577"/>
      <c r="Z87" s="577"/>
      <c r="AA87" s="577"/>
      <c r="AC87" s="599"/>
      <c r="AD87" s="585"/>
      <c r="AE87" s="585"/>
      <c r="AF87" s="585"/>
      <c r="AG87" s="585"/>
      <c r="AH87" s="585"/>
      <c r="AI87" s="585"/>
      <c r="AJ87" s="585"/>
      <c r="AK87" s="585"/>
      <c r="AL87" s="585"/>
    </row>
    <row r="88" spans="1:38" ht="13" customHeight="1">
      <c r="A88" s="564">
        <v>71</v>
      </c>
      <c r="B88" s="564" t="s">
        <v>81</v>
      </c>
      <c r="C88" s="564" t="s">
        <v>61</v>
      </c>
      <c r="D88" s="564" t="s">
        <v>62</v>
      </c>
      <c r="E88" s="564">
        <v>1000</v>
      </c>
      <c r="F88" s="564" t="s">
        <v>75</v>
      </c>
      <c r="G88" s="564" t="s">
        <v>57</v>
      </c>
      <c r="H88" s="564" t="s">
        <v>76</v>
      </c>
      <c r="I88" s="564">
        <v>80</v>
      </c>
      <c r="J88" s="564" t="s">
        <v>128</v>
      </c>
      <c r="K88" s="564">
        <v>1996</v>
      </c>
      <c r="L88" s="564" t="s">
        <v>129</v>
      </c>
      <c r="M88" s="564" t="s">
        <v>130</v>
      </c>
      <c r="N88" s="634" t="s">
        <v>122</v>
      </c>
      <c r="O88" s="564" t="s">
        <v>84</v>
      </c>
      <c r="P88" s="633" t="s">
        <v>38</v>
      </c>
      <c r="Q88" s="633" t="s">
        <v>38</v>
      </c>
      <c r="R88" s="633" t="s">
        <v>38</v>
      </c>
      <c r="S88" s="19"/>
      <c r="T88" s="574"/>
      <c r="U88" s="575"/>
      <c r="V88" s="575"/>
      <c r="W88" s="576"/>
      <c r="X88" s="577"/>
      <c r="Y88" s="577"/>
      <c r="Z88" s="577"/>
      <c r="AA88" s="577"/>
      <c r="AC88" s="599"/>
      <c r="AD88" s="585"/>
      <c r="AE88" s="585"/>
      <c r="AF88" s="585"/>
      <c r="AG88" s="585"/>
      <c r="AH88" s="585"/>
      <c r="AI88" s="585"/>
      <c r="AJ88" s="585"/>
      <c r="AK88" s="585"/>
      <c r="AL88" s="585"/>
    </row>
    <row r="89" spans="1:38" ht="13" customHeight="1">
      <c r="A89" s="564">
        <v>72</v>
      </c>
      <c r="B89" s="564" t="s">
        <v>81</v>
      </c>
      <c r="C89" s="564" t="s">
        <v>61</v>
      </c>
      <c r="D89" s="564" t="s">
        <v>62</v>
      </c>
      <c r="E89" s="564">
        <v>1000</v>
      </c>
      <c r="F89" s="564" t="s">
        <v>75</v>
      </c>
      <c r="G89" s="564" t="s">
        <v>57</v>
      </c>
      <c r="H89" s="564" t="s">
        <v>76</v>
      </c>
      <c r="I89" s="564">
        <v>90</v>
      </c>
      <c r="J89" s="564" t="s">
        <v>128</v>
      </c>
      <c r="K89" s="564">
        <v>1996</v>
      </c>
      <c r="L89" s="564" t="s">
        <v>129</v>
      </c>
      <c r="M89" s="564" t="s">
        <v>130</v>
      </c>
      <c r="N89" s="634" t="s">
        <v>122</v>
      </c>
      <c r="O89" s="564" t="s">
        <v>84</v>
      </c>
      <c r="P89" s="633" t="s">
        <v>38</v>
      </c>
      <c r="Q89" s="633" t="s">
        <v>38</v>
      </c>
      <c r="R89" s="633" t="s">
        <v>38</v>
      </c>
      <c r="S89" s="19"/>
      <c r="T89" s="574"/>
      <c r="U89" s="575"/>
      <c r="V89" s="575"/>
      <c r="W89" s="576"/>
      <c r="X89" s="577"/>
      <c r="Y89" s="577"/>
      <c r="Z89" s="577"/>
      <c r="AA89" s="577"/>
      <c r="AC89" s="599"/>
      <c r="AD89" s="585"/>
      <c r="AE89" s="585"/>
      <c r="AF89" s="585"/>
      <c r="AG89" s="585"/>
      <c r="AH89" s="585"/>
      <c r="AI89" s="585"/>
      <c r="AJ89" s="585"/>
      <c r="AK89" s="585"/>
      <c r="AL89" s="585"/>
    </row>
    <row r="90" spans="1:38" ht="13" customHeight="1">
      <c r="A90" s="564">
        <v>73</v>
      </c>
      <c r="B90" s="564" t="s">
        <v>81</v>
      </c>
      <c r="C90" s="564" t="s">
        <v>61</v>
      </c>
      <c r="D90" s="564" t="s">
        <v>62</v>
      </c>
      <c r="E90" s="564">
        <v>1000</v>
      </c>
      <c r="F90" s="564" t="s">
        <v>75</v>
      </c>
      <c r="G90" s="564" t="s">
        <v>57</v>
      </c>
      <c r="H90" s="564" t="s">
        <v>76</v>
      </c>
      <c r="I90" s="564">
        <v>100</v>
      </c>
      <c r="J90" s="564" t="s">
        <v>128</v>
      </c>
      <c r="K90" s="564">
        <v>1996</v>
      </c>
      <c r="L90" s="564" t="s">
        <v>129</v>
      </c>
      <c r="M90" s="564" t="s">
        <v>130</v>
      </c>
      <c r="N90" s="634" t="s">
        <v>122</v>
      </c>
      <c r="O90" s="564" t="s">
        <v>84</v>
      </c>
      <c r="P90" s="633" t="s">
        <v>38</v>
      </c>
      <c r="Q90" s="633" t="s">
        <v>38</v>
      </c>
      <c r="R90" s="633" t="s">
        <v>38</v>
      </c>
      <c r="S90" s="19"/>
      <c r="T90" s="574"/>
      <c r="U90" s="575"/>
      <c r="V90" s="575"/>
      <c r="W90" s="576"/>
      <c r="X90" s="577"/>
      <c r="Y90" s="577"/>
      <c r="Z90" s="577"/>
      <c r="AA90" s="577"/>
      <c r="AC90" s="599"/>
      <c r="AD90" s="585"/>
      <c r="AE90" s="585"/>
      <c r="AF90" s="585"/>
      <c r="AG90" s="585"/>
      <c r="AH90" s="585"/>
      <c r="AI90" s="585"/>
      <c r="AJ90" s="585"/>
      <c r="AK90" s="585"/>
      <c r="AL90" s="585"/>
    </row>
    <row r="91" spans="1:38" ht="13" customHeight="1">
      <c r="A91" s="564">
        <v>74</v>
      </c>
      <c r="B91" s="564" t="s">
        <v>81</v>
      </c>
      <c r="C91" s="564" t="s">
        <v>61</v>
      </c>
      <c r="D91" s="564" t="s">
        <v>62</v>
      </c>
      <c r="E91" s="564">
        <v>1000</v>
      </c>
      <c r="F91" s="564" t="s">
        <v>75</v>
      </c>
      <c r="G91" s="564" t="s">
        <v>57</v>
      </c>
      <c r="H91" s="564" t="s">
        <v>76</v>
      </c>
      <c r="I91" s="564">
        <v>110</v>
      </c>
      <c r="J91" s="564" t="s">
        <v>128</v>
      </c>
      <c r="K91" s="564">
        <v>1996</v>
      </c>
      <c r="L91" s="564" t="s">
        <v>129</v>
      </c>
      <c r="M91" s="564" t="s">
        <v>130</v>
      </c>
      <c r="N91" s="634" t="s">
        <v>122</v>
      </c>
      <c r="O91" s="564" t="s">
        <v>84</v>
      </c>
      <c r="P91" s="633" t="s">
        <v>38</v>
      </c>
      <c r="Q91" s="633" t="s">
        <v>38</v>
      </c>
      <c r="R91" s="633" t="s">
        <v>38</v>
      </c>
      <c r="S91" s="19"/>
      <c r="T91" s="574"/>
      <c r="U91" s="575"/>
      <c r="V91" s="575"/>
      <c r="W91" s="576"/>
      <c r="X91" s="577"/>
      <c r="Y91" s="577"/>
      <c r="Z91" s="577"/>
      <c r="AA91" s="577"/>
      <c r="AC91" s="599"/>
      <c r="AD91" s="585"/>
      <c r="AE91" s="585"/>
      <c r="AF91" s="585"/>
      <c r="AG91" s="585"/>
      <c r="AH91" s="585"/>
      <c r="AI91" s="585"/>
      <c r="AJ91" s="585"/>
      <c r="AK91" s="585"/>
      <c r="AL91" s="585"/>
    </row>
    <row r="92" spans="1:38" ht="13" customHeight="1">
      <c r="A92" s="564">
        <v>75</v>
      </c>
      <c r="B92" s="564" t="s">
        <v>81</v>
      </c>
      <c r="C92" s="564" t="s">
        <v>61</v>
      </c>
      <c r="D92" s="564" t="s">
        <v>62</v>
      </c>
      <c r="E92" s="564">
        <v>1000</v>
      </c>
      <c r="F92" s="564" t="s">
        <v>75</v>
      </c>
      <c r="G92" s="564" t="s">
        <v>57</v>
      </c>
      <c r="H92" s="564" t="s">
        <v>76</v>
      </c>
      <c r="I92" s="564">
        <v>120</v>
      </c>
      <c r="J92" s="564" t="s">
        <v>128</v>
      </c>
      <c r="K92" s="564">
        <v>1996</v>
      </c>
      <c r="L92" s="564" t="s">
        <v>129</v>
      </c>
      <c r="M92" s="564" t="s">
        <v>130</v>
      </c>
      <c r="N92" s="634" t="s">
        <v>122</v>
      </c>
      <c r="O92" s="564" t="s">
        <v>84</v>
      </c>
      <c r="P92" s="633" t="s">
        <v>38</v>
      </c>
      <c r="Q92" s="633" t="s">
        <v>38</v>
      </c>
      <c r="R92" s="633" t="s">
        <v>38</v>
      </c>
      <c r="S92" s="19"/>
      <c r="T92" s="574"/>
      <c r="U92" s="575"/>
      <c r="V92" s="575"/>
      <c r="W92" s="576"/>
      <c r="X92" s="577"/>
      <c r="Y92" s="577"/>
      <c r="Z92" s="577"/>
      <c r="AA92" s="577"/>
      <c r="AC92" s="599"/>
      <c r="AD92" s="585"/>
      <c r="AE92" s="585"/>
      <c r="AF92" s="585"/>
      <c r="AG92" s="585"/>
      <c r="AH92" s="585"/>
      <c r="AI92" s="585"/>
      <c r="AJ92" s="585"/>
      <c r="AK92" s="585"/>
      <c r="AL92" s="585"/>
    </row>
    <row r="93" spans="1:38" ht="13" customHeight="1">
      <c r="A93" s="564">
        <v>76</v>
      </c>
      <c r="B93" s="564" t="s">
        <v>81</v>
      </c>
      <c r="C93" s="564" t="s">
        <v>61</v>
      </c>
      <c r="D93" s="564" t="s">
        <v>62</v>
      </c>
      <c r="E93" s="564">
        <v>1000</v>
      </c>
      <c r="F93" s="564" t="s">
        <v>75</v>
      </c>
      <c r="G93" s="564" t="s">
        <v>57</v>
      </c>
      <c r="H93" s="564" t="s">
        <v>76</v>
      </c>
      <c r="I93" s="564">
        <v>130</v>
      </c>
      <c r="J93" s="564" t="s">
        <v>128</v>
      </c>
      <c r="K93" s="564">
        <v>1996</v>
      </c>
      <c r="L93" s="564" t="s">
        <v>129</v>
      </c>
      <c r="M93" s="564" t="s">
        <v>130</v>
      </c>
      <c r="N93" s="634" t="s">
        <v>122</v>
      </c>
      <c r="O93" s="564" t="s">
        <v>84</v>
      </c>
      <c r="P93" s="633" t="s">
        <v>38</v>
      </c>
      <c r="Q93" s="633" t="s">
        <v>38</v>
      </c>
      <c r="R93" s="633" t="s">
        <v>38</v>
      </c>
      <c r="S93" s="19"/>
      <c r="T93" s="574"/>
      <c r="U93" s="575"/>
      <c r="V93" s="575"/>
      <c r="W93" s="576"/>
      <c r="X93" s="577"/>
      <c r="Y93" s="577"/>
      <c r="Z93" s="577"/>
      <c r="AA93" s="577"/>
      <c r="AC93" s="599"/>
      <c r="AD93" s="585"/>
      <c r="AE93" s="585"/>
      <c r="AF93" s="585"/>
      <c r="AG93" s="585"/>
      <c r="AH93" s="585"/>
      <c r="AI93" s="585"/>
      <c r="AJ93" s="585"/>
      <c r="AK93" s="585"/>
      <c r="AL93" s="585"/>
    </row>
    <row r="94" spans="1:38" ht="13" customHeight="1">
      <c r="A94" s="564">
        <v>80</v>
      </c>
      <c r="B94" s="564" t="s">
        <v>144</v>
      </c>
      <c r="C94" s="564" t="s">
        <v>61</v>
      </c>
      <c r="D94" s="564" t="s">
        <v>62</v>
      </c>
      <c r="E94" s="564">
        <v>1200</v>
      </c>
      <c r="F94" s="564" t="s">
        <v>115</v>
      </c>
      <c r="G94" s="564" t="s">
        <v>52</v>
      </c>
      <c r="H94" s="564" t="s">
        <v>76</v>
      </c>
      <c r="I94" s="564">
        <v>7.5</v>
      </c>
      <c r="J94" s="564" t="s">
        <v>77</v>
      </c>
      <c r="K94" s="564">
        <v>1990</v>
      </c>
      <c r="L94" s="564" t="s">
        <v>140</v>
      </c>
      <c r="M94" s="564" t="s">
        <v>145</v>
      </c>
      <c r="N94" s="633" t="s">
        <v>122</v>
      </c>
      <c r="O94" s="634" t="s">
        <v>38</v>
      </c>
      <c r="P94" s="633" t="s">
        <v>38</v>
      </c>
      <c r="Q94" s="633" t="s">
        <v>38</v>
      </c>
      <c r="R94" s="633" t="s">
        <v>38</v>
      </c>
      <c r="S94" s="19"/>
      <c r="T94" s="574"/>
      <c r="U94" s="575"/>
      <c r="V94" s="575"/>
      <c r="W94" s="576"/>
      <c r="X94" s="577"/>
      <c r="Y94" s="577"/>
      <c r="Z94" s="577"/>
      <c r="AA94" s="577"/>
      <c r="AC94" s="599"/>
      <c r="AD94" s="585"/>
      <c r="AE94" s="585"/>
      <c r="AF94" s="585"/>
      <c r="AG94" s="585"/>
      <c r="AH94" s="585"/>
      <c r="AI94" s="585"/>
      <c r="AJ94" s="585"/>
      <c r="AK94" s="585"/>
      <c r="AL94" s="585"/>
    </row>
    <row r="95" spans="1:38" ht="13" customHeight="1">
      <c r="A95" s="564">
        <v>81</v>
      </c>
      <c r="B95" s="564" t="s">
        <v>114</v>
      </c>
      <c r="C95" s="564" t="s">
        <v>61</v>
      </c>
      <c r="D95" s="564" t="s">
        <v>62</v>
      </c>
      <c r="E95" s="564">
        <v>1200</v>
      </c>
      <c r="F95" s="564" t="s">
        <v>115</v>
      </c>
      <c r="G95" s="564" t="s">
        <v>52</v>
      </c>
      <c r="H95" s="564" t="s">
        <v>76</v>
      </c>
      <c r="I95" s="564">
        <v>5.9</v>
      </c>
      <c r="J95" s="564" t="s">
        <v>77</v>
      </c>
      <c r="K95" s="564">
        <v>1990</v>
      </c>
      <c r="L95" s="564" t="s">
        <v>140</v>
      </c>
      <c r="M95" s="564"/>
      <c r="N95" s="633" t="s">
        <v>122</v>
      </c>
      <c r="O95" s="634" t="s">
        <v>38</v>
      </c>
      <c r="P95" s="633" t="s">
        <v>38</v>
      </c>
      <c r="Q95" s="633" t="s">
        <v>38</v>
      </c>
      <c r="R95" s="633" t="s">
        <v>38</v>
      </c>
      <c r="S95" s="19"/>
      <c r="T95" s="574"/>
      <c r="U95" s="575"/>
      <c r="V95" s="575"/>
      <c r="W95" s="575"/>
      <c r="X95" s="579"/>
      <c r="Y95" s="579"/>
      <c r="Z95" s="579"/>
      <c r="AA95" s="579"/>
      <c r="AC95" s="599"/>
      <c r="AD95" s="585"/>
      <c r="AE95" s="585"/>
      <c r="AF95" s="585"/>
      <c r="AG95" s="585"/>
      <c r="AH95" s="585"/>
      <c r="AI95" s="585"/>
      <c r="AJ95" s="585"/>
      <c r="AK95" s="585"/>
      <c r="AL95" s="585"/>
    </row>
    <row r="96" spans="1:38" ht="13" customHeight="1">
      <c r="A96" s="564">
        <v>82</v>
      </c>
      <c r="B96" s="564" t="s">
        <v>144</v>
      </c>
      <c r="C96" s="564" t="s">
        <v>61</v>
      </c>
      <c r="D96" s="564" t="s">
        <v>62</v>
      </c>
      <c r="E96" s="564">
        <v>1200</v>
      </c>
      <c r="F96" s="564" t="s">
        <v>493</v>
      </c>
      <c r="G96" s="564" t="s">
        <v>52</v>
      </c>
      <c r="H96" s="564" t="s">
        <v>76</v>
      </c>
      <c r="I96" s="564">
        <v>0.5</v>
      </c>
      <c r="J96" s="564" t="s">
        <v>77</v>
      </c>
      <c r="K96" s="564">
        <v>1990</v>
      </c>
      <c r="L96" s="564" t="s">
        <v>140</v>
      </c>
      <c r="M96" s="564" t="s">
        <v>704</v>
      </c>
      <c r="N96" s="633" t="s">
        <v>122</v>
      </c>
      <c r="O96" s="634" t="s">
        <v>38</v>
      </c>
      <c r="P96" s="633" t="s">
        <v>38</v>
      </c>
      <c r="Q96" s="633" t="s">
        <v>38</v>
      </c>
      <c r="R96" s="633" t="s">
        <v>38</v>
      </c>
      <c r="S96" s="19"/>
      <c r="T96" s="574"/>
      <c r="U96" s="575"/>
      <c r="V96" s="575"/>
      <c r="W96" s="575"/>
      <c r="X96" s="579"/>
      <c r="Y96" s="579"/>
      <c r="Z96" s="579"/>
      <c r="AA96" s="579"/>
      <c r="AC96" s="599"/>
      <c r="AD96" s="585"/>
      <c r="AE96" s="585"/>
      <c r="AF96" s="585"/>
      <c r="AG96" s="585"/>
      <c r="AH96" s="585"/>
      <c r="AI96" s="585"/>
      <c r="AJ96" s="585"/>
      <c r="AK96" s="585"/>
      <c r="AL96" s="585"/>
    </row>
    <row r="97" spans="1:38" ht="13" customHeight="1">
      <c r="A97" s="564">
        <v>83</v>
      </c>
      <c r="B97" s="564" t="s">
        <v>114</v>
      </c>
      <c r="C97" s="564" t="s">
        <v>61</v>
      </c>
      <c r="D97" s="564" t="s">
        <v>62</v>
      </c>
      <c r="E97" s="564">
        <v>1200</v>
      </c>
      <c r="F97" s="564" t="s">
        <v>493</v>
      </c>
      <c r="G97" s="564" t="s">
        <v>52</v>
      </c>
      <c r="H97" s="564" t="s">
        <v>76</v>
      </c>
      <c r="I97" s="564">
        <v>0.5</v>
      </c>
      <c r="J97" s="564" t="s">
        <v>77</v>
      </c>
      <c r="K97" s="564">
        <v>1990</v>
      </c>
      <c r="L97" s="564" t="s">
        <v>140</v>
      </c>
      <c r="M97" s="564" t="s">
        <v>704</v>
      </c>
      <c r="N97" s="633" t="s">
        <v>122</v>
      </c>
      <c r="O97" s="634" t="s">
        <v>38</v>
      </c>
      <c r="P97" s="633" t="s">
        <v>38</v>
      </c>
      <c r="Q97" s="633" t="s">
        <v>38</v>
      </c>
      <c r="R97" s="633" t="s">
        <v>38</v>
      </c>
      <c r="S97" s="19"/>
      <c r="T97" s="574"/>
      <c r="U97" s="575"/>
      <c r="V97" s="575"/>
      <c r="W97" s="575"/>
      <c r="X97" s="579"/>
      <c r="Y97" s="579"/>
      <c r="Z97" s="579"/>
      <c r="AA97" s="579"/>
      <c r="AC97" s="599"/>
      <c r="AD97" s="585"/>
      <c r="AE97" s="585"/>
      <c r="AF97" s="585"/>
      <c r="AG97" s="585"/>
      <c r="AH97" s="585"/>
      <c r="AI97" s="585"/>
      <c r="AJ97" s="585"/>
      <c r="AK97" s="585"/>
      <c r="AL97" s="585"/>
    </row>
    <row r="98" spans="1:38" ht="13" customHeight="1">
      <c r="A98" s="564">
        <v>84</v>
      </c>
      <c r="B98" s="564" t="s">
        <v>144</v>
      </c>
      <c r="C98" s="564" t="s">
        <v>61</v>
      </c>
      <c r="D98" s="564" t="s">
        <v>62</v>
      </c>
      <c r="E98" s="564">
        <v>1200</v>
      </c>
      <c r="F98" s="564" t="s">
        <v>116</v>
      </c>
      <c r="G98" s="564" t="s">
        <v>52</v>
      </c>
      <c r="H98" s="564" t="s">
        <v>76</v>
      </c>
      <c r="I98" s="564">
        <v>8.6999999999999993</v>
      </c>
      <c r="J98" s="564" t="s">
        <v>77</v>
      </c>
      <c r="K98" s="564">
        <v>1990</v>
      </c>
      <c r="L98" s="564" t="s">
        <v>140</v>
      </c>
      <c r="M98" s="564"/>
      <c r="N98" s="633" t="s">
        <v>122</v>
      </c>
      <c r="O98" s="634" t="s">
        <v>38</v>
      </c>
      <c r="P98" s="633" t="s">
        <v>38</v>
      </c>
      <c r="Q98" s="633" t="s">
        <v>38</v>
      </c>
      <c r="R98" s="633" t="s">
        <v>38</v>
      </c>
      <c r="T98" s="574"/>
      <c r="U98" s="575"/>
      <c r="V98" s="575"/>
      <c r="W98" s="575"/>
      <c r="X98" s="579"/>
      <c r="Y98" s="579"/>
      <c r="Z98" s="579"/>
      <c r="AA98" s="579"/>
      <c r="AC98" s="599"/>
      <c r="AD98" s="585"/>
      <c r="AE98" s="585"/>
      <c r="AF98" s="585"/>
      <c r="AG98" s="585"/>
      <c r="AH98" s="585"/>
      <c r="AI98" s="585"/>
      <c r="AJ98" s="585"/>
      <c r="AK98" s="585"/>
      <c r="AL98" s="585"/>
    </row>
    <row r="99" spans="1:38" ht="38.65" customHeight="1">
      <c r="A99" s="564">
        <v>85</v>
      </c>
      <c r="B99" s="564" t="s">
        <v>114</v>
      </c>
      <c r="C99" s="564" t="s">
        <v>61</v>
      </c>
      <c r="D99" s="564" t="s">
        <v>62</v>
      </c>
      <c r="E99" s="564">
        <v>1200</v>
      </c>
      <c r="F99" s="564" t="s">
        <v>116</v>
      </c>
      <c r="G99" s="564" t="s">
        <v>52</v>
      </c>
      <c r="H99" s="564" t="s">
        <v>76</v>
      </c>
      <c r="I99" s="564">
        <v>8.6999999999999993</v>
      </c>
      <c r="J99" s="564" t="s">
        <v>77</v>
      </c>
      <c r="K99" s="564">
        <v>1990</v>
      </c>
      <c r="L99" s="564" t="s">
        <v>140</v>
      </c>
      <c r="M99" s="564"/>
      <c r="N99" s="633" t="s">
        <v>122</v>
      </c>
      <c r="O99" s="634" t="s">
        <v>38</v>
      </c>
      <c r="P99" s="633" t="s">
        <v>38</v>
      </c>
      <c r="Q99" s="633" t="s">
        <v>38</v>
      </c>
      <c r="R99" s="633" t="s">
        <v>38</v>
      </c>
      <c r="T99" s="574"/>
      <c r="U99" s="575"/>
      <c r="V99" s="575"/>
      <c r="W99" s="575"/>
      <c r="X99" s="579"/>
      <c r="Y99" s="579"/>
      <c r="Z99" s="579"/>
      <c r="AA99" s="579"/>
      <c r="AC99" s="600"/>
      <c r="AD99" s="580"/>
      <c r="AE99" s="575"/>
      <c r="AF99" s="579"/>
      <c r="AG99" s="575"/>
      <c r="AH99" s="575"/>
      <c r="AI99" s="581"/>
      <c r="AJ99" s="575"/>
      <c r="AK99" s="575"/>
      <c r="AL99" s="575"/>
    </row>
    <row r="100" spans="1:38" ht="38.65" customHeight="1">
      <c r="A100" s="564">
        <v>86</v>
      </c>
      <c r="B100" s="564" t="s">
        <v>144</v>
      </c>
      <c r="C100" s="564" t="s">
        <v>61</v>
      </c>
      <c r="D100" s="564" t="s">
        <v>62</v>
      </c>
      <c r="E100" s="564">
        <v>1200</v>
      </c>
      <c r="F100" s="564" t="s">
        <v>108</v>
      </c>
      <c r="G100" s="564" t="s">
        <v>52</v>
      </c>
      <c r="H100" s="564" t="s">
        <v>76</v>
      </c>
      <c r="I100" s="564">
        <v>60</v>
      </c>
      <c r="J100" s="564" t="s">
        <v>77</v>
      </c>
      <c r="K100" s="564">
        <v>1990</v>
      </c>
      <c r="L100" s="564" t="s">
        <v>140</v>
      </c>
      <c r="M100" s="564"/>
      <c r="N100" s="632" t="s">
        <v>708</v>
      </c>
      <c r="O100" s="564" t="s">
        <v>84</v>
      </c>
      <c r="P100" s="633" t="s">
        <v>38</v>
      </c>
      <c r="Q100" s="633" t="s">
        <v>38</v>
      </c>
      <c r="R100" s="633" t="s">
        <v>38</v>
      </c>
      <c r="S100" s="19"/>
      <c r="T100" s="574"/>
      <c r="U100" s="575"/>
      <c r="V100" s="575"/>
      <c r="W100" s="575"/>
      <c r="X100" s="579"/>
      <c r="Y100" s="579"/>
      <c r="Z100" s="579"/>
      <c r="AA100" s="579"/>
      <c r="AC100" s="600"/>
      <c r="AD100" s="580"/>
      <c r="AE100" s="575"/>
      <c r="AF100" s="579"/>
      <c r="AG100" s="575"/>
      <c r="AH100" s="575"/>
      <c r="AI100" s="575"/>
      <c r="AJ100" s="575"/>
      <c r="AK100" s="575"/>
      <c r="AL100" s="575"/>
    </row>
    <row r="101" spans="1:38" ht="38.65" customHeight="1">
      <c r="A101" s="564">
        <v>87</v>
      </c>
      <c r="B101" s="564" t="s">
        <v>114</v>
      </c>
      <c r="C101" s="564" t="s">
        <v>61</v>
      </c>
      <c r="D101" s="564" t="s">
        <v>62</v>
      </c>
      <c r="E101" s="564">
        <v>1200</v>
      </c>
      <c r="F101" s="564" t="s">
        <v>108</v>
      </c>
      <c r="G101" s="564" t="s">
        <v>52</v>
      </c>
      <c r="H101" s="564" t="s">
        <v>76</v>
      </c>
      <c r="I101" s="564">
        <v>60</v>
      </c>
      <c r="J101" s="564" t="s">
        <v>77</v>
      </c>
      <c r="K101" s="564">
        <v>1990</v>
      </c>
      <c r="L101" s="564" t="s">
        <v>140</v>
      </c>
      <c r="M101" s="564"/>
      <c r="N101" s="632" t="s">
        <v>708</v>
      </c>
      <c r="O101" s="564" t="s">
        <v>84</v>
      </c>
      <c r="P101" s="633" t="s">
        <v>38</v>
      </c>
      <c r="Q101" s="633" t="s">
        <v>38</v>
      </c>
      <c r="R101" s="633" t="s">
        <v>38</v>
      </c>
      <c r="S101" s="19"/>
      <c r="T101" s="574"/>
      <c r="U101" s="575"/>
      <c r="V101" s="575"/>
      <c r="W101" s="575"/>
      <c r="X101" s="579"/>
      <c r="Y101" s="579"/>
      <c r="Z101" s="579"/>
      <c r="AA101" s="579"/>
      <c r="AC101" s="600"/>
      <c r="AD101" s="580"/>
      <c r="AE101" s="575"/>
      <c r="AF101" s="579"/>
      <c r="AG101" s="575"/>
      <c r="AH101" s="575"/>
      <c r="AI101" s="575"/>
      <c r="AJ101" s="575"/>
      <c r="AK101" s="575"/>
      <c r="AL101" s="575"/>
    </row>
    <row r="102" spans="1:38" ht="38.65" customHeight="1">
      <c r="A102" s="564">
        <v>77</v>
      </c>
      <c r="B102" s="564" t="s">
        <v>139</v>
      </c>
      <c r="C102" s="564" t="s">
        <v>61</v>
      </c>
      <c r="D102" s="564" t="s">
        <v>62</v>
      </c>
      <c r="E102" s="564">
        <v>1200</v>
      </c>
      <c r="F102" s="564" t="s">
        <v>31</v>
      </c>
      <c r="G102" s="564" t="s">
        <v>52</v>
      </c>
      <c r="H102" s="564" t="s">
        <v>33</v>
      </c>
      <c r="I102" s="564">
        <f>3410000000-(557*1000000)</f>
        <v>2853000000</v>
      </c>
      <c r="J102" s="564" t="s">
        <v>34</v>
      </c>
      <c r="K102" s="564">
        <v>1990</v>
      </c>
      <c r="L102" s="564" t="s">
        <v>140</v>
      </c>
      <c r="M102" s="564" t="s">
        <v>141</v>
      </c>
      <c r="N102" s="632" t="s">
        <v>708</v>
      </c>
      <c r="O102" s="564" t="s">
        <v>84</v>
      </c>
      <c r="P102" s="633" t="s">
        <v>38</v>
      </c>
      <c r="Q102" s="564">
        <f>557*1000000</f>
        <v>557000000</v>
      </c>
      <c r="R102" s="633" t="s">
        <v>38</v>
      </c>
      <c r="S102" s="19"/>
      <c r="T102" s="574"/>
      <c r="U102" s="575"/>
      <c r="V102" s="575"/>
      <c r="W102" s="575"/>
      <c r="X102" s="579"/>
      <c r="Y102" s="579"/>
      <c r="Z102" s="579"/>
      <c r="AA102" s="579"/>
      <c r="AC102" s="600"/>
      <c r="AD102" s="580"/>
      <c r="AE102" s="575"/>
      <c r="AF102" s="579"/>
      <c r="AG102" s="575"/>
      <c r="AH102" s="575"/>
      <c r="AI102" s="575"/>
      <c r="AJ102" s="575"/>
      <c r="AK102" s="575"/>
      <c r="AL102" s="575"/>
    </row>
    <row r="103" spans="1:38" ht="38.65" customHeight="1">
      <c r="A103" s="564">
        <v>78</v>
      </c>
      <c r="B103" s="564" t="s">
        <v>143</v>
      </c>
      <c r="C103" s="564" t="s">
        <v>61</v>
      </c>
      <c r="D103" s="564" t="s">
        <v>62</v>
      </c>
      <c r="E103" s="564">
        <v>1200</v>
      </c>
      <c r="F103" s="564" t="s">
        <v>31</v>
      </c>
      <c r="G103" s="564" t="s">
        <v>52</v>
      </c>
      <c r="H103" s="564" t="s">
        <v>33</v>
      </c>
      <c r="I103" s="564">
        <f>3016000000-(469*1000000)</f>
        <v>2547000000</v>
      </c>
      <c r="J103" s="564" t="s">
        <v>34</v>
      </c>
      <c r="K103" s="564">
        <v>1990</v>
      </c>
      <c r="L103" s="564" t="s">
        <v>140</v>
      </c>
      <c r="M103" s="564" t="s">
        <v>141</v>
      </c>
      <c r="N103" s="632" t="s">
        <v>708</v>
      </c>
      <c r="O103" s="564" t="s">
        <v>84</v>
      </c>
      <c r="P103" s="633" t="s">
        <v>38</v>
      </c>
      <c r="Q103" s="564">
        <f>469*1000000</f>
        <v>469000000</v>
      </c>
      <c r="R103" s="633" t="s">
        <v>38</v>
      </c>
      <c r="S103" s="19"/>
      <c r="T103" s="574"/>
      <c r="U103" s="575"/>
      <c r="V103" s="575"/>
      <c r="W103" s="575"/>
      <c r="X103" s="579"/>
      <c r="Y103" s="579"/>
      <c r="Z103" s="579"/>
      <c r="AA103" s="579"/>
      <c r="AC103" s="600"/>
      <c r="AD103" s="580"/>
      <c r="AE103" s="575"/>
      <c r="AF103" s="579"/>
      <c r="AG103" s="575"/>
      <c r="AH103" s="575"/>
      <c r="AI103" s="575"/>
      <c r="AJ103" s="575"/>
      <c r="AK103" s="575"/>
      <c r="AL103" s="575"/>
    </row>
    <row r="104" spans="1:38" ht="38.65" customHeight="1">
      <c r="A104" s="564">
        <v>79</v>
      </c>
      <c r="B104" s="564" t="s">
        <v>114</v>
      </c>
      <c r="C104" s="564" t="s">
        <v>61</v>
      </c>
      <c r="D104" s="564" t="s">
        <v>62</v>
      </c>
      <c r="E104" s="564">
        <v>1200</v>
      </c>
      <c r="F104" s="564" t="s">
        <v>31</v>
      </c>
      <c r="G104" s="564" t="s">
        <v>52</v>
      </c>
      <c r="H104" s="564" t="s">
        <v>33</v>
      </c>
      <c r="I104" s="564">
        <v>4092000000</v>
      </c>
      <c r="J104" s="564" t="s">
        <v>34</v>
      </c>
      <c r="K104" s="564">
        <v>1990</v>
      </c>
      <c r="L104" s="564" t="s">
        <v>140</v>
      </c>
      <c r="M104" s="564" t="s">
        <v>141</v>
      </c>
      <c r="N104" s="632" t="s">
        <v>708</v>
      </c>
      <c r="O104" s="564" t="s">
        <v>84</v>
      </c>
      <c r="P104" s="633" t="s">
        <v>38</v>
      </c>
      <c r="Q104" s="564">
        <f>636*1000000</f>
        <v>636000000</v>
      </c>
      <c r="R104" s="633" t="s">
        <v>38</v>
      </c>
      <c r="S104" s="19"/>
      <c r="T104" s="574"/>
      <c r="U104" s="575"/>
      <c r="V104" s="575"/>
      <c r="W104" s="575"/>
      <c r="X104" s="579"/>
      <c r="Y104" s="579"/>
      <c r="Z104" s="579"/>
      <c r="AA104" s="579"/>
      <c r="AC104" s="600"/>
      <c r="AD104" s="580"/>
      <c r="AE104" s="575"/>
      <c r="AF104" s="579"/>
      <c r="AG104" s="575"/>
      <c r="AH104" s="575"/>
      <c r="AI104" s="575"/>
      <c r="AJ104" s="575"/>
      <c r="AK104" s="575"/>
      <c r="AL104" s="575"/>
    </row>
    <row r="105" spans="1:38" ht="38.65" customHeight="1">
      <c r="A105" s="564">
        <v>101</v>
      </c>
      <c r="B105" s="567" t="s">
        <v>170</v>
      </c>
      <c r="C105" s="564" t="s">
        <v>61</v>
      </c>
      <c r="D105" s="564" t="s">
        <v>113</v>
      </c>
      <c r="E105" s="564">
        <v>1200</v>
      </c>
      <c r="F105" s="564" t="s">
        <v>31</v>
      </c>
      <c r="G105" s="564" t="s">
        <v>52</v>
      </c>
      <c r="H105" s="564" t="s">
        <v>33</v>
      </c>
      <c r="I105" s="564">
        <v>1566300000</v>
      </c>
      <c r="J105" s="564" t="s">
        <v>34</v>
      </c>
      <c r="K105" s="564">
        <v>1986</v>
      </c>
      <c r="L105" s="564" t="s">
        <v>147</v>
      </c>
      <c r="M105" s="565" t="s">
        <v>171</v>
      </c>
      <c r="N105" s="641" t="s">
        <v>709</v>
      </c>
      <c r="O105" s="564" t="s">
        <v>84</v>
      </c>
      <c r="P105" s="633" t="s">
        <v>38</v>
      </c>
      <c r="Q105" s="564">
        <v>234900000</v>
      </c>
      <c r="R105" s="633" t="s">
        <v>38</v>
      </c>
      <c r="S105" s="19"/>
      <c r="T105" s="574"/>
      <c r="U105" s="575"/>
      <c r="V105" s="575"/>
      <c r="W105" s="575"/>
      <c r="X105" s="579"/>
      <c r="Y105" s="579"/>
      <c r="Z105" s="579"/>
      <c r="AA105" s="579"/>
      <c r="AC105" s="600"/>
      <c r="AD105" s="580"/>
      <c r="AE105" s="575"/>
      <c r="AF105" s="579"/>
      <c r="AG105" s="575"/>
      <c r="AH105" s="575"/>
      <c r="AI105" s="575"/>
      <c r="AJ105" s="575"/>
      <c r="AK105" s="575"/>
      <c r="AL105" s="575"/>
    </row>
    <row r="106" spans="1:38" ht="13" customHeight="1">
      <c r="A106" s="564">
        <v>102</v>
      </c>
      <c r="B106" s="567" t="s">
        <v>172</v>
      </c>
      <c r="C106" s="564" t="s">
        <v>61</v>
      </c>
      <c r="D106" s="564" t="s">
        <v>113</v>
      </c>
      <c r="E106" s="564">
        <v>1200</v>
      </c>
      <c r="F106" s="564" t="s">
        <v>31</v>
      </c>
      <c r="G106" s="564" t="s">
        <v>52</v>
      </c>
      <c r="H106" s="564" t="s">
        <v>33</v>
      </c>
      <c r="I106" s="564">
        <v>1589200000</v>
      </c>
      <c r="J106" s="564" t="s">
        <v>34</v>
      </c>
      <c r="K106" s="564">
        <v>1986</v>
      </c>
      <c r="L106" s="564" t="s">
        <v>147</v>
      </c>
      <c r="M106" s="565" t="s">
        <v>173</v>
      </c>
      <c r="N106" s="641" t="s">
        <v>709</v>
      </c>
      <c r="O106" s="564" t="s">
        <v>84</v>
      </c>
      <c r="P106" s="633" t="s">
        <v>38</v>
      </c>
      <c r="Q106" s="564">
        <v>238400000</v>
      </c>
      <c r="R106" s="633" t="s">
        <v>38</v>
      </c>
      <c r="S106" s="19"/>
      <c r="T106" s="576"/>
      <c r="U106" s="575"/>
      <c r="V106" s="575"/>
      <c r="W106" s="575"/>
      <c r="AC106" s="599"/>
      <c r="AD106" s="585"/>
      <c r="AE106" s="585"/>
      <c r="AF106" s="585"/>
      <c r="AG106" s="585"/>
      <c r="AH106" s="585"/>
      <c r="AI106" s="585"/>
      <c r="AJ106" s="585"/>
      <c r="AK106" s="585"/>
      <c r="AL106" s="585"/>
    </row>
    <row r="107" spans="1:38" ht="13" customHeight="1">
      <c r="A107" s="564">
        <v>133</v>
      </c>
      <c r="B107" s="567" t="s">
        <v>170</v>
      </c>
      <c r="C107" s="564" t="s">
        <v>61</v>
      </c>
      <c r="D107" s="564" t="s">
        <v>113</v>
      </c>
      <c r="E107" s="564">
        <v>1200</v>
      </c>
      <c r="F107" s="564" t="s">
        <v>75</v>
      </c>
      <c r="G107" s="564" t="s">
        <v>52</v>
      </c>
      <c r="H107" s="564" t="s">
        <v>76</v>
      </c>
      <c r="I107" s="564">
        <v>37.69</v>
      </c>
      <c r="J107" s="564" t="s">
        <v>77</v>
      </c>
      <c r="K107" s="564">
        <v>1986</v>
      </c>
      <c r="L107" s="564" t="s">
        <v>147</v>
      </c>
      <c r="M107" s="565" t="s">
        <v>186</v>
      </c>
      <c r="N107" s="641" t="s">
        <v>709</v>
      </c>
      <c r="O107" s="564" t="s">
        <v>84</v>
      </c>
      <c r="P107" s="633" t="s">
        <v>38</v>
      </c>
      <c r="Q107" s="633" t="s">
        <v>38</v>
      </c>
      <c r="R107" s="633" t="s">
        <v>38</v>
      </c>
      <c r="S107" s="19"/>
      <c r="T107" s="576"/>
      <c r="U107" s="593"/>
      <c r="V107" s="593"/>
      <c r="W107" s="593"/>
      <c r="AC107" s="599"/>
      <c r="AD107" s="585"/>
      <c r="AE107" s="585"/>
      <c r="AF107" s="585"/>
      <c r="AG107" s="585"/>
      <c r="AH107" s="585"/>
      <c r="AI107" s="585"/>
      <c r="AJ107" s="585"/>
      <c r="AK107" s="585"/>
      <c r="AL107" s="585"/>
    </row>
    <row r="108" spans="1:38" ht="13" customHeight="1">
      <c r="A108" s="564">
        <v>136</v>
      </c>
      <c r="B108" s="567" t="s">
        <v>172</v>
      </c>
      <c r="C108" s="564" t="s">
        <v>61</v>
      </c>
      <c r="D108" s="564" t="s">
        <v>113</v>
      </c>
      <c r="E108" s="564">
        <v>1200</v>
      </c>
      <c r="F108" s="564" t="s">
        <v>75</v>
      </c>
      <c r="G108" s="564" t="s">
        <v>52</v>
      </c>
      <c r="H108" s="564" t="s">
        <v>76</v>
      </c>
      <c r="I108" s="564">
        <v>37.299999999999997</v>
      </c>
      <c r="J108" s="564" t="s">
        <v>77</v>
      </c>
      <c r="K108" s="564">
        <v>1986</v>
      </c>
      <c r="L108" s="564" t="s">
        <v>147</v>
      </c>
      <c r="M108" s="565" t="s">
        <v>186</v>
      </c>
      <c r="N108" s="641" t="s">
        <v>709</v>
      </c>
      <c r="O108" s="564" t="s">
        <v>84</v>
      </c>
      <c r="P108" s="633" t="s">
        <v>38</v>
      </c>
      <c r="Q108" s="633" t="s">
        <v>38</v>
      </c>
      <c r="R108" s="633" t="s">
        <v>38</v>
      </c>
      <c r="S108" s="19"/>
      <c r="T108" s="576"/>
      <c r="U108" s="593"/>
      <c r="V108" s="593"/>
      <c r="W108" s="593"/>
      <c r="AC108" s="599"/>
      <c r="AD108" s="585"/>
      <c r="AE108" s="585"/>
      <c r="AF108" s="585"/>
      <c r="AG108" s="585"/>
      <c r="AH108" s="585"/>
      <c r="AI108" s="585"/>
      <c r="AJ108" s="585"/>
      <c r="AK108" s="585"/>
      <c r="AL108" s="585"/>
    </row>
    <row r="109" spans="1:38" ht="13" customHeight="1">
      <c r="A109" s="564">
        <v>88</v>
      </c>
      <c r="B109" s="564" t="s">
        <v>146</v>
      </c>
      <c r="C109" s="564" t="s">
        <v>61</v>
      </c>
      <c r="D109" s="564" t="s">
        <v>62</v>
      </c>
      <c r="E109" s="564">
        <v>1200</v>
      </c>
      <c r="F109" s="564" t="s">
        <v>690</v>
      </c>
      <c r="G109" s="564" t="s">
        <v>52</v>
      </c>
      <c r="H109" s="564" t="s">
        <v>33</v>
      </c>
      <c r="I109" s="564">
        <f>(6.83*1000000)</f>
        <v>6830000</v>
      </c>
      <c r="J109" s="564" t="s">
        <v>34</v>
      </c>
      <c r="K109" s="564">
        <v>1986</v>
      </c>
      <c r="L109" s="564" t="s">
        <v>147</v>
      </c>
      <c r="M109" s="565" t="s">
        <v>689</v>
      </c>
      <c r="N109" s="633" t="s">
        <v>122</v>
      </c>
      <c r="O109" s="634" t="s">
        <v>38</v>
      </c>
      <c r="P109" s="633" t="s">
        <v>38</v>
      </c>
      <c r="Q109" s="633" t="s">
        <v>38</v>
      </c>
      <c r="R109" s="633" t="s">
        <v>38</v>
      </c>
      <c r="S109" s="19"/>
      <c r="T109" s="576"/>
      <c r="U109" s="593"/>
      <c r="V109" s="593"/>
      <c r="W109" s="593"/>
      <c r="AC109" s="599"/>
      <c r="AD109" s="585"/>
      <c r="AE109" s="585"/>
      <c r="AF109" s="585"/>
      <c r="AG109" s="585"/>
      <c r="AH109" s="585"/>
      <c r="AI109" s="585"/>
      <c r="AJ109" s="585"/>
      <c r="AK109" s="585"/>
      <c r="AL109" s="585"/>
    </row>
    <row r="110" spans="1:38" ht="13" customHeight="1">
      <c r="A110" s="564">
        <v>89</v>
      </c>
      <c r="B110" s="564" t="s">
        <v>146</v>
      </c>
      <c r="C110" s="564" t="s">
        <v>61</v>
      </c>
      <c r="D110" s="564" t="s">
        <v>62</v>
      </c>
      <c r="E110" s="564">
        <v>1200</v>
      </c>
      <c r="F110" s="564" t="s">
        <v>116</v>
      </c>
      <c r="G110" s="564" t="s">
        <v>52</v>
      </c>
      <c r="H110" s="564" t="s">
        <v>33</v>
      </c>
      <c r="I110" s="564">
        <f>60610000+(5.3*1000000)</f>
        <v>65910000</v>
      </c>
      <c r="J110" s="564" t="s">
        <v>34</v>
      </c>
      <c r="K110" s="564">
        <v>1986</v>
      </c>
      <c r="L110" s="564" t="s">
        <v>147</v>
      </c>
      <c r="M110" s="565" t="s">
        <v>148</v>
      </c>
      <c r="N110" s="633" t="s">
        <v>122</v>
      </c>
      <c r="O110" s="634" t="s">
        <v>38</v>
      </c>
      <c r="P110" s="633" t="s">
        <v>38</v>
      </c>
      <c r="Q110" s="633" t="s">
        <v>38</v>
      </c>
      <c r="R110" s="633" t="s">
        <v>38</v>
      </c>
      <c r="S110" s="19"/>
      <c r="T110" s="576"/>
      <c r="U110" s="593"/>
      <c r="V110" s="593"/>
      <c r="W110" s="593"/>
      <c r="AC110" s="599"/>
      <c r="AD110" s="585"/>
      <c r="AE110" s="585"/>
      <c r="AF110" s="585"/>
      <c r="AG110" s="585"/>
      <c r="AH110" s="585"/>
      <c r="AI110" s="585"/>
      <c r="AJ110" s="585"/>
      <c r="AK110" s="585"/>
      <c r="AL110" s="585"/>
    </row>
    <row r="111" spans="1:38" ht="13" customHeight="1">
      <c r="A111" s="564">
        <v>90</v>
      </c>
      <c r="B111" s="564" t="s">
        <v>146</v>
      </c>
      <c r="C111" s="564" t="s">
        <v>61</v>
      </c>
      <c r="D111" s="564" t="s">
        <v>62</v>
      </c>
      <c r="E111" s="564">
        <v>1200</v>
      </c>
      <c r="F111" s="564" t="s">
        <v>31</v>
      </c>
      <c r="G111" s="564" t="s">
        <v>52</v>
      </c>
      <c r="H111" s="564" t="s">
        <v>33</v>
      </c>
      <c r="I111" s="564">
        <f>2273.1*1000000</f>
        <v>2273100000</v>
      </c>
      <c r="J111" s="564" t="s">
        <v>34</v>
      </c>
      <c r="K111" s="564">
        <v>1986</v>
      </c>
      <c r="L111" s="564" t="s">
        <v>147</v>
      </c>
      <c r="M111" s="565" t="s">
        <v>158</v>
      </c>
      <c r="N111" s="641" t="s">
        <v>709</v>
      </c>
      <c r="O111" s="564" t="s">
        <v>84</v>
      </c>
      <c r="P111" s="633" t="s">
        <v>38</v>
      </c>
      <c r="Q111" s="564">
        <v>341000000</v>
      </c>
      <c r="R111" s="633" t="s">
        <v>38</v>
      </c>
      <c r="S111" s="19"/>
      <c r="T111" s="576"/>
      <c r="U111" s="593"/>
      <c r="V111" s="593"/>
      <c r="W111" s="593"/>
      <c r="AC111" s="599"/>
      <c r="AD111" s="585"/>
      <c r="AE111" s="585"/>
      <c r="AF111" s="585"/>
      <c r="AG111" s="585"/>
      <c r="AH111" s="585"/>
      <c r="AI111" s="585"/>
      <c r="AJ111" s="585"/>
      <c r="AK111" s="585"/>
      <c r="AL111" s="585"/>
    </row>
    <row r="112" spans="1:38" ht="13" customHeight="1">
      <c r="A112" s="564">
        <v>91</v>
      </c>
      <c r="B112" s="564" t="s">
        <v>146</v>
      </c>
      <c r="C112" s="564" t="s">
        <v>61</v>
      </c>
      <c r="D112" s="564" t="s">
        <v>62</v>
      </c>
      <c r="E112" s="564">
        <v>1200</v>
      </c>
      <c r="F112" s="564" t="s">
        <v>63</v>
      </c>
      <c r="G112" s="564" t="s">
        <v>52</v>
      </c>
      <c r="H112" s="564" t="s">
        <v>76</v>
      </c>
      <c r="I112" s="564">
        <f>(2.43*1000000)/(0.65*8760*1200)</f>
        <v>0.35563751317175973</v>
      </c>
      <c r="J112" s="564" t="s">
        <v>128</v>
      </c>
      <c r="K112" s="564">
        <v>1986</v>
      </c>
      <c r="L112" s="564" t="s">
        <v>147</v>
      </c>
      <c r="M112" s="565" t="s">
        <v>159</v>
      </c>
      <c r="N112" s="633" t="s">
        <v>122</v>
      </c>
      <c r="O112" s="634" t="s">
        <v>38</v>
      </c>
      <c r="P112" s="633" t="s">
        <v>38</v>
      </c>
      <c r="Q112" s="633" t="s">
        <v>38</v>
      </c>
      <c r="R112" s="633" t="s">
        <v>38</v>
      </c>
      <c r="S112" s="19"/>
      <c r="T112" s="576"/>
      <c r="U112" s="593"/>
      <c r="V112" s="593"/>
      <c r="W112" s="593"/>
      <c r="AC112" s="599"/>
      <c r="AD112" s="585"/>
      <c r="AE112" s="585"/>
      <c r="AF112" s="585"/>
      <c r="AG112" s="585"/>
      <c r="AH112" s="585"/>
      <c r="AI112" s="585"/>
      <c r="AJ112" s="585"/>
      <c r="AK112" s="585"/>
      <c r="AL112" s="585"/>
    </row>
    <row r="113" spans="1:49" ht="13" customHeight="1">
      <c r="A113" s="564">
        <v>92</v>
      </c>
      <c r="B113" s="564" t="s">
        <v>146</v>
      </c>
      <c r="C113" s="564" t="s">
        <v>61</v>
      </c>
      <c r="D113" s="564" t="s">
        <v>62</v>
      </c>
      <c r="E113" s="564">
        <v>1200</v>
      </c>
      <c r="F113" s="564" t="s">
        <v>115</v>
      </c>
      <c r="G113" s="564" t="s">
        <v>52</v>
      </c>
      <c r="H113" s="564" t="s">
        <v>33</v>
      </c>
      <c r="I113" s="564">
        <f>62930000-((2.43+5.3+6.83)*1000000)</f>
        <v>48370000</v>
      </c>
      <c r="J113" s="564" t="s">
        <v>34</v>
      </c>
      <c r="K113" s="564">
        <v>1986</v>
      </c>
      <c r="L113" s="564" t="s">
        <v>147</v>
      </c>
      <c r="M113" s="565" t="s">
        <v>691</v>
      </c>
      <c r="N113" s="633" t="s">
        <v>122</v>
      </c>
      <c r="O113" s="634" t="s">
        <v>38</v>
      </c>
      <c r="P113" s="633" t="s">
        <v>38</v>
      </c>
      <c r="Q113" s="633" t="s">
        <v>38</v>
      </c>
      <c r="R113" s="633" t="s">
        <v>38</v>
      </c>
      <c r="S113" s="19"/>
      <c r="T113" s="576"/>
      <c r="U113" s="593"/>
      <c r="V113" s="593"/>
      <c r="W113" s="593"/>
      <c r="AC113" s="599"/>
      <c r="AD113" s="585"/>
      <c r="AE113" s="585"/>
      <c r="AF113" s="585"/>
      <c r="AG113" s="585"/>
      <c r="AH113" s="585"/>
      <c r="AI113" s="585"/>
      <c r="AJ113" s="585"/>
      <c r="AK113" s="585"/>
      <c r="AL113" s="585"/>
    </row>
    <row r="114" spans="1:49" ht="13" customHeight="1">
      <c r="A114" s="564">
        <v>93</v>
      </c>
      <c r="B114" s="564" t="s">
        <v>146</v>
      </c>
      <c r="C114" s="567" t="s">
        <v>61</v>
      </c>
      <c r="D114" s="567" t="s">
        <v>62</v>
      </c>
      <c r="E114" s="567">
        <v>1200</v>
      </c>
      <c r="F114" s="567" t="s">
        <v>669</v>
      </c>
      <c r="G114" s="564" t="s">
        <v>52</v>
      </c>
      <c r="H114" s="567" t="s">
        <v>33</v>
      </c>
      <c r="I114" s="567">
        <f>57.7*1000000</f>
        <v>57700000</v>
      </c>
      <c r="J114" s="567" t="s">
        <v>34</v>
      </c>
      <c r="K114" s="567">
        <v>1986</v>
      </c>
      <c r="L114" s="567" t="s">
        <v>147</v>
      </c>
      <c r="M114" s="635" t="s">
        <v>162</v>
      </c>
      <c r="N114" s="633" t="s">
        <v>122</v>
      </c>
      <c r="O114" s="634" t="s">
        <v>38</v>
      </c>
      <c r="P114" s="633" t="s">
        <v>38</v>
      </c>
      <c r="Q114" s="633" t="s">
        <v>38</v>
      </c>
      <c r="R114" s="633" t="s">
        <v>38</v>
      </c>
      <c r="S114" s="19"/>
      <c r="T114" s="576"/>
      <c r="U114" s="593"/>
      <c r="V114" s="593"/>
      <c r="W114" s="593"/>
      <c r="AC114" s="599"/>
      <c r="AD114" s="585"/>
      <c r="AE114" s="585"/>
      <c r="AF114" s="585"/>
      <c r="AG114" s="585"/>
      <c r="AH114" s="585"/>
      <c r="AI114" s="585"/>
      <c r="AJ114" s="585"/>
      <c r="AK114" s="585"/>
      <c r="AL114" s="585"/>
    </row>
    <row r="115" spans="1:49" ht="13" customHeight="1">
      <c r="A115" s="564">
        <v>94</v>
      </c>
      <c r="B115" s="564" t="s">
        <v>146</v>
      </c>
      <c r="C115" s="567" t="s">
        <v>61</v>
      </c>
      <c r="D115" s="567" t="s">
        <v>62</v>
      </c>
      <c r="E115" s="567">
        <v>1200</v>
      </c>
      <c r="F115" s="567" t="s">
        <v>670</v>
      </c>
      <c r="G115" s="564" t="s">
        <v>52</v>
      </c>
      <c r="H115" s="567" t="s">
        <v>76</v>
      </c>
      <c r="I115" s="567">
        <v>0.44</v>
      </c>
      <c r="J115" s="567" t="s">
        <v>77</v>
      </c>
      <c r="K115" s="567">
        <v>1986</v>
      </c>
      <c r="L115" s="567" t="s">
        <v>147</v>
      </c>
      <c r="M115" s="635" t="s">
        <v>162</v>
      </c>
      <c r="N115" s="633" t="s">
        <v>122</v>
      </c>
      <c r="O115" s="634" t="s">
        <v>38</v>
      </c>
      <c r="P115" s="633" t="s">
        <v>38</v>
      </c>
      <c r="Q115" s="633" t="s">
        <v>38</v>
      </c>
      <c r="R115" s="633" t="s">
        <v>38</v>
      </c>
      <c r="S115" s="19"/>
      <c r="T115" s="576"/>
      <c r="U115" s="593"/>
      <c r="V115" s="593"/>
      <c r="W115" s="593"/>
      <c r="AC115" s="599"/>
      <c r="AD115" s="585"/>
      <c r="AE115" s="585"/>
      <c r="AF115" s="585"/>
      <c r="AG115" s="585"/>
      <c r="AH115" s="585"/>
      <c r="AI115" s="585"/>
      <c r="AJ115" s="585"/>
      <c r="AK115" s="585"/>
      <c r="AL115" s="585"/>
    </row>
    <row r="116" spans="1:49" ht="13" customHeight="1">
      <c r="A116" s="564">
        <v>95</v>
      </c>
      <c r="B116" s="567" t="s">
        <v>165</v>
      </c>
      <c r="C116" s="564" t="s">
        <v>61</v>
      </c>
      <c r="D116" s="564" t="s">
        <v>62</v>
      </c>
      <c r="E116" s="564">
        <v>1200</v>
      </c>
      <c r="F116" s="564" t="s">
        <v>690</v>
      </c>
      <c r="G116" s="564" t="s">
        <v>52</v>
      </c>
      <c r="H116" s="564" t="s">
        <v>33</v>
      </c>
      <c r="I116" s="564">
        <f>(6.83*1000000)</f>
        <v>6830000</v>
      </c>
      <c r="J116" s="564" t="s">
        <v>34</v>
      </c>
      <c r="K116" s="564">
        <v>1986</v>
      </c>
      <c r="L116" s="564" t="s">
        <v>147</v>
      </c>
      <c r="M116" s="635" t="s">
        <v>689</v>
      </c>
      <c r="N116" s="633" t="s">
        <v>122</v>
      </c>
      <c r="O116" s="634" t="s">
        <v>38</v>
      </c>
      <c r="P116" s="633" t="s">
        <v>38</v>
      </c>
      <c r="Q116" s="633" t="s">
        <v>38</v>
      </c>
      <c r="R116" s="633"/>
      <c r="S116" s="19"/>
      <c r="T116" s="576"/>
      <c r="U116" s="593"/>
      <c r="V116" s="593"/>
      <c r="W116" s="593"/>
      <c r="AC116" s="599"/>
      <c r="AD116" s="585"/>
      <c r="AE116" s="585"/>
      <c r="AF116" s="585"/>
      <c r="AG116" s="585"/>
      <c r="AH116" s="585"/>
      <c r="AI116" s="585"/>
      <c r="AJ116" s="585"/>
      <c r="AK116" s="585"/>
      <c r="AL116" s="585"/>
    </row>
    <row r="117" spans="1:49" ht="13" customHeight="1">
      <c r="A117" s="564">
        <v>96</v>
      </c>
      <c r="B117" s="567" t="s">
        <v>165</v>
      </c>
      <c r="C117" s="564" t="s">
        <v>61</v>
      </c>
      <c r="D117" s="564" t="s">
        <v>62</v>
      </c>
      <c r="E117" s="564">
        <v>1200</v>
      </c>
      <c r="F117" s="564" t="s">
        <v>115</v>
      </c>
      <c r="G117" s="564" t="s">
        <v>52</v>
      </c>
      <c r="H117" s="564" t="s">
        <v>33</v>
      </c>
      <c r="I117" s="564">
        <f>(36.49-2.43-6.76-6.83)*1000000</f>
        <v>20470000.000000007</v>
      </c>
      <c r="J117" s="564" t="s">
        <v>34</v>
      </c>
      <c r="K117" s="564">
        <v>1986</v>
      </c>
      <c r="L117" s="564" t="s">
        <v>147</v>
      </c>
      <c r="M117" s="565" t="s">
        <v>691</v>
      </c>
      <c r="N117" s="633" t="s">
        <v>122</v>
      </c>
      <c r="O117" s="634" t="s">
        <v>38</v>
      </c>
      <c r="P117" s="633" t="s">
        <v>38</v>
      </c>
      <c r="Q117" s="633" t="s">
        <v>38</v>
      </c>
      <c r="R117" s="633" t="s">
        <v>38</v>
      </c>
      <c r="S117" s="19"/>
      <c r="T117" s="576"/>
      <c r="U117" s="593"/>
      <c r="V117" s="593"/>
      <c r="W117" s="593"/>
      <c r="AC117" s="594"/>
      <c r="AD117" s="585"/>
      <c r="AE117" s="585"/>
      <c r="AF117" s="585"/>
      <c r="AG117" s="585"/>
      <c r="AH117" s="585"/>
      <c r="AI117" s="585"/>
      <c r="AJ117" s="585"/>
      <c r="AK117" s="585"/>
      <c r="AL117" s="585"/>
    </row>
    <row r="118" spans="1:49" ht="48.4" customHeight="1">
      <c r="A118" s="564">
        <v>97</v>
      </c>
      <c r="B118" s="567" t="s">
        <v>165</v>
      </c>
      <c r="C118" s="564" t="s">
        <v>61</v>
      </c>
      <c r="D118" s="564" t="s">
        <v>62</v>
      </c>
      <c r="E118" s="564">
        <v>1200</v>
      </c>
      <c r="F118" s="564" t="s">
        <v>63</v>
      </c>
      <c r="G118" s="564" t="s">
        <v>52</v>
      </c>
      <c r="H118" s="564" t="s">
        <v>76</v>
      </c>
      <c r="I118" s="564">
        <f>(2.43*1000000)/(0.65*8760*1200)</f>
        <v>0.35563751317175973</v>
      </c>
      <c r="J118" s="564" t="s">
        <v>128</v>
      </c>
      <c r="K118" s="564">
        <v>1986</v>
      </c>
      <c r="L118" s="564" t="s">
        <v>147</v>
      </c>
      <c r="M118" s="565" t="s">
        <v>159</v>
      </c>
      <c r="N118" s="633" t="s">
        <v>122</v>
      </c>
      <c r="O118" s="634" t="s">
        <v>38</v>
      </c>
      <c r="P118" s="633" t="s">
        <v>38</v>
      </c>
      <c r="Q118" s="633" t="s">
        <v>38</v>
      </c>
      <c r="R118" s="633" t="s">
        <v>38</v>
      </c>
      <c r="S118" s="19"/>
      <c r="T118" s="576"/>
      <c r="U118" s="593"/>
      <c r="V118" s="593"/>
      <c r="W118" s="593"/>
      <c r="AC118" s="601"/>
      <c r="AD118" s="582"/>
      <c r="AE118" s="582"/>
      <c r="AF118" s="583"/>
      <c r="AG118" s="582"/>
      <c r="AH118" s="575"/>
      <c r="AI118" s="575"/>
      <c r="AJ118" s="575"/>
      <c r="AK118" s="575"/>
      <c r="AL118" s="575"/>
    </row>
    <row r="119" spans="1:49" ht="51.6" customHeight="1">
      <c r="A119" s="564">
        <v>98</v>
      </c>
      <c r="B119" s="567" t="s">
        <v>165</v>
      </c>
      <c r="C119" s="564" t="s">
        <v>61</v>
      </c>
      <c r="D119" s="564" t="s">
        <v>62</v>
      </c>
      <c r="E119" s="564">
        <v>1200</v>
      </c>
      <c r="F119" s="564" t="s">
        <v>116</v>
      </c>
      <c r="G119" s="564" t="s">
        <v>52</v>
      </c>
      <c r="H119" s="564" t="s">
        <v>33</v>
      </c>
      <c r="I119" s="564">
        <f>(53.8+6.76)*1000000</f>
        <v>60559999.999999993</v>
      </c>
      <c r="J119" s="564" t="s">
        <v>34</v>
      </c>
      <c r="K119" s="564">
        <v>1986</v>
      </c>
      <c r="L119" s="564" t="s">
        <v>147</v>
      </c>
      <c r="M119" s="565" t="s">
        <v>148</v>
      </c>
      <c r="N119" s="633" t="s">
        <v>122</v>
      </c>
      <c r="O119" s="634" t="s">
        <v>38</v>
      </c>
      <c r="P119" s="633" t="s">
        <v>38</v>
      </c>
      <c r="Q119" s="633" t="s">
        <v>38</v>
      </c>
      <c r="R119" s="633" t="s">
        <v>38</v>
      </c>
      <c r="S119" s="19"/>
      <c r="T119" s="576"/>
      <c r="U119" s="593"/>
      <c r="V119" s="593"/>
      <c r="W119" s="593"/>
      <c r="AC119" s="601"/>
      <c r="AD119" s="582"/>
      <c r="AE119" s="582"/>
      <c r="AF119" s="583"/>
      <c r="AG119" s="582"/>
      <c r="AH119" s="575"/>
      <c r="AI119" s="575"/>
      <c r="AJ119" s="575"/>
      <c r="AK119" s="575"/>
      <c r="AL119" s="575"/>
    </row>
    <row r="120" spans="1:49" ht="42" customHeight="1">
      <c r="A120" s="564">
        <v>100</v>
      </c>
      <c r="B120" s="567" t="s">
        <v>170</v>
      </c>
      <c r="C120" s="564" t="s">
        <v>61</v>
      </c>
      <c r="D120" s="564" t="s">
        <v>113</v>
      </c>
      <c r="E120" s="564">
        <v>1200</v>
      </c>
      <c r="F120" s="564" t="s">
        <v>690</v>
      </c>
      <c r="G120" s="564" t="s">
        <v>52</v>
      </c>
      <c r="H120" s="564" t="s">
        <v>33</v>
      </c>
      <c r="I120" s="564">
        <f>(6.83*1000000)</f>
        <v>6830000</v>
      </c>
      <c r="J120" s="564" t="s">
        <v>34</v>
      </c>
      <c r="K120" s="564">
        <v>1986</v>
      </c>
      <c r="L120" s="564" t="s">
        <v>147</v>
      </c>
      <c r="M120" s="565" t="s">
        <v>689</v>
      </c>
      <c r="N120" s="633" t="s">
        <v>122</v>
      </c>
      <c r="O120" s="634" t="s">
        <v>38</v>
      </c>
      <c r="P120" s="633" t="s">
        <v>38</v>
      </c>
      <c r="Q120" s="633" t="s">
        <v>38</v>
      </c>
      <c r="R120" s="633"/>
      <c r="S120" s="19"/>
      <c r="T120" s="576"/>
      <c r="U120" s="593"/>
      <c r="V120" s="593"/>
      <c r="W120" s="593"/>
      <c r="AC120" s="579"/>
      <c r="AD120" s="582"/>
      <c r="AE120" s="582"/>
      <c r="AF120" s="583"/>
      <c r="AG120" s="582"/>
      <c r="AH120" s="575"/>
      <c r="AI120" s="575"/>
      <c r="AJ120" s="575"/>
      <c r="AK120" s="575"/>
      <c r="AL120" s="575"/>
    </row>
    <row r="121" spans="1:49" ht="92.65" customHeight="1">
      <c r="A121" s="564">
        <v>107</v>
      </c>
      <c r="B121" s="567" t="s">
        <v>170</v>
      </c>
      <c r="C121" s="564" t="s">
        <v>61</v>
      </c>
      <c r="D121" s="564" t="s">
        <v>113</v>
      </c>
      <c r="E121" s="564">
        <v>1200</v>
      </c>
      <c r="F121" s="564" t="s">
        <v>63</v>
      </c>
      <c r="G121" s="564" t="s">
        <v>52</v>
      </c>
      <c r="H121" s="564" t="s">
        <v>76</v>
      </c>
      <c r="I121" s="564">
        <f>(2.43*1000000)/(0.65*8760*1200)</f>
        <v>0.35563751317175973</v>
      </c>
      <c r="J121" s="564" t="s">
        <v>128</v>
      </c>
      <c r="K121" s="564">
        <v>1986</v>
      </c>
      <c r="L121" s="564" t="s">
        <v>147</v>
      </c>
      <c r="M121" s="565" t="s">
        <v>159</v>
      </c>
      <c r="N121" s="633" t="s">
        <v>122</v>
      </c>
      <c r="O121" s="634" t="s">
        <v>38</v>
      </c>
      <c r="P121" s="633" t="s">
        <v>38</v>
      </c>
      <c r="Q121" s="633" t="s">
        <v>38</v>
      </c>
      <c r="R121" s="633" t="s">
        <v>38</v>
      </c>
      <c r="S121" s="19"/>
      <c r="T121" s="576"/>
      <c r="U121" s="593"/>
      <c r="V121" s="593"/>
      <c r="W121" s="593"/>
      <c r="AC121" s="601"/>
      <c r="AD121" s="582"/>
      <c r="AE121" s="582"/>
      <c r="AF121" s="583"/>
      <c r="AG121" s="582"/>
      <c r="AH121" s="575"/>
      <c r="AI121" s="575"/>
      <c r="AJ121" s="575"/>
      <c r="AK121" s="575"/>
      <c r="AL121" s="575"/>
      <c r="AP121" s="602"/>
      <c r="AQ121" s="602"/>
      <c r="AR121" s="602"/>
      <c r="AS121" s="602"/>
      <c r="AT121" s="602"/>
      <c r="AU121" s="602"/>
      <c r="AV121" s="602"/>
      <c r="AW121" s="602"/>
    </row>
    <row r="122" spans="1:49" ht="51.6" customHeight="1">
      <c r="A122" s="564">
        <v>108</v>
      </c>
      <c r="B122" s="567" t="s">
        <v>170</v>
      </c>
      <c r="C122" s="564" t="s">
        <v>61</v>
      </c>
      <c r="D122" s="564" t="s">
        <v>113</v>
      </c>
      <c r="E122" s="564">
        <v>1200</v>
      </c>
      <c r="F122" s="564" t="s">
        <v>116</v>
      </c>
      <c r="G122" s="564" t="s">
        <v>52</v>
      </c>
      <c r="H122" s="564" t="s">
        <v>33</v>
      </c>
      <c r="I122" s="564">
        <f>(60.61+4.65)*1000000</f>
        <v>65260000.000000007</v>
      </c>
      <c r="J122" s="564" t="s">
        <v>34</v>
      </c>
      <c r="K122" s="564">
        <v>1986</v>
      </c>
      <c r="L122" s="564" t="s">
        <v>147</v>
      </c>
      <c r="M122" s="565" t="s">
        <v>148</v>
      </c>
      <c r="N122" s="633" t="s">
        <v>122</v>
      </c>
      <c r="O122" s="634" t="s">
        <v>38</v>
      </c>
      <c r="P122" s="633" t="s">
        <v>38</v>
      </c>
      <c r="Q122" s="633" t="s">
        <v>38</v>
      </c>
      <c r="R122" s="633" t="s">
        <v>38</v>
      </c>
      <c r="S122" s="19"/>
      <c r="T122" s="576"/>
      <c r="U122" s="593"/>
      <c r="V122" s="593"/>
      <c r="W122" s="593"/>
      <c r="AC122" s="601"/>
      <c r="AD122" s="582"/>
      <c r="AE122" s="582"/>
      <c r="AF122" s="583"/>
      <c r="AG122" s="582"/>
      <c r="AH122" s="575"/>
      <c r="AI122" s="575"/>
      <c r="AJ122" s="575"/>
      <c r="AK122" s="575"/>
      <c r="AL122" s="575"/>
    </row>
    <row r="123" spans="1:49" ht="51.6" customHeight="1">
      <c r="A123" s="564">
        <v>109</v>
      </c>
      <c r="B123" s="567" t="s">
        <v>170</v>
      </c>
      <c r="C123" s="564" t="s">
        <v>61</v>
      </c>
      <c r="D123" s="564" t="s">
        <v>113</v>
      </c>
      <c r="E123" s="564">
        <v>1200</v>
      </c>
      <c r="F123" s="564" t="s">
        <v>115</v>
      </c>
      <c r="G123" s="564" t="s">
        <v>52</v>
      </c>
      <c r="H123" s="564" t="s">
        <v>33</v>
      </c>
      <c r="I123" s="564">
        <f>(31.83-2.43-4.65-6.83)*1000000</f>
        <v>17920000</v>
      </c>
      <c r="J123" s="564" t="s">
        <v>34</v>
      </c>
      <c r="K123" s="564">
        <v>1986</v>
      </c>
      <c r="L123" s="564" t="s">
        <v>147</v>
      </c>
      <c r="M123" s="565" t="s">
        <v>691</v>
      </c>
      <c r="N123" s="633" t="s">
        <v>122</v>
      </c>
      <c r="O123" s="634" t="s">
        <v>38</v>
      </c>
      <c r="P123" s="633" t="s">
        <v>38</v>
      </c>
      <c r="Q123" s="633" t="s">
        <v>38</v>
      </c>
      <c r="R123" s="633" t="s">
        <v>38</v>
      </c>
      <c r="S123" s="19"/>
      <c r="T123" s="576"/>
      <c r="U123" s="593"/>
      <c r="V123" s="593"/>
      <c r="W123" s="593"/>
      <c r="AC123" s="601"/>
      <c r="AD123" s="582"/>
      <c r="AE123" s="582"/>
      <c r="AF123" s="583"/>
      <c r="AG123" s="582"/>
      <c r="AH123" s="575"/>
      <c r="AI123" s="575"/>
      <c r="AJ123" s="575"/>
      <c r="AK123" s="575"/>
      <c r="AL123" s="575"/>
      <c r="AP123" s="599"/>
      <c r="AQ123" s="599"/>
      <c r="AR123" s="599"/>
      <c r="AS123" s="599"/>
      <c r="AT123" s="599"/>
      <c r="AU123" s="599"/>
      <c r="AV123" s="599"/>
      <c r="AW123" s="599"/>
    </row>
    <row r="124" spans="1:49" ht="51.6" customHeight="1">
      <c r="A124" s="564">
        <v>110</v>
      </c>
      <c r="B124" s="567" t="s">
        <v>172</v>
      </c>
      <c r="C124" s="564" t="s">
        <v>61</v>
      </c>
      <c r="D124" s="564" t="s">
        <v>113</v>
      </c>
      <c r="E124" s="564">
        <v>1200</v>
      </c>
      <c r="F124" s="564" t="s">
        <v>690</v>
      </c>
      <c r="G124" s="564" t="s">
        <v>52</v>
      </c>
      <c r="H124" s="564" t="s">
        <v>33</v>
      </c>
      <c r="I124" s="564">
        <f>(6.83*1000000)</f>
        <v>6830000</v>
      </c>
      <c r="J124" s="564" t="s">
        <v>34</v>
      </c>
      <c r="K124" s="564">
        <v>1986</v>
      </c>
      <c r="L124" s="564" t="s">
        <v>147</v>
      </c>
      <c r="M124" s="565" t="s">
        <v>689</v>
      </c>
      <c r="N124" s="633" t="s">
        <v>122</v>
      </c>
      <c r="O124" s="634" t="s">
        <v>38</v>
      </c>
      <c r="P124" s="633" t="s">
        <v>38</v>
      </c>
      <c r="Q124" s="633" t="s">
        <v>38</v>
      </c>
      <c r="R124" s="633" t="s">
        <v>38</v>
      </c>
      <c r="S124" s="19"/>
      <c r="T124" s="576"/>
      <c r="U124" s="593"/>
      <c r="V124" s="593"/>
      <c r="W124" s="593"/>
      <c r="AC124" s="601"/>
      <c r="AD124" s="582"/>
      <c r="AE124" s="582"/>
      <c r="AF124" s="583"/>
      <c r="AG124" s="582"/>
      <c r="AH124" s="575"/>
      <c r="AI124" s="575"/>
      <c r="AJ124" s="575"/>
      <c r="AK124" s="575"/>
      <c r="AL124" s="575"/>
      <c r="AP124" s="594"/>
      <c r="AQ124" s="594"/>
      <c r="AR124" s="594"/>
      <c r="AS124" s="594"/>
      <c r="AT124" s="594"/>
      <c r="AU124" s="594"/>
      <c r="AV124" s="594"/>
      <c r="AW124" s="594"/>
    </row>
    <row r="125" spans="1:49" ht="51.6" customHeight="1">
      <c r="A125" s="564">
        <v>111</v>
      </c>
      <c r="B125" s="567" t="s">
        <v>172</v>
      </c>
      <c r="C125" s="564" t="s">
        <v>61</v>
      </c>
      <c r="D125" s="564" t="s">
        <v>113</v>
      </c>
      <c r="E125" s="564">
        <v>1200</v>
      </c>
      <c r="F125" s="564" t="s">
        <v>115</v>
      </c>
      <c r="G125" s="564" t="s">
        <v>52</v>
      </c>
      <c r="H125" s="564" t="s">
        <v>33</v>
      </c>
      <c r="I125" s="564">
        <f>(26.81-2.43-3.03-6.83)*1000000</f>
        <v>14519999.999999998</v>
      </c>
      <c r="J125" s="564" t="s">
        <v>34</v>
      </c>
      <c r="K125" s="564">
        <v>1986</v>
      </c>
      <c r="L125" s="564" t="s">
        <v>147</v>
      </c>
      <c r="M125" s="565" t="s">
        <v>691</v>
      </c>
      <c r="N125" s="633" t="s">
        <v>122</v>
      </c>
      <c r="O125" s="634" t="s">
        <v>38</v>
      </c>
      <c r="P125" s="633" t="s">
        <v>38</v>
      </c>
      <c r="Q125" s="633" t="s">
        <v>38</v>
      </c>
      <c r="R125" s="633" t="s">
        <v>38</v>
      </c>
      <c r="S125" s="19"/>
      <c r="T125" s="576"/>
      <c r="U125" s="593"/>
      <c r="V125" s="593"/>
      <c r="W125" s="593"/>
      <c r="AC125" s="601"/>
      <c r="AD125" s="582"/>
      <c r="AE125" s="582"/>
      <c r="AF125" s="583"/>
      <c r="AG125" s="582"/>
      <c r="AH125" s="575"/>
      <c r="AI125" s="575"/>
      <c r="AJ125" s="575"/>
      <c r="AK125" s="575"/>
      <c r="AL125" s="575"/>
    </row>
    <row r="126" spans="1:49" ht="42" customHeight="1">
      <c r="A126" s="564">
        <v>112</v>
      </c>
      <c r="B126" s="567" t="s">
        <v>172</v>
      </c>
      <c r="C126" s="564" t="s">
        <v>61</v>
      </c>
      <c r="D126" s="564" t="s">
        <v>113</v>
      </c>
      <c r="E126" s="564">
        <v>1200</v>
      </c>
      <c r="F126" s="564" t="s">
        <v>116</v>
      </c>
      <c r="G126" s="564" t="s">
        <v>52</v>
      </c>
      <c r="H126" s="564" t="s">
        <v>33</v>
      </c>
      <c r="I126" s="564">
        <f>(60.61+3.03)*1000000</f>
        <v>63640000</v>
      </c>
      <c r="J126" s="564" t="s">
        <v>34</v>
      </c>
      <c r="K126" s="564">
        <v>1986</v>
      </c>
      <c r="L126" s="564" t="s">
        <v>147</v>
      </c>
      <c r="M126" s="565" t="s">
        <v>148</v>
      </c>
      <c r="N126" s="633" t="s">
        <v>122</v>
      </c>
      <c r="O126" s="634" t="s">
        <v>38</v>
      </c>
      <c r="P126" s="633" t="s">
        <v>38</v>
      </c>
      <c r="Q126" s="633" t="s">
        <v>38</v>
      </c>
      <c r="R126" s="633" t="s">
        <v>38</v>
      </c>
      <c r="S126" s="19"/>
      <c r="T126" s="576"/>
      <c r="U126" s="593"/>
      <c r="V126" s="593"/>
      <c r="W126" s="593"/>
      <c r="AC126" s="579"/>
      <c r="AD126" s="582"/>
      <c r="AE126" s="582"/>
      <c r="AF126" s="583"/>
      <c r="AG126" s="582"/>
      <c r="AH126" s="575"/>
      <c r="AI126" s="575"/>
      <c r="AJ126" s="575"/>
      <c r="AK126" s="575"/>
      <c r="AL126" s="575"/>
      <c r="AP126" s="603"/>
      <c r="AQ126" s="603"/>
      <c r="AR126" s="603"/>
      <c r="AS126" s="603"/>
      <c r="AT126" s="603"/>
      <c r="AU126" s="603"/>
      <c r="AV126" s="603"/>
      <c r="AW126" s="603"/>
    </row>
    <row r="127" spans="1:49" ht="51.6" customHeight="1">
      <c r="A127" s="564">
        <v>113</v>
      </c>
      <c r="B127" s="567" t="s">
        <v>172</v>
      </c>
      <c r="C127" s="564" t="s">
        <v>61</v>
      </c>
      <c r="D127" s="564" t="s">
        <v>113</v>
      </c>
      <c r="E127" s="564">
        <v>1200</v>
      </c>
      <c r="F127" s="564" t="s">
        <v>63</v>
      </c>
      <c r="G127" s="564" t="s">
        <v>52</v>
      </c>
      <c r="H127" s="564" t="s">
        <v>76</v>
      </c>
      <c r="I127" s="564">
        <f>(2.43*1000000)/(0.65*8760*1200)</f>
        <v>0.35563751317175973</v>
      </c>
      <c r="J127" s="564" t="s">
        <v>128</v>
      </c>
      <c r="K127" s="564">
        <v>1986</v>
      </c>
      <c r="L127" s="564" t="s">
        <v>147</v>
      </c>
      <c r="M127" s="565" t="s">
        <v>159</v>
      </c>
      <c r="N127" s="633" t="s">
        <v>122</v>
      </c>
      <c r="O127" s="634" t="s">
        <v>38</v>
      </c>
      <c r="P127" s="633" t="s">
        <v>38</v>
      </c>
      <c r="Q127" s="633" t="s">
        <v>38</v>
      </c>
      <c r="R127" s="633" t="s">
        <v>38</v>
      </c>
      <c r="S127" s="19"/>
      <c r="T127" s="576"/>
      <c r="U127" s="593"/>
      <c r="V127" s="593"/>
      <c r="W127" s="593"/>
      <c r="AC127" s="601"/>
      <c r="AD127" s="582"/>
      <c r="AE127" s="582"/>
      <c r="AF127" s="583"/>
      <c r="AG127" s="582"/>
      <c r="AH127" s="575"/>
      <c r="AI127" s="575"/>
      <c r="AJ127" s="575"/>
      <c r="AK127" s="575"/>
      <c r="AL127" s="575"/>
    </row>
    <row r="128" spans="1:49" ht="51.6" customHeight="1">
      <c r="A128" s="564">
        <v>114</v>
      </c>
      <c r="B128" s="567" t="s">
        <v>174</v>
      </c>
      <c r="C128" s="564" t="s">
        <v>61</v>
      </c>
      <c r="D128" s="564" t="s">
        <v>62</v>
      </c>
      <c r="E128" s="564">
        <v>1200</v>
      </c>
      <c r="F128" s="564" t="s">
        <v>116</v>
      </c>
      <c r="G128" s="564" t="s">
        <v>52</v>
      </c>
      <c r="H128" s="564" t="s">
        <v>33</v>
      </c>
      <c r="I128" s="564">
        <f>(53.8+5.95)*1000000</f>
        <v>59750000</v>
      </c>
      <c r="J128" s="564" t="s">
        <v>34</v>
      </c>
      <c r="K128" s="564">
        <v>1986</v>
      </c>
      <c r="L128" s="564" t="s">
        <v>147</v>
      </c>
      <c r="M128" s="565" t="s">
        <v>148</v>
      </c>
      <c r="N128" s="633" t="s">
        <v>122</v>
      </c>
      <c r="O128" s="634" t="s">
        <v>38</v>
      </c>
      <c r="P128" s="633" t="s">
        <v>38</v>
      </c>
      <c r="Q128" s="633" t="s">
        <v>38</v>
      </c>
      <c r="R128" s="633" t="s">
        <v>38</v>
      </c>
      <c r="S128" s="19"/>
      <c r="T128" s="576"/>
      <c r="U128" s="593"/>
      <c r="V128" s="593"/>
      <c r="W128" s="593"/>
      <c r="AC128" s="601"/>
      <c r="AD128" s="582"/>
      <c r="AE128" s="582"/>
      <c r="AF128" s="583"/>
      <c r="AG128" s="582"/>
      <c r="AH128" s="575"/>
      <c r="AI128" s="575"/>
      <c r="AJ128" s="575"/>
      <c r="AK128" s="575"/>
      <c r="AL128" s="575"/>
    </row>
    <row r="129" spans="1:38" ht="51.6" customHeight="1">
      <c r="A129" s="564">
        <v>115</v>
      </c>
      <c r="B129" s="567" t="s">
        <v>174</v>
      </c>
      <c r="C129" s="564" t="s">
        <v>61</v>
      </c>
      <c r="D129" s="564" t="s">
        <v>62</v>
      </c>
      <c r="E129" s="564">
        <v>1200</v>
      </c>
      <c r="F129" s="564" t="s">
        <v>690</v>
      </c>
      <c r="G129" s="564" t="s">
        <v>52</v>
      </c>
      <c r="H129" s="564" t="s">
        <v>33</v>
      </c>
      <c r="I129" s="564">
        <f>(6.83*1000000)</f>
        <v>6830000</v>
      </c>
      <c r="J129" s="564" t="s">
        <v>34</v>
      </c>
      <c r="K129" s="564">
        <v>1986</v>
      </c>
      <c r="L129" s="564" t="s">
        <v>147</v>
      </c>
      <c r="M129" s="565" t="s">
        <v>689</v>
      </c>
      <c r="N129" s="633" t="s">
        <v>122</v>
      </c>
      <c r="O129" s="634" t="s">
        <v>38</v>
      </c>
      <c r="P129" s="633" t="s">
        <v>38</v>
      </c>
      <c r="Q129" s="633" t="s">
        <v>38</v>
      </c>
      <c r="R129" s="633"/>
      <c r="S129" s="19"/>
      <c r="T129" s="576"/>
      <c r="U129" s="593"/>
      <c r="V129" s="593"/>
      <c r="W129" s="593"/>
      <c r="AC129" s="601"/>
      <c r="AD129" s="582"/>
      <c r="AE129" s="582"/>
      <c r="AF129" s="583"/>
      <c r="AG129" s="582"/>
      <c r="AH129" s="575"/>
      <c r="AI129" s="575"/>
      <c r="AJ129" s="575"/>
      <c r="AK129" s="575"/>
      <c r="AL129" s="575"/>
    </row>
    <row r="130" spans="1:38" ht="38.65" customHeight="1">
      <c r="A130" s="564">
        <v>116</v>
      </c>
      <c r="B130" s="567" t="s">
        <v>174</v>
      </c>
      <c r="C130" s="564" t="s">
        <v>61</v>
      </c>
      <c r="D130" s="564" t="s">
        <v>62</v>
      </c>
      <c r="E130" s="564">
        <v>1200</v>
      </c>
      <c r="F130" s="564" t="s">
        <v>115</v>
      </c>
      <c r="G130" s="564" t="s">
        <v>52</v>
      </c>
      <c r="H130" s="564" t="s">
        <v>33</v>
      </c>
      <c r="I130" s="564">
        <f>(37.7-5.95-2.43-6.83)*1000000</f>
        <v>22490000.000000004</v>
      </c>
      <c r="J130" s="564" t="s">
        <v>34</v>
      </c>
      <c r="K130" s="564">
        <v>1986</v>
      </c>
      <c r="L130" s="564" t="s">
        <v>147</v>
      </c>
      <c r="M130" s="565" t="s">
        <v>691</v>
      </c>
      <c r="N130" s="633" t="s">
        <v>122</v>
      </c>
      <c r="O130" s="634" t="s">
        <v>38</v>
      </c>
      <c r="P130" s="633" t="s">
        <v>38</v>
      </c>
      <c r="Q130" s="633" t="s">
        <v>38</v>
      </c>
      <c r="R130" s="633" t="s">
        <v>38</v>
      </c>
      <c r="S130" s="19"/>
      <c r="T130" s="576"/>
      <c r="U130" s="593"/>
      <c r="V130" s="593"/>
      <c r="W130" s="593"/>
      <c r="AC130" s="601"/>
      <c r="AD130" s="582"/>
      <c r="AE130" s="582"/>
      <c r="AF130" s="583"/>
      <c r="AG130" s="582"/>
      <c r="AH130" s="575"/>
      <c r="AI130" s="575"/>
      <c r="AJ130" s="575"/>
      <c r="AK130" s="575"/>
      <c r="AL130" s="575"/>
    </row>
    <row r="131" spans="1:38" ht="25.9" customHeight="1">
      <c r="A131" s="564">
        <v>117</v>
      </c>
      <c r="B131" s="567" t="s">
        <v>174</v>
      </c>
      <c r="C131" s="564" t="s">
        <v>61</v>
      </c>
      <c r="D131" s="564" t="s">
        <v>62</v>
      </c>
      <c r="E131" s="564">
        <v>1200</v>
      </c>
      <c r="F131" s="564" t="s">
        <v>63</v>
      </c>
      <c r="G131" s="564" t="s">
        <v>52</v>
      </c>
      <c r="H131" s="564" t="s">
        <v>76</v>
      </c>
      <c r="I131" s="564">
        <f>(2.43*1000000)/(0.65*8760*1200)</f>
        <v>0.35563751317175973</v>
      </c>
      <c r="J131" s="564" t="s">
        <v>128</v>
      </c>
      <c r="K131" s="564">
        <v>1986</v>
      </c>
      <c r="L131" s="564" t="s">
        <v>147</v>
      </c>
      <c r="M131" s="565" t="s">
        <v>159</v>
      </c>
      <c r="N131" s="633" t="s">
        <v>122</v>
      </c>
      <c r="O131" s="634" t="s">
        <v>38</v>
      </c>
      <c r="P131" s="633" t="s">
        <v>38</v>
      </c>
      <c r="Q131" s="633" t="s">
        <v>38</v>
      </c>
      <c r="R131" s="633" t="s">
        <v>38</v>
      </c>
      <c r="S131" s="19"/>
      <c r="T131" s="576"/>
      <c r="U131" s="593"/>
      <c r="V131" s="593"/>
      <c r="W131" s="593"/>
      <c r="AC131" s="601"/>
      <c r="AD131" s="582"/>
      <c r="AE131" s="582"/>
      <c r="AF131" s="583"/>
      <c r="AG131" s="582"/>
      <c r="AH131" s="575"/>
      <c r="AI131" s="575"/>
      <c r="AJ131" s="575"/>
      <c r="AK131" s="575"/>
      <c r="AL131" s="575"/>
    </row>
    <row r="132" spans="1:38" ht="51.6" customHeight="1">
      <c r="A132" s="564">
        <v>118</v>
      </c>
      <c r="B132" s="567" t="s">
        <v>176</v>
      </c>
      <c r="C132" s="564" t="s">
        <v>61</v>
      </c>
      <c r="D132" s="564" t="s">
        <v>62</v>
      </c>
      <c r="E132" s="564">
        <v>1200</v>
      </c>
      <c r="F132" s="564" t="s">
        <v>116</v>
      </c>
      <c r="G132" s="564" t="s">
        <v>52</v>
      </c>
      <c r="H132" s="564" t="s">
        <v>33</v>
      </c>
      <c r="I132" s="564">
        <f>(60.16+5.54)*1000000</f>
        <v>65700000</v>
      </c>
      <c r="J132" s="564" t="s">
        <v>34</v>
      </c>
      <c r="K132" s="564">
        <v>1986</v>
      </c>
      <c r="L132" s="564" t="s">
        <v>147</v>
      </c>
      <c r="M132" s="565" t="s">
        <v>148</v>
      </c>
      <c r="N132" s="633" t="s">
        <v>122</v>
      </c>
      <c r="O132" s="634" t="s">
        <v>38</v>
      </c>
      <c r="P132" s="633" t="s">
        <v>38</v>
      </c>
      <c r="Q132" s="633" t="s">
        <v>38</v>
      </c>
      <c r="R132" s="633" t="s">
        <v>38</v>
      </c>
      <c r="S132" s="19"/>
      <c r="T132" s="576"/>
      <c r="U132" s="593"/>
      <c r="V132" s="593"/>
      <c r="W132" s="593"/>
      <c r="AC132" s="601"/>
      <c r="AD132" s="582"/>
      <c r="AE132" s="582"/>
      <c r="AF132" s="583"/>
      <c r="AG132" s="582"/>
      <c r="AH132" s="575"/>
      <c r="AI132" s="575"/>
      <c r="AJ132" s="575"/>
      <c r="AK132" s="575"/>
      <c r="AL132" s="575"/>
    </row>
    <row r="133" spans="1:38" ht="51.6" customHeight="1">
      <c r="A133" s="564">
        <v>119</v>
      </c>
      <c r="B133" s="567" t="s">
        <v>176</v>
      </c>
      <c r="C133" s="564" t="s">
        <v>61</v>
      </c>
      <c r="D133" s="564" t="s">
        <v>62</v>
      </c>
      <c r="E133" s="564">
        <v>1200</v>
      </c>
      <c r="F133" s="564" t="s">
        <v>690</v>
      </c>
      <c r="G133" s="564" t="s">
        <v>52</v>
      </c>
      <c r="H133" s="564" t="s">
        <v>33</v>
      </c>
      <c r="I133" s="564">
        <f>(6.83*1000000)</f>
        <v>6830000</v>
      </c>
      <c r="J133" s="564" t="s">
        <v>34</v>
      </c>
      <c r="K133" s="564">
        <v>1986</v>
      </c>
      <c r="L133" s="564" t="s">
        <v>147</v>
      </c>
      <c r="M133" s="565" t="s">
        <v>689</v>
      </c>
      <c r="N133" s="633" t="s">
        <v>122</v>
      </c>
      <c r="O133" s="634" t="s">
        <v>38</v>
      </c>
      <c r="P133" s="633" t="s">
        <v>38</v>
      </c>
      <c r="Q133" s="633" t="s">
        <v>38</v>
      </c>
      <c r="R133" s="633"/>
      <c r="S133" s="19"/>
      <c r="T133" s="576"/>
      <c r="U133" s="593"/>
      <c r="V133" s="593"/>
      <c r="W133" s="593"/>
      <c r="AC133" s="601"/>
      <c r="AD133" s="582"/>
      <c r="AE133" s="582"/>
      <c r="AF133" s="583"/>
      <c r="AG133" s="582"/>
      <c r="AH133" s="575"/>
      <c r="AI133" s="575"/>
      <c r="AJ133" s="575"/>
      <c r="AK133" s="575"/>
      <c r="AL133" s="575"/>
    </row>
    <row r="134" spans="1:38" ht="51.6" customHeight="1">
      <c r="A134" s="564">
        <v>120</v>
      </c>
      <c r="B134" s="567" t="s">
        <v>176</v>
      </c>
      <c r="C134" s="564" t="s">
        <v>61</v>
      </c>
      <c r="D134" s="564" t="s">
        <v>62</v>
      </c>
      <c r="E134" s="564">
        <v>1200</v>
      </c>
      <c r="F134" s="564" t="s">
        <v>115</v>
      </c>
      <c r="G134" s="564" t="s">
        <v>52</v>
      </c>
      <c r="H134" s="564" t="s">
        <v>33</v>
      </c>
      <c r="I134" s="564">
        <f>(60.91-2.43-5.54-6.83)*1000000</f>
        <v>46110000</v>
      </c>
      <c r="J134" s="564" t="s">
        <v>34</v>
      </c>
      <c r="K134" s="564">
        <v>1986</v>
      </c>
      <c r="L134" s="564" t="s">
        <v>147</v>
      </c>
      <c r="M134" s="565" t="s">
        <v>691</v>
      </c>
      <c r="N134" s="633" t="s">
        <v>122</v>
      </c>
      <c r="O134" s="634" t="s">
        <v>38</v>
      </c>
      <c r="P134" s="633" t="s">
        <v>38</v>
      </c>
      <c r="Q134" s="633" t="s">
        <v>38</v>
      </c>
      <c r="R134" s="633" t="s">
        <v>38</v>
      </c>
      <c r="S134" s="19"/>
      <c r="T134" s="576"/>
      <c r="U134" s="593"/>
      <c r="V134" s="593"/>
      <c r="W134" s="593"/>
      <c r="AC134" s="601"/>
      <c r="AD134" s="582"/>
      <c r="AE134" s="582"/>
      <c r="AF134" s="583"/>
      <c r="AG134" s="582"/>
      <c r="AH134" s="575"/>
      <c r="AI134" s="575"/>
      <c r="AJ134" s="575"/>
      <c r="AK134" s="575"/>
      <c r="AL134" s="575"/>
    </row>
    <row r="135" spans="1:38" ht="38.65" customHeight="1">
      <c r="A135" s="564">
        <v>121</v>
      </c>
      <c r="B135" s="567" t="s">
        <v>176</v>
      </c>
      <c r="C135" s="564" t="s">
        <v>61</v>
      </c>
      <c r="D135" s="564" t="s">
        <v>62</v>
      </c>
      <c r="E135" s="564">
        <v>1200</v>
      </c>
      <c r="F135" s="564" t="s">
        <v>63</v>
      </c>
      <c r="G135" s="564" t="s">
        <v>52</v>
      </c>
      <c r="H135" s="564" t="s">
        <v>76</v>
      </c>
      <c r="I135" s="564">
        <f>(2.43*1000000)/(0.65*8760*1200)</f>
        <v>0.35563751317175973</v>
      </c>
      <c r="J135" s="564" t="s">
        <v>128</v>
      </c>
      <c r="K135" s="564">
        <v>1986</v>
      </c>
      <c r="L135" s="564" t="s">
        <v>147</v>
      </c>
      <c r="M135" s="565" t="s">
        <v>159</v>
      </c>
      <c r="N135" s="633" t="s">
        <v>122</v>
      </c>
      <c r="O135" s="634" t="s">
        <v>38</v>
      </c>
      <c r="P135" s="633" t="s">
        <v>38</v>
      </c>
      <c r="Q135" s="633" t="s">
        <v>38</v>
      </c>
      <c r="R135" s="633" t="s">
        <v>38</v>
      </c>
      <c r="S135" s="19"/>
      <c r="T135" s="576"/>
      <c r="U135" s="593"/>
      <c r="V135" s="593"/>
      <c r="W135" s="593"/>
      <c r="AC135" s="601"/>
      <c r="AD135" s="582"/>
      <c r="AE135" s="582"/>
      <c r="AF135" s="583"/>
      <c r="AG135" s="582"/>
      <c r="AH135" s="575"/>
      <c r="AI135" s="575"/>
      <c r="AJ135" s="575"/>
      <c r="AK135" s="575"/>
      <c r="AL135" s="575"/>
    </row>
    <row r="136" spans="1:38" ht="42" customHeight="1">
      <c r="A136" s="564">
        <v>122</v>
      </c>
      <c r="B136" s="567" t="s">
        <v>182</v>
      </c>
      <c r="C136" s="564" t="s">
        <v>61</v>
      </c>
      <c r="D136" s="564" t="s">
        <v>62</v>
      </c>
      <c r="E136" s="564">
        <v>1200</v>
      </c>
      <c r="F136" s="564" t="s">
        <v>116</v>
      </c>
      <c r="G136" s="564" t="s">
        <v>52</v>
      </c>
      <c r="H136" s="564" t="s">
        <v>33</v>
      </c>
      <c r="I136" s="564">
        <v>60700000</v>
      </c>
      <c r="J136" s="564" t="s">
        <v>34</v>
      </c>
      <c r="K136" s="564">
        <v>1986</v>
      </c>
      <c r="L136" s="564" t="s">
        <v>147</v>
      </c>
      <c r="M136" s="565" t="s">
        <v>148</v>
      </c>
      <c r="N136" s="633" t="s">
        <v>122</v>
      </c>
      <c r="O136" s="634" t="s">
        <v>38</v>
      </c>
      <c r="P136" s="633" t="s">
        <v>38</v>
      </c>
      <c r="Q136" s="633" t="s">
        <v>38</v>
      </c>
      <c r="R136" s="633" t="s">
        <v>38</v>
      </c>
      <c r="S136" s="19"/>
      <c r="T136" s="576"/>
      <c r="U136" s="593"/>
      <c r="V136" s="593"/>
      <c r="W136" s="593"/>
      <c r="AC136" s="579"/>
      <c r="AD136" s="582"/>
      <c r="AE136" s="582"/>
      <c r="AF136" s="583"/>
      <c r="AG136" s="582"/>
      <c r="AH136" s="575"/>
      <c r="AI136" s="575"/>
      <c r="AJ136" s="575"/>
      <c r="AK136" s="575"/>
      <c r="AL136" s="575"/>
    </row>
    <row r="137" spans="1:38" ht="51.6" customHeight="1">
      <c r="A137" s="564">
        <v>123</v>
      </c>
      <c r="B137" s="567" t="s">
        <v>182</v>
      </c>
      <c r="C137" s="564" t="s">
        <v>61</v>
      </c>
      <c r="D137" s="564" t="s">
        <v>62</v>
      </c>
      <c r="E137" s="564">
        <v>1200</v>
      </c>
      <c r="F137" s="564" t="s">
        <v>690</v>
      </c>
      <c r="G137" s="564" t="s">
        <v>52</v>
      </c>
      <c r="H137" s="564" t="s">
        <v>33</v>
      </c>
      <c r="I137" s="564">
        <f>(7.88*1000000)</f>
        <v>7880000</v>
      </c>
      <c r="J137" s="564" t="s">
        <v>34</v>
      </c>
      <c r="K137" s="564">
        <v>1986</v>
      </c>
      <c r="L137" s="564" t="s">
        <v>147</v>
      </c>
      <c r="M137" s="565" t="s">
        <v>689</v>
      </c>
      <c r="N137" s="633" t="s">
        <v>122</v>
      </c>
      <c r="O137" s="634" t="s">
        <v>38</v>
      </c>
      <c r="P137" s="633" t="s">
        <v>38</v>
      </c>
      <c r="Q137" s="633" t="s">
        <v>38</v>
      </c>
      <c r="R137" s="633" t="s">
        <v>38</v>
      </c>
      <c r="S137" s="19"/>
      <c r="T137" s="576"/>
      <c r="U137" s="593"/>
      <c r="V137" s="593"/>
      <c r="W137" s="593"/>
      <c r="AC137" s="601"/>
      <c r="AD137" s="582"/>
      <c r="AE137" s="582"/>
      <c r="AF137" s="583"/>
      <c r="AG137" s="582"/>
      <c r="AH137" s="575"/>
      <c r="AI137" s="575"/>
      <c r="AJ137" s="575"/>
      <c r="AK137" s="575"/>
      <c r="AL137" s="575"/>
    </row>
    <row r="138" spans="1:38" ht="51.6" customHeight="1">
      <c r="A138" s="564">
        <v>124</v>
      </c>
      <c r="B138" s="567" t="s">
        <v>182</v>
      </c>
      <c r="C138" s="564" t="s">
        <v>61</v>
      </c>
      <c r="D138" s="564" t="s">
        <v>62</v>
      </c>
      <c r="E138" s="564">
        <v>1200</v>
      </c>
      <c r="F138" s="564" t="s">
        <v>115</v>
      </c>
      <c r="G138" s="564" t="s">
        <v>52</v>
      </c>
      <c r="H138" s="564" t="s">
        <v>33</v>
      </c>
      <c r="I138" s="564">
        <f>(66.47-2.43-7.88)*1000000</f>
        <v>56159999.999999993</v>
      </c>
      <c r="J138" s="564" t="s">
        <v>34</v>
      </c>
      <c r="K138" s="564">
        <v>1986</v>
      </c>
      <c r="L138" s="564" t="s">
        <v>147</v>
      </c>
      <c r="M138" s="565" t="s">
        <v>691</v>
      </c>
      <c r="N138" s="633" t="s">
        <v>122</v>
      </c>
      <c r="O138" s="634" t="s">
        <v>38</v>
      </c>
      <c r="P138" s="633" t="s">
        <v>38</v>
      </c>
      <c r="Q138" s="633" t="s">
        <v>38</v>
      </c>
      <c r="R138" s="633" t="s">
        <v>38</v>
      </c>
      <c r="S138" s="19"/>
      <c r="T138" s="576"/>
      <c r="U138" s="593"/>
      <c r="V138" s="593"/>
      <c r="W138" s="593"/>
      <c r="AC138" s="601"/>
      <c r="AD138" s="582"/>
      <c r="AE138" s="582"/>
      <c r="AF138" s="583"/>
      <c r="AG138" s="582"/>
      <c r="AH138" s="575"/>
      <c r="AI138" s="575"/>
      <c r="AJ138" s="575"/>
      <c r="AK138" s="575"/>
      <c r="AL138" s="575"/>
    </row>
    <row r="139" spans="1:38" ht="51.6" customHeight="1">
      <c r="A139" s="564">
        <v>125</v>
      </c>
      <c r="B139" s="567" t="s">
        <v>182</v>
      </c>
      <c r="C139" s="564" t="s">
        <v>61</v>
      </c>
      <c r="D139" s="564" t="s">
        <v>62</v>
      </c>
      <c r="E139" s="564">
        <v>1200</v>
      </c>
      <c r="F139" s="564" t="s">
        <v>63</v>
      </c>
      <c r="G139" s="564" t="s">
        <v>52</v>
      </c>
      <c r="H139" s="564" t="s">
        <v>76</v>
      </c>
      <c r="I139" s="564">
        <f>(2.43*1000000)/(0.75*8760*1200)</f>
        <v>0.30821917808219179</v>
      </c>
      <c r="J139" s="564" t="s">
        <v>128</v>
      </c>
      <c r="K139" s="564">
        <v>1986</v>
      </c>
      <c r="L139" s="564" t="s">
        <v>147</v>
      </c>
      <c r="M139" s="565" t="s">
        <v>159</v>
      </c>
      <c r="N139" s="633" t="s">
        <v>122</v>
      </c>
      <c r="O139" s="634" t="s">
        <v>38</v>
      </c>
      <c r="P139" s="633" t="s">
        <v>38</v>
      </c>
      <c r="Q139" s="633" t="s">
        <v>38</v>
      </c>
      <c r="R139" s="633" t="s">
        <v>38</v>
      </c>
      <c r="S139" s="19"/>
      <c r="T139" s="576"/>
      <c r="U139" s="593"/>
      <c r="V139" s="593"/>
      <c r="W139" s="593"/>
      <c r="AC139" s="601"/>
      <c r="AD139" s="582"/>
      <c r="AE139" s="582"/>
      <c r="AF139" s="583"/>
      <c r="AG139" s="582"/>
      <c r="AH139" s="575"/>
      <c r="AI139" s="575"/>
      <c r="AJ139" s="575"/>
      <c r="AK139" s="575"/>
      <c r="AL139" s="575"/>
    </row>
    <row r="140" spans="1:38" ht="51.6" customHeight="1">
      <c r="A140" s="564">
        <v>126</v>
      </c>
      <c r="B140" s="567" t="s">
        <v>183</v>
      </c>
      <c r="C140" s="564" t="s">
        <v>61</v>
      </c>
      <c r="D140" s="564" t="s">
        <v>62</v>
      </c>
      <c r="E140" s="564">
        <v>1200</v>
      </c>
      <c r="F140" s="564" t="s">
        <v>116</v>
      </c>
      <c r="G140" s="564" t="s">
        <v>52</v>
      </c>
      <c r="H140" s="564" t="s">
        <v>33</v>
      </c>
      <c r="I140" s="564">
        <v>40500000</v>
      </c>
      <c r="J140" s="564" t="s">
        <v>34</v>
      </c>
      <c r="K140" s="564">
        <v>1986</v>
      </c>
      <c r="L140" s="564" t="s">
        <v>147</v>
      </c>
      <c r="M140" s="565" t="s">
        <v>184</v>
      </c>
      <c r="N140" s="633" t="s">
        <v>122</v>
      </c>
      <c r="O140" s="634" t="s">
        <v>38</v>
      </c>
      <c r="P140" s="633" t="s">
        <v>38</v>
      </c>
      <c r="Q140" s="633" t="s">
        <v>38</v>
      </c>
      <c r="R140" s="633" t="s">
        <v>38</v>
      </c>
      <c r="S140" s="19"/>
      <c r="T140" s="576"/>
      <c r="U140" s="593"/>
      <c r="V140" s="593"/>
      <c r="W140" s="593"/>
      <c r="AC140" s="601"/>
      <c r="AD140" s="582"/>
      <c r="AE140" s="582"/>
      <c r="AF140" s="583"/>
      <c r="AG140" s="582"/>
      <c r="AH140" s="575"/>
      <c r="AI140" s="575"/>
      <c r="AJ140" s="575"/>
      <c r="AK140" s="575"/>
      <c r="AL140" s="575"/>
    </row>
    <row r="141" spans="1:38" ht="42" customHeight="1">
      <c r="A141" s="564">
        <v>127</v>
      </c>
      <c r="B141" s="567" t="s">
        <v>183</v>
      </c>
      <c r="C141" s="564" t="s">
        <v>61</v>
      </c>
      <c r="D141" s="564" t="s">
        <v>62</v>
      </c>
      <c r="E141" s="564">
        <v>1200</v>
      </c>
      <c r="F141" s="564" t="s">
        <v>63</v>
      </c>
      <c r="G141" s="564" t="s">
        <v>52</v>
      </c>
      <c r="H141" s="564" t="s">
        <v>76</v>
      </c>
      <c r="I141" s="564">
        <f>(15.81*1000000)/(0.75*8760*1200)</f>
        <v>2.0053272450532726</v>
      </c>
      <c r="J141" s="564" t="s">
        <v>128</v>
      </c>
      <c r="K141" s="564">
        <v>1986</v>
      </c>
      <c r="L141" s="564" t="s">
        <v>147</v>
      </c>
      <c r="M141" s="565" t="s">
        <v>185</v>
      </c>
      <c r="N141" s="633" t="s">
        <v>122</v>
      </c>
      <c r="O141" s="634" t="s">
        <v>38</v>
      </c>
      <c r="P141" s="633" t="s">
        <v>38</v>
      </c>
      <c r="Q141" s="633" t="s">
        <v>38</v>
      </c>
      <c r="R141" s="633" t="s">
        <v>38</v>
      </c>
      <c r="S141" s="19"/>
      <c r="T141" s="576"/>
      <c r="U141" s="593"/>
      <c r="V141" s="593"/>
      <c r="W141" s="593"/>
      <c r="AC141" s="579"/>
      <c r="AD141" s="582"/>
      <c r="AE141" s="582"/>
      <c r="AF141" s="583"/>
      <c r="AG141" s="582"/>
      <c r="AH141" s="575"/>
      <c r="AI141" s="575"/>
      <c r="AJ141" s="575"/>
      <c r="AK141" s="575"/>
      <c r="AL141" s="575"/>
    </row>
    <row r="142" spans="1:38" ht="51.6" customHeight="1">
      <c r="A142" s="564">
        <v>128</v>
      </c>
      <c r="B142" s="567" t="s">
        <v>183</v>
      </c>
      <c r="C142" s="564" t="s">
        <v>61</v>
      </c>
      <c r="D142" s="564" t="s">
        <v>62</v>
      </c>
      <c r="E142" s="564">
        <v>1200</v>
      </c>
      <c r="F142" s="564" t="s">
        <v>690</v>
      </c>
      <c r="G142" s="564" t="s">
        <v>52</v>
      </c>
      <c r="H142" s="564" t="s">
        <v>33</v>
      </c>
      <c r="I142" s="564">
        <f>(7.88*1000000)</f>
        <v>7880000</v>
      </c>
      <c r="J142" s="564" t="s">
        <v>34</v>
      </c>
      <c r="K142" s="564">
        <v>1986</v>
      </c>
      <c r="L142" s="564" t="s">
        <v>147</v>
      </c>
      <c r="M142" s="565" t="s">
        <v>691</v>
      </c>
      <c r="N142" s="633" t="s">
        <v>122</v>
      </c>
      <c r="O142" s="634" t="s">
        <v>38</v>
      </c>
      <c r="P142" s="633" t="s">
        <v>38</v>
      </c>
      <c r="Q142" s="633" t="s">
        <v>38</v>
      </c>
      <c r="R142" s="633"/>
      <c r="S142" s="19"/>
      <c r="T142" s="576"/>
      <c r="U142" s="593"/>
      <c r="V142" s="593"/>
      <c r="W142" s="593"/>
      <c r="AC142" s="601"/>
      <c r="AD142" s="582"/>
      <c r="AE142" s="582"/>
      <c r="AF142" s="583"/>
      <c r="AG142" s="582"/>
      <c r="AH142" s="575"/>
      <c r="AI142" s="575"/>
      <c r="AJ142" s="575"/>
      <c r="AK142" s="575"/>
      <c r="AL142" s="575"/>
    </row>
    <row r="143" spans="1:38" ht="13" customHeight="1">
      <c r="A143" s="564">
        <v>129</v>
      </c>
      <c r="B143" s="567" t="s">
        <v>183</v>
      </c>
      <c r="C143" s="564" t="s">
        <v>61</v>
      </c>
      <c r="D143" s="564" t="s">
        <v>62</v>
      </c>
      <c r="E143" s="564">
        <v>1200</v>
      </c>
      <c r="F143" s="564" t="s">
        <v>115</v>
      </c>
      <c r="G143" s="564" t="s">
        <v>52</v>
      </c>
      <c r="H143" s="564" t="s">
        <v>33</v>
      </c>
      <c r="I143" s="564">
        <f>(29.91-15.81-7.88)*1000000</f>
        <v>6220000</v>
      </c>
      <c r="J143" s="564" t="s">
        <v>34</v>
      </c>
      <c r="K143" s="564">
        <v>1986</v>
      </c>
      <c r="L143" s="564" t="s">
        <v>147</v>
      </c>
      <c r="M143" s="565" t="s">
        <v>691</v>
      </c>
      <c r="N143" s="633" t="s">
        <v>122</v>
      </c>
      <c r="O143" s="634" t="s">
        <v>38</v>
      </c>
      <c r="P143" s="633" t="s">
        <v>38</v>
      </c>
      <c r="Q143" s="633" t="s">
        <v>38</v>
      </c>
      <c r="R143" s="633" t="s">
        <v>38</v>
      </c>
      <c r="S143" s="19"/>
      <c r="T143" s="576"/>
      <c r="U143" s="593"/>
      <c r="V143" s="593"/>
      <c r="W143" s="593"/>
      <c r="AC143" s="601"/>
      <c r="AD143" s="582"/>
      <c r="AE143" s="582"/>
      <c r="AF143" s="583"/>
      <c r="AG143" s="582"/>
      <c r="AH143" s="575"/>
      <c r="AI143" s="575"/>
      <c r="AJ143" s="575"/>
      <c r="AK143" s="575"/>
      <c r="AL143" s="575"/>
    </row>
    <row r="144" spans="1:38" ht="13" customHeight="1">
      <c r="A144" s="564">
        <v>99</v>
      </c>
      <c r="B144" s="567" t="s">
        <v>165</v>
      </c>
      <c r="C144" s="564" t="s">
        <v>61</v>
      </c>
      <c r="D144" s="564" t="s">
        <v>62</v>
      </c>
      <c r="E144" s="564">
        <v>1200</v>
      </c>
      <c r="F144" s="564" t="s">
        <v>31</v>
      </c>
      <c r="G144" s="564" t="s">
        <v>52</v>
      </c>
      <c r="H144" s="564" t="s">
        <v>33</v>
      </c>
      <c r="I144" s="564">
        <v>2288500000</v>
      </c>
      <c r="J144" s="564" t="s">
        <v>34</v>
      </c>
      <c r="K144" s="564">
        <v>1986</v>
      </c>
      <c r="L144" s="564" t="s">
        <v>147</v>
      </c>
      <c r="M144" s="565" t="s">
        <v>169</v>
      </c>
      <c r="N144" s="641" t="s">
        <v>709</v>
      </c>
      <c r="O144" s="564" t="s">
        <v>84</v>
      </c>
      <c r="P144" s="633" t="s">
        <v>38</v>
      </c>
      <c r="Q144" s="564">
        <v>343000000</v>
      </c>
      <c r="R144" s="633" t="s">
        <v>38</v>
      </c>
      <c r="S144" s="19"/>
      <c r="T144" s="576"/>
      <c r="U144" s="593"/>
      <c r="V144" s="593"/>
      <c r="W144" s="593"/>
      <c r="AC144" s="601"/>
      <c r="AD144" s="582"/>
      <c r="AE144" s="582"/>
      <c r="AF144" s="583"/>
      <c r="AG144" s="582"/>
      <c r="AH144" s="575"/>
      <c r="AI144" s="575"/>
      <c r="AJ144" s="575"/>
      <c r="AK144" s="575"/>
      <c r="AL144" s="575"/>
    </row>
    <row r="145" spans="1:38" ht="51.6" customHeight="1">
      <c r="A145" s="564">
        <v>103</v>
      </c>
      <c r="B145" s="567" t="s">
        <v>174</v>
      </c>
      <c r="C145" s="564" t="s">
        <v>61</v>
      </c>
      <c r="D145" s="564" t="s">
        <v>62</v>
      </c>
      <c r="E145" s="564">
        <v>1200</v>
      </c>
      <c r="F145" s="564" t="s">
        <v>31</v>
      </c>
      <c r="G145" s="564" t="s">
        <v>52</v>
      </c>
      <c r="H145" s="564" t="s">
        <v>33</v>
      </c>
      <c r="I145" s="564">
        <v>2675000000</v>
      </c>
      <c r="J145" s="564" t="s">
        <v>34</v>
      </c>
      <c r="K145" s="564">
        <v>1986</v>
      </c>
      <c r="L145" s="564" t="s">
        <v>147</v>
      </c>
      <c r="M145" s="565" t="s">
        <v>175</v>
      </c>
      <c r="N145" s="641" t="s">
        <v>709</v>
      </c>
      <c r="O145" s="564" t="s">
        <v>84</v>
      </c>
      <c r="P145" s="633" t="s">
        <v>38</v>
      </c>
      <c r="Q145" s="564">
        <v>401200000</v>
      </c>
      <c r="R145" s="633" t="s">
        <v>38</v>
      </c>
      <c r="S145" s="19"/>
      <c r="T145" s="576"/>
      <c r="U145" s="593"/>
      <c r="V145" s="593"/>
      <c r="W145" s="593"/>
      <c r="AC145" s="601"/>
      <c r="AD145" s="582"/>
      <c r="AE145" s="582"/>
      <c r="AF145" s="583"/>
      <c r="AG145" s="582"/>
      <c r="AH145" s="575"/>
      <c r="AI145" s="575"/>
      <c r="AJ145" s="575"/>
      <c r="AK145" s="575"/>
      <c r="AL145" s="575"/>
    </row>
    <row r="146" spans="1:38" ht="51.6" customHeight="1">
      <c r="A146" s="564">
        <v>104</v>
      </c>
      <c r="B146" s="567" t="s">
        <v>176</v>
      </c>
      <c r="C146" s="564" t="s">
        <v>61</v>
      </c>
      <c r="D146" s="564" t="s">
        <v>62</v>
      </c>
      <c r="E146" s="564">
        <v>1200</v>
      </c>
      <c r="F146" s="564" t="s">
        <v>31</v>
      </c>
      <c r="G146" s="564" t="s">
        <v>52</v>
      </c>
      <c r="H146" s="564" t="s">
        <v>33</v>
      </c>
      <c r="I146" s="564">
        <v>1953700000</v>
      </c>
      <c r="J146" s="564" t="s">
        <v>34</v>
      </c>
      <c r="K146" s="564">
        <v>1986</v>
      </c>
      <c r="L146" s="564" t="s">
        <v>147</v>
      </c>
      <c r="M146" s="565" t="s">
        <v>177</v>
      </c>
      <c r="N146" s="641" t="s">
        <v>709</v>
      </c>
      <c r="O146" s="564" t="s">
        <v>84</v>
      </c>
      <c r="P146" s="633" t="s">
        <v>38</v>
      </c>
      <c r="Q146" s="564">
        <v>293000000</v>
      </c>
      <c r="R146" s="633" t="s">
        <v>38</v>
      </c>
      <c r="S146" s="19"/>
      <c r="T146" s="576"/>
      <c r="U146" s="593"/>
      <c r="V146" s="593"/>
      <c r="W146" s="593"/>
      <c r="X146" s="579"/>
      <c r="Y146" s="579"/>
      <c r="Z146" s="579"/>
      <c r="AA146" s="579"/>
      <c r="AC146" s="601"/>
      <c r="AD146" s="582"/>
      <c r="AE146" s="582"/>
      <c r="AF146" s="583"/>
      <c r="AG146" s="582"/>
      <c r="AH146" s="575"/>
      <c r="AI146" s="575"/>
      <c r="AJ146" s="575"/>
      <c r="AK146" s="575"/>
      <c r="AL146" s="575"/>
    </row>
    <row r="147" spans="1:38" ht="13" customHeight="1">
      <c r="A147" s="564">
        <v>105</v>
      </c>
      <c r="B147" s="567" t="s">
        <v>178</v>
      </c>
      <c r="C147" s="564" t="s">
        <v>61</v>
      </c>
      <c r="D147" s="564" t="s">
        <v>62</v>
      </c>
      <c r="E147" s="564">
        <v>1200</v>
      </c>
      <c r="F147" s="564" t="s">
        <v>31</v>
      </c>
      <c r="G147" s="564" t="s">
        <v>52</v>
      </c>
      <c r="H147" s="564" t="s">
        <v>33</v>
      </c>
      <c r="I147" s="564">
        <v>1439800000</v>
      </c>
      <c r="J147" s="564" t="s">
        <v>34</v>
      </c>
      <c r="K147" s="564">
        <v>1986</v>
      </c>
      <c r="L147" s="564" t="s">
        <v>147</v>
      </c>
      <c r="M147" s="565" t="s">
        <v>179</v>
      </c>
      <c r="N147" s="632" t="s">
        <v>708</v>
      </c>
      <c r="O147" s="564" t="s">
        <v>84</v>
      </c>
      <c r="P147" s="633" t="s">
        <v>38</v>
      </c>
      <c r="Q147" s="564">
        <v>216000000</v>
      </c>
      <c r="R147" s="633" t="s">
        <v>38</v>
      </c>
      <c r="S147" s="19"/>
      <c r="T147" s="576"/>
      <c r="U147" s="593"/>
      <c r="V147" s="593"/>
      <c r="W147" s="593"/>
      <c r="X147" s="579"/>
      <c r="Y147" s="579"/>
      <c r="Z147" s="579"/>
      <c r="AA147" s="579"/>
      <c r="AC147" s="601"/>
      <c r="AD147" s="582"/>
      <c r="AE147" s="582"/>
      <c r="AF147" s="583"/>
      <c r="AG147" s="582"/>
      <c r="AH147" s="575"/>
      <c r="AI147" s="575"/>
      <c r="AJ147" s="575"/>
      <c r="AK147" s="575"/>
      <c r="AL147" s="575"/>
    </row>
    <row r="148" spans="1:38" ht="13" customHeight="1">
      <c r="A148" s="564">
        <v>106</v>
      </c>
      <c r="B148" s="567" t="s">
        <v>180</v>
      </c>
      <c r="C148" s="564" t="s">
        <v>61</v>
      </c>
      <c r="D148" s="564" t="s">
        <v>62</v>
      </c>
      <c r="E148" s="564">
        <v>1200</v>
      </c>
      <c r="F148" s="564" t="s">
        <v>31</v>
      </c>
      <c r="G148" s="564" t="s">
        <v>52</v>
      </c>
      <c r="H148" s="564" t="s">
        <v>33</v>
      </c>
      <c r="I148" s="564">
        <v>2907700000</v>
      </c>
      <c r="J148" s="564" t="s">
        <v>34</v>
      </c>
      <c r="K148" s="564">
        <v>1986</v>
      </c>
      <c r="L148" s="564" t="s">
        <v>147</v>
      </c>
      <c r="M148" s="565" t="s">
        <v>181</v>
      </c>
      <c r="N148" s="632" t="s">
        <v>708</v>
      </c>
      <c r="O148" s="564" t="s">
        <v>84</v>
      </c>
      <c r="P148" s="633" t="s">
        <v>38</v>
      </c>
      <c r="Q148" s="564">
        <v>436200000</v>
      </c>
      <c r="R148" s="633" t="s">
        <v>38</v>
      </c>
      <c r="S148" s="19"/>
      <c r="T148" s="576"/>
      <c r="U148" s="593"/>
      <c r="V148" s="593"/>
      <c r="W148" s="593"/>
      <c r="X148" s="579"/>
      <c r="Y148" s="579"/>
      <c r="Z148" s="579"/>
      <c r="AA148" s="579"/>
      <c r="AC148" s="601"/>
      <c r="AD148" s="582"/>
      <c r="AE148" s="582"/>
      <c r="AF148" s="583"/>
      <c r="AG148" s="582"/>
      <c r="AH148" s="575"/>
      <c r="AI148" s="575"/>
      <c r="AJ148" s="575"/>
      <c r="AK148" s="575"/>
      <c r="AL148" s="575"/>
    </row>
    <row r="149" spans="1:38" ht="36" customHeight="1">
      <c r="A149" s="564">
        <v>130</v>
      </c>
      <c r="B149" s="567" t="s">
        <v>183</v>
      </c>
      <c r="C149" s="564" t="s">
        <v>61</v>
      </c>
      <c r="D149" s="564" t="s">
        <v>62</v>
      </c>
      <c r="E149" s="564">
        <v>1200</v>
      </c>
      <c r="F149" s="564" t="s">
        <v>75</v>
      </c>
      <c r="G149" s="564" t="s">
        <v>52</v>
      </c>
      <c r="H149" s="564" t="s">
        <v>76</v>
      </c>
      <c r="I149" s="564">
        <v>47.79</v>
      </c>
      <c r="J149" s="564" t="s">
        <v>77</v>
      </c>
      <c r="K149" s="564">
        <v>1986</v>
      </c>
      <c r="L149" s="564" t="s">
        <v>147</v>
      </c>
      <c r="M149" s="565" t="s">
        <v>186</v>
      </c>
      <c r="N149" s="632" t="s">
        <v>708</v>
      </c>
      <c r="O149" s="564" t="s">
        <v>84</v>
      </c>
      <c r="P149" s="633" t="s">
        <v>38</v>
      </c>
      <c r="Q149" s="633" t="s">
        <v>38</v>
      </c>
      <c r="R149" s="633" t="s">
        <v>38</v>
      </c>
      <c r="S149" s="19"/>
      <c r="T149" s="576"/>
      <c r="U149" s="593"/>
      <c r="V149" s="593"/>
      <c r="W149" s="593"/>
      <c r="X149" s="579"/>
      <c r="Y149" s="579"/>
      <c r="Z149" s="579"/>
      <c r="AA149" s="579"/>
      <c r="AC149" s="601"/>
      <c r="AD149" s="582"/>
      <c r="AE149" s="582"/>
      <c r="AF149" s="583"/>
      <c r="AG149" s="582"/>
      <c r="AH149" s="575"/>
      <c r="AI149" s="575"/>
      <c r="AJ149" s="575"/>
      <c r="AK149" s="575"/>
      <c r="AL149" s="575"/>
    </row>
    <row r="150" spans="1:38" ht="13.5" customHeight="1">
      <c r="A150" s="564">
        <v>131</v>
      </c>
      <c r="B150" s="567" t="s">
        <v>182</v>
      </c>
      <c r="C150" s="564" t="s">
        <v>61</v>
      </c>
      <c r="D150" s="564" t="s">
        <v>62</v>
      </c>
      <c r="E150" s="564">
        <v>1200</v>
      </c>
      <c r="F150" s="564" t="s">
        <v>75</v>
      </c>
      <c r="G150" s="564" t="s">
        <v>52</v>
      </c>
      <c r="H150" s="564" t="s">
        <v>76</v>
      </c>
      <c r="I150" s="564">
        <v>35.369999999999997</v>
      </c>
      <c r="J150" s="564" t="s">
        <v>77</v>
      </c>
      <c r="K150" s="564">
        <v>1986</v>
      </c>
      <c r="L150" s="564" t="s">
        <v>147</v>
      </c>
      <c r="M150" s="565" t="s">
        <v>186</v>
      </c>
      <c r="N150" s="632" t="s">
        <v>708</v>
      </c>
      <c r="O150" s="564" t="s">
        <v>84</v>
      </c>
      <c r="P150" s="633" t="s">
        <v>38</v>
      </c>
      <c r="Q150" s="633" t="s">
        <v>38</v>
      </c>
      <c r="R150" s="633" t="s">
        <v>38</v>
      </c>
      <c r="S150" s="19"/>
      <c r="T150" s="576"/>
      <c r="U150" s="593"/>
      <c r="V150" s="593"/>
      <c r="W150" s="593"/>
      <c r="X150" s="579"/>
      <c r="Y150" s="579"/>
      <c r="Z150" s="579"/>
      <c r="AA150" s="579"/>
      <c r="AC150" s="604"/>
      <c r="AD150" s="582"/>
      <c r="AE150" s="582"/>
      <c r="AF150" s="583"/>
      <c r="AG150" s="582"/>
      <c r="AH150" s="575"/>
      <c r="AI150" s="575"/>
      <c r="AJ150" s="575"/>
      <c r="AK150" s="575"/>
      <c r="AL150" s="575"/>
    </row>
    <row r="151" spans="1:38" ht="78" customHeight="1">
      <c r="A151" s="564">
        <v>132</v>
      </c>
      <c r="B151" s="567" t="s">
        <v>165</v>
      </c>
      <c r="C151" s="564" t="s">
        <v>61</v>
      </c>
      <c r="D151" s="564" t="s">
        <v>62</v>
      </c>
      <c r="E151" s="564">
        <v>1200</v>
      </c>
      <c r="F151" s="564" t="s">
        <v>75</v>
      </c>
      <c r="G151" s="564" t="s">
        <v>52</v>
      </c>
      <c r="H151" s="564" t="s">
        <v>76</v>
      </c>
      <c r="I151" s="564">
        <v>48.51</v>
      </c>
      <c r="J151" s="564" t="s">
        <v>77</v>
      </c>
      <c r="K151" s="564">
        <v>1986</v>
      </c>
      <c r="L151" s="564" t="s">
        <v>147</v>
      </c>
      <c r="M151" s="565" t="s">
        <v>186</v>
      </c>
      <c r="N151" s="641" t="s">
        <v>709</v>
      </c>
      <c r="O151" s="564" t="s">
        <v>84</v>
      </c>
      <c r="P151" s="633" t="s">
        <v>38</v>
      </c>
      <c r="Q151" s="633" t="s">
        <v>38</v>
      </c>
      <c r="R151" s="633" t="s">
        <v>38</v>
      </c>
      <c r="S151" s="19"/>
      <c r="T151" s="576"/>
      <c r="U151" s="593"/>
      <c r="V151" s="593"/>
      <c r="W151" s="593"/>
      <c r="X151" s="601"/>
      <c r="Y151" s="601"/>
      <c r="Z151" s="601"/>
      <c r="AA151" s="601"/>
      <c r="AC151" s="604"/>
      <c r="AD151" s="582"/>
      <c r="AE151" s="582"/>
      <c r="AF151" s="583"/>
      <c r="AG151" s="582"/>
      <c r="AH151" s="575"/>
      <c r="AI151" s="575"/>
      <c r="AJ151" s="575"/>
      <c r="AK151" s="575"/>
      <c r="AL151" s="575"/>
    </row>
    <row r="152" spans="1:38" ht="78" customHeight="1">
      <c r="A152" s="564">
        <v>134</v>
      </c>
      <c r="B152" s="567" t="s">
        <v>174</v>
      </c>
      <c r="C152" s="564" t="s">
        <v>61</v>
      </c>
      <c r="D152" s="564" t="s">
        <v>62</v>
      </c>
      <c r="E152" s="564">
        <v>1200</v>
      </c>
      <c r="F152" s="564" t="s">
        <v>75</v>
      </c>
      <c r="G152" s="564" t="s">
        <v>52</v>
      </c>
      <c r="H152" s="564" t="s">
        <v>76</v>
      </c>
      <c r="I152" s="564">
        <v>54.64</v>
      </c>
      <c r="J152" s="564" t="s">
        <v>77</v>
      </c>
      <c r="K152" s="564">
        <v>1986</v>
      </c>
      <c r="L152" s="564" t="s">
        <v>147</v>
      </c>
      <c r="M152" s="565" t="s">
        <v>186</v>
      </c>
      <c r="N152" s="641" t="s">
        <v>709</v>
      </c>
      <c r="O152" s="564" t="s">
        <v>84</v>
      </c>
      <c r="P152" s="633" t="s">
        <v>38</v>
      </c>
      <c r="Q152" s="633" t="s">
        <v>38</v>
      </c>
      <c r="R152" s="633" t="s">
        <v>38</v>
      </c>
      <c r="S152" s="19"/>
      <c r="T152" s="576"/>
      <c r="U152" s="593"/>
      <c r="V152" s="593"/>
      <c r="W152" s="593"/>
      <c r="X152" s="601"/>
      <c r="Y152" s="601"/>
      <c r="Z152" s="601"/>
      <c r="AA152" s="601"/>
      <c r="AC152" s="604"/>
      <c r="AD152" s="582"/>
      <c r="AE152" s="582"/>
      <c r="AF152" s="583"/>
      <c r="AG152" s="582"/>
      <c r="AH152" s="575"/>
      <c r="AI152" s="575"/>
      <c r="AJ152" s="575"/>
      <c r="AK152" s="575"/>
      <c r="AL152" s="575"/>
    </row>
    <row r="153" spans="1:38" ht="51.6" customHeight="1">
      <c r="A153" s="564">
        <v>135</v>
      </c>
      <c r="B153" s="567" t="s">
        <v>176</v>
      </c>
      <c r="C153" s="564" t="s">
        <v>61</v>
      </c>
      <c r="D153" s="564" t="s">
        <v>62</v>
      </c>
      <c r="E153" s="564">
        <v>1200</v>
      </c>
      <c r="F153" s="564" t="s">
        <v>75</v>
      </c>
      <c r="G153" s="564" t="s">
        <v>52</v>
      </c>
      <c r="H153" s="564" t="s">
        <v>76</v>
      </c>
      <c r="I153" s="564">
        <v>47.91</v>
      </c>
      <c r="J153" s="564" t="s">
        <v>77</v>
      </c>
      <c r="K153" s="564">
        <v>1986</v>
      </c>
      <c r="L153" s="564" t="s">
        <v>147</v>
      </c>
      <c r="M153" s="565" t="s">
        <v>186</v>
      </c>
      <c r="N153" s="641" t="s">
        <v>709</v>
      </c>
      <c r="O153" s="564" t="s">
        <v>84</v>
      </c>
      <c r="P153" s="633" t="s">
        <v>38</v>
      </c>
      <c r="Q153" s="633" t="s">
        <v>38</v>
      </c>
      <c r="R153" s="633" t="s">
        <v>38</v>
      </c>
      <c r="S153" s="19"/>
      <c r="T153" s="576"/>
      <c r="U153" s="593"/>
      <c r="V153" s="593"/>
      <c r="W153" s="593"/>
      <c r="X153" s="579"/>
      <c r="Y153" s="579"/>
      <c r="Z153" s="579"/>
      <c r="AA153" s="579"/>
      <c r="AC153" s="601"/>
      <c r="AD153" s="582"/>
      <c r="AE153" s="582"/>
      <c r="AF153" s="583"/>
      <c r="AG153" s="582"/>
      <c r="AH153" s="575"/>
      <c r="AI153" s="575"/>
      <c r="AJ153" s="575"/>
      <c r="AK153" s="575"/>
      <c r="AL153" s="575"/>
    </row>
    <row r="154" spans="1:38" ht="49.15" customHeight="1">
      <c r="A154" s="564">
        <v>137</v>
      </c>
      <c r="B154" s="567" t="s">
        <v>187</v>
      </c>
      <c r="C154" s="564" t="s">
        <v>61</v>
      </c>
      <c r="D154" s="564" t="s">
        <v>62</v>
      </c>
      <c r="E154" s="564">
        <v>1200</v>
      </c>
      <c r="F154" s="564" t="s">
        <v>75</v>
      </c>
      <c r="G154" s="564" t="s">
        <v>52</v>
      </c>
      <c r="H154" s="564" t="s">
        <v>76</v>
      </c>
      <c r="I154" s="564">
        <v>53.13</v>
      </c>
      <c r="J154" s="564" t="s">
        <v>77</v>
      </c>
      <c r="K154" s="564">
        <v>1986</v>
      </c>
      <c r="L154" s="564" t="s">
        <v>147</v>
      </c>
      <c r="M154" s="565" t="s">
        <v>186</v>
      </c>
      <c r="N154" s="641" t="s">
        <v>709</v>
      </c>
      <c r="O154" s="564" t="s">
        <v>84</v>
      </c>
      <c r="P154" s="633" t="s">
        <v>38</v>
      </c>
      <c r="Q154" s="633" t="s">
        <v>38</v>
      </c>
      <c r="R154" s="633" t="s">
        <v>122</v>
      </c>
      <c r="S154" s="19"/>
      <c r="T154" s="576"/>
      <c r="U154" s="593"/>
      <c r="V154" s="593"/>
      <c r="W154" s="593"/>
      <c r="X154" s="601"/>
      <c r="Y154" s="601"/>
      <c r="Z154" s="601"/>
      <c r="AA154" s="601"/>
      <c r="AC154" s="604"/>
      <c r="AD154" s="582"/>
      <c r="AE154" s="582"/>
      <c r="AF154" s="583"/>
      <c r="AG154" s="582"/>
      <c r="AH154" s="575"/>
      <c r="AI154" s="575"/>
      <c r="AJ154" s="575"/>
      <c r="AK154" s="575"/>
      <c r="AL154" s="575"/>
    </row>
    <row r="155" spans="1:38" ht="42" customHeight="1">
      <c r="A155" s="564">
        <v>505</v>
      </c>
      <c r="B155" s="564" t="s">
        <v>479</v>
      </c>
      <c r="C155" s="564" t="s">
        <v>61</v>
      </c>
      <c r="D155" s="564" t="s">
        <v>62</v>
      </c>
      <c r="E155" s="564">
        <v>1200</v>
      </c>
      <c r="F155" s="564" t="s">
        <v>116</v>
      </c>
      <c r="G155" s="564" t="s">
        <v>52</v>
      </c>
      <c r="H155" s="564" t="s">
        <v>76</v>
      </c>
      <c r="I155" s="564">
        <v>8.9</v>
      </c>
      <c r="J155" s="564" t="s">
        <v>77</v>
      </c>
      <c r="K155" s="564">
        <v>1986</v>
      </c>
      <c r="L155" s="564" t="s">
        <v>480</v>
      </c>
      <c r="M155" s="564"/>
      <c r="N155" s="634" t="s">
        <v>38</v>
      </c>
      <c r="O155" s="634" t="s">
        <v>38</v>
      </c>
      <c r="P155" s="633" t="s">
        <v>38</v>
      </c>
      <c r="Q155" s="633" t="s">
        <v>38</v>
      </c>
      <c r="R155" s="634" t="s">
        <v>38</v>
      </c>
      <c r="S155" s="19"/>
      <c r="T155" s="576"/>
      <c r="U155" s="593"/>
      <c r="V155" s="593"/>
      <c r="W155" s="593"/>
      <c r="X155" s="601"/>
      <c r="Y155" s="601"/>
      <c r="Z155" s="601"/>
      <c r="AA155" s="601"/>
      <c r="AC155" s="579"/>
      <c r="AD155" s="582"/>
      <c r="AE155" s="582"/>
      <c r="AF155" s="583"/>
      <c r="AG155" s="582"/>
      <c r="AH155" s="575"/>
      <c r="AI155" s="575"/>
      <c r="AJ155" s="575"/>
      <c r="AK155" s="575"/>
      <c r="AL155" s="575"/>
    </row>
    <row r="156" spans="1:38" ht="25.9" customHeight="1">
      <c r="A156" s="564"/>
      <c r="B156" s="564"/>
      <c r="C156" s="564"/>
      <c r="D156" s="564"/>
      <c r="E156" s="564"/>
      <c r="F156" s="564"/>
      <c r="G156" s="564"/>
      <c r="H156" s="564"/>
      <c r="I156" s="564"/>
      <c r="J156" s="564"/>
      <c r="K156" s="564"/>
      <c r="L156" s="564" t="s">
        <v>480</v>
      </c>
      <c r="M156" s="565"/>
      <c r="N156" s="633"/>
      <c r="O156" s="633"/>
      <c r="P156" s="633"/>
      <c r="Q156" s="633"/>
      <c r="R156" s="633"/>
      <c r="S156" s="19"/>
      <c r="T156" s="605"/>
      <c r="U156" s="601"/>
      <c r="V156" s="601"/>
      <c r="W156" s="601"/>
      <c r="X156" s="601"/>
      <c r="Y156" s="601"/>
      <c r="Z156" s="601"/>
      <c r="AA156" s="601"/>
      <c r="AC156" s="601"/>
      <c r="AD156" s="582"/>
      <c r="AE156" s="582"/>
      <c r="AF156" s="583"/>
      <c r="AG156" s="582"/>
      <c r="AH156" s="575"/>
      <c r="AI156" s="575"/>
      <c r="AJ156" s="575"/>
      <c r="AK156" s="575"/>
      <c r="AL156" s="575"/>
    </row>
    <row r="157" spans="1:38" ht="25.9" customHeight="1">
      <c r="A157" s="564">
        <v>138</v>
      </c>
      <c r="B157" s="567" t="s">
        <v>188</v>
      </c>
      <c r="C157" s="564" t="s">
        <v>61</v>
      </c>
      <c r="D157" s="564" t="s">
        <v>62</v>
      </c>
      <c r="E157" s="564">
        <v>1000</v>
      </c>
      <c r="F157" s="564" t="s">
        <v>493</v>
      </c>
      <c r="G157" s="564" t="s">
        <v>52</v>
      </c>
      <c r="H157" s="564" t="s">
        <v>76</v>
      </c>
      <c r="I157" s="564">
        <v>0.9</v>
      </c>
      <c r="J157" s="564" t="s">
        <v>77</v>
      </c>
      <c r="K157" s="564">
        <v>1999</v>
      </c>
      <c r="L157" s="564" t="s">
        <v>1123</v>
      </c>
      <c r="M157" s="565"/>
      <c r="N157" s="633" t="s">
        <v>122</v>
      </c>
      <c r="O157" s="634" t="s">
        <v>38</v>
      </c>
      <c r="P157" s="633" t="s">
        <v>38</v>
      </c>
      <c r="Q157" s="633" t="s">
        <v>38</v>
      </c>
      <c r="R157" s="633" t="s">
        <v>122</v>
      </c>
      <c r="S157" s="19"/>
      <c r="T157" s="574"/>
      <c r="U157" s="575"/>
      <c r="V157" s="575"/>
      <c r="W157" s="575"/>
      <c r="X157" s="579"/>
      <c r="Y157" s="579"/>
      <c r="Z157" s="579"/>
      <c r="AA157" s="579"/>
      <c r="AC157" s="601"/>
      <c r="AD157" s="582"/>
      <c r="AE157" s="582"/>
      <c r="AF157" s="583"/>
      <c r="AG157" s="582"/>
      <c r="AH157" s="575"/>
      <c r="AI157" s="575"/>
      <c r="AJ157" s="575"/>
      <c r="AK157" s="575"/>
      <c r="AL157" s="575"/>
    </row>
    <row r="158" spans="1:38" ht="51.6" customHeight="1">
      <c r="A158" s="564">
        <v>139</v>
      </c>
      <c r="B158" s="567" t="s">
        <v>200</v>
      </c>
      <c r="C158" s="564" t="s">
        <v>61</v>
      </c>
      <c r="D158" s="564" t="s">
        <v>62</v>
      </c>
      <c r="E158" s="564">
        <v>1000</v>
      </c>
      <c r="F158" s="564" t="s">
        <v>493</v>
      </c>
      <c r="G158" s="564" t="s">
        <v>52</v>
      </c>
      <c r="H158" s="564" t="s">
        <v>76</v>
      </c>
      <c r="I158" s="564">
        <v>0.9</v>
      </c>
      <c r="J158" s="564" t="s">
        <v>77</v>
      </c>
      <c r="K158" s="564">
        <v>1999</v>
      </c>
      <c r="L158" s="564" t="s">
        <v>1123</v>
      </c>
      <c r="M158" s="565"/>
      <c r="N158" s="633" t="s">
        <v>122</v>
      </c>
      <c r="O158" s="634" t="s">
        <v>38</v>
      </c>
      <c r="P158" s="633" t="s">
        <v>38</v>
      </c>
      <c r="Q158" s="633" t="s">
        <v>38</v>
      </c>
      <c r="R158" s="633" t="s">
        <v>122</v>
      </c>
      <c r="S158" s="19"/>
      <c r="T158" s="574"/>
      <c r="U158" s="575"/>
      <c r="V158" s="575"/>
      <c r="W158" s="575"/>
      <c r="X158" s="579"/>
      <c r="Y158" s="579"/>
      <c r="Z158" s="579"/>
      <c r="AA158" s="579"/>
      <c r="AC158" s="601"/>
      <c r="AD158" s="582"/>
      <c r="AE158" s="582"/>
      <c r="AF158" s="583"/>
      <c r="AG158" s="582"/>
      <c r="AH158" s="575"/>
      <c r="AI158" s="575"/>
      <c r="AJ158" s="575"/>
      <c r="AK158" s="575"/>
      <c r="AL158" s="575"/>
    </row>
    <row r="159" spans="1:38" ht="13" customHeight="1">
      <c r="A159" s="564">
        <v>140</v>
      </c>
      <c r="B159" s="567" t="s">
        <v>188</v>
      </c>
      <c r="C159" s="564" t="s">
        <v>61</v>
      </c>
      <c r="D159" s="564" t="s">
        <v>62</v>
      </c>
      <c r="E159" s="564">
        <v>1000</v>
      </c>
      <c r="F159" s="564" t="s">
        <v>669</v>
      </c>
      <c r="G159" s="564" t="s">
        <v>52</v>
      </c>
      <c r="H159" s="564" t="s">
        <v>33</v>
      </c>
      <c r="I159" s="564">
        <f>60*1000000</f>
        <v>60000000</v>
      </c>
      <c r="J159" s="564" t="s">
        <v>34</v>
      </c>
      <c r="K159" s="564">
        <v>1999</v>
      </c>
      <c r="L159" s="564" t="s">
        <v>1123</v>
      </c>
      <c r="M159" s="564" t="s">
        <v>190</v>
      </c>
      <c r="N159" s="633" t="s">
        <v>122</v>
      </c>
      <c r="O159" s="634" t="s">
        <v>38</v>
      </c>
      <c r="P159" s="633" t="s">
        <v>38</v>
      </c>
      <c r="Q159" s="633" t="s">
        <v>38</v>
      </c>
      <c r="R159" s="633" t="s">
        <v>122</v>
      </c>
      <c r="S159" s="19"/>
      <c r="T159" s="574"/>
      <c r="U159" s="575"/>
      <c r="V159" s="575"/>
      <c r="W159" s="575"/>
      <c r="X159" s="579"/>
      <c r="Y159" s="579"/>
      <c r="Z159" s="579"/>
      <c r="AA159" s="579"/>
      <c r="AC159" s="601"/>
      <c r="AD159" s="582"/>
      <c r="AE159" s="582"/>
      <c r="AF159" s="583"/>
      <c r="AG159" s="582"/>
      <c r="AH159" s="575"/>
      <c r="AI159" s="575"/>
      <c r="AJ159" s="575"/>
      <c r="AK159" s="575"/>
      <c r="AL159" s="575"/>
    </row>
    <row r="160" spans="1:38" ht="13" customHeight="1">
      <c r="A160" s="564">
        <v>141</v>
      </c>
      <c r="B160" s="567" t="s">
        <v>188</v>
      </c>
      <c r="C160" s="564" t="s">
        <v>61</v>
      </c>
      <c r="D160" s="564" t="s">
        <v>62</v>
      </c>
      <c r="E160" s="564">
        <v>1000</v>
      </c>
      <c r="F160" s="564" t="s">
        <v>115</v>
      </c>
      <c r="G160" s="564" t="s">
        <v>52</v>
      </c>
      <c r="H160" s="564" t="s">
        <v>76</v>
      </c>
      <c r="I160" s="564">
        <v>3.8</v>
      </c>
      <c r="J160" s="564" t="s">
        <v>77</v>
      </c>
      <c r="K160" s="564">
        <v>1999</v>
      </c>
      <c r="L160" s="564" t="s">
        <v>1123</v>
      </c>
      <c r="M160" s="564" t="s">
        <v>1120</v>
      </c>
      <c r="N160" s="633" t="s">
        <v>122</v>
      </c>
      <c r="O160" s="634" t="s">
        <v>38</v>
      </c>
      <c r="P160" s="633" t="s">
        <v>38</v>
      </c>
      <c r="Q160" s="633" t="s">
        <v>38</v>
      </c>
      <c r="R160" s="633" t="s">
        <v>122</v>
      </c>
      <c r="S160" s="19"/>
      <c r="T160" s="574"/>
      <c r="U160" s="575"/>
      <c r="V160" s="575"/>
      <c r="W160" s="575"/>
      <c r="X160" s="579"/>
      <c r="Y160" s="579"/>
      <c r="Z160" s="579"/>
      <c r="AA160" s="579"/>
      <c r="AC160" s="601"/>
      <c r="AD160" s="582"/>
      <c r="AE160" s="582"/>
      <c r="AF160" s="583"/>
      <c r="AG160" s="582"/>
      <c r="AH160" s="575"/>
      <c r="AI160" s="575"/>
      <c r="AJ160" s="575"/>
      <c r="AK160" s="575"/>
      <c r="AL160" s="575"/>
    </row>
    <row r="161" spans="1:38" ht="13" customHeight="1">
      <c r="A161" s="564">
        <v>142</v>
      </c>
      <c r="B161" s="567" t="s">
        <v>200</v>
      </c>
      <c r="C161" s="564" t="s">
        <v>61</v>
      </c>
      <c r="D161" s="564" t="s">
        <v>62</v>
      </c>
      <c r="E161" s="564">
        <v>1000</v>
      </c>
      <c r="F161" s="564" t="s">
        <v>115</v>
      </c>
      <c r="G161" s="564" t="s">
        <v>52</v>
      </c>
      <c r="H161" s="564" t="s">
        <v>76</v>
      </c>
      <c r="I161" s="564">
        <v>5.4</v>
      </c>
      <c r="J161" s="564" t="s">
        <v>77</v>
      </c>
      <c r="K161" s="564">
        <v>1999</v>
      </c>
      <c r="L161" s="564" t="s">
        <v>1123</v>
      </c>
      <c r="M161" s="564" t="s">
        <v>1120</v>
      </c>
      <c r="N161" s="633" t="s">
        <v>122</v>
      </c>
      <c r="O161" s="634" t="s">
        <v>38</v>
      </c>
      <c r="P161" s="633" t="s">
        <v>38</v>
      </c>
      <c r="Q161" s="633" t="s">
        <v>38</v>
      </c>
      <c r="R161" s="633" t="s">
        <v>122</v>
      </c>
      <c r="S161" s="19"/>
      <c r="T161" s="574"/>
      <c r="U161" s="575"/>
      <c r="V161" s="575"/>
      <c r="W161" s="575"/>
      <c r="X161" s="579"/>
      <c r="Y161" s="579"/>
      <c r="Z161" s="579"/>
      <c r="AA161" s="579"/>
      <c r="AC161" s="601"/>
      <c r="AD161" s="582"/>
      <c r="AE161" s="582"/>
      <c r="AF161" s="583"/>
      <c r="AG161" s="582"/>
      <c r="AH161" s="575"/>
      <c r="AI161" s="575"/>
      <c r="AJ161" s="575"/>
      <c r="AK161" s="575"/>
      <c r="AL161" s="575"/>
    </row>
    <row r="162" spans="1:38" ht="13" customHeight="1">
      <c r="A162" s="564">
        <v>143</v>
      </c>
      <c r="B162" s="567" t="s">
        <v>188</v>
      </c>
      <c r="C162" s="564" t="s">
        <v>61</v>
      </c>
      <c r="D162" s="564" t="s">
        <v>62</v>
      </c>
      <c r="E162" s="564">
        <v>1000</v>
      </c>
      <c r="F162" s="564" t="s">
        <v>670</v>
      </c>
      <c r="G162" s="564" t="s">
        <v>52</v>
      </c>
      <c r="H162" s="564" t="s">
        <v>76</v>
      </c>
      <c r="I162" s="564">
        <v>0.4</v>
      </c>
      <c r="J162" s="564" t="s">
        <v>77</v>
      </c>
      <c r="K162" s="564">
        <v>1999</v>
      </c>
      <c r="L162" s="564" t="s">
        <v>1123</v>
      </c>
      <c r="M162" s="564" t="s">
        <v>190</v>
      </c>
      <c r="N162" s="633" t="s">
        <v>122</v>
      </c>
      <c r="O162" s="634" t="s">
        <v>38</v>
      </c>
      <c r="P162" s="633" t="s">
        <v>38</v>
      </c>
      <c r="Q162" s="633" t="s">
        <v>38</v>
      </c>
      <c r="R162" s="633" t="s">
        <v>122</v>
      </c>
      <c r="S162" s="19"/>
      <c r="T162" s="574"/>
      <c r="U162" s="575"/>
      <c r="V162" s="575"/>
      <c r="W162" s="575"/>
      <c r="X162" s="579"/>
      <c r="Y162" s="579"/>
      <c r="Z162" s="579"/>
      <c r="AA162" s="579"/>
      <c r="AC162" s="601"/>
      <c r="AD162" s="582"/>
      <c r="AE162" s="582"/>
      <c r="AF162" s="583"/>
      <c r="AG162" s="582"/>
      <c r="AH162" s="575"/>
      <c r="AI162" s="575"/>
      <c r="AJ162" s="575"/>
      <c r="AK162" s="575"/>
      <c r="AL162" s="575"/>
    </row>
    <row r="163" spans="1:38" ht="13" customHeight="1">
      <c r="A163" s="564">
        <v>144</v>
      </c>
      <c r="B163" s="567" t="s">
        <v>200</v>
      </c>
      <c r="C163" s="564" t="s">
        <v>61</v>
      </c>
      <c r="D163" s="564" t="s">
        <v>62</v>
      </c>
      <c r="E163" s="564">
        <v>1000</v>
      </c>
      <c r="F163" s="564" t="s">
        <v>669</v>
      </c>
      <c r="G163" s="564" t="s">
        <v>52</v>
      </c>
      <c r="H163" s="564" t="s">
        <v>33</v>
      </c>
      <c r="I163" s="564">
        <f>60*1000000</f>
        <v>60000000</v>
      </c>
      <c r="J163" s="564" t="s">
        <v>34</v>
      </c>
      <c r="K163" s="564">
        <v>1999</v>
      </c>
      <c r="L163" s="564" t="s">
        <v>1123</v>
      </c>
      <c r="M163" s="564" t="s">
        <v>190</v>
      </c>
      <c r="N163" s="633" t="s">
        <v>122</v>
      </c>
      <c r="O163" s="634" t="s">
        <v>38</v>
      </c>
      <c r="P163" s="633" t="s">
        <v>38</v>
      </c>
      <c r="Q163" s="633" t="s">
        <v>38</v>
      </c>
      <c r="R163" s="633" t="s">
        <v>122</v>
      </c>
      <c r="S163" s="19"/>
      <c r="T163" s="574"/>
      <c r="U163" s="575"/>
      <c r="V163" s="575"/>
      <c r="W163" s="575"/>
      <c r="X163" s="579"/>
      <c r="Y163" s="579"/>
      <c r="Z163" s="579"/>
      <c r="AA163" s="579"/>
      <c r="AC163" s="601"/>
      <c r="AD163" s="582"/>
      <c r="AE163" s="582"/>
      <c r="AF163" s="583"/>
      <c r="AG163" s="582"/>
      <c r="AH163" s="575"/>
      <c r="AI163" s="575"/>
      <c r="AJ163" s="575"/>
      <c r="AK163" s="575"/>
      <c r="AL163" s="575"/>
    </row>
    <row r="164" spans="1:38" ht="13" customHeight="1">
      <c r="A164" s="564">
        <v>145</v>
      </c>
      <c r="B164" s="567" t="s">
        <v>200</v>
      </c>
      <c r="C164" s="564" t="s">
        <v>61</v>
      </c>
      <c r="D164" s="564" t="s">
        <v>62</v>
      </c>
      <c r="E164" s="564">
        <v>1000</v>
      </c>
      <c r="F164" s="564" t="s">
        <v>670</v>
      </c>
      <c r="G164" s="564" t="s">
        <v>52</v>
      </c>
      <c r="H164" s="564" t="s">
        <v>76</v>
      </c>
      <c r="I164" s="564">
        <v>0.4</v>
      </c>
      <c r="J164" s="564" t="s">
        <v>77</v>
      </c>
      <c r="K164" s="564">
        <v>1999</v>
      </c>
      <c r="L164" s="564" t="s">
        <v>1123</v>
      </c>
      <c r="M164" s="564" t="s">
        <v>190</v>
      </c>
      <c r="N164" s="633" t="s">
        <v>122</v>
      </c>
      <c r="O164" s="634" t="s">
        <v>38</v>
      </c>
      <c r="P164" s="633" t="s">
        <v>38</v>
      </c>
      <c r="Q164" s="633" t="s">
        <v>38</v>
      </c>
      <c r="R164" s="633" t="s">
        <v>122</v>
      </c>
      <c r="S164" s="19"/>
      <c r="T164" s="574"/>
      <c r="U164" s="575"/>
      <c r="V164" s="575"/>
      <c r="W164" s="575"/>
      <c r="X164" s="579"/>
      <c r="Y164" s="579"/>
      <c r="Z164" s="579"/>
      <c r="AA164" s="579"/>
      <c r="AC164" s="601"/>
      <c r="AD164" s="582"/>
      <c r="AE164" s="582"/>
      <c r="AF164" s="583"/>
      <c r="AG164" s="582"/>
      <c r="AH164" s="575"/>
      <c r="AI164" s="575"/>
      <c r="AJ164" s="575"/>
      <c r="AK164" s="575"/>
      <c r="AL164" s="575"/>
    </row>
    <row r="165" spans="1:38" ht="13" customHeight="1">
      <c r="A165" s="564">
        <v>146</v>
      </c>
      <c r="B165" s="564" t="s">
        <v>203</v>
      </c>
      <c r="C165" s="564" t="s">
        <v>61</v>
      </c>
      <c r="D165" s="564" t="s">
        <v>62</v>
      </c>
      <c r="E165" s="564">
        <v>1300</v>
      </c>
      <c r="F165" s="564" t="s">
        <v>493</v>
      </c>
      <c r="G165" s="564" t="s">
        <v>52</v>
      </c>
      <c r="H165" s="564" t="s">
        <v>76</v>
      </c>
      <c r="I165" s="564">
        <v>0.9</v>
      </c>
      <c r="J165" s="564" t="s">
        <v>77</v>
      </c>
      <c r="K165" s="564">
        <v>1999</v>
      </c>
      <c r="L165" s="564" t="s">
        <v>1123</v>
      </c>
      <c r="M165" s="564"/>
      <c r="N165" s="634" t="s">
        <v>38</v>
      </c>
      <c r="O165" s="634" t="s">
        <v>38</v>
      </c>
      <c r="P165" s="633" t="s">
        <v>38</v>
      </c>
      <c r="Q165" s="633" t="s">
        <v>38</v>
      </c>
      <c r="R165" s="633" t="s">
        <v>122</v>
      </c>
      <c r="S165" s="19"/>
      <c r="T165" s="574"/>
      <c r="U165" s="575"/>
      <c r="V165" s="575"/>
      <c r="W165" s="575"/>
      <c r="X165" s="579"/>
      <c r="Y165" s="579"/>
      <c r="Z165" s="579"/>
      <c r="AA165" s="579"/>
      <c r="AC165" s="601"/>
      <c r="AD165" s="582"/>
      <c r="AE165" s="582"/>
      <c r="AF165" s="583"/>
      <c r="AG165" s="582"/>
      <c r="AH165" s="575"/>
      <c r="AI165" s="575"/>
      <c r="AJ165" s="575"/>
      <c r="AK165" s="575"/>
      <c r="AL165" s="575"/>
    </row>
    <row r="166" spans="1:38" ht="17.100000000000001" customHeight="1">
      <c r="A166" s="564">
        <v>147</v>
      </c>
      <c r="B166" s="564" t="s">
        <v>204</v>
      </c>
      <c r="C166" s="564" t="s">
        <v>61</v>
      </c>
      <c r="D166" s="564" t="s">
        <v>62</v>
      </c>
      <c r="E166" s="564">
        <v>1000</v>
      </c>
      <c r="F166" s="564" t="s">
        <v>493</v>
      </c>
      <c r="G166" s="564" t="s">
        <v>52</v>
      </c>
      <c r="H166" s="564" t="s">
        <v>76</v>
      </c>
      <c r="I166" s="564">
        <v>0.9</v>
      </c>
      <c r="J166" s="564" t="s">
        <v>77</v>
      </c>
      <c r="K166" s="564">
        <v>1999</v>
      </c>
      <c r="L166" s="564" t="s">
        <v>1123</v>
      </c>
      <c r="M166" s="564"/>
      <c r="N166" s="634" t="s">
        <v>38</v>
      </c>
      <c r="O166" s="634" t="s">
        <v>38</v>
      </c>
      <c r="P166" s="633" t="s">
        <v>38</v>
      </c>
      <c r="Q166" s="633" t="s">
        <v>38</v>
      </c>
      <c r="R166" s="633" t="s">
        <v>122</v>
      </c>
      <c r="S166" s="19"/>
      <c r="T166" s="574"/>
      <c r="U166" s="575"/>
      <c r="V166" s="575"/>
      <c r="W166" s="575"/>
      <c r="X166" s="579"/>
      <c r="Y166" s="579"/>
      <c r="Z166" s="579"/>
      <c r="AA166" s="579"/>
      <c r="AC166" s="606"/>
      <c r="AD166" s="582"/>
      <c r="AE166" s="582"/>
      <c r="AF166" s="583"/>
      <c r="AG166" s="582"/>
      <c r="AH166" s="575"/>
      <c r="AI166" s="575"/>
      <c r="AJ166" s="575"/>
      <c r="AK166" s="575"/>
      <c r="AL166" s="575"/>
    </row>
    <row r="167" spans="1:38" ht="17.100000000000001" customHeight="1">
      <c r="A167" s="564">
        <v>148</v>
      </c>
      <c r="B167" s="564" t="s">
        <v>201</v>
      </c>
      <c r="C167" s="564" t="s">
        <v>61</v>
      </c>
      <c r="D167" s="564" t="s">
        <v>62</v>
      </c>
      <c r="E167" s="564">
        <v>1000</v>
      </c>
      <c r="F167" s="564" t="s">
        <v>75</v>
      </c>
      <c r="G167" s="564" t="s">
        <v>52</v>
      </c>
      <c r="H167" s="564" t="s">
        <v>76</v>
      </c>
      <c r="I167" s="564">
        <v>103</v>
      </c>
      <c r="J167" s="564" t="s">
        <v>77</v>
      </c>
      <c r="K167" s="564">
        <v>1999</v>
      </c>
      <c r="L167" s="564" t="s">
        <v>1123</v>
      </c>
      <c r="M167" s="564" t="s">
        <v>202</v>
      </c>
      <c r="N167" s="632" t="s">
        <v>710</v>
      </c>
      <c r="O167" s="564" t="s">
        <v>84</v>
      </c>
      <c r="P167" s="633" t="s">
        <v>38</v>
      </c>
      <c r="Q167" s="633" t="s">
        <v>38</v>
      </c>
      <c r="R167" s="633" t="s">
        <v>122</v>
      </c>
      <c r="S167" s="19"/>
      <c r="T167" s="574"/>
      <c r="U167" s="575"/>
      <c r="V167" s="575"/>
      <c r="W167" s="575"/>
      <c r="X167" s="579"/>
      <c r="Y167" s="579"/>
      <c r="Z167" s="579"/>
      <c r="AA167" s="579"/>
      <c r="AC167" s="606"/>
      <c r="AD167" s="583"/>
      <c r="AE167" s="583"/>
      <c r="AF167" s="583"/>
      <c r="AG167" s="583"/>
      <c r="AH167" s="579"/>
      <c r="AI167" s="579"/>
      <c r="AJ167" s="579"/>
      <c r="AK167" s="579"/>
      <c r="AL167" s="579"/>
    </row>
    <row r="168" spans="1:38" ht="17.100000000000001" customHeight="1">
      <c r="A168" s="564">
        <v>149</v>
      </c>
      <c r="B168" s="564" t="s">
        <v>200</v>
      </c>
      <c r="C168" s="564" t="s">
        <v>61</v>
      </c>
      <c r="D168" s="564" t="s">
        <v>62</v>
      </c>
      <c r="E168" s="564">
        <v>1300</v>
      </c>
      <c r="F168" s="564" t="s">
        <v>75</v>
      </c>
      <c r="G168" s="564" t="s">
        <v>52</v>
      </c>
      <c r="H168" s="564" t="s">
        <v>76</v>
      </c>
      <c r="I168" s="564">
        <v>80</v>
      </c>
      <c r="J168" s="564" t="s">
        <v>77</v>
      </c>
      <c r="K168" s="564">
        <v>1999</v>
      </c>
      <c r="L168" s="564" t="s">
        <v>1123</v>
      </c>
      <c r="M168" s="564" t="s">
        <v>202</v>
      </c>
      <c r="N168" s="632" t="s">
        <v>706</v>
      </c>
      <c r="O168" s="564" t="s">
        <v>84</v>
      </c>
      <c r="P168" s="633" t="s">
        <v>38</v>
      </c>
      <c r="Q168" s="633" t="s">
        <v>38</v>
      </c>
      <c r="R168" s="633" t="s">
        <v>122</v>
      </c>
      <c r="S168" s="19"/>
      <c r="T168" s="574"/>
      <c r="U168" s="575"/>
      <c r="V168" s="575"/>
      <c r="W168" s="575"/>
      <c r="X168" s="579"/>
      <c r="Y168" s="579"/>
      <c r="Z168" s="579"/>
      <c r="AA168" s="579"/>
      <c r="AC168" s="606"/>
      <c r="AD168" s="583"/>
      <c r="AE168" s="583"/>
      <c r="AF168" s="583"/>
      <c r="AG168" s="583"/>
      <c r="AH168" s="579"/>
      <c r="AI168" s="579"/>
      <c r="AJ168" s="579"/>
      <c r="AK168" s="579"/>
      <c r="AL168" s="579"/>
    </row>
    <row r="169" spans="1:38" ht="13" customHeight="1">
      <c r="A169" s="564">
        <v>150</v>
      </c>
      <c r="B169" s="564" t="s">
        <v>200</v>
      </c>
      <c r="C169" s="564" t="s">
        <v>61</v>
      </c>
      <c r="D169" s="564" t="s">
        <v>62</v>
      </c>
      <c r="E169" s="564">
        <v>1000</v>
      </c>
      <c r="F169" s="564" t="s">
        <v>75</v>
      </c>
      <c r="G169" s="564" t="s">
        <v>52</v>
      </c>
      <c r="H169" s="564" t="s">
        <v>76</v>
      </c>
      <c r="I169" s="564">
        <v>90</v>
      </c>
      <c r="J169" s="564" t="s">
        <v>77</v>
      </c>
      <c r="K169" s="564">
        <v>1999</v>
      </c>
      <c r="L169" s="564" t="s">
        <v>1123</v>
      </c>
      <c r="M169" s="564" t="s">
        <v>202</v>
      </c>
      <c r="N169" s="632" t="s">
        <v>706</v>
      </c>
      <c r="O169" s="564" t="s">
        <v>84</v>
      </c>
      <c r="P169" s="633" t="s">
        <v>38</v>
      </c>
      <c r="Q169" s="633" t="s">
        <v>38</v>
      </c>
      <c r="R169" s="633" t="s">
        <v>122</v>
      </c>
      <c r="S169" s="19"/>
      <c r="T169" s="574"/>
      <c r="U169" s="575"/>
      <c r="V169" s="575"/>
      <c r="W169" s="575"/>
      <c r="X169" s="579"/>
      <c r="Y169" s="579"/>
      <c r="Z169" s="579"/>
      <c r="AA169" s="579"/>
      <c r="AC169" s="599"/>
      <c r="AD169" s="575"/>
      <c r="AE169" s="575"/>
      <c r="AF169" s="607"/>
      <c r="AG169" s="575"/>
      <c r="AH169" s="575"/>
      <c r="AI169" s="575"/>
      <c r="AJ169" s="575"/>
      <c r="AK169" s="575"/>
      <c r="AL169" s="575"/>
    </row>
    <row r="170" spans="1:38" ht="13" customHeight="1">
      <c r="A170" s="564">
        <v>151</v>
      </c>
      <c r="B170" s="564" t="s">
        <v>203</v>
      </c>
      <c r="C170" s="564" t="s">
        <v>61</v>
      </c>
      <c r="D170" s="564" t="s">
        <v>62</v>
      </c>
      <c r="E170" s="564">
        <v>1300</v>
      </c>
      <c r="F170" s="564" t="s">
        <v>75</v>
      </c>
      <c r="G170" s="564" t="s">
        <v>52</v>
      </c>
      <c r="H170" s="564" t="s">
        <v>76</v>
      </c>
      <c r="I170" s="564">
        <v>68</v>
      </c>
      <c r="J170" s="564" t="s">
        <v>77</v>
      </c>
      <c r="K170" s="564">
        <v>1999</v>
      </c>
      <c r="L170" s="564" t="s">
        <v>1123</v>
      </c>
      <c r="M170" s="564" t="s">
        <v>202</v>
      </c>
      <c r="N170" s="632" t="s">
        <v>715</v>
      </c>
      <c r="O170" s="564" t="s">
        <v>84</v>
      </c>
      <c r="P170" s="633" t="s">
        <v>38</v>
      </c>
      <c r="Q170" s="633" t="s">
        <v>38</v>
      </c>
      <c r="R170" s="633" t="s">
        <v>122</v>
      </c>
      <c r="S170" s="19"/>
      <c r="T170" s="574"/>
      <c r="U170" s="575"/>
      <c r="V170" s="575"/>
      <c r="W170" s="575"/>
      <c r="X170" s="579"/>
      <c r="Y170" s="579"/>
      <c r="Z170" s="579"/>
      <c r="AA170" s="579"/>
      <c r="AC170" s="599"/>
      <c r="AD170" s="575"/>
      <c r="AE170" s="575"/>
      <c r="AF170" s="607"/>
      <c r="AG170" s="575"/>
      <c r="AH170" s="575"/>
      <c r="AI170" s="575"/>
      <c r="AJ170" s="575"/>
      <c r="AK170" s="575"/>
      <c r="AL170" s="575"/>
    </row>
    <row r="171" spans="1:38" ht="13" customHeight="1">
      <c r="A171" s="564">
        <v>152</v>
      </c>
      <c r="B171" s="564" t="s">
        <v>204</v>
      </c>
      <c r="C171" s="564" t="s">
        <v>61</v>
      </c>
      <c r="D171" s="564" t="s">
        <v>62</v>
      </c>
      <c r="E171" s="564">
        <v>1000</v>
      </c>
      <c r="F171" s="564" t="s">
        <v>75</v>
      </c>
      <c r="G171" s="564" t="s">
        <v>52</v>
      </c>
      <c r="H171" s="564" t="s">
        <v>76</v>
      </c>
      <c r="I171" s="564">
        <v>110</v>
      </c>
      <c r="J171" s="564" t="s">
        <v>77</v>
      </c>
      <c r="K171" s="564">
        <v>1999</v>
      </c>
      <c r="L171" s="564" t="s">
        <v>1123</v>
      </c>
      <c r="M171" s="564" t="s">
        <v>202</v>
      </c>
      <c r="N171" s="632" t="s">
        <v>710</v>
      </c>
      <c r="O171" s="564" t="s">
        <v>84</v>
      </c>
      <c r="P171" s="633" t="s">
        <v>38</v>
      </c>
      <c r="Q171" s="633" t="s">
        <v>38</v>
      </c>
      <c r="R171" s="633" t="s">
        <v>122</v>
      </c>
      <c r="S171" s="19"/>
      <c r="T171" s="574"/>
      <c r="U171" s="575"/>
      <c r="V171" s="575"/>
      <c r="W171" s="575"/>
      <c r="X171" s="579"/>
      <c r="Y171" s="579"/>
      <c r="Z171" s="579"/>
      <c r="AA171" s="579"/>
      <c r="AC171" s="599"/>
      <c r="AD171" s="575"/>
      <c r="AE171" s="575"/>
      <c r="AF171" s="607"/>
      <c r="AG171" s="575"/>
      <c r="AH171" s="575"/>
      <c r="AI171" s="575"/>
      <c r="AJ171" s="575"/>
      <c r="AK171" s="575"/>
      <c r="AL171" s="575"/>
    </row>
    <row r="172" spans="1:38" ht="13" customHeight="1">
      <c r="A172" s="564">
        <v>153</v>
      </c>
      <c r="B172" s="564" t="s">
        <v>188</v>
      </c>
      <c r="C172" s="564" t="s">
        <v>61</v>
      </c>
      <c r="D172" s="564" t="s">
        <v>62</v>
      </c>
      <c r="E172" s="564">
        <v>1300</v>
      </c>
      <c r="F172" s="564" t="s">
        <v>75</v>
      </c>
      <c r="G172" s="564" t="s">
        <v>52</v>
      </c>
      <c r="H172" s="564" t="s">
        <v>76</v>
      </c>
      <c r="I172" s="564">
        <v>86</v>
      </c>
      <c r="J172" s="564" t="s">
        <v>77</v>
      </c>
      <c r="K172" s="564">
        <v>1999</v>
      </c>
      <c r="L172" s="564" t="s">
        <v>1123</v>
      </c>
      <c r="M172" s="564" t="s">
        <v>202</v>
      </c>
      <c r="N172" s="632" t="s">
        <v>706</v>
      </c>
      <c r="O172" s="564" t="s">
        <v>84</v>
      </c>
      <c r="P172" s="633" t="s">
        <v>38</v>
      </c>
      <c r="Q172" s="633" t="s">
        <v>38</v>
      </c>
      <c r="R172" s="633" t="s">
        <v>122</v>
      </c>
      <c r="S172" s="19"/>
      <c r="T172" s="574"/>
      <c r="U172" s="575"/>
      <c r="V172" s="575"/>
      <c r="W172" s="575"/>
      <c r="X172" s="579"/>
      <c r="Y172" s="579"/>
      <c r="Z172" s="579"/>
      <c r="AA172" s="579"/>
      <c r="AC172" s="599"/>
      <c r="AD172" s="575"/>
      <c r="AE172" s="575"/>
      <c r="AF172" s="607"/>
      <c r="AG172" s="575"/>
      <c r="AH172" s="575"/>
      <c r="AI172" s="575"/>
      <c r="AJ172" s="575"/>
      <c r="AK172" s="575"/>
      <c r="AL172" s="575"/>
    </row>
    <row r="173" spans="1:38" ht="13" customHeight="1">
      <c r="A173" s="564">
        <v>154</v>
      </c>
      <c r="B173" s="564" t="s">
        <v>205</v>
      </c>
      <c r="C173" s="564" t="s">
        <v>61</v>
      </c>
      <c r="D173" s="564" t="s">
        <v>62</v>
      </c>
      <c r="E173" s="564">
        <v>1300</v>
      </c>
      <c r="F173" s="564" t="s">
        <v>75</v>
      </c>
      <c r="G173" s="564" t="s">
        <v>52</v>
      </c>
      <c r="H173" s="564" t="s">
        <v>76</v>
      </c>
      <c r="I173" s="564">
        <v>65</v>
      </c>
      <c r="J173" s="564" t="s">
        <v>77</v>
      </c>
      <c r="K173" s="564">
        <v>1999</v>
      </c>
      <c r="L173" s="564" t="s">
        <v>1123</v>
      </c>
      <c r="M173" s="564" t="s">
        <v>202</v>
      </c>
      <c r="N173" s="632" t="s">
        <v>715</v>
      </c>
      <c r="O173" s="564" t="s">
        <v>84</v>
      </c>
      <c r="P173" s="633" t="s">
        <v>38</v>
      </c>
      <c r="Q173" s="633" t="s">
        <v>38</v>
      </c>
      <c r="R173" s="633" t="s">
        <v>122</v>
      </c>
      <c r="S173" s="19"/>
      <c r="T173" s="574"/>
      <c r="U173" s="575"/>
      <c r="V173" s="575"/>
      <c r="W173" s="575"/>
      <c r="X173" s="579"/>
      <c r="Y173" s="579"/>
      <c r="Z173" s="579"/>
      <c r="AA173" s="579"/>
      <c r="AC173" s="599"/>
      <c r="AD173" s="575"/>
      <c r="AE173" s="575"/>
      <c r="AF173" s="607"/>
      <c r="AG173" s="575"/>
      <c r="AH173" s="575"/>
      <c r="AI173" s="575"/>
      <c r="AJ173" s="575"/>
      <c r="AK173" s="575"/>
      <c r="AL173" s="575"/>
    </row>
    <row r="174" spans="1:38" ht="13" customHeight="1">
      <c r="A174" s="564">
        <v>155</v>
      </c>
      <c r="B174" s="564" t="s">
        <v>188</v>
      </c>
      <c r="C174" s="564" t="s">
        <v>61</v>
      </c>
      <c r="D174" s="564" t="s">
        <v>62</v>
      </c>
      <c r="E174" s="564">
        <v>1000</v>
      </c>
      <c r="F174" s="564" t="s">
        <v>75</v>
      </c>
      <c r="G174" s="564" t="s">
        <v>52</v>
      </c>
      <c r="H174" s="564" t="s">
        <v>76</v>
      </c>
      <c r="I174" s="564">
        <v>95</v>
      </c>
      <c r="J174" s="564" t="s">
        <v>77</v>
      </c>
      <c r="K174" s="564">
        <v>1999</v>
      </c>
      <c r="L174" s="564" t="s">
        <v>1123</v>
      </c>
      <c r="M174" s="564" t="s">
        <v>202</v>
      </c>
      <c r="N174" s="632" t="s">
        <v>706</v>
      </c>
      <c r="O174" s="564" t="s">
        <v>84</v>
      </c>
      <c r="P174" s="633" t="s">
        <v>38</v>
      </c>
      <c r="Q174" s="633" t="s">
        <v>38</v>
      </c>
      <c r="R174" s="633" t="s">
        <v>122</v>
      </c>
      <c r="S174" s="19"/>
      <c r="T174" s="574"/>
      <c r="U174" s="575"/>
      <c r="V174" s="575"/>
      <c r="W174" s="575"/>
      <c r="X174" s="579"/>
      <c r="Y174" s="579"/>
      <c r="Z174" s="579"/>
      <c r="AA174" s="579"/>
      <c r="AC174" s="599"/>
      <c r="AD174" s="575"/>
      <c r="AE174" s="575"/>
      <c r="AF174" s="607"/>
      <c r="AG174" s="575"/>
      <c r="AH174" s="575"/>
      <c r="AI174" s="575"/>
      <c r="AJ174" s="575"/>
      <c r="AK174" s="575"/>
      <c r="AL174" s="575"/>
    </row>
    <row r="175" spans="1:38" ht="13" customHeight="1">
      <c r="A175" s="564">
        <v>156</v>
      </c>
      <c r="B175" s="564" t="s">
        <v>200</v>
      </c>
      <c r="C175" s="564" t="s">
        <v>61</v>
      </c>
      <c r="D175" s="564" t="s">
        <v>62</v>
      </c>
      <c r="E175" s="564">
        <v>1000</v>
      </c>
      <c r="F175" s="564" t="s">
        <v>31</v>
      </c>
      <c r="G175" s="564" t="s">
        <v>52</v>
      </c>
      <c r="H175" s="564" t="s">
        <v>33</v>
      </c>
      <c r="I175" s="564">
        <f>3121500000+ (400*1000000)</f>
        <v>3521500000</v>
      </c>
      <c r="J175" s="564" t="s">
        <v>34</v>
      </c>
      <c r="K175" s="564">
        <v>1999</v>
      </c>
      <c r="L175" s="564" t="s">
        <v>1123</v>
      </c>
      <c r="M175" s="564" t="s">
        <v>206</v>
      </c>
      <c r="N175" s="632" t="s">
        <v>706</v>
      </c>
      <c r="O175" s="564" t="s">
        <v>84</v>
      </c>
      <c r="P175" s="633" t="s">
        <v>38</v>
      </c>
      <c r="Q175" s="564">
        <v>704000000</v>
      </c>
      <c r="R175" s="633" t="s">
        <v>122</v>
      </c>
      <c r="S175" s="19"/>
      <c r="T175" s="574"/>
      <c r="U175" s="575"/>
      <c r="V175" s="575"/>
      <c r="W175" s="575"/>
      <c r="X175" s="579"/>
      <c r="Y175" s="579"/>
      <c r="Z175" s="579"/>
      <c r="AA175" s="579"/>
      <c r="AC175" s="599"/>
      <c r="AD175" s="575"/>
      <c r="AE175" s="575"/>
      <c r="AF175" s="607"/>
      <c r="AG175" s="575"/>
      <c r="AH175" s="575"/>
      <c r="AI175" s="575"/>
      <c r="AJ175" s="575"/>
      <c r="AK175" s="575"/>
      <c r="AL175" s="575"/>
    </row>
    <row r="176" spans="1:38" ht="13" customHeight="1">
      <c r="A176" s="564">
        <v>157</v>
      </c>
      <c r="B176" s="564" t="s">
        <v>188</v>
      </c>
      <c r="C176" s="564" t="s">
        <v>61</v>
      </c>
      <c r="D176" s="564" t="s">
        <v>62</v>
      </c>
      <c r="E176" s="564">
        <v>1000</v>
      </c>
      <c r="F176" s="564" t="s">
        <v>31</v>
      </c>
      <c r="G176" s="564" t="s">
        <v>52</v>
      </c>
      <c r="H176" s="564" t="s">
        <v>33</v>
      </c>
      <c r="I176" s="564">
        <f>3440800000+(440*1000000)</f>
        <v>3880800000</v>
      </c>
      <c r="J176" s="564" t="s">
        <v>34</v>
      </c>
      <c r="K176" s="564">
        <v>1999</v>
      </c>
      <c r="L176" s="564" t="s">
        <v>1123</v>
      </c>
      <c r="M176" s="564" t="s">
        <v>206</v>
      </c>
      <c r="N176" s="632" t="s">
        <v>706</v>
      </c>
      <c r="O176" s="564" t="s">
        <v>84</v>
      </c>
      <c r="P176" s="633" t="s">
        <v>38</v>
      </c>
      <c r="Q176" s="564">
        <v>776000000</v>
      </c>
      <c r="R176" s="633" t="s">
        <v>122</v>
      </c>
      <c r="S176" s="19"/>
      <c r="T176" s="574"/>
      <c r="U176" s="575"/>
      <c r="V176" s="575"/>
      <c r="W176" s="575"/>
      <c r="X176" s="579"/>
      <c r="Y176" s="579"/>
      <c r="Z176" s="579"/>
      <c r="AA176" s="579"/>
      <c r="AC176" s="599"/>
      <c r="AD176" s="575"/>
      <c r="AE176" s="575"/>
      <c r="AF176" s="607"/>
      <c r="AG176" s="575"/>
      <c r="AH176" s="575"/>
      <c r="AI176" s="575"/>
      <c r="AJ176" s="575"/>
      <c r="AK176" s="575"/>
      <c r="AL176" s="575"/>
    </row>
    <row r="177" spans="1:38" ht="13" customHeight="1">
      <c r="A177" s="564">
        <v>248</v>
      </c>
      <c r="B177" s="564" t="s">
        <v>277</v>
      </c>
      <c r="C177" s="564" t="s">
        <v>61</v>
      </c>
      <c r="D177" s="639" t="s">
        <v>278</v>
      </c>
      <c r="E177" s="564">
        <v>1000</v>
      </c>
      <c r="F177" s="564" t="s">
        <v>75</v>
      </c>
      <c r="G177" s="564" t="s">
        <v>57</v>
      </c>
      <c r="H177" s="564" t="s">
        <v>76</v>
      </c>
      <c r="I177" s="564">
        <v>93</v>
      </c>
      <c r="J177" s="564" t="s">
        <v>77</v>
      </c>
      <c r="K177" s="564">
        <v>2003</v>
      </c>
      <c r="L177" s="566" t="s">
        <v>279</v>
      </c>
      <c r="M177" s="564" t="s">
        <v>280</v>
      </c>
      <c r="N177" s="634">
        <v>0.75</v>
      </c>
      <c r="O177" s="564" t="s">
        <v>84</v>
      </c>
      <c r="P177" s="633" t="s">
        <v>38</v>
      </c>
      <c r="Q177" s="633" t="s">
        <v>38</v>
      </c>
      <c r="R177" s="634" t="s">
        <v>38</v>
      </c>
      <c r="S177" s="19"/>
      <c r="T177" s="576"/>
      <c r="U177" s="575"/>
      <c r="V177" s="575"/>
      <c r="W177" s="575"/>
      <c r="X177" s="579"/>
      <c r="Y177" s="579"/>
      <c r="Z177" s="579"/>
      <c r="AA177" s="579"/>
      <c r="AC177" s="599"/>
      <c r="AD177" s="575"/>
      <c r="AE177" s="575"/>
      <c r="AF177" s="607"/>
      <c r="AG177" s="575"/>
      <c r="AH177" s="575"/>
      <c r="AI177" s="575"/>
      <c r="AJ177" s="575"/>
      <c r="AK177" s="575"/>
      <c r="AL177" s="575"/>
    </row>
    <row r="178" spans="1:38" ht="13" customHeight="1">
      <c r="A178" s="564">
        <v>255</v>
      </c>
      <c r="B178" s="564" t="s">
        <v>281</v>
      </c>
      <c r="C178" s="564" t="s">
        <v>61</v>
      </c>
      <c r="D178" s="639" t="s">
        <v>278</v>
      </c>
      <c r="E178" s="564">
        <v>1940</v>
      </c>
      <c r="F178" s="564" t="s">
        <v>493</v>
      </c>
      <c r="G178" s="564" t="s">
        <v>57</v>
      </c>
      <c r="H178" s="564" t="s">
        <v>76</v>
      </c>
      <c r="I178" s="564">
        <v>71.599999999999994</v>
      </c>
      <c r="J178" s="564" t="s">
        <v>77</v>
      </c>
      <c r="K178" s="564">
        <v>2003</v>
      </c>
      <c r="L178" s="566" t="s">
        <v>279</v>
      </c>
      <c r="M178" s="564" t="s">
        <v>285</v>
      </c>
      <c r="N178" s="633" t="s">
        <v>122</v>
      </c>
      <c r="O178" s="634" t="s">
        <v>38</v>
      </c>
      <c r="P178" s="633" t="s">
        <v>38</v>
      </c>
      <c r="Q178" s="633" t="s">
        <v>38</v>
      </c>
      <c r="R178" s="634" t="s">
        <v>38</v>
      </c>
      <c r="S178" s="19"/>
      <c r="T178" s="576"/>
      <c r="U178" s="575"/>
      <c r="V178" s="575"/>
      <c r="W178" s="575"/>
      <c r="X178" s="579"/>
      <c r="Y178" s="579"/>
      <c r="Z178" s="579"/>
      <c r="AA178" s="579"/>
      <c r="AC178" s="599"/>
      <c r="AD178" s="575"/>
      <c r="AE178" s="575"/>
      <c r="AF178" s="607"/>
      <c r="AG178" s="575"/>
      <c r="AH178" s="575"/>
      <c r="AI178" s="575"/>
      <c r="AJ178" s="575"/>
      <c r="AK178" s="575"/>
      <c r="AL178" s="575"/>
    </row>
    <row r="179" spans="1:38" ht="13" customHeight="1">
      <c r="A179" s="564">
        <v>253</v>
      </c>
      <c r="B179" s="564" t="s">
        <v>283</v>
      </c>
      <c r="C179" s="564" t="s">
        <v>61</v>
      </c>
      <c r="D179" s="564" t="s">
        <v>251</v>
      </c>
      <c r="E179" s="564">
        <v>1000</v>
      </c>
      <c r="F179" s="564" t="s">
        <v>75</v>
      </c>
      <c r="G179" s="564" t="s">
        <v>52</v>
      </c>
      <c r="H179" s="564" t="s">
        <v>76</v>
      </c>
      <c r="I179" s="564">
        <v>91</v>
      </c>
      <c r="J179" s="564" t="s">
        <v>77</v>
      </c>
      <c r="K179" s="564">
        <v>2003</v>
      </c>
      <c r="L179" s="566" t="s">
        <v>279</v>
      </c>
      <c r="M179" s="564" t="s">
        <v>284</v>
      </c>
      <c r="N179" s="634">
        <v>0.75</v>
      </c>
      <c r="O179" s="564" t="s">
        <v>84</v>
      </c>
      <c r="P179" s="633" t="s">
        <v>38</v>
      </c>
      <c r="Q179" s="633" t="s">
        <v>38</v>
      </c>
      <c r="R179" s="634" t="s">
        <v>38</v>
      </c>
      <c r="S179" s="19"/>
      <c r="T179" s="576"/>
      <c r="U179" s="575"/>
      <c r="V179" s="575"/>
      <c r="W179" s="575"/>
      <c r="X179" s="579"/>
      <c r="Y179" s="579"/>
      <c r="Z179" s="579"/>
      <c r="AA179" s="579"/>
      <c r="AC179" s="599"/>
      <c r="AD179" s="575"/>
      <c r="AE179" s="575"/>
      <c r="AF179" s="607"/>
      <c r="AG179" s="575"/>
      <c r="AH179" s="575"/>
      <c r="AI179" s="575"/>
      <c r="AJ179" s="575"/>
      <c r="AK179" s="575"/>
      <c r="AL179" s="575"/>
    </row>
    <row r="180" spans="1:38" ht="13" customHeight="1">
      <c r="A180" s="564">
        <v>249</v>
      </c>
      <c r="B180" s="564" t="s">
        <v>281</v>
      </c>
      <c r="C180" s="564" t="s">
        <v>61</v>
      </c>
      <c r="D180" s="639" t="s">
        <v>278</v>
      </c>
      <c r="E180" s="564">
        <v>1940</v>
      </c>
      <c r="F180" s="564" t="s">
        <v>493</v>
      </c>
      <c r="G180" s="564" t="s">
        <v>57</v>
      </c>
      <c r="H180" s="564" t="s">
        <v>76</v>
      </c>
      <c r="I180" s="564">
        <v>0.61199999999999999</v>
      </c>
      <c r="J180" s="564" t="s">
        <v>77</v>
      </c>
      <c r="K180" s="564">
        <v>2003</v>
      </c>
      <c r="L180" s="566" t="s">
        <v>279</v>
      </c>
      <c r="M180" s="564"/>
      <c r="N180" s="634" t="s">
        <v>38</v>
      </c>
      <c r="O180" s="634" t="s">
        <v>38</v>
      </c>
      <c r="P180" s="633" t="s">
        <v>38</v>
      </c>
      <c r="Q180" s="633" t="s">
        <v>38</v>
      </c>
      <c r="R180" s="634" t="s">
        <v>38</v>
      </c>
      <c r="S180" s="19"/>
      <c r="T180" s="576"/>
      <c r="U180" s="575"/>
      <c r="V180" s="575"/>
      <c r="W180" s="575"/>
      <c r="X180" s="579"/>
      <c r="Y180" s="579"/>
      <c r="Z180" s="579"/>
      <c r="AA180" s="579"/>
      <c r="AC180" s="599"/>
      <c r="AD180" s="575"/>
      <c r="AE180" s="575"/>
      <c r="AF180" s="607"/>
      <c r="AG180" s="575"/>
      <c r="AH180" s="575"/>
      <c r="AI180" s="575"/>
      <c r="AJ180" s="575"/>
      <c r="AK180" s="575"/>
      <c r="AL180" s="575"/>
    </row>
    <row r="181" spans="1:38" ht="13" customHeight="1">
      <c r="A181" s="564">
        <v>250</v>
      </c>
      <c r="B181" s="564" t="s">
        <v>281</v>
      </c>
      <c r="C181" s="564" t="s">
        <v>61</v>
      </c>
      <c r="D181" s="639" t="s">
        <v>278</v>
      </c>
      <c r="E181" s="564">
        <v>1940</v>
      </c>
      <c r="F181" s="564" t="s">
        <v>115</v>
      </c>
      <c r="G181" s="564" t="s">
        <v>57</v>
      </c>
      <c r="H181" s="564" t="s">
        <v>33</v>
      </c>
      <c r="I181" s="564">
        <f>43.171*1000000</f>
        <v>43171000</v>
      </c>
      <c r="J181" s="564" t="s">
        <v>34</v>
      </c>
      <c r="K181" s="564">
        <v>2003</v>
      </c>
      <c r="L181" s="566" t="s">
        <v>279</v>
      </c>
      <c r="M181" s="564" t="s">
        <v>282</v>
      </c>
      <c r="N181" s="633" t="s">
        <v>122</v>
      </c>
      <c r="O181" s="634" t="s">
        <v>38</v>
      </c>
      <c r="P181" s="633" t="s">
        <v>38</v>
      </c>
      <c r="Q181" s="633" t="s">
        <v>38</v>
      </c>
      <c r="R181" s="634" t="s">
        <v>38</v>
      </c>
      <c r="S181" s="19"/>
      <c r="T181" s="576"/>
      <c r="U181" s="575"/>
      <c r="V181" s="575"/>
      <c r="W181" s="575"/>
      <c r="X181" s="579"/>
      <c r="Y181" s="579"/>
      <c r="Z181" s="579"/>
      <c r="AA181" s="579"/>
      <c r="AC181" s="599"/>
      <c r="AD181" s="575"/>
      <c r="AE181" s="575"/>
      <c r="AF181" s="607"/>
      <c r="AG181" s="575"/>
      <c r="AH181" s="575"/>
      <c r="AI181" s="575"/>
      <c r="AJ181" s="575"/>
      <c r="AK181" s="575"/>
      <c r="AL181" s="575"/>
    </row>
    <row r="182" spans="1:38" ht="13" customHeight="1">
      <c r="A182" s="564">
        <v>251</v>
      </c>
      <c r="B182" s="564" t="s">
        <v>281</v>
      </c>
      <c r="C182" s="564" t="s">
        <v>61</v>
      </c>
      <c r="D182" s="639" t="s">
        <v>278</v>
      </c>
      <c r="E182" s="564">
        <v>1940</v>
      </c>
      <c r="F182" s="564" t="s">
        <v>116</v>
      </c>
      <c r="G182" s="564" t="s">
        <v>57</v>
      </c>
      <c r="H182" s="564" t="s">
        <v>33</v>
      </c>
      <c r="I182" s="564">
        <f>100.364*1000000</f>
        <v>100364000</v>
      </c>
      <c r="J182" s="564" t="s">
        <v>34</v>
      </c>
      <c r="K182" s="564">
        <v>2003</v>
      </c>
      <c r="L182" s="566" t="s">
        <v>279</v>
      </c>
      <c r="M182" s="564"/>
      <c r="N182" s="633" t="s">
        <v>122</v>
      </c>
      <c r="O182" s="634" t="s">
        <v>38</v>
      </c>
      <c r="P182" s="633" t="s">
        <v>38</v>
      </c>
      <c r="Q182" s="633" t="s">
        <v>38</v>
      </c>
      <c r="R182" s="634" t="s">
        <v>38</v>
      </c>
      <c r="S182" s="19"/>
      <c r="T182" s="576"/>
      <c r="U182" s="575"/>
      <c r="V182" s="575"/>
      <c r="W182" s="575"/>
      <c r="X182" s="579"/>
      <c r="Y182" s="579"/>
      <c r="Z182" s="579"/>
      <c r="AA182" s="579"/>
      <c r="AC182" s="599"/>
      <c r="AD182" s="575"/>
      <c r="AE182" s="575"/>
      <c r="AF182" s="607"/>
      <c r="AG182" s="575"/>
      <c r="AH182" s="575"/>
      <c r="AI182" s="575"/>
      <c r="AJ182" s="575"/>
      <c r="AK182" s="575"/>
      <c r="AL182" s="575"/>
    </row>
    <row r="183" spans="1:38" ht="13" customHeight="1">
      <c r="A183" s="564">
        <v>252</v>
      </c>
      <c r="B183" s="564" t="s">
        <v>281</v>
      </c>
      <c r="C183" s="564" t="s">
        <v>61</v>
      </c>
      <c r="D183" s="639" t="s">
        <v>278</v>
      </c>
      <c r="E183" s="564">
        <v>1940</v>
      </c>
      <c r="F183" s="564" t="s">
        <v>31</v>
      </c>
      <c r="G183" s="564" t="s">
        <v>57</v>
      </c>
      <c r="H183" s="564" t="s">
        <v>33</v>
      </c>
      <c r="I183" s="564">
        <f>(7883.3-1117.7-997.8)*1000000</f>
        <v>5767800000</v>
      </c>
      <c r="J183" s="564" t="s">
        <v>34</v>
      </c>
      <c r="K183" s="564">
        <v>2003</v>
      </c>
      <c r="L183" s="566" t="s">
        <v>279</v>
      </c>
      <c r="M183" s="564"/>
      <c r="N183" s="634">
        <v>0.75</v>
      </c>
      <c r="O183" s="564" t="s">
        <v>84</v>
      </c>
      <c r="P183" s="633" t="s">
        <v>38</v>
      </c>
      <c r="Q183" s="642">
        <f>997.8*1000000</f>
        <v>997800000</v>
      </c>
      <c r="R183" s="634" t="s">
        <v>38</v>
      </c>
      <c r="S183" s="19"/>
      <c r="T183" s="576"/>
      <c r="U183" s="575"/>
      <c r="V183" s="575"/>
      <c r="W183" s="575"/>
      <c r="X183" s="579"/>
      <c r="Y183" s="579"/>
      <c r="Z183" s="579"/>
      <c r="AA183" s="579"/>
      <c r="AC183" s="599"/>
      <c r="AD183" s="575"/>
      <c r="AE183" s="575"/>
      <c r="AF183" s="607"/>
      <c r="AG183" s="575"/>
      <c r="AH183" s="575"/>
      <c r="AI183" s="575"/>
      <c r="AJ183" s="575"/>
      <c r="AK183" s="575"/>
      <c r="AL183" s="575"/>
    </row>
    <row r="184" spans="1:38" ht="13" customHeight="1">
      <c r="A184" s="564">
        <v>254</v>
      </c>
      <c r="B184" s="564" t="s">
        <v>281</v>
      </c>
      <c r="C184" s="564" t="s">
        <v>61</v>
      </c>
      <c r="D184" s="639" t="s">
        <v>278</v>
      </c>
      <c r="E184" s="564">
        <v>1940</v>
      </c>
      <c r="F184" s="564" t="s">
        <v>63</v>
      </c>
      <c r="G184" s="564" t="s">
        <v>57</v>
      </c>
      <c r="H184" s="564" t="s">
        <v>33</v>
      </c>
      <c r="I184" s="564">
        <f>0.245*1000000</f>
        <v>245000</v>
      </c>
      <c r="J184" s="564" t="s">
        <v>34</v>
      </c>
      <c r="K184" s="564">
        <v>2003</v>
      </c>
      <c r="L184" s="566" t="s">
        <v>279</v>
      </c>
      <c r="M184" s="564"/>
      <c r="N184" s="633" t="s">
        <v>122</v>
      </c>
      <c r="O184" s="634" t="s">
        <v>38</v>
      </c>
      <c r="P184" s="633" t="s">
        <v>38</v>
      </c>
      <c r="Q184" s="633" t="s">
        <v>38</v>
      </c>
      <c r="R184" s="634" t="s">
        <v>38</v>
      </c>
      <c r="S184" s="19"/>
      <c r="T184" s="576"/>
      <c r="U184" s="575"/>
      <c r="V184" s="575"/>
      <c r="W184" s="575"/>
      <c r="X184" s="579"/>
      <c r="Y184" s="579"/>
      <c r="Z184" s="579"/>
      <c r="AA184" s="579"/>
      <c r="AC184" s="599"/>
      <c r="AD184" s="575"/>
      <c r="AE184" s="575"/>
      <c r="AF184" s="607"/>
      <c r="AG184" s="575"/>
      <c r="AH184" s="575"/>
      <c r="AI184" s="575"/>
      <c r="AJ184" s="575"/>
      <c r="AK184" s="575"/>
      <c r="AL184" s="575"/>
    </row>
    <row r="185" spans="1:38" ht="13" customHeight="1">
      <c r="A185" s="564">
        <v>158</v>
      </c>
      <c r="B185" s="564" t="s">
        <v>207</v>
      </c>
      <c r="C185" s="564" t="s">
        <v>61</v>
      </c>
      <c r="D185" s="564" t="s">
        <v>62</v>
      </c>
      <c r="E185" s="564">
        <v>1000</v>
      </c>
      <c r="F185" s="564" t="s">
        <v>493</v>
      </c>
      <c r="G185" s="564" t="s">
        <v>52</v>
      </c>
      <c r="H185" s="564" t="s">
        <v>76</v>
      </c>
      <c r="I185" s="564">
        <v>0.25</v>
      </c>
      <c r="J185" s="564" t="s">
        <v>77</v>
      </c>
      <c r="K185" s="564">
        <v>1992</v>
      </c>
      <c r="L185" s="564" t="s">
        <v>1206</v>
      </c>
      <c r="M185" s="564"/>
      <c r="N185" s="633" t="s">
        <v>122</v>
      </c>
      <c r="O185" s="634" t="s">
        <v>38</v>
      </c>
      <c r="P185" s="633" t="s">
        <v>38</v>
      </c>
      <c r="Q185" s="633" t="s">
        <v>38</v>
      </c>
      <c r="R185" s="633" t="s">
        <v>122</v>
      </c>
      <c r="S185" s="19"/>
      <c r="T185" s="591"/>
      <c r="U185" s="575"/>
      <c r="V185" s="575"/>
      <c r="W185" s="575"/>
      <c r="X185" s="579"/>
      <c r="Y185" s="579"/>
      <c r="Z185" s="579"/>
      <c r="AA185" s="579"/>
      <c r="AC185" s="599"/>
      <c r="AD185" s="575"/>
      <c r="AE185" s="575"/>
      <c r="AF185" s="607"/>
      <c r="AG185" s="575"/>
      <c r="AH185" s="575"/>
      <c r="AI185" s="575"/>
      <c r="AJ185" s="575"/>
      <c r="AK185" s="575"/>
      <c r="AL185" s="575"/>
    </row>
    <row r="186" spans="1:38" ht="13.15" customHeight="1">
      <c r="A186" s="564">
        <v>159</v>
      </c>
      <c r="B186" s="564" t="s">
        <v>207</v>
      </c>
      <c r="C186" s="564" t="s">
        <v>61</v>
      </c>
      <c r="D186" s="564" t="s">
        <v>62</v>
      </c>
      <c r="E186" s="564">
        <v>1000</v>
      </c>
      <c r="F186" s="564" t="s">
        <v>31</v>
      </c>
      <c r="G186" s="564" t="s">
        <v>52</v>
      </c>
      <c r="H186" s="564" t="s">
        <v>33</v>
      </c>
      <c r="I186" s="564">
        <f>(1504.16+169.97+78.22+78.22+274.58)*1000000</f>
        <v>2105150000</v>
      </c>
      <c r="J186" s="564" t="s">
        <v>34</v>
      </c>
      <c r="K186" s="564">
        <v>1992</v>
      </c>
      <c r="L186" s="564" t="s">
        <v>1206</v>
      </c>
      <c r="M186" s="564"/>
      <c r="N186" s="632" t="s">
        <v>713</v>
      </c>
      <c r="O186" s="564" t="s">
        <v>84</v>
      </c>
      <c r="P186" s="633" t="s">
        <v>38</v>
      </c>
      <c r="Q186" s="564">
        <f>308.4*1000000</f>
        <v>308400000</v>
      </c>
      <c r="R186" s="633" t="s">
        <v>122</v>
      </c>
      <c r="S186" s="19"/>
      <c r="T186" s="591"/>
      <c r="U186" s="575"/>
      <c r="V186" s="575"/>
      <c r="W186" s="575"/>
      <c r="X186" s="579"/>
      <c r="Y186" s="579"/>
      <c r="Z186" s="579"/>
      <c r="AA186" s="579"/>
      <c r="AC186" s="599"/>
      <c r="AD186" s="575"/>
      <c r="AE186" s="575"/>
      <c r="AF186" s="607"/>
      <c r="AG186" s="575"/>
      <c r="AH186" s="575"/>
      <c r="AI186" s="575"/>
      <c r="AJ186" s="575"/>
      <c r="AK186" s="575"/>
      <c r="AL186" s="575"/>
    </row>
    <row r="187" spans="1:38" ht="13.15" customHeight="1">
      <c r="A187" s="564">
        <v>160</v>
      </c>
      <c r="B187" s="564" t="s">
        <v>207</v>
      </c>
      <c r="C187" s="564" t="s">
        <v>61</v>
      </c>
      <c r="D187" s="564" t="s">
        <v>62</v>
      </c>
      <c r="E187" s="564">
        <v>1000</v>
      </c>
      <c r="F187" s="564" t="s">
        <v>63</v>
      </c>
      <c r="G187" s="564" t="s">
        <v>52</v>
      </c>
      <c r="H187" s="564" t="s">
        <v>76</v>
      </c>
      <c r="I187" s="564">
        <v>0.03</v>
      </c>
      <c r="J187" s="564" t="s">
        <v>77</v>
      </c>
      <c r="K187" s="564">
        <v>1992</v>
      </c>
      <c r="L187" s="564" t="s">
        <v>1206</v>
      </c>
      <c r="M187" s="564"/>
      <c r="N187" s="633" t="s">
        <v>122</v>
      </c>
      <c r="O187" s="634" t="s">
        <v>38</v>
      </c>
      <c r="P187" s="633" t="s">
        <v>38</v>
      </c>
      <c r="Q187" s="633" t="s">
        <v>38</v>
      </c>
      <c r="R187" s="633" t="s">
        <v>122</v>
      </c>
      <c r="S187" s="19"/>
      <c r="T187" s="591"/>
      <c r="U187" s="575"/>
      <c r="V187" s="575"/>
      <c r="W187" s="575"/>
      <c r="X187" s="579"/>
      <c r="Y187" s="579"/>
      <c r="Z187" s="579"/>
      <c r="AA187" s="579"/>
      <c r="AC187" s="594"/>
      <c r="AD187" s="579"/>
      <c r="AE187" s="579"/>
      <c r="AF187" s="608"/>
      <c r="AG187" s="579"/>
      <c r="AH187" s="579"/>
      <c r="AI187" s="579"/>
      <c r="AJ187" s="579"/>
      <c r="AK187" s="579"/>
      <c r="AL187" s="579"/>
    </row>
    <row r="188" spans="1:38" ht="13" customHeight="1">
      <c r="A188" s="564">
        <v>161</v>
      </c>
      <c r="B188" s="564" t="s">
        <v>207</v>
      </c>
      <c r="C188" s="564" t="s">
        <v>61</v>
      </c>
      <c r="D188" s="564" t="s">
        <v>62</v>
      </c>
      <c r="E188" s="564">
        <v>1000</v>
      </c>
      <c r="F188" s="564" t="s">
        <v>115</v>
      </c>
      <c r="G188" s="564" t="s">
        <v>52</v>
      </c>
      <c r="H188" s="564" t="s">
        <v>76</v>
      </c>
      <c r="I188" s="564">
        <v>3.51</v>
      </c>
      <c r="J188" s="564" t="s">
        <v>77</v>
      </c>
      <c r="K188" s="564">
        <v>1992</v>
      </c>
      <c r="L188" s="564" t="s">
        <v>1206</v>
      </c>
      <c r="M188" s="564"/>
      <c r="N188" s="633" t="s">
        <v>122</v>
      </c>
      <c r="O188" s="634" t="s">
        <v>38</v>
      </c>
      <c r="P188" s="633" t="s">
        <v>38</v>
      </c>
      <c r="Q188" s="633" t="s">
        <v>38</v>
      </c>
      <c r="R188" s="633" t="s">
        <v>122</v>
      </c>
      <c r="S188" s="19"/>
      <c r="T188" s="591"/>
      <c r="U188" s="575"/>
      <c r="V188" s="575"/>
      <c r="W188" s="575"/>
      <c r="X188" s="579"/>
      <c r="Y188" s="579"/>
      <c r="Z188" s="579"/>
      <c r="AA188" s="579"/>
      <c r="AC188" s="575"/>
      <c r="AD188" s="607"/>
      <c r="AE188" s="607"/>
      <c r="AF188" s="608"/>
      <c r="AG188" s="607"/>
      <c r="AH188" s="607"/>
      <c r="AI188" s="607"/>
      <c r="AJ188" s="607"/>
      <c r="AK188" s="607"/>
      <c r="AL188" s="607"/>
    </row>
    <row r="189" spans="1:38" ht="13" customHeight="1">
      <c r="A189" s="564">
        <v>162</v>
      </c>
      <c r="B189" s="564" t="s">
        <v>207</v>
      </c>
      <c r="C189" s="564" t="s">
        <v>61</v>
      </c>
      <c r="D189" s="564" t="s">
        <v>62</v>
      </c>
      <c r="E189" s="564">
        <v>1000</v>
      </c>
      <c r="F189" s="564" t="s">
        <v>116</v>
      </c>
      <c r="G189" s="564" t="s">
        <v>52</v>
      </c>
      <c r="H189" s="564" t="s">
        <v>76</v>
      </c>
      <c r="I189" s="564">
        <v>6.87</v>
      </c>
      <c r="J189" s="564" t="s">
        <v>77</v>
      </c>
      <c r="K189" s="564">
        <v>1992</v>
      </c>
      <c r="L189" s="564" t="s">
        <v>1206</v>
      </c>
      <c r="M189" s="564"/>
      <c r="N189" s="633" t="s">
        <v>122</v>
      </c>
      <c r="O189" s="634" t="s">
        <v>38</v>
      </c>
      <c r="P189" s="633" t="s">
        <v>38</v>
      </c>
      <c r="Q189" s="633" t="s">
        <v>38</v>
      </c>
      <c r="R189" s="633" t="s">
        <v>122</v>
      </c>
      <c r="S189" s="19"/>
      <c r="T189" s="591"/>
      <c r="U189" s="575"/>
      <c r="V189" s="575"/>
      <c r="W189" s="575"/>
      <c r="X189" s="579"/>
      <c r="Y189" s="579"/>
      <c r="Z189" s="579"/>
      <c r="AA189" s="579"/>
      <c r="AC189" s="575"/>
      <c r="AD189" s="607"/>
      <c r="AE189" s="607"/>
      <c r="AF189" s="608"/>
      <c r="AG189" s="607"/>
      <c r="AH189" s="607"/>
      <c r="AI189" s="607"/>
      <c r="AJ189" s="607"/>
      <c r="AK189" s="607"/>
      <c r="AL189" s="607"/>
    </row>
    <row r="190" spans="1:38" ht="13" customHeight="1">
      <c r="A190" s="564">
        <v>163</v>
      </c>
      <c r="B190" s="564" t="s">
        <v>207</v>
      </c>
      <c r="C190" s="564" t="s">
        <v>61</v>
      </c>
      <c r="D190" s="564" t="s">
        <v>62</v>
      </c>
      <c r="E190" s="564">
        <v>1000</v>
      </c>
      <c r="F190" s="564" t="s">
        <v>108</v>
      </c>
      <c r="G190" s="564" t="s">
        <v>52</v>
      </c>
      <c r="H190" s="564" t="s">
        <v>76</v>
      </c>
      <c r="I190" s="564">
        <v>47.12</v>
      </c>
      <c r="J190" s="564" t="s">
        <v>77</v>
      </c>
      <c r="K190" s="564">
        <v>1992</v>
      </c>
      <c r="L190" s="564" t="s">
        <v>1206</v>
      </c>
      <c r="M190" s="564" t="s">
        <v>210</v>
      </c>
      <c r="N190" s="632" t="s">
        <v>713</v>
      </c>
      <c r="O190" s="565" t="s">
        <v>84</v>
      </c>
      <c r="P190" s="633" t="s">
        <v>38</v>
      </c>
      <c r="Q190" s="633" t="s">
        <v>38</v>
      </c>
      <c r="R190" s="633" t="s">
        <v>122</v>
      </c>
      <c r="S190" s="19"/>
      <c r="T190" s="591"/>
      <c r="U190" s="575"/>
      <c r="V190" s="575"/>
      <c r="W190" s="575"/>
      <c r="X190" s="579"/>
      <c r="Y190" s="579"/>
      <c r="Z190" s="579"/>
      <c r="AA190" s="579"/>
      <c r="AC190" s="575"/>
      <c r="AD190" s="607"/>
      <c r="AE190" s="607"/>
      <c r="AF190" s="608"/>
      <c r="AG190" s="607"/>
      <c r="AH190" s="607"/>
      <c r="AI190" s="607"/>
      <c r="AJ190" s="607"/>
      <c r="AK190" s="607"/>
      <c r="AL190" s="607"/>
    </row>
    <row r="191" spans="1:38" ht="13" customHeight="1">
      <c r="A191" s="564">
        <v>180</v>
      </c>
      <c r="B191" s="564" t="s">
        <v>222</v>
      </c>
      <c r="C191" s="564" t="s">
        <v>61</v>
      </c>
      <c r="D191" s="564" t="s">
        <v>62</v>
      </c>
      <c r="E191" s="564">
        <v>953</v>
      </c>
      <c r="F191" s="564" t="s">
        <v>493</v>
      </c>
      <c r="G191" s="564" t="s">
        <v>32</v>
      </c>
      <c r="H191" s="564" t="s">
        <v>76</v>
      </c>
      <c r="I191" s="564">
        <v>0.78</v>
      </c>
      <c r="J191" s="564" t="s">
        <v>77</v>
      </c>
      <c r="K191" s="564">
        <v>2015</v>
      </c>
      <c r="L191" s="564" t="s">
        <v>223</v>
      </c>
      <c r="M191" s="564"/>
      <c r="N191" s="634" t="s">
        <v>38</v>
      </c>
      <c r="O191" s="634" t="s">
        <v>38</v>
      </c>
      <c r="P191" s="633" t="s">
        <v>38</v>
      </c>
      <c r="Q191" s="633" t="s">
        <v>38</v>
      </c>
      <c r="R191" s="633" t="s">
        <v>122</v>
      </c>
      <c r="S191" s="19"/>
      <c r="T191" s="609"/>
      <c r="U191" s="575"/>
      <c r="V191" s="575"/>
      <c r="W191" s="575"/>
      <c r="X191" s="579"/>
      <c r="Y191" s="579"/>
      <c r="Z191" s="579"/>
      <c r="AA191" s="579"/>
      <c r="AC191" s="575"/>
      <c r="AD191" s="607"/>
      <c r="AE191" s="607"/>
      <c r="AF191" s="608"/>
      <c r="AG191" s="607"/>
      <c r="AH191" s="607"/>
      <c r="AI191" s="607"/>
      <c r="AJ191" s="607"/>
      <c r="AK191" s="607"/>
      <c r="AL191" s="607"/>
    </row>
    <row r="192" spans="1:38" ht="13" customHeight="1">
      <c r="A192" s="564">
        <v>181</v>
      </c>
      <c r="B192" s="564" t="s">
        <v>222</v>
      </c>
      <c r="C192" s="564" t="s">
        <v>61</v>
      </c>
      <c r="D192" s="564" t="s">
        <v>62</v>
      </c>
      <c r="E192" s="564">
        <v>953</v>
      </c>
      <c r="F192" s="564" t="s">
        <v>63</v>
      </c>
      <c r="G192" s="564" t="s">
        <v>32</v>
      </c>
      <c r="H192" s="564" t="s">
        <v>76</v>
      </c>
      <c r="I192" s="564">
        <v>0.44</v>
      </c>
      <c r="J192" s="564" t="s">
        <v>77</v>
      </c>
      <c r="K192" s="564">
        <v>2015</v>
      </c>
      <c r="L192" s="564" t="s">
        <v>223</v>
      </c>
      <c r="M192" s="564"/>
      <c r="N192" s="634" t="s">
        <v>38</v>
      </c>
      <c r="O192" s="634" t="s">
        <v>38</v>
      </c>
      <c r="P192" s="633" t="s">
        <v>38</v>
      </c>
      <c r="Q192" s="633" t="s">
        <v>38</v>
      </c>
      <c r="R192" s="633" t="s">
        <v>122</v>
      </c>
      <c r="S192" s="19"/>
      <c r="T192" s="609"/>
      <c r="U192" s="575"/>
      <c r="V192" s="575"/>
      <c r="W192" s="575"/>
      <c r="X192" s="579"/>
      <c r="Y192" s="579"/>
      <c r="Z192" s="579"/>
      <c r="AA192" s="579"/>
      <c r="AC192" s="575"/>
      <c r="AD192" s="607"/>
      <c r="AE192" s="607"/>
      <c r="AF192" s="608"/>
      <c r="AG192" s="607"/>
      <c r="AH192" s="607"/>
      <c r="AI192" s="607"/>
      <c r="AJ192" s="607"/>
      <c r="AK192" s="607"/>
      <c r="AL192" s="607"/>
    </row>
    <row r="193" spans="1:38" ht="13" customHeight="1">
      <c r="A193" s="564">
        <v>182</v>
      </c>
      <c r="B193" s="564" t="s">
        <v>222</v>
      </c>
      <c r="C193" s="564" t="s">
        <v>61</v>
      </c>
      <c r="D193" s="564" t="s">
        <v>62</v>
      </c>
      <c r="E193" s="564">
        <v>953</v>
      </c>
      <c r="F193" s="564" t="s">
        <v>116</v>
      </c>
      <c r="G193" s="564" t="s">
        <v>32</v>
      </c>
      <c r="H193" s="564" t="s">
        <v>76</v>
      </c>
      <c r="I193" s="564">
        <v>9.81</v>
      </c>
      <c r="J193" s="564" t="s">
        <v>77</v>
      </c>
      <c r="K193" s="564">
        <v>2015</v>
      </c>
      <c r="L193" s="564" t="s">
        <v>223</v>
      </c>
      <c r="M193" s="564"/>
      <c r="N193" s="634" t="s">
        <v>38</v>
      </c>
      <c r="O193" s="634" t="s">
        <v>38</v>
      </c>
      <c r="P193" s="633" t="s">
        <v>38</v>
      </c>
      <c r="Q193" s="633" t="s">
        <v>38</v>
      </c>
      <c r="R193" s="633" t="s">
        <v>122</v>
      </c>
      <c r="S193" s="19"/>
      <c r="T193" s="609"/>
      <c r="U193" s="575"/>
      <c r="V193" s="575"/>
      <c r="W193" s="575"/>
      <c r="X193" s="579"/>
      <c r="Y193" s="579"/>
      <c r="Z193" s="579"/>
      <c r="AA193" s="579"/>
      <c r="AC193" s="575"/>
      <c r="AD193" s="607"/>
      <c r="AE193" s="607"/>
      <c r="AF193" s="608"/>
      <c r="AG193" s="607"/>
      <c r="AH193" s="607"/>
      <c r="AI193" s="607"/>
      <c r="AJ193" s="607"/>
      <c r="AK193" s="607"/>
      <c r="AL193" s="607"/>
    </row>
    <row r="194" spans="1:38" ht="13" customHeight="1">
      <c r="A194" s="564">
        <v>183</v>
      </c>
      <c r="B194" s="564" t="s">
        <v>222</v>
      </c>
      <c r="C194" s="564" t="s">
        <v>61</v>
      </c>
      <c r="D194" s="564" t="s">
        <v>62</v>
      </c>
      <c r="E194" s="564">
        <v>953</v>
      </c>
      <c r="F194" s="564" t="s">
        <v>115</v>
      </c>
      <c r="G194" s="564" t="s">
        <v>32</v>
      </c>
      <c r="H194" s="564" t="s">
        <v>76</v>
      </c>
      <c r="I194" s="564">
        <v>13.61</v>
      </c>
      <c r="J194" s="564" t="s">
        <v>77</v>
      </c>
      <c r="K194" s="564">
        <v>2015</v>
      </c>
      <c r="L194" s="564" t="s">
        <v>223</v>
      </c>
      <c r="M194" s="564" t="s">
        <v>224</v>
      </c>
      <c r="N194" s="634" t="s">
        <v>38</v>
      </c>
      <c r="O194" s="634" t="s">
        <v>38</v>
      </c>
      <c r="P194" s="633" t="s">
        <v>38</v>
      </c>
      <c r="Q194" s="633" t="s">
        <v>38</v>
      </c>
      <c r="R194" s="633" t="s">
        <v>122</v>
      </c>
      <c r="S194" s="19"/>
      <c r="T194" s="609"/>
      <c r="U194" s="575"/>
      <c r="V194" s="575"/>
      <c r="W194" s="575"/>
      <c r="X194" s="579"/>
      <c r="Y194" s="579"/>
      <c r="Z194" s="579"/>
      <c r="AA194" s="579"/>
      <c r="AC194" s="575"/>
      <c r="AD194" s="607"/>
      <c r="AE194" s="607"/>
      <c r="AF194" s="608"/>
      <c r="AG194" s="607"/>
      <c r="AH194" s="607"/>
      <c r="AI194" s="607"/>
      <c r="AJ194" s="607"/>
      <c r="AK194" s="607"/>
      <c r="AL194" s="607"/>
    </row>
    <row r="195" spans="1:38" ht="13" customHeight="1">
      <c r="A195" s="564">
        <v>184</v>
      </c>
      <c r="B195" s="564" t="s">
        <v>222</v>
      </c>
      <c r="C195" s="564" t="s">
        <v>61</v>
      </c>
      <c r="D195" s="564" t="s">
        <v>62</v>
      </c>
      <c r="E195" s="564">
        <v>953</v>
      </c>
      <c r="F195" s="564" t="s">
        <v>31</v>
      </c>
      <c r="G195" s="564" t="s">
        <v>32</v>
      </c>
      <c r="H195" s="564" t="s">
        <v>33</v>
      </c>
      <c r="I195" s="564">
        <f>(6043+1473)*1000000</f>
        <v>7516000000</v>
      </c>
      <c r="J195" s="564" t="s">
        <v>34</v>
      </c>
      <c r="K195" s="564">
        <v>2015</v>
      </c>
      <c r="L195" s="564" t="s">
        <v>223</v>
      </c>
      <c r="M195" s="564" t="s">
        <v>225</v>
      </c>
      <c r="N195" s="632">
        <v>0.75</v>
      </c>
      <c r="O195" s="564" t="s">
        <v>84</v>
      </c>
      <c r="P195" s="633" t="s">
        <v>38</v>
      </c>
      <c r="Q195" s="564">
        <v>1009000000</v>
      </c>
      <c r="R195" s="633" t="s">
        <v>122</v>
      </c>
      <c r="S195" s="19"/>
      <c r="T195" s="609"/>
      <c r="U195" s="575"/>
      <c r="V195" s="575"/>
      <c r="W195" s="575"/>
      <c r="X195" s="579"/>
      <c r="Y195" s="579"/>
      <c r="Z195" s="579"/>
      <c r="AA195" s="579"/>
      <c r="AC195" s="575"/>
      <c r="AD195" s="607"/>
      <c r="AE195" s="607"/>
      <c r="AF195" s="608"/>
      <c r="AG195" s="607"/>
      <c r="AH195" s="607"/>
      <c r="AI195" s="607"/>
      <c r="AJ195" s="607"/>
      <c r="AK195" s="607"/>
      <c r="AL195" s="607"/>
    </row>
    <row r="196" spans="1:38" ht="13" customHeight="1">
      <c r="A196" s="564">
        <v>398</v>
      </c>
      <c r="B196" s="564" t="s">
        <v>398</v>
      </c>
      <c r="C196" s="564" t="s">
        <v>61</v>
      </c>
      <c r="D196" s="564" t="s">
        <v>251</v>
      </c>
      <c r="E196" s="564">
        <v>1204</v>
      </c>
      <c r="F196" s="564" t="s">
        <v>116</v>
      </c>
      <c r="G196" s="564" t="s">
        <v>32</v>
      </c>
      <c r="H196" s="564" t="s">
        <v>33</v>
      </c>
      <c r="I196" s="564">
        <f>113.8*1000000</f>
        <v>113800000</v>
      </c>
      <c r="J196" s="564" t="s">
        <v>34</v>
      </c>
      <c r="K196" s="564">
        <v>2023</v>
      </c>
      <c r="L196" s="564" t="s">
        <v>399</v>
      </c>
      <c r="M196" s="565" t="s">
        <v>1107</v>
      </c>
      <c r="N196" s="633" t="s">
        <v>122</v>
      </c>
      <c r="O196" s="634" t="s">
        <v>38</v>
      </c>
      <c r="P196" s="633" t="s">
        <v>38</v>
      </c>
      <c r="Q196" s="633" t="s">
        <v>38</v>
      </c>
      <c r="R196" s="634" t="s">
        <v>38</v>
      </c>
      <c r="S196" s="19"/>
      <c r="T196" s="576"/>
      <c r="U196" s="575"/>
      <c r="V196" s="575"/>
      <c r="W196" s="576"/>
      <c r="X196" s="601"/>
      <c r="Y196" s="601"/>
      <c r="Z196" s="601"/>
      <c r="AA196" s="601"/>
      <c r="AC196" s="575"/>
      <c r="AD196" s="607"/>
      <c r="AE196" s="607"/>
      <c r="AF196" s="608"/>
      <c r="AG196" s="607"/>
      <c r="AH196" s="607"/>
      <c r="AI196" s="607"/>
      <c r="AJ196" s="607"/>
      <c r="AK196" s="607"/>
      <c r="AL196" s="607"/>
    </row>
    <row r="197" spans="1:38" ht="13" customHeight="1">
      <c r="A197" s="564">
        <v>399</v>
      </c>
      <c r="B197" s="564" t="s">
        <v>401</v>
      </c>
      <c r="C197" s="564" t="s">
        <v>61</v>
      </c>
      <c r="D197" s="564" t="s">
        <v>251</v>
      </c>
      <c r="E197" s="564">
        <v>1313</v>
      </c>
      <c r="F197" s="564" t="s">
        <v>116</v>
      </c>
      <c r="G197" s="564" t="s">
        <v>32</v>
      </c>
      <c r="H197" s="564" t="s">
        <v>33</v>
      </c>
      <c r="I197" s="564">
        <f>118.1*1000000</f>
        <v>118100000</v>
      </c>
      <c r="J197" s="564" t="s">
        <v>34</v>
      </c>
      <c r="K197" s="564">
        <v>2023</v>
      </c>
      <c r="L197" s="564" t="s">
        <v>399</v>
      </c>
      <c r="M197" s="565" t="s">
        <v>1106</v>
      </c>
      <c r="N197" s="633" t="s">
        <v>122</v>
      </c>
      <c r="O197" s="634" t="s">
        <v>38</v>
      </c>
      <c r="P197" s="633" t="s">
        <v>38</v>
      </c>
      <c r="Q197" s="633" t="s">
        <v>38</v>
      </c>
      <c r="R197" s="634" t="s">
        <v>38</v>
      </c>
      <c r="S197" s="19"/>
      <c r="T197" s="576"/>
      <c r="U197" s="575"/>
      <c r="V197" s="575"/>
      <c r="W197" s="576"/>
      <c r="AC197" s="575"/>
      <c r="AD197" s="607"/>
      <c r="AE197" s="607"/>
      <c r="AF197" s="608"/>
      <c r="AG197" s="607"/>
      <c r="AH197" s="607"/>
      <c r="AI197" s="607"/>
      <c r="AJ197" s="607"/>
      <c r="AK197" s="607"/>
      <c r="AL197" s="607"/>
    </row>
    <row r="198" spans="1:38" ht="13" customHeight="1">
      <c r="A198" s="564">
        <v>400</v>
      </c>
      <c r="B198" s="564" t="s">
        <v>402</v>
      </c>
      <c r="C198" s="564" t="s">
        <v>61</v>
      </c>
      <c r="D198" s="564" t="s">
        <v>251</v>
      </c>
      <c r="E198" s="564">
        <v>2272</v>
      </c>
      <c r="F198" s="564" t="s">
        <v>116</v>
      </c>
      <c r="G198" s="564" t="s">
        <v>32</v>
      </c>
      <c r="H198" s="564" t="s">
        <v>33</v>
      </c>
      <c r="I198" s="564">
        <f>155.7*1000000</f>
        <v>155700000</v>
      </c>
      <c r="J198" s="564" t="s">
        <v>34</v>
      </c>
      <c r="K198" s="564">
        <v>2023</v>
      </c>
      <c r="L198" s="564" t="s">
        <v>399</v>
      </c>
      <c r="M198" s="565" t="s">
        <v>1106</v>
      </c>
      <c r="N198" s="633" t="s">
        <v>122</v>
      </c>
      <c r="O198" s="634" t="s">
        <v>38</v>
      </c>
      <c r="P198" s="633" t="s">
        <v>38</v>
      </c>
      <c r="Q198" s="633" t="s">
        <v>38</v>
      </c>
      <c r="R198" s="634" t="s">
        <v>38</v>
      </c>
      <c r="S198" s="19"/>
      <c r="T198" s="576"/>
      <c r="U198" s="575"/>
      <c r="V198" s="575"/>
      <c r="W198" s="576"/>
      <c r="AC198" s="575"/>
      <c r="AD198" s="607"/>
      <c r="AE198" s="607"/>
      <c r="AF198" s="608"/>
      <c r="AG198" s="607"/>
      <c r="AH198" s="607"/>
      <c r="AI198" s="607"/>
      <c r="AJ198" s="607"/>
      <c r="AK198" s="607"/>
      <c r="AL198" s="607"/>
    </row>
    <row r="199" spans="1:38" ht="13" customHeight="1">
      <c r="A199" s="564">
        <v>401</v>
      </c>
      <c r="B199" s="564" t="s">
        <v>403</v>
      </c>
      <c r="C199" s="564" t="s">
        <v>61</v>
      </c>
      <c r="D199" s="564" t="s">
        <v>251</v>
      </c>
      <c r="E199" s="564">
        <v>1368</v>
      </c>
      <c r="F199" s="564" t="s">
        <v>116</v>
      </c>
      <c r="G199" s="564" t="s">
        <v>32</v>
      </c>
      <c r="H199" s="564" t="s">
        <v>33</v>
      </c>
      <c r="I199" s="564">
        <f>120.65*1000000</f>
        <v>120650000</v>
      </c>
      <c r="J199" s="564" t="s">
        <v>34</v>
      </c>
      <c r="K199" s="564">
        <v>2023</v>
      </c>
      <c r="L199" s="564" t="s">
        <v>399</v>
      </c>
      <c r="M199" s="565" t="s">
        <v>1106</v>
      </c>
      <c r="N199" s="633" t="s">
        <v>122</v>
      </c>
      <c r="O199" s="634" t="s">
        <v>38</v>
      </c>
      <c r="P199" s="633" t="s">
        <v>38</v>
      </c>
      <c r="Q199" s="633" t="s">
        <v>38</v>
      </c>
      <c r="R199" s="634" t="s">
        <v>38</v>
      </c>
      <c r="S199" s="19"/>
      <c r="T199" s="576"/>
      <c r="U199" s="575"/>
      <c r="V199" s="575"/>
      <c r="W199" s="576"/>
      <c r="AC199" s="575"/>
      <c r="AD199" s="607"/>
      <c r="AE199" s="607"/>
      <c r="AF199" s="608"/>
      <c r="AG199" s="607"/>
      <c r="AH199" s="607"/>
      <c r="AI199" s="607"/>
      <c r="AJ199" s="607"/>
      <c r="AK199" s="607"/>
      <c r="AL199" s="607"/>
    </row>
    <row r="200" spans="1:38" ht="13" customHeight="1">
      <c r="A200" s="564">
        <v>402</v>
      </c>
      <c r="B200" s="564" t="s">
        <v>404</v>
      </c>
      <c r="C200" s="564" t="s">
        <v>61</v>
      </c>
      <c r="D200" s="564" t="s">
        <v>251</v>
      </c>
      <c r="E200" s="564">
        <v>914</v>
      </c>
      <c r="F200" s="564" t="s">
        <v>116</v>
      </c>
      <c r="G200" s="564" t="s">
        <v>32</v>
      </c>
      <c r="H200" s="564" t="s">
        <v>33</v>
      </c>
      <c r="I200" s="564">
        <f>98.61*1000000</f>
        <v>98610000</v>
      </c>
      <c r="J200" s="564" t="s">
        <v>34</v>
      </c>
      <c r="K200" s="564">
        <v>2023</v>
      </c>
      <c r="L200" s="564" t="s">
        <v>399</v>
      </c>
      <c r="M200" s="565" t="s">
        <v>1106</v>
      </c>
      <c r="N200" s="633" t="s">
        <v>122</v>
      </c>
      <c r="O200" s="634" t="s">
        <v>38</v>
      </c>
      <c r="P200" s="633" t="s">
        <v>38</v>
      </c>
      <c r="Q200" s="633" t="s">
        <v>38</v>
      </c>
      <c r="R200" s="634" t="s">
        <v>38</v>
      </c>
      <c r="S200" s="19"/>
      <c r="T200" s="576"/>
      <c r="U200" s="575"/>
      <c r="V200" s="575"/>
      <c r="W200" s="576"/>
      <c r="AC200" s="575"/>
      <c r="AD200" s="607"/>
      <c r="AE200" s="607"/>
      <c r="AF200" s="608"/>
      <c r="AG200" s="607"/>
      <c r="AH200" s="607"/>
      <c r="AI200" s="607"/>
      <c r="AJ200" s="607"/>
      <c r="AK200" s="607"/>
      <c r="AL200" s="607"/>
    </row>
    <row r="201" spans="1:38" ht="13" customHeight="1">
      <c r="A201" s="564">
        <v>403</v>
      </c>
      <c r="B201" s="564" t="s">
        <v>405</v>
      </c>
      <c r="C201" s="564" t="s">
        <v>61</v>
      </c>
      <c r="D201" s="564" t="s">
        <v>251</v>
      </c>
      <c r="E201" s="564">
        <v>774</v>
      </c>
      <c r="F201" s="564" t="s">
        <v>116</v>
      </c>
      <c r="G201" s="564" t="s">
        <v>32</v>
      </c>
      <c r="H201" s="564" t="s">
        <v>33</v>
      </c>
      <c r="I201" s="564">
        <f>90.75*1000000</f>
        <v>90750000</v>
      </c>
      <c r="J201" s="564" t="s">
        <v>34</v>
      </c>
      <c r="K201" s="564">
        <v>2023</v>
      </c>
      <c r="L201" s="564" t="s">
        <v>399</v>
      </c>
      <c r="M201" s="565" t="s">
        <v>1106</v>
      </c>
      <c r="N201" s="633" t="s">
        <v>122</v>
      </c>
      <c r="O201" s="634" t="s">
        <v>38</v>
      </c>
      <c r="P201" s="633" t="s">
        <v>38</v>
      </c>
      <c r="Q201" s="633" t="s">
        <v>38</v>
      </c>
      <c r="R201" s="634" t="s">
        <v>38</v>
      </c>
      <c r="S201" s="19"/>
      <c r="T201" s="576"/>
      <c r="U201" s="575"/>
      <c r="V201" s="575"/>
      <c r="W201" s="576"/>
      <c r="AC201" s="575"/>
      <c r="AD201" s="607"/>
      <c r="AE201" s="607"/>
      <c r="AF201" s="608"/>
      <c r="AG201" s="607"/>
      <c r="AH201" s="607"/>
      <c r="AI201" s="607"/>
      <c r="AJ201" s="607"/>
      <c r="AK201" s="607"/>
      <c r="AL201" s="607"/>
    </row>
    <row r="202" spans="1:38" ht="13" customHeight="1">
      <c r="A202" s="564">
        <v>404</v>
      </c>
      <c r="B202" s="564" t="s">
        <v>406</v>
      </c>
      <c r="C202" s="564" t="s">
        <v>61</v>
      </c>
      <c r="D202" s="564" t="s">
        <v>251</v>
      </c>
      <c r="E202" s="564">
        <v>1945</v>
      </c>
      <c r="F202" s="564" t="s">
        <v>116</v>
      </c>
      <c r="G202" s="564" t="s">
        <v>32</v>
      </c>
      <c r="H202" s="564" t="s">
        <v>33</v>
      </c>
      <c r="I202" s="564">
        <f>143.85*1000000</f>
        <v>143850000</v>
      </c>
      <c r="J202" s="564" t="s">
        <v>34</v>
      </c>
      <c r="K202" s="564">
        <v>2023</v>
      </c>
      <c r="L202" s="564" t="s">
        <v>399</v>
      </c>
      <c r="M202" s="565" t="s">
        <v>1106</v>
      </c>
      <c r="N202" s="633" t="s">
        <v>122</v>
      </c>
      <c r="O202" s="634" t="s">
        <v>38</v>
      </c>
      <c r="P202" s="633" t="s">
        <v>38</v>
      </c>
      <c r="Q202" s="633" t="s">
        <v>38</v>
      </c>
      <c r="R202" s="634" t="s">
        <v>38</v>
      </c>
      <c r="S202" s="19"/>
      <c r="T202" s="576"/>
      <c r="U202" s="575"/>
      <c r="V202" s="575"/>
      <c r="W202" s="576"/>
      <c r="AC202" s="575"/>
      <c r="AD202" s="607"/>
      <c r="AE202" s="607"/>
      <c r="AF202" s="608"/>
      <c r="AG202" s="607"/>
      <c r="AH202" s="607"/>
      <c r="AI202" s="607"/>
      <c r="AJ202" s="607"/>
      <c r="AK202" s="607"/>
      <c r="AL202" s="607"/>
    </row>
    <row r="203" spans="1:38" ht="13" customHeight="1">
      <c r="A203" s="564">
        <v>405</v>
      </c>
      <c r="B203" s="564" t="s">
        <v>407</v>
      </c>
      <c r="C203" s="564" t="s">
        <v>61</v>
      </c>
      <c r="D203" s="564" t="s">
        <v>251</v>
      </c>
      <c r="E203" s="564">
        <v>1165</v>
      </c>
      <c r="F203" s="564" t="s">
        <v>116</v>
      </c>
      <c r="G203" s="564" t="s">
        <v>32</v>
      </c>
      <c r="H203" s="564" t="s">
        <v>33</v>
      </c>
      <c r="I203" s="564">
        <f>111.34*1000000</f>
        <v>111340000</v>
      </c>
      <c r="J203" s="564" t="s">
        <v>34</v>
      </c>
      <c r="K203" s="564">
        <v>2023</v>
      </c>
      <c r="L203" s="564" t="s">
        <v>399</v>
      </c>
      <c r="M203" s="565" t="s">
        <v>1106</v>
      </c>
      <c r="N203" s="633" t="s">
        <v>122</v>
      </c>
      <c r="O203" s="634" t="s">
        <v>38</v>
      </c>
      <c r="P203" s="633" t="s">
        <v>38</v>
      </c>
      <c r="Q203" s="633" t="s">
        <v>38</v>
      </c>
      <c r="R203" s="634" t="s">
        <v>38</v>
      </c>
      <c r="S203" s="19"/>
      <c r="T203" s="576"/>
      <c r="U203" s="575"/>
      <c r="V203" s="575"/>
      <c r="W203" s="576"/>
      <c r="AC203" s="575"/>
      <c r="AD203" s="607"/>
      <c r="AE203" s="607"/>
      <c r="AF203" s="608"/>
      <c r="AG203" s="607"/>
      <c r="AH203" s="607"/>
      <c r="AI203" s="607"/>
      <c r="AJ203" s="607"/>
      <c r="AK203" s="607"/>
      <c r="AL203" s="607"/>
    </row>
    <row r="204" spans="1:38" ht="25" customHeight="1">
      <c r="A204" s="564">
        <v>406</v>
      </c>
      <c r="B204" s="564" t="s">
        <v>404</v>
      </c>
      <c r="C204" s="564" t="s">
        <v>61</v>
      </c>
      <c r="D204" s="564" t="s">
        <v>251</v>
      </c>
      <c r="E204" s="564">
        <v>914</v>
      </c>
      <c r="F204" s="564" t="s">
        <v>63</v>
      </c>
      <c r="G204" s="564" t="s">
        <v>32</v>
      </c>
      <c r="H204" s="564" t="s">
        <v>76</v>
      </c>
      <c r="I204" s="564">
        <f>(1.42*1000000)/(0.85*8760*914)</f>
        <v>0.2086503496215788</v>
      </c>
      <c r="J204" s="564" t="s">
        <v>128</v>
      </c>
      <c r="K204" s="564">
        <v>2023</v>
      </c>
      <c r="L204" s="564" t="s">
        <v>399</v>
      </c>
      <c r="M204" s="564" t="s">
        <v>373</v>
      </c>
      <c r="N204" s="633" t="s">
        <v>122</v>
      </c>
      <c r="O204" s="634" t="s">
        <v>38</v>
      </c>
      <c r="P204" s="633" t="s">
        <v>38</v>
      </c>
      <c r="Q204" s="633" t="s">
        <v>38</v>
      </c>
      <c r="R204" s="634" t="s">
        <v>38</v>
      </c>
      <c r="S204" s="19"/>
      <c r="T204" s="576"/>
      <c r="U204" s="575"/>
      <c r="V204" s="575"/>
      <c r="W204" s="576"/>
      <c r="AC204" s="575"/>
      <c r="AD204" s="607"/>
      <c r="AE204" s="607"/>
      <c r="AF204" s="608"/>
      <c r="AG204" s="607"/>
      <c r="AH204" s="607"/>
      <c r="AI204" s="607"/>
      <c r="AJ204" s="607"/>
      <c r="AK204" s="607"/>
      <c r="AL204" s="607"/>
    </row>
    <row r="205" spans="1:38" ht="19" customHeight="1">
      <c r="A205" s="564">
        <v>407</v>
      </c>
      <c r="B205" s="564" t="s">
        <v>405</v>
      </c>
      <c r="C205" s="564" t="s">
        <v>61</v>
      </c>
      <c r="D205" s="564" t="s">
        <v>251</v>
      </c>
      <c r="E205" s="564">
        <v>774</v>
      </c>
      <c r="F205" s="564" t="s">
        <v>63</v>
      </c>
      <c r="G205" s="564" t="s">
        <v>32</v>
      </c>
      <c r="H205" s="564" t="s">
        <v>76</v>
      </c>
      <c r="I205" s="564">
        <f>(1.42*1000000)/(0.85*8760*774)</f>
        <v>0.24639072293814343</v>
      </c>
      <c r="J205" s="564" t="s">
        <v>128</v>
      </c>
      <c r="K205" s="564">
        <v>2023</v>
      </c>
      <c r="L205" s="564" t="s">
        <v>399</v>
      </c>
      <c r="M205" s="564" t="s">
        <v>373</v>
      </c>
      <c r="N205" s="633" t="s">
        <v>122</v>
      </c>
      <c r="O205" s="634" t="s">
        <v>38</v>
      </c>
      <c r="P205" s="633" t="s">
        <v>38</v>
      </c>
      <c r="Q205" s="633" t="s">
        <v>38</v>
      </c>
      <c r="R205" s="634" t="s">
        <v>38</v>
      </c>
      <c r="S205" s="19"/>
      <c r="T205" s="576"/>
      <c r="U205" s="575"/>
      <c r="V205" s="575"/>
      <c r="W205" s="576"/>
      <c r="AC205" s="579"/>
      <c r="AD205" s="608"/>
      <c r="AE205" s="608"/>
      <c r="AF205" s="608"/>
      <c r="AG205" s="608"/>
      <c r="AH205" s="608"/>
      <c r="AI205" s="608"/>
      <c r="AJ205" s="608"/>
      <c r="AK205" s="608"/>
      <c r="AL205" s="608"/>
    </row>
    <row r="206" spans="1:38" ht="19" customHeight="1">
      <c r="A206" s="564">
        <v>408</v>
      </c>
      <c r="B206" s="564" t="s">
        <v>406</v>
      </c>
      <c r="C206" s="564" t="s">
        <v>61</v>
      </c>
      <c r="D206" s="564" t="s">
        <v>251</v>
      </c>
      <c r="E206" s="564">
        <v>1945</v>
      </c>
      <c r="F206" s="564" t="s">
        <v>63</v>
      </c>
      <c r="G206" s="564" t="s">
        <v>32</v>
      </c>
      <c r="H206" s="564" t="s">
        <v>76</v>
      </c>
      <c r="I206" s="564">
        <f>(1.42*1000000)/(0.85*8760*1945)</f>
        <v>9.8049573035538823E-2</v>
      </c>
      <c r="J206" s="564" t="s">
        <v>128</v>
      </c>
      <c r="K206" s="564">
        <v>2023</v>
      </c>
      <c r="L206" s="564" t="s">
        <v>399</v>
      </c>
      <c r="M206" s="564" t="s">
        <v>373</v>
      </c>
      <c r="N206" s="633" t="s">
        <v>122</v>
      </c>
      <c r="O206" s="634" t="s">
        <v>38</v>
      </c>
      <c r="P206" s="633" t="s">
        <v>38</v>
      </c>
      <c r="Q206" s="633" t="s">
        <v>38</v>
      </c>
      <c r="R206" s="634" t="s">
        <v>38</v>
      </c>
      <c r="S206" s="19"/>
      <c r="T206" s="576"/>
      <c r="U206" s="575"/>
      <c r="V206" s="575"/>
      <c r="W206" s="576"/>
      <c r="AC206" s="579"/>
      <c r="AD206" s="608"/>
      <c r="AE206" s="608"/>
      <c r="AF206" s="608"/>
      <c r="AG206" s="608"/>
      <c r="AH206" s="608"/>
      <c r="AI206" s="608"/>
      <c r="AJ206" s="608"/>
      <c r="AK206" s="608"/>
      <c r="AL206" s="608"/>
    </row>
    <row r="207" spans="1:38" ht="19" customHeight="1">
      <c r="A207" s="564">
        <v>409</v>
      </c>
      <c r="B207" s="564" t="s">
        <v>407</v>
      </c>
      <c r="C207" s="564" t="s">
        <v>61</v>
      </c>
      <c r="D207" s="564" t="s">
        <v>251</v>
      </c>
      <c r="E207" s="564">
        <v>1165</v>
      </c>
      <c r="F207" s="564" t="s">
        <v>63</v>
      </c>
      <c r="G207" s="564" t="s">
        <v>32</v>
      </c>
      <c r="H207" s="564" t="s">
        <v>76</v>
      </c>
      <c r="I207" s="564">
        <f>(1.42*1000000)/(0.85*8760*1165)</f>
        <v>0.16369649747135023</v>
      </c>
      <c r="J207" s="564" t="s">
        <v>128</v>
      </c>
      <c r="K207" s="564">
        <v>2023</v>
      </c>
      <c r="L207" s="564" t="s">
        <v>399</v>
      </c>
      <c r="M207" s="564" t="s">
        <v>373</v>
      </c>
      <c r="N207" s="633" t="s">
        <v>122</v>
      </c>
      <c r="O207" s="634" t="s">
        <v>38</v>
      </c>
      <c r="P207" s="633" t="s">
        <v>38</v>
      </c>
      <c r="Q207" s="633" t="s">
        <v>38</v>
      </c>
      <c r="R207" s="634" t="s">
        <v>38</v>
      </c>
      <c r="S207" s="19"/>
      <c r="T207" s="576"/>
      <c r="U207" s="575"/>
      <c r="V207" s="575"/>
      <c r="W207" s="576"/>
      <c r="AC207" s="579"/>
      <c r="AD207" s="608"/>
      <c r="AE207" s="608"/>
      <c r="AF207" s="608"/>
      <c r="AG207" s="608"/>
      <c r="AH207" s="608"/>
      <c r="AI207" s="608"/>
      <c r="AJ207" s="608"/>
      <c r="AK207" s="608"/>
      <c r="AL207" s="608"/>
    </row>
    <row r="208" spans="1:38" ht="19" customHeight="1">
      <c r="A208" s="564">
        <v>410</v>
      </c>
      <c r="B208" s="564" t="s">
        <v>398</v>
      </c>
      <c r="C208" s="564" t="s">
        <v>61</v>
      </c>
      <c r="D208" s="564" t="s">
        <v>251</v>
      </c>
      <c r="E208" s="564">
        <v>1204</v>
      </c>
      <c r="F208" s="564" t="s">
        <v>63</v>
      </c>
      <c r="G208" s="564" t="s">
        <v>32</v>
      </c>
      <c r="H208" s="564" t="s">
        <v>76</v>
      </c>
      <c r="I208" s="564">
        <f>(1.42*1000000)/(0.85*8760*1204)</f>
        <v>0.15839403617452077</v>
      </c>
      <c r="J208" s="564" t="s">
        <v>128</v>
      </c>
      <c r="K208" s="564">
        <v>2023</v>
      </c>
      <c r="L208" s="564" t="s">
        <v>399</v>
      </c>
      <c r="M208" s="564" t="s">
        <v>373</v>
      </c>
      <c r="N208" s="633" t="s">
        <v>122</v>
      </c>
      <c r="O208" s="634" t="s">
        <v>38</v>
      </c>
      <c r="P208" s="633" t="s">
        <v>38</v>
      </c>
      <c r="Q208" s="633" t="s">
        <v>38</v>
      </c>
      <c r="R208" s="634" t="s">
        <v>38</v>
      </c>
      <c r="S208" s="19"/>
      <c r="T208" s="576"/>
      <c r="U208" s="575"/>
      <c r="V208" s="575"/>
      <c r="W208" s="576"/>
      <c r="AC208" s="579"/>
      <c r="AD208" s="608"/>
      <c r="AE208" s="608"/>
      <c r="AF208" s="608"/>
      <c r="AG208" s="608"/>
      <c r="AH208" s="608"/>
      <c r="AI208" s="608"/>
      <c r="AJ208" s="608"/>
      <c r="AK208" s="608"/>
      <c r="AL208" s="608"/>
    </row>
    <row r="209" spans="1:38" ht="13" customHeight="1">
      <c r="A209" s="564">
        <v>411</v>
      </c>
      <c r="B209" s="564" t="s">
        <v>401</v>
      </c>
      <c r="C209" s="564" t="s">
        <v>61</v>
      </c>
      <c r="D209" s="564" t="s">
        <v>251</v>
      </c>
      <c r="E209" s="564">
        <v>1313</v>
      </c>
      <c r="F209" s="564" t="s">
        <v>63</v>
      </c>
      <c r="G209" s="564" t="s">
        <v>32</v>
      </c>
      <c r="H209" s="564" t="s">
        <v>76</v>
      </c>
      <c r="I209" s="564">
        <f>(1.42*1000000)/(0.85*8760*1313)</f>
        <v>0.14524479783253846</v>
      </c>
      <c r="J209" s="564" t="s">
        <v>128</v>
      </c>
      <c r="K209" s="564">
        <v>2023</v>
      </c>
      <c r="L209" s="564" t="s">
        <v>399</v>
      </c>
      <c r="M209" s="564" t="s">
        <v>373</v>
      </c>
      <c r="N209" s="633" t="s">
        <v>122</v>
      </c>
      <c r="O209" s="634" t="s">
        <v>38</v>
      </c>
      <c r="P209" s="633" t="s">
        <v>38</v>
      </c>
      <c r="Q209" s="633" t="s">
        <v>38</v>
      </c>
      <c r="R209" s="634" t="s">
        <v>38</v>
      </c>
      <c r="S209" s="19"/>
      <c r="T209" s="576"/>
      <c r="U209" s="575"/>
      <c r="V209" s="575"/>
      <c r="W209" s="576"/>
      <c r="AC209" s="579"/>
      <c r="AD209" s="579"/>
      <c r="AE209" s="579"/>
      <c r="AF209" s="579"/>
      <c r="AG209" s="579"/>
      <c r="AH209" s="579"/>
      <c r="AI209" s="579"/>
      <c r="AJ209" s="579"/>
      <c r="AK209" s="579"/>
      <c r="AL209" s="579"/>
    </row>
    <row r="210" spans="1:38" ht="13" customHeight="1">
      <c r="A210" s="564">
        <v>412</v>
      </c>
      <c r="B210" s="564" t="s">
        <v>402</v>
      </c>
      <c r="C210" s="564" t="s">
        <v>61</v>
      </c>
      <c r="D210" s="564" t="s">
        <v>251</v>
      </c>
      <c r="E210" s="564">
        <v>2272</v>
      </c>
      <c r="F210" s="564" t="s">
        <v>63</v>
      </c>
      <c r="G210" s="564" t="s">
        <v>32</v>
      </c>
      <c r="H210" s="564" t="s">
        <v>76</v>
      </c>
      <c r="I210" s="564">
        <f>(1.42*1000000)/(0.85*8760*2272)</f>
        <v>8.3937684662906256E-2</v>
      </c>
      <c r="J210" s="564" t="s">
        <v>128</v>
      </c>
      <c r="K210" s="564">
        <v>2023</v>
      </c>
      <c r="L210" s="564" t="s">
        <v>399</v>
      </c>
      <c r="M210" s="564" t="s">
        <v>373</v>
      </c>
      <c r="N210" s="633" t="s">
        <v>122</v>
      </c>
      <c r="O210" s="634" t="s">
        <v>38</v>
      </c>
      <c r="P210" s="633" t="s">
        <v>38</v>
      </c>
      <c r="Q210" s="633" t="s">
        <v>38</v>
      </c>
      <c r="R210" s="634" t="s">
        <v>38</v>
      </c>
      <c r="S210" s="19"/>
      <c r="T210" s="576"/>
      <c r="U210" s="575"/>
      <c r="V210" s="575"/>
      <c r="W210" s="576"/>
      <c r="AC210" s="579"/>
      <c r="AD210" s="579"/>
      <c r="AE210" s="579"/>
      <c r="AF210" s="579"/>
      <c r="AG210" s="579"/>
      <c r="AH210" s="579"/>
      <c r="AI210" s="579"/>
      <c r="AJ210" s="579"/>
      <c r="AK210" s="579"/>
      <c r="AL210" s="579"/>
    </row>
    <row r="211" spans="1:38" ht="13" customHeight="1">
      <c r="A211" s="564">
        <v>413</v>
      </c>
      <c r="B211" s="564" t="s">
        <v>403</v>
      </c>
      <c r="C211" s="564" t="s">
        <v>61</v>
      </c>
      <c r="D211" s="564" t="s">
        <v>251</v>
      </c>
      <c r="E211" s="564">
        <v>1368</v>
      </c>
      <c r="F211" s="564" t="s">
        <v>63</v>
      </c>
      <c r="G211" s="564" t="s">
        <v>32</v>
      </c>
      <c r="H211" s="564" t="s">
        <v>76</v>
      </c>
      <c r="I211" s="564">
        <f>(1.42*1000000)/(0.85*8760*1368)</f>
        <v>0.13940527745184431</v>
      </c>
      <c r="J211" s="564" t="s">
        <v>128</v>
      </c>
      <c r="K211" s="564">
        <v>2023</v>
      </c>
      <c r="L211" s="564" t="s">
        <v>399</v>
      </c>
      <c r="M211" s="564" t="s">
        <v>373</v>
      </c>
      <c r="N211" s="633" t="s">
        <v>122</v>
      </c>
      <c r="O211" s="634" t="s">
        <v>38</v>
      </c>
      <c r="P211" s="633" t="s">
        <v>38</v>
      </c>
      <c r="Q211" s="633" t="s">
        <v>38</v>
      </c>
      <c r="R211" s="634" t="s">
        <v>38</v>
      </c>
      <c r="S211" s="19"/>
      <c r="T211" s="576"/>
      <c r="U211" s="575"/>
      <c r="V211" s="575"/>
      <c r="W211" s="576"/>
      <c r="AC211" s="579"/>
      <c r="AD211" s="579"/>
      <c r="AE211" s="579"/>
      <c r="AF211" s="579"/>
      <c r="AG211" s="579"/>
      <c r="AH211" s="579"/>
      <c r="AI211" s="579"/>
      <c r="AJ211" s="579"/>
      <c r="AK211" s="579"/>
      <c r="AL211" s="579"/>
    </row>
    <row r="212" spans="1:38" ht="13" customHeight="1">
      <c r="A212" s="564">
        <v>414</v>
      </c>
      <c r="B212" s="564" t="s">
        <v>398</v>
      </c>
      <c r="C212" s="564" t="s">
        <v>61</v>
      </c>
      <c r="D212" s="564" t="s">
        <v>251</v>
      </c>
      <c r="E212" s="564">
        <v>1204</v>
      </c>
      <c r="F212" s="564" t="s">
        <v>75</v>
      </c>
      <c r="G212" s="564" t="s">
        <v>32</v>
      </c>
      <c r="H212" s="564" t="s">
        <v>76</v>
      </c>
      <c r="I212" s="564">
        <v>87</v>
      </c>
      <c r="J212" s="564" t="s">
        <v>128</v>
      </c>
      <c r="K212" s="564">
        <v>2023</v>
      </c>
      <c r="L212" s="564" t="s">
        <v>399</v>
      </c>
      <c r="M212" s="564" t="s">
        <v>408</v>
      </c>
      <c r="N212" s="632" t="s">
        <v>713</v>
      </c>
      <c r="O212" s="564" t="s">
        <v>84</v>
      </c>
      <c r="P212" s="633" t="s">
        <v>38</v>
      </c>
      <c r="Q212" s="633" t="s">
        <v>38</v>
      </c>
      <c r="R212" s="634" t="s">
        <v>38</v>
      </c>
      <c r="S212" s="19"/>
      <c r="T212" s="576"/>
      <c r="U212" s="575"/>
      <c r="V212" s="575"/>
      <c r="W212" s="576"/>
      <c r="AC212" s="579"/>
      <c r="AD212" s="579"/>
      <c r="AE212" s="579"/>
      <c r="AF212" s="579"/>
      <c r="AG212" s="579"/>
      <c r="AH212" s="579"/>
      <c r="AI212" s="579"/>
      <c r="AJ212" s="579"/>
      <c r="AK212" s="579"/>
      <c r="AL212" s="579"/>
    </row>
    <row r="213" spans="1:38" ht="13" customHeight="1">
      <c r="A213" s="564">
        <v>415</v>
      </c>
      <c r="B213" s="564" t="s">
        <v>398</v>
      </c>
      <c r="C213" s="564" t="s">
        <v>61</v>
      </c>
      <c r="D213" s="564" t="s">
        <v>251</v>
      </c>
      <c r="E213" s="564">
        <v>1204</v>
      </c>
      <c r="F213" s="564" t="s">
        <v>75</v>
      </c>
      <c r="G213" s="564" t="s">
        <v>32</v>
      </c>
      <c r="H213" s="564" t="s">
        <v>76</v>
      </c>
      <c r="I213" s="564">
        <v>67</v>
      </c>
      <c r="J213" s="564" t="s">
        <v>128</v>
      </c>
      <c r="K213" s="564">
        <v>2023</v>
      </c>
      <c r="L213" s="564" t="s">
        <v>399</v>
      </c>
      <c r="M213" s="564" t="s">
        <v>409</v>
      </c>
      <c r="N213" s="632" t="s">
        <v>713</v>
      </c>
      <c r="O213" s="564" t="s">
        <v>84</v>
      </c>
      <c r="P213" s="633" t="s">
        <v>38</v>
      </c>
      <c r="Q213" s="633" t="s">
        <v>38</v>
      </c>
      <c r="R213" s="634" t="s">
        <v>38</v>
      </c>
      <c r="S213" s="19"/>
      <c r="T213" s="576"/>
      <c r="U213" s="575"/>
      <c r="V213" s="575"/>
      <c r="W213" s="576"/>
      <c r="AC213" s="579"/>
      <c r="AD213" s="579"/>
      <c r="AE213" s="579"/>
      <c r="AF213" s="579"/>
      <c r="AG213" s="579"/>
      <c r="AH213" s="579"/>
      <c r="AI213" s="579"/>
      <c r="AJ213" s="579"/>
      <c r="AK213" s="579"/>
      <c r="AL213" s="579"/>
    </row>
    <row r="214" spans="1:38" ht="13" customHeight="1">
      <c r="A214" s="564">
        <v>416</v>
      </c>
      <c r="B214" s="564" t="s">
        <v>401</v>
      </c>
      <c r="C214" s="564" t="s">
        <v>61</v>
      </c>
      <c r="D214" s="564" t="s">
        <v>251</v>
      </c>
      <c r="E214" s="564">
        <v>1313</v>
      </c>
      <c r="F214" s="564" t="s">
        <v>75</v>
      </c>
      <c r="G214" s="564" t="s">
        <v>32</v>
      </c>
      <c r="H214" s="564" t="s">
        <v>76</v>
      </c>
      <c r="I214" s="564">
        <v>84</v>
      </c>
      <c r="J214" s="564" t="s">
        <v>128</v>
      </c>
      <c r="K214" s="564">
        <v>2023</v>
      </c>
      <c r="L214" s="564" t="s">
        <v>399</v>
      </c>
      <c r="M214" s="564" t="s">
        <v>408</v>
      </c>
      <c r="N214" s="632" t="s">
        <v>713</v>
      </c>
      <c r="O214" s="564" t="s">
        <v>84</v>
      </c>
      <c r="P214" s="633" t="s">
        <v>38</v>
      </c>
      <c r="Q214" s="633" t="s">
        <v>38</v>
      </c>
      <c r="R214" s="634" t="s">
        <v>38</v>
      </c>
      <c r="S214" s="19"/>
      <c r="T214" s="576"/>
      <c r="U214" s="575"/>
      <c r="V214" s="575"/>
      <c r="W214" s="576"/>
      <c r="AC214" s="579"/>
      <c r="AD214" s="579"/>
      <c r="AE214" s="579"/>
      <c r="AF214" s="579"/>
      <c r="AG214" s="579"/>
      <c r="AH214" s="579"/>
      <c r="AI214" s="579"/>
      <c r="AJ214" s="579"/>
      <c r="AK214" s="579"/>
      <c r="AL214" s="579"/>
    </row>
    <row r="215" spans="1:38" ht="13" customHeight="1">
      <c r="A215" s="564">
        <v>417</v>
      </c>
      <c r="B215" s="564" t="s">
        <v>401</v>
      </c>
      <c r="C215" s="564" t="s">
        <v>61</v>
      </c>
      <c r="D215" s="564" t="s">
        <v>251</v>
      </c>
      <c r="E215" s="564">
        <v>1313</v>
      </c>
      <c r="F215" s="564" t="s">
        <v>75</v>
      </c>
      <c r="G215" s="564" t="s">
        <v>32</v>
      </c>
      <c r="H215" s="564" t="s">
        <v>76</v>
      </c>
      <c r="I215" s="564">
        <v>65</v>
      </c>
      <c r="J215" s="564" t="s">
        <v>128</v>
      </c>
      <c r="K215" s="564">
        <v>2023</v>
      </c>
      <c r="L215" s="564" t="s">
        <v>399</v>
      </c>
      <c r="M215" s="564" t="s">
        <v>409</v>
      </c>
      <c r="N215" s="632" t="s">
        <v>713</v>
      </c>
      <c r="O215" s="564" t="s">
        <v>84</v>
      </c>
      <c r="P215" s="633" t="s">
        <v>38</v>
      </c>
      <c r="Q215" s="633" t="s">
        <v>38</v>
      </c>
      <c r="R215" s="634" t="s">
        <v>38</v>
      </c>
      <c r="S215" s="19"/>
      <c r="T215" s="576"/>
      <c r="U215" s="575"/>
      <c r="V215" s="575"/>
      <c r="W215" s="576"/>
      <c r="AC215" s="579"/>
      <c r="AD215" s="579"/>
      <c r="AE215" s="579"/>
      <c r="AF215" s="579"/>
      <c r="AG215" s="579"/>
      <c r="AH215" s="579"/>
      <c r="AI215" s="579"/>
      <c r="AJ215" s="579"/>
      <c r="AK215" s="579"/>
      <c r="AL215" s="579"/>
    </row>
    <row r="216" spans="1:38" ht="13" customHeight="1">
      <c r="A216" s="564">
        <v>418</v>
      </c>
      <c r="B216" s="564" t="s">
        <v>402</v>
      </c>
      <c r="C216" s="564" t="s">
        <v>61</v>
      </c>
      <c r="D216" s="564" t="s">
        <v>251</v>
      </c>
      <c r="E216" s="564">
        <v>2272</v>
      </c>
      <c r="F216" s="564" t="s">
        <v>75</v>
      </c>
      <c r="G216" s="564" t="s">
        <v>32</v>
      </c>
      <c r="H216" s="564" t="s">
        <v>76</v>
      </c>
      <c r="I216" s="564">
        <v>70</v>
      </c>
      <c r="J216" s="564" t="s">
        <v>128</v>
      </c>
      <c r="K216" s="564">
        <v>2023</v>
      </c>
      <c r="L216" s="564" t="s">
        <v>399</v>
      </c>
      <c r="M216" s="564" t="s">
        <v>410</v>
      </c>
      <c r="N216" s="632" t="s">
        <v>713</v>
      </c>
      <c r="O216" s="564" t="s">
        <v>84</v>
      </c>
      <c r="P216" s="633" t="s">
        <v>38</v>
      </c>
      <c r="Q216" s="633" t="s">
        <v>38</v>
      </c>
      <c r="R216" s="634" t="s">
        <v>38</v>
      </c>
      <c r="S216" s="19"/>
      <c r="T216" s="576"/>
      <c r="U216" s="575"/>
      <c r="V216" s="575"/>
      <c r="W216" s="576"/>
      <c r="AC216" s="579"/>
      <c r="AD216" s="579"/>
      <c r="AE216" s="579"/>
      <c r="AF216" s="579"/>
      <c r="AG216" s="579"/>
      <c r="AH216" s="579"/>
      <c r="AI216" s="579"/>
      <c r="AJ216" s="579"/>
      <c r="AK216" s="579"/>
      <c r="AL216" s="579"/>
    </row>
    <row r="217" spans="1:38" ht="14.5" customHeight="1">
      <c r="A217" s="564">
        <v>419</v>
      </c>
      <c r="B217" s="564" t="s">
        <v>403</v>
      </c>
      <c r="C217" s="564" t="s">
        <v>61</v>
      </c>
      <c r="D217" s="564" t="s">
        <v>251</v>
      </c>
      <c r="E217" s="564">
        <v>1368</v>
      </c>
      <c r="F217" s="564" t="s">
        <v>75</v>
      </c>
      <c r="G217" s="564" t="s">
        <v>32</v>
      </c>
      <c r="H217" s="564" t="s">
        <v>76</v>
      </c>
      <c r="I217" s="564">
        <v>63.16</v>
      </c>
      <c r="J217" s="564" t="s">
        <v>128</v>
      </c>
      <c r="K217" s="564">
        <v>2023</v>
      </c>
      <c r="L217" s="564" t="s">
        <v>399</v>
      </c>
      <c r="M217" s="564" t="s">
        <v>409</v>
      </c>
      <c r="N217" s="632" t="s">
        <v>713</v>
      </c>
      <c r="O217" s="564" t="s">
        <v>84</v>
      </c>
      <c r="P217" s="633" t="s">
        <v>38</v>
      </c>
      <c r="Q217" s="633" t="s">
        <v>38</v>
      </c>
      <c r="R217" s="634" t="s">
        <v>38</v>
      </c>
      <c r="S217" s="19"/>
      <c r="T217" s="576"/>
      <c r="U217" s="575"/>
      <c r="V217" s="575"/>
      <c r="W217" s="576"/>
      <c r="AC217" s="579"/>
      <c r="AD217" s="579"/>
      <c r="AE217" s="579"/>
      <c r="AF217" s="579"/>
      <c r="AG217" s="579"/>
      <c r="AH217" s="579"/>
      <c r="AI217" s="579"/>
      <c r="AJ217" s="579"/>
      <c r="AK217" s="579"/>
      <c r="AL217" s="579"/>
    </row>
    <row r="218" spans="1:38" ht="14.5" customHeight="1">
      <c r="A218" s="564">
        <v>420</v>
      </c>
      <c r="B218" s="564" t="s">
        <v>402</v>
      </c>
      <c r="C218" s="564" t="s">
        <v>61</v>
      </c>
      <c r="D218" s="564" t="s">
        <v>251</v>
      </c>
      <c r="E218" s="564">
        <v>2272</v>
      </c>
      <c r="F218" s="564" t="s">
        <v>75</v>
      </c>
      <c r="G218" s="564" t="s">
        <v>32</v>
      </c>
      <c r="H218" s="564" t="s">
        <v>76</v>
      </c>
      <c r="I218" s="564">
        <v>90</v>
      </c>
      <c r="J218" s="564" t="s">
        <v>128</v>
      </c>
      <c r="K218" s="564">
        <v>2023</v>
      </c>
      <c r="L218" s="564" t="s">
        <v>399</v>
      </c>
      <c r="M218" s="564" t="s">
        <v>408</v>
      </c>
      <c r="N218" s="632" t="s">
        <v>713</v>
      </c>
      <c r="O218" s="564" t="s">
        <v>84</v>
      </c>
      <c r="P218" s="633" t="s">
        <v>38</v>
      </c>
      <c r="Q218" s="633" t="s">
        <v>38</v>
      </c>
      <c r="R218" s="634" t="s">
        <v>38</v>
      </c>
      <c r="S218" s="19"/>
      <c r="T218" s="576"/>
      <c r="U218" s="575"/>
      <c r="V218" s="575"/>
      <c r="W218" s="576"/>
      <c r="AC218" s="579"/>
      <c r="AD218" s="579"/>
      <c r="AE218" s="579"/>
      <c r="AF218" s="579"/>
      <c r="AG218" s="579"/>
      <c r="AH218" s="579"/>
      <c r="AI218" s="579"/>
      <c r="AJ218" s="579"/>
      <c r="AK218" s="579"/>
      <c r="AL218" s="579"/>
    </row>
    <row r="219" spans="1:38" ht="14.5" customHeight="1">
      <c r="A219" s="564">
        <v>421</v>
      </c>
      <c r="B219" s="564" t="s">
        <v>403</v>
      </c>
      <c r="C219" s="564" t="s">
        <v>61</v>
      </c>
      <c r="D219" s="564" t="s">
        <v>251</v>
      </c>
      <c r="E219" s="564">
        <v>1368</v>
      </c>
      <c r="F219" s="564" t="s">
        <v>75</v>
      </c>
      <c r="G219" s="564" t="s">
        <v>32</v>
      </c>
      <c r="H219" s="564" t="s">
        <v>76</v>
      </c>
      <c r="I219" s="564">
        <v>82.95</v>
      </c>
      <c r="J219" s="564" t="s">
        <v>128</v>
      </c>
      <c r="K219" s="564">
        <v>2023</v>
      </c>
      <c r="L219" s="564" t="s">
        <v>399</v>
      </c>
      <c r="M219" s="564" t="s">
        <v>411</v>
      </c>
      <c r="N219" s="632" t="s">
        <v>713</v>
      </c>
      <c r="O219" s="564" t="s">
        <v>84</v>
      </c>
      <c r="P219" s="633" t="s">
        <v>38</v>
      </c>
      <c r="Q219" s="633" t="s">
        <v>38</v>
      </c>
      <c r="R219" s="634" t="s">
        <v>38</v>
      </c>
      <c r="S219" s="19"/>
      <c r="T219" s="576"/>
      <c r="U219" s="575"/>
      <c r="V219" s="575"/>
      <c r="W219" s="576"/>
      <c r="AC219" s="579"/>
      <c r="AD219" s="579"/>
      <c r="AE219" s="579"/>
      <c r="AF219" s="579"/>
      <c r="AG219" s="579"/>
      <c r="AH219" s="579"/>
      <c r="AI219" s="579"/>
      <c r="AJ219" s="579"/>
      <c r="AK219" s="579"/>
      <c r="AL219" s="579"/>
    </row>
    <row r="220" spans="1:38" ht="14.5" customHeight="1">
      <c r="A220" s="564">
        <v>422</v>
      </c>
      <c r="B220" s="564" t="s">
        <v>404</v>
      </c>
      <c r="C220" s="564" t="s">
        <v>61</v>
      </c>
      <c r="D220" s="564" t="s">
        <v>251</v>
      </c>
      <c r="E220" s="564">
        <v>914</v>
      </c>
      <c r="F220" s="564" t="s">
        <v>493</v>
      </c>
      <c r="G220" s="564" t="s">
        <v>32</v>
      </c>
      <c r="H220" s="564" t="s">
        <v>33</v>
      </c>
      <c r="I220" s="564">
        <f t="shared" ref="I220:I227" si="0">3.9*1000000</f>
        <v>3900000</v>
      </c>
      <c r="J220" s="564" t="s">
        <v>34</v>
      </c>
      <c r="K220" s="564">
        <v>2023</v>
      </c>
      <c r="L220" s="564" t="s">
        <v>399</v>
      </c>
      <c r="M220" s="564"/>
      <c r="N220" s="634" t="s">
        <v>38</v>
      </c>
      <c r="O220" s="634" t="s">
        <v>38</v>
      </c>
      <c r="P220" s="633" t="s">
        <v>38</v>
      </c>
      <c r="Q220" s="633" t="s">
        <v>38</v>
      </c>
      <c r="R220" s="634" t="s">
        <v>38</v>
      </c>
      <c r="S220" s="19"/>
      <c r="T220" s="576"/>
      <c r="U220" s="575"/>
      <c r="V220" s="575"/>
      <c r="W220" s="576"/>
      <c r="AC220" s="579"/>
      <c r="AD220" s="579"/>
      <c r="AE220" s="579"/>
      <c r="AF220" s="579"/>
      <c r="AG220" s="579"/>
      <c r="AH220" s="579"/>
      <c r="AI220" s="579"/>
      <c r="AJ220" s="579"/>
      <c r="AK220" s="579"/>
      <c r="AL220" s="579"/>
    </row>
    <row r="221" spans="1:38" ht="14.5" customHeight="1">
      <c r="A221" s="564">
        <v>423</v>
      </c>
      <c r="B221" s="564" t="s">
        <v>405</v>
      </c>
      <c r="C221" s="564" t="s">
        <v>61</v>
      </c>
      <c r="D221" s="564" t="s">
        <v>251</v>
      </c>
      <c r="E221" s="564">
        <v>774</v>
      </c>
      <c r="F221" s="564" t="s">
        <v>493</v>
      </c>
      <c r="G221" s="564" t="s">
        <v>32</v>
      </c>
      <c r="H221" s="564" t="s">
        <v>33</v>
      </c>
      <c r="I221" s="564">
        <f t="shared" si="0"/>
        <v>3900000</v>
      </c>
      <c r="J221" s="564" t="s">
        <v>34</v>
      </c>
      <c r="K221" s="564">
        <v>2023</v>
      </c>
      <c r="L221" s="564" t="s">
        <v>399</v>
      </c>
      <c r="M221" s="564"/>
      <c r="N221" s="634" t="s">
        <v>38</v>
      </c>
      <c r="O221" s="634" t="s">
        <v>38</v>
      </c>
      <c r="P221" s="633" t="s">
        <v>38</v>
      </c>
      <c r="Q221" s="633" t="s">
        <v>38</v>
      </c>
      <c r="R221" s="634" t="s">
        <v>38</v>
      </c>
      <c r="S221" s="19"/>
      <c r="T221" s="576"/>
      <c r="U221" s="575"/>
      <c r="V221" s="575"/>
      <c r="W221" s="576"/>
      <c r="AC221" s="579"/>
      <c r="AD221" s="579"/>
      <c r="AE221" s="579"/>
      <c r="AF221" s="579"/>
      <c r="AG221" s="579"/>
      <c r="AH221" s="579"/>
      <c r="AI221" s="579"/>
      <c r="AJ221" s="579"/>
      <c r="AK221" s="579"/>
      <c r="AL221" s="579"/>
    </row>
    <row r="222" spans="1:38" ht="14.5" customHeight="1">
      <c r="A222" s="564">
        <v>424</v>
      </c>
      <c r="B222" s="564" t="s">
        <v>406</v>
      </c>
      <c r="C222" s="564" t="s">
        <v>61</v>
      </c>
      <c r="D222" s="564" t="s">
        <v>251</v>
      </c>
      <c r="E222" s="564">
        <v>1945</v>
      </c>
      <c r="F222" s="564" t="s">
        <v>493</v>
      </c>
      <c r="G222" s="564" t="s">
        <v>32</v>
      </c>
      <c r="H222" s="564" t="s">
        <v>33</v>
      </c>
      <c r="I222" s="564">
        <f t="shared" si="0"/>
        <v>3900000</v>
      </c>
      <c r="J222" s="564" t="s">
        <v>34</v>
      </c>
      <c r="K222" s="564">
        <v>2023</v>
      </c>
      <c r="L222" s="564" t="s">
        <v>399</v>
      </c>
      <c r="M222" s="564"/>
      <c r="N222" s="634" t="s">
        <v>38</v>
      </c>
      <c r="O222" s="634" t="s">
        <v>38</v>
      </c>
      <c r="P222" s="633" t="s">
        <v>38</v>
      </c>
      <c r="Q222" s="633" t="s">
        <v>38</v>
      </c>
      <c r="R222" s="634" t="s">
        <v>38</v>
      </c>
      <c r="S222" s="19"/>
      <c r="T222" s="576"/>
      <c r="U222" s="575"/>
      <c r="V222" s="575"/>
      <c r="W222" s="576"/>
      <c r="AC222" s="579"/>
      <c r="AD222" s="579"/>
      <c r="AE222" s="579"/>
      <c r="AF222" s="579"/>
      <c r="AG222" s="579"/>
      <c r="AH222" s="579"/>
      <c r="AI222" s="579"/>
      <c r="AJ222" s="579"/>
      <c r="AK222" s="579"/>
      <c r="AL222" s="579"/>
    </row>
    <row r="223" spans="1:38" ht="14.5" customHeight="1">
      <c r="A223" s="564">
        <v>425</v>
      </c>
      <c r="B223" s="564" t="s">
        <v>407</v>
      </c>
      <c r="C223" s="564" t="s">
        <v>61</v>
      </c>
      <c r="D223" s="564" t="s">
        <v>251</v>
      </c>
      <c r="E223" s="564">
        <v>1165</v>
      </c>
      <c r="F223" s="564" t="s">
        <v>493</v>
      </c>
      <c r="G223" s="564" t="s">
        <v>32</v>
      </c>
      <c r="H223" s="564" t="s">
        <v>33</v>
      </c>
      <c r="I223" s="564">
        <f t="shared" si="0"/>
        <v>3900000</v>
      </c>
      <c r="J223" s="564" t="s">
        <v>34</v>
      </c>
      <c r="K223" s="564">
        <v>2023</v>
      </c>
      <c r="L223" s="564" t="s">
        <v>399</v>
      </c>
      <c r="M223" s="564"/>
      <c r="N223" s="634" t="s">
        <v>38</v>
      </c>
      <c r="O223" s="634" t="s">
        <v>38</v>
      </c>
      <c r="P223" s="633" t="s">
        <v>38</v>
      </c>
      <c r="Q223" s="633" t="s">
        <v>38</v>
      </c>
      <c r="R223" s="634" t="s">
        <v>38</v>
      </c>
      <c r="S223" s="19"/>
      <c r="T223" s="576"/>
      <c r="U223" s="575"/>
      <c r="V223" s="575"/>
      <c r="W223" s="576"/>
      <c r="AC223" s="579"/>
      <c r="AD223" s="579"/>
      <c r="AE223" s="579"/>
      <c r="AF223" s="579"/>
      <c r="AG223" s="579"/>
      <c r="AH223" s="579"/>
      <c r="AI223" s="579"/>
      <c r="AJ223" s="579"/>
      <c r="AK223" s="579"/>
      <c r="AL223" s="579"/>
    </row>
    <row r="224" spans="1:38" ht="14.5" customHeight="1">
      <c r="A224" s="564">
        <v>426</v>
      </c>
      <c r="B224" s="564" t="s">
        <v>398</v>
      </c>
      <c r="C224" s="564" t="s">
        <v>61</v>
      </c>
      <c r="D224" s="564" t="s">
        <v>251</v>
      </c>
      <c r="E224" s="564">
        <v>1204</v>
      </c>
      <c r="F224" s="564" t="s">
        <v>493</v>
      </c>
      <c r="G224" s="564" t="s">
        <v>32</v>
      </c>
      <c r="H224" s="564" t="s">
        <v>33</v>
      </c>
      <c r="I224" s="564">
        <f t="shared" si="0"/>
        <v>3900000</v>
      </c>
      <c r="J224" s="564" t="s">
        <v>34</v>
      </c>
      <c r="K224" s="564">
        <v>2023</v>
      </c>
      <c r="L224" s="564" t="s">
        <v>399</v>
      </c>
      <c r="M224" s="564"/>
      <c r="N224" s="634" t="s">
        <v>38</v>
      </c>
      <c r="O224" s="634" t="s">
        <v>38</v>
      </c>
      <c r="P224" s="633" t="s">
        <v>38</v>
      </c>
      <c r="Q224" s="633" t="s">
        <v>38</v>
      </c>
      <c r="R224" s="634" t="s">
        <v>38</v>
      </c>
      <c r="S224" s="19"/>
      <c r="T224" s="576"/>
      <c r="U224" s="575"/>
      <c r="V224" s="575"/>
      <c r="W224" s="576"/>
      <c r="AC224" s="579"/>
      <c r="AD224" s="579"/>
      <c r="AE224" s="579"/>
      <c r="AF224" s="579"/>
      <c r="AG224" s="579"/>
      <c r="AH224" s="579"/>
      <c r="AI224" s="579"/>
      <c r="AJ224" s="579"/>
      <c r="AK224" s="579"/>
      <c r="AL224" s="579"/>
    </row>
    <row r="225" spans="1:38" ht="13.5" customHeight="1">
      <c r="A225" s="564">
        <v>427</v>
      </c>
      <c r="B225" s="564" t="s">
        <v>401</v>
      </c>
      <c r="C225" s="564" t="s">
        <v>61</v>
      </c>
      <c r="D225" s="564" t="s">
        <v>251</v>
      </c>
      <c r="E225" s="564">
        <v>1313</v>
      </c>
      <c r="F225" s="564" t="s">
        <v>493</v>
      </c>
      <c r="G225" s="564" t="s">
        <v>32</v>
      </c>
      <c r="H225" s="564" t="s">
        <v>33</v>
      </c>
      <c r="I225" s="564">
        <f t="shared" si="0"/>
        <v>3900000</v>
      </c>
      <c r="J225" s="564" t="s">
        <v>34</v>
      </c>
      <c r="K225" s="564">
        <v>2023</v>
      </c>
      <c r="L225" s="564" t="s">
        <v>399</v>
      </c>
      <c r="M225" s="564"/>
      <c r="N225" s="634" t="s">
        <v>38</v>
      </c>
      <c r="O225" s="634" t="s">
        <v>38</v>
      </c>
      <c r="P225" s="633" t="s">
        <v>38</v>
      </c>
      <c r="Q225" s="633" t="s">
        <v>38</v>
      </c>
      <c r="R225" s="634" t="s">
        <v>38</v>
      </c>
      <c r="S225" s="19"/>
      <c r="T225" s="576"/>
      <c r="U225" s="575"/>
      <c r="V225" s="575"/>
      <c r="W225" s="576"/>
      <c r="AC225" s="579"/>
      <c r="AD225" s="579"/>
      <c r="AE225" s="579"/>
      <c r="AF225" s="579"/>
      <c r="AG225" s="579"/>
      <c r="AH225" s="579"/>
      <c r="AI225" s="579"/>
      <c r="AJ225" s="579"/>
      <c r="AK225" s="579"/>
      <c r="AL225" s="579"/>
    </row>
    <row r="226" spans="1:38" ht="13.5" customHeight="1">
      <c r="A226" s="564">
        <v>428</v>
      </c>
      <c r="B226" s="564" t="s">
        <v>402</v>
      </c>
      <c r="C226" s="564" t="s">
        <v>61</v>
      </c>
      <c r="D226" s="564" t="s">
        <v>251</v>
      </c>
      <c r="E226" s="564">
        <v>2272</v>
      </c>
      <c r="F226" s="564" t="s">
        <v>493</v>
      </c>
      <c r="G226" s="564" t="s">
        <v>32</v>
      </c>
      <c r="H226" s="564" t="s">
        <v>33</v>
      </c>
      <c r="I226" s="564">
        <f t="shared" si="0"/>
        <v>3900000</v>
      </c>
      <c r="J226" s="564" t="s">
        <v>34</v>
      </c>
      <c r="K226" s="564">
        <v>2023</v>
      </c>
      <c r="L226" s="564" t="s">
        <v>399</v>
      </c>
      <c r="M226" s="564"/>
      <c r="N226" s="634" t="s">
        <v>38</v>
      </c>
      <c r="O226" s="634" t="s">
        <v>38</v>
      </c>
      <c r="P226" s="633" t="s">
        <v>38</v>
      </c>
      <c r="Q226" s="633" t="s">
        <v>38</v>
      </c>
      <c r="R226" s="634" t="s">
        <v>38</v>
      </c>
      <c r="S226" s="19"/>
      <c r="T226" s="576"/>
      <c r="U226" s="575"/>
      <c r="V226" s="575"/>
      <c r="W226" s="576"/>
      <c r="AC226" s="579"/>
      <c r="AD226" s="579"/>
      <c r="AE226" s="579"/>
      <c r="AF226" s="579"/>
      <c r="AG226" s="579"/>
      <c r="AH226" s="579"/>
      <c r="AI226" s="579"/>
      <c r="AJ226" s="579"/>
      <c r="AK226" s="579"/>
      <c r="AL226" s="579"/>
    </row>
    <row r="227" spans="1:38" ht="13.5" customHeight="1">
      <c r="A227" s="564">
        <v>429</v>
      </c>
      <c r="B227" s="564" t="s">
        <v>403</v>
      </c>
      <c r="C227" s="564" t="s">
        <v>61</v>
      </c>
      <c r="D227" s="564" t="s">
        <v>251</v>
      </c>
      <c r="E227" s="564">
        <v>1368</v>
      </c>
      <c r="F227" s="564" t="s">
        <v>493</v>
      </c>
      <c r="G227" s="564" t="s">
        <v>32</v>
      </c>
      <c r="H227" s="564" t="s">
        <v>33</v>
      </c>
      <c r="I227" s="564">
        <f t="shared" si="0"/>
        <v>3900000</v>
      </c>
      <c r="J227" s="564" t="s">
        <v>34</v>
      </c>
      <c r="K227" s="564">
        <v>2023</v>
      </c>
      <c r="L227" s="564" t="s">
        <v>399</v>
      </c>
      <c r="M227" s="564"/>
      <c r="N227" s="634" t="s">
        <v>38</v>
      </c>
      <c r="O227" s="634" t="s">
        <v>38</v>
      </c>
      <c r="P227" s="633" t="s">
        <v>38</v>
      </c>
      <c r="Q227" s="633" t="s">
        <v>38</v>
      </c>
      <c r="R227" s="634" t="s">
        <v>38</v>
      </c>
      <c r="S227" s="19"/>
      <c r="T227" s="576"/>
      <c r="U227" s="575"/>
      <c r="V227" s="575"/>
      <c r="W227" s="576"/>
      <c r="AC227" s="579"/>
      <c r="AD227" s="579"/>
      <c r="AE227" s="579"/>
      <c r="AF227" s="579"/>
      <c r="AG227" s="579"/>
      <c r="AH227" s="579"/>
      <c r="AI227" s="579"/>
      <c r="AJ227" s="579"/>
      <c r="AK227" s="579"/>
      <c r="AL227" s="579"/>
    </row>
    <row r="228" spans="1:38" ht="13" customHeight="1">
      <c r="A228" s="564">
        <v>430</v>
      </c>
      <c r="B228" s="564" t="s">
        <v>404</v>
      </c>
      <c r="C228" s="564" t="s">
        <v>61</v>
      </c>
      <c r="D228" s="564" t="s">
        <v>251</v>
      </c>
      <c r="E228" s="564">
        <v>914</v>
      </c>
      <c r="F228" s="564" t="s">
        <v>75</v>
      </c>
      <c r="G228" s="564" t="s">
        <v>32</v>
      </c>
      <c r="H228" s="564" t="s">
        <v>76</v>
      </c>
      <c r="I228" s="564">
        <v>75</v>
      </c>
      <c r="J228" s="564" t="s">
        <v>128</v>
      </c>
      <c r="K228" s="564">
        <v>2023</v>
      </c>
      <c r="L228" s="564" t="s">
        <v>399</v>
      </c>
      <c r="M228" s="564" t="s">
        <v>412</v>
      </c>
      <c r="N228" s="632" t="s">
        <v>713</v>
      </c>
      <c r="O228" s="564" t="s">
        <v>84</v>
      </c>
      <c r="P228" s="633" t="s">
        <v>38</v>
      </c>
      <c r="Q228" s="633" t="s">
        <v>38</v>
      </c>
      <c r="R228" s="634" t="s">
        <v>38</v>
      </c>
      <c r="S228" s="19"/>
      <c r="T228" s="576"/>
      <c r="U228" s="575"/>
      <c r="V228" s="575"/>
      <c r="W228" s="576"/>
      <c r="AC228" s="579"/>
      <c r="AD228" s="579"/>
      <c r="AE228" s="579"/>
      <c r="AF228" s="579"/>
      <c r="AG228" s="579"/>
      <c r="AH228" s="579"/>
      <c r="AI228" s="579"/>
      <c r="AJ228" s="579"/>
      <c r="AK228" s="579"/>
      <c r="AL228" s="579"/>
    </row>
    <row r="229" spans="1:38" ht="13" customHeight="1">
      <c r="A229" s="564">
        <v>431</v>
      </c>
      <c r="B229" s="564" t="s">
        <v>404</v>
      </c>
      <c r="C229" s="564" t="s">
        <v>61</v>
      </c>
      <c r="D229" s="564" t="s">
        <v>251</v>
      </c>
      <c r="E229" s="564">
        <v>914</v>
      </c>
      <c r="F229" s="564" t="s">
        <v>75</v>
      </c>
      <c r="G229" s="564" t="s">
        <v>32</v>
      </c>
      <c r="H229" s="564" t="s">
        <v>76</v>
      </c>
      <c r="I229" s="564">
        <v>60</v>
      </c>
      <c r="J229" s="564" t="s">
        <v>128</v>
      </c>
      <c r="K229" s="564">
        <v>2023</v>
      </c>
      <c r="L229" s="564" t="s">
        <v>399</v>
      </c>
      <c r="M229" s="564" t="s">
        <v>413</v>
      </c>
      <c r="N229" s="632" t="s">
        <v>713</v>
      </c>
      <c r="O229" s="564" t="s">
        <v>84</v>
      </c>
      <c r="P229" s="633" t="s">
        <v>38</v>
      </c>
      <c r="Q229" s="633" t="s">
        <v>38</v>
      </c>
      <c r="R229" s="634" t="s">
        <v>38</v>
      </c>
      <c r="S229" s="19"/>
      <c r="T229" s="576"/>
      <c r="U229" s="575"/>
      <c r="V229" s="575"/>
      <c r="W229" s="576"/>
      <c r="AC229" s="579"/>
      <c r="AD229" s="579"/>
      <c r="AE229" s="579"/>
      <c r="AF229" s="579"/>
      <c r="AG229" s="579"/>
      <c r="AH229" s="579"/>
      <c r="AI229" s="579"/>
      <c r="AJ229" s="579"/>
      <c r="AK229" s="579"/>
      <c r="AL229" s="579"/>
    </row>
    <row r="230" spans="1:38" ht="13" customHeight="1">
      <c r="A230" s="564">
        <v>432</v>
      </c>
      <c r="B230" s="564" t="s">
        <v>405</v>
      </c>
      <c r="C230" s="564" t="s">
        <v>61</v>
      </c>
      <c r="D230" s="564" t="s">
        <v>251</v>
      </c>
      <c r="E230" s="564">
        <v>774</v>
      </c>
      <c r="F230" s="564" t="s">
        <v>75</v>
      </c>
      <c r="G230" s="564" t="s">
        <v>32</v>
      </c>
      <c r="H230" s="564" t="s">
        <v>76</v>
      </c>
      <c r="I230" s="564">
        <v>59</v>
      </c>
      <c r="J230" s="564" t="s">
        <v>128</v>
      </c>
      <c r="K230" s="564">
        <v>2023</v>
      </c>
      <c r="L230" s="564" t="s">
        <v>399</v>
      </c>
      <c r="M230" s="564" t="s">
        <v>414</v>
      </c>
      <c r="N230" s="632" t="s">
        <v>713</v>
      </c>
      <c r="O230" s="564" t="s">
        <v>84</v>
      </c>
      <c r="P230" s="633" t="s">
        <v>38</v>
      </c>
      <c r="Q230" s="633" t="s">
        <v>38</v>
      </c>
      <c r="R230" s="634" t="s">
        <v>38</v>
      </c>
      <c r="S230" s="19"/>
      <c r="T230" s="576"/>
      <c r="U230" s="575"/>
      <c r="V230" s="575"/>
      <c r="W230" s="576"/>
      <c r="AC230" s="579"/>
      <c r="AD230" s="579"/>
      <c r="AE230" s="579"/>
      <c r="AF230" s="579"/>
      <c r="AG230" s="579"/>
      <c r="AH230" s="579"/>
      <c r="AI230" s="579"/>
      <c r="AJ230" s="579"/>
      <c r="AK230" s="579"/>
      <c r="AL230" s="579"/>
    </row>
    <row r="231" spans="1:38" ht="13" customHeight="1">
      <c r="A231" s="564">
        <v>433</v>
      </c>
      <c r="B231" s="564" t="s">
        <v>405</v>
      </c>
      <c r="C231" s="564" t="s">
        <v>61</v>
      </c>
      <c r="D231" s="564" t="s">
        <v>251</v>
      </c>
      <c r="E231" s="564">
        <v>774</v>
      </c>
      <c r="F231" s="564" t="s">
        <v>75</v>
      </c>
      <c r="G231" s="564" t="s">
        <v>32</v>
      </c>
      <c r="H231" s="564" t="s">
        <v>76</v>
      </c>
      <c r="I231" s="564">
        <v>79</v>
      </c>
      <c r="J231" s="564" t="s">
        <v>128</v>
      </c>
      <c r="K231" s="564">
        <v>2023</v>
      </c>
      <c r="L231" s="564" t="s">
        <v>399</v>
      </c>
      <c r="M231" s="564" t="s">
        <v>415</v>
      </c>
      <c r="N231" s="632" t="s">
        <v>713</v>
      </c>
      <c r="O231" s="564" t="s">
        <v>84</v>
      </c>
      <c r="P231" s="633" t="s">
        <v>38</v>
      </c>
      <c r="Q231" s="633" t="s">
        <v>38</v>
      </c>
      <c r="R231" s="634" t="s">
        <v>38</v>
      </c>
      <c r="S231" s="19"/>
      <c r="T231" s="576"/>
      <c r="U231" s="575"/>
      <c r="V231" s="575"/>
      <c r="W231" s="576"/>
      <c r="AC231" s="579"/>
      <c r="AD231" s="579"/>
      <c r="AE231" s="579"/>
      <c r="AF231" s="579"/>
      <c r="AG231" s="579"/>
      <c r="AH231" s="579"/>
      <c r="AI231" s="579"/>
      <c r="AJ231" s="579"/>
      <c r="AK231" s="579"/>
      <c r="AL231" s="579"/>
    </row>
    <row r="232" spans="1:38" ht="13" customHeight="1">
      <c r="A232" s="564">
        <v>434</v>
      </c>
      <c r="B232" s="564" t="s">
        <v>406</v>
      </c>
      <c r="C232" s="564" t="s">
        <v>61</v>
      </c>
      <c r="D232" s="564" t="s">
        <v>251</v>
      </c>
      <c r="E232" s="564">
        <v>1945</v>
      </c>
      <c r="F232" s="564" t="s">
        <v>75</v>
      </c>
      <c r="G232" s="564" t="s">
        <v>32</v>
      </c>
      <c r="H232" s="564" t="s">
        <v>76</v>
      </c>
      <c r="I232" s="564">
        <v>70</v>
      </c>
      <c r="J232" s="564" t="s">
        <v>128</v>
      </c>
      <c r="K232" s="564">
        <v>2023</v>
      </c>
      <c r="L232" s="564" t="s">
        <v>399</v>
      </c>
      <c r="M232" s="564" t="s">
        <v>416</v>
      </c>
      <c r="N232" s="632" t="s">
        <v>713</v>
      </c>
      <c r="O232" s="564" t="s">
        <v>84</v>
      </c>
      <c r="P232" s="633" t="s">
        <v>38</v>
      </c>
      <c r="Q232" s="633" t="s">
        <v>38</v>
      </c>
      <c r="R232" s="634" t="s">
        <v>38</v>
      </c>
      <c r="S232" s="19"/>
      <c r="T232" s="576"/>
      <c r="U232" s="575"/>
      <c r="V232" s="575"/>
      <c r="W232" s="576"/>
      <c r="AC232" s="594"/>
      <c r="AD232" s="579"/>
      <c r="AE232" s="579"/>
      <c r="AF232" s="579"/>
      <c r="AG232" s="579"/>
      <c r="AH232" s="579"/>
      <c r="AI232" s="579"/>
      <c r="AJ232" s="579"/>
      <c r="AK232" s="579"/>
      <c r="AL232" s="579"/>
    </row>
    <row r="233" spans="1:38" ht="13" customHeight="1">
      <c r="A233" s="564">
        <v>435</v>
      </c>
      <c r="B233" s="564" t="s">
        <v>407</v>
      </c>
      <c r="C233" s="564" t="s">
        <v>61</v>
      </c>
      <c r="D233" s="564" t="s">
        <v>251</v>
      </c>
      <c r="E233" s="564">
        <v>1165</v>
      </c>
      <c r="F233" s="564" t="s">
        <v>75</v>
      </c>
      <c r="G233" s="564" t="s">
        <v>32</v>
      </c>
      <c r="H233" s="564" t="s">
        <v>76</v>
      </c>
      <c r="I233" s="564">
        <v>53.9</v>
      </c>
      <c r="J233" s="564" t="s">
        <v>128</v>
      </c>
      <c r="K233" s="564">
        <v>2023</v>
      </c>
      <c r="L233" s="564" t="s">
        <v>399</v>
      </c>
      <c r="M233" s="564" t="s">
        <v>417</v>
      </c>
      <c r="N233" s="632" t="s">
        <v>713</v>
      </c>
      <c r="O233" s="564" t="s">
        <v>84</v>
      </c>
      <c r="P233" s="633" t="s">
        <v>38</v>
      </c>
      <c r="Q233" s="633" t="s">
        <v>38</v>
      </c>
      <c r="R233" s="634" t="s">
        <v>38</v>
      </c>
      <c r="S233" s="19"/>
      <c r="T233" s="576"/>
      <c r="U233" s="575"/>
      <c r="V233" s="575"/>
      <c r="W233" s="576"/>
      <c r="AC233" s="579"/>
      <c r="AD233" s="579"/>
      <c r="AE233" s="579"/>
      <c r="AF233" s="579"/>
      <c r="AG233" s="579"/>
      <c r="AH233" s="579"/>
      <c r="AI233" s="579"/>
      <c r="AJ233" s="579"/>
      <c r="AK233" s="579"/>
      <c r="AL233" s="579"/>
    </row>
    <row r="234" spans="1:38" ht="13" customHeight="1">
      <c r="A234" s="564">
        <v>436</v>
      </c>
      <c r="B234" s="564" t="s">
        <v>406</v>
      </c>
      <c r="C234" s="564" t="s">
        <v>61</v>
      </c>
      <c r="D234" s="564" t="s">
        <v>251</v>
      </c>
      <c r="E234" s="564">
        <v>1945</v>
      </c>
      <c r="F234" s="564" t="s">
        <v>75</v>
      </c>
      <c r="G234" s="564" t="s">
        <v>32</v>
      </c>
      <c r="H234" s="564" t="s">
        <v>76</v>
      </c>
      <c r="I234" s="564">
        <v>90</v>
      </c>
      <c r="J234" s="564" t="s">
        <v>128</v>
      </c>
      <c r="K234" s="564">
        <v>2023</v>
      </c>
      <c r="L234" s="564" t="s">
        <v>399</v>
      </c>
      <c r="M234" s="564" t="s">
        <v>418</v>
      </c>
      <c r="N234" s="632" t="s">
        <v>713</v>
      </c>
      <c r="O234" s="564" t="s">
        <v>84</v>
      </c>
      <c r="P234" s="633" t="s">
        <v>38</v>
      </c>
      <c r="Q234" s="633" t="s">
        <v>38</v>
      </c>
      <c r="R234" s="634" t="s">
        <v>38</v>
      </c>
      <c r="S234" s="19"/>
      <c r="T234" s="576"/>
      <c r="U234" s="575"/>
      <c r="V234" s="575"/>
      <c r="W234" s="576"/>
      <c r="AC234" s="594"/>
      <c r="AD234" s="579"/>
      <c r="AE234" s="579"/>
      <c r="AF234" s="579"/>
      <c r="AG234" s="579"/>
      <c r="AH234" s="579"/>
      <c r="AI234" s="579"/>
      <c r="AJ234" s="579"/>
      <c r="AK234" s="579"/>
      <c r="AL234" s="579"/>
    </row>
    <row r="235" spans="1:38" ht="13" customHeight="1">
      <c r="A235" s="564">
        <v>437</v>
      </c>
      <c r="B235" s="564" t="s">
        <v>407</v>
      </c>
      <c r="C235" s="564" t="s">
        <v>61</v>
      </c>
      <c r="D235" s="564" t="s">
        <v>251</v>
      </c>
      <c r="E235" s="564">
        <v>1165</v>
      </c>
      <c r="F235" s="564" t="s">
        <v>75</v>
      </c>
      <c r="G235" s="564" t="s">
        <v>32</v>
      </c>
      <c r="H235" s="564" t="s">
        <v>76</v>
      </c>
      <c r="I235" s="564">
        <v>38.53</v>
      </c>
      <c r="J235" s="564" t="s">
        <v>128</v>
      </c>
      <c r="K235" s="564">
        <v>2023</v>
      </c>
      <c r="L235" s="564" t="s">
        <v>399</v>
      </c>
      <c r="M235" s="564" t="s">
        <v>419</v>
      </c>
      <c r="N235" s="632" t="s">
        <v>713</v>
      </c>
      <c r="O235" s="564" t="s">
        <v>84</v>
      </c>
      <c r="P235" s="633" t="s">
        <v>38</v>
      </c>
      <c r="Q235" s="633" t="s">
        <v>38</v>
      </c>
      <c r="R235" s="634" t="s">
        <v>38</v>
      </c>
      <c r="S235" s="19"/>
      <c r="T235" s="576"/>
      <c r="U235" s="575"/>
      <c r="V235" s="575"/>
      <c r="W235" s="576"/>
      <c r="AC235" s="579"/>
      <c r="AD235" s="579"/>
      <c r="AE235" s="579"/>
      <c r="AF235" s="579"/>
      <c r="AG235" s="579"/>
      <c r="AH235" s="579"/>
      <c r="AI235" s="579"/>
      <c r="AJ235" s="579"/>
      <c r="AK235" s="579"/>
      <c r="AL235" s="579"/>
    </row>
    <row r="236" spans="1:38" ht="13" customHeight="1">
      <c r="A236" s="564">
        <v>185</v>
      </c>
      <c r="B236" s="639" t="s">
        <v>226</v>
      </c>
      <c r="C236" s="639" t="s">
        <v>61</v>
      </c>
      <c r="D236" s="639" t="s">
        <v>62</v>
      </c>
      <c r="E236" s="640">
        <v>1000</v>
      </c>
      <c r="F236" s="639" t="s">
        <v>63</v>
      </c>
      <c r="G236" s="639" t="s">
        <v>52</v>
      </c>
      <c r="H236" s="639" t="s">
        <v>76</v>
      </c>
      <c r="I236" s="640">
        <v>2</v>
      </c>
      <c r="J236" s="639" t="s">
        <v>128</v>
      </c>
      <c r="K236" s="640">
        <v>2000</v>
      </c>
      <c r="L236" s="639" t="s">
        <v>227</v>
      </c>
      <c r="M236" s="564" t="s">
        <v>228</v>
      </c>
      <c r="N236" s="633" t="s">
        <v>122</v>
      </c>
      <c r="O236" s="633" t="s">
        <v>122</v>
      </c>
      <c r="P236" s="633" t="s">
        <v>38</v>
      </c>
      <c r="Q236" s="633" t="s">
        <v>38</v>
      </c>
      <c r="R236" s="633" t="s">
        <v>122</v>
      </c>
      <c r="S236" s="19"/>
      <c r="T236" s="609"/>
      <c r="U236" s="575"/>
      <c r="V236" s="575"/>
      <c r="W236" s="591"/>
      <c r="AC236" s="594"/>
      <c r="AD236" s="579"/>
      <c r="AE236" s="579"/>
      <c r="AF236" s="579"/>
      <c r="AG236" s="579"/>
      <c r="AH236" s="579"/>
      <c r="AI236" s="579"/>
      <c r="AJ236" s="579"/>
      <c r="AK236" s="579"/>
      <c r="AL236" s="579"/>
    </row>
    <row r="237" spans="1:38" ht="13" customHeight="1">
      <c r="A237" s="564">
        <v>186</v>
      </c>
      <c r="B237" s="639" t="s">
        <v>229</v>
      </c>
      <c r="C237" s="639" t="s">
        <v>61</v>
      </c>
      <c r="D237" s="639" t="s">
        <v>62</v>
      </c>
      <c r="E237" s="640">
        <v>1000</v>
      </c>
      <c r="F237" s="639" t="s">
        <v>63</v>
      </c>
      <c r="G237" s="639" t="s">
        <v>52</v>
      </c>
      <c r="H237" s="639" t="s">
        <v>76</v>
      </c>
      <c r="I237" s="640">
        <v>2</v>
      </c>
      <c r="J237" s="639" t="s">
        <v>128</v>
      </c>
      <c r="K237" s="640">
        <v>2000</v>
      </c>
      <c r="L237" s="639" t="s">
        <v>227</v>
      </c>
      <c r="M237" s="564" t="s">
        <v>228</v>
      </c>
      <c r="N237" s="633" t="s">
        <v>122</v>
      </c>
      <c r="O237" s="633" t="s">
        <v>122</v>
      </c>
      <c r="P237" s="633" t="s">
        <v>38</v>
      </c>
      <c r="Q237" s="633" t="s">
        <v>38</v>
      </c>
      <c r="R237" s="633" t="s">
        <v>122</v>
      </c>
      <c r="S237" s="19"/>
      <c r="T237" s="609"/>
      <c r="U237" s="593"/>
      <c r="V237" s="593"/>
      <c r="W237" s="591"/>
      <c r="AC237" s="579"/>
      <c r="AD237" s="579"/>
      <c r="AE237" s="579"/>
      <c r="AF237" s="579"/>
      <c r="AG237" s="579"/>
      <c r="AH237" s="579"/>
      <c r="AI237" s="579"/>
      <c r="AJ237" s="579"/>
      <c r="AK237" s="579"/>
      <c r="AL237" s="579"/>
    </row>
    <row r="238" spans="1:38" ht="13" customHeight="1">
      <c r="A238" s="564">
        <v>187</v>
      </c>
      <c r="B238" s="639" t="s">
        <v>226</v>
      </c>
      <c r="C238" s="639" t="s">
        <v>61</v>
      </c>
      <c r="D238" s="639" t="s">
        <v>62</v>
      </c>
      <c r="E238" s="640">
        <v>1000</v>
      </c>
      <c r="F238" s="639" t="s">
        <v>230</v>
      </c>
      <c r="G238" s="639" t="s">
        <v>52</v>
      </c>
      <c r="H238" s="639" t="s">
        <v>76</v>
      </c>
      <c r="I238" s="640">
        <v>8500</v>
      </c>
      <c r="J238" s="639" t="s">
        <v>189</v>
      </c>
      <c r="K238" s="640">
        <v>2000</v>
      </c>
      <c r="L238" s="639" t="s">
        <v>227</v>
      </c>
      <c r="M238" s="564" t="s">
        <v>231</v>
      </c>
      <c r="N238" s="632">
        <v>0.9</v>
      </c>
      <c r="O238" s="633" t="s">
        <v>122</v>
      </c>
      <c r="P238" s="633" t="s">
        <v>38</v>
      </c>
      <c r="Q238" s="633" t="s">
        <v>38</v>
      </c>
      <c r="R238" s="633" t="s">
        <v>122</v>
      </c>
      <c r="S238" s="19"/>
      <c r="T238" s="609"/>
      <c r="U238" s="593"/>
      <c r="V238" s="593"/>
      <c r="W238" s="591"/>
      <c r="AC238" s="594"/>
      <c r="AD238" s="579"/>
      <c r="AE238" s="579"/>
      <c r="AF238" s="579"/>
      <c r="AG238" s="579"/>
      <c r="AH238" s="579"/>
      <c r="AI238" s="579"/>
      <c r="AJ238" s="579"/>
      <c r="AK238" s="579"/>
      <c r="AL238" s="579"/>
    </row>
    <row r="239" spans="1:38" ht="13" customHeight="1">
      <c r="A239" s="564">
        <v>188</v>
      </c>
      <c r="B239" s="639" t="s">
        <v>229</v>
      </c>
      <c r="C239" s="639" t="s">
        <v>61</v>
      </c>
      <c r="D239" s="639" t="s">
        <v>62</v>
      </c>
      <c r="E239" s="640">
        <v>1000</v>
      </c>
      <c r="F239" s="639" t="s">
        <v>230</v>
      </c>
      <c r="G239" s="639" t="s">
        <v>52</v>
      </c>
      <c r="H239" s="639" t="s">
        <v>76</v>
      </c>
      <c r="I239" s="640">
        <v>6600</v>
      </c>
      <c r="J239" s="639" t="s">
        <v>189</v>
      </c>
      <c r="K239" s="640">
        <v>2000</v>
      </c>
      <c r="L239" s="639" t="s">
        <v>227</v>
      </c>
      <c r="M239" s="564" t="s">
        <v>231</v>
      </c>
      <c r="N239" s="632">
        <v>0.9</v>
      </c>
      <c r="O239" s="633" t="s">
        <v>122</v>
      </c>
      <c r="P239" s="633" t="s">
        <v>38</v>
      </c>
      <c r="Q239" s="633" t="s">
        <v>38</v>
      </c>
      <c r="R239" s="633" t="s">
        <v>122</v>
      </c>
      <c r="S239" s="19"/>
      <c r="T239" s="609"/>
      <c r="U239" s="593"/>
      <c r="V239" s="593"/>
      <c r="W239" s="591"/>
      <c r="AC239" s="579"/>
      <c r="AD239" s="579"/>
      <c r="AE239" s="579"/>
      <c r="AF239" s="579"/>
      <c r="AG239" s="579"/>
      <c r="AH239" s="579"/>
      <c r="AI239" s="579"/>
      <c r="AJ239" s="579"/>
      <c r="AK239" s="579"/>
      <c r="AL239" s="579"/>
    </row>
    <row r="240" spans="1:38" ht="13" customHeight="1">
      <c r="A240" s="564">
        <v>189</v>
      </c>
      <c r="B240" s="564" t="s">
        <v>232</v>
      </c>
      <c r="C240" s="564" t="s">
        <v>61</v>
      </c>
      <c r="D240" s="564" t="s">
        <v>62</v>
      </c>
      <c r="E240" s="564">
        <v>1000</v>
      </c>
      <c r="F240" s="564" t="s">
        <v>31</v>
      </c>
      <c r="G240" s="564" t="s">
        <v>52</v>
      </c>
      <c r="H240" s="564" t="s">
        <v>76</v>
      </c>
      <c r="I240" s="564">
        <v>2849</v>
      </c>
      <c r="J240" s="564" t="s">
        <v>189</v>
      </c>
      <c r="K240" s="564">
        <v>2000</v>
      </c>
      <c r="L240" s="564" t="s">
        <v>233</v>
      </c>
      <c r="M240" s="564"/>
      <c r="N240" s="643" t="s">
        <v>38</v>
      </c>
      <c r="O240" s="643" t="s">
        <v>38</v>
      </c>
      <c r="P240" s="633" t="s">
        <v>38</v>
      </c>
      <c r="Q240" s="633" t="s">
        <v>38</v>
      </c>
      <c r="R240" s="564" t="s">
        <v>234</v>
      </c>
      <c r="S240" s="19"/>
      <c r="T240" s="576"/>
      <c r="U240" s="575"/>
      <c r="V240" s="575"/>
      <c r="W240" s="575"/>
      <c r="AB240" s="598"/>
      <c r="AC240" s="594"/>
      <c r="AD240" s="579"/>
      <c r="AE240" s="579"/>
      <c r="AF240" s="579"/>
      <c r="AG240" s="579"/>
      <c r="AH240" s="579"/>
      <c r="AI240" s="579"/>
      <c r="AJ240" s="579"/>
      <c r="AK240" s="579"/>
      <c r="AL240" s="579"/>
    </row>
    <row r="241" spans="1:50" ht="13" customHeight="1">
      <c r="A241" s="564">
        <v>190</v>
      </c>
      <c r="B241" s="564" t="s">
        <v>235</v>
      </c>
      <c r="C241" s="564" t="s">
        <v>61</v>
      </c>
      <c r="D241" s="564" t="s">
        <v>62</v>
      </c>
      <c r="E241" s="564">
        <v>1000</v>
      </c>
      <c r="F241" s="564" t="s">
        <v>669</v>
      </c>
      <c r="G241" s="564" t="s">
        <v>52</v>
      </c>
      <c r="H241" s="564" t="s">
        <v>33</v>
      </c>
      <c r="I241" s="564">
        <f>65.8*1000000</f>
        <v>65800000</v>
      </c>
      <c r="J241" s="564" t="s">
        <v>34</v>
      </c>
      <c r="K241" s="564">
        <v>2000</v>
      </c>
      <c r="L241" s="564" t="s">
        <v>233</v>
      </c>
      <c r="M241" s="564" t="s">
        <v>236</v>
      </c>
      <c r="N241" s="643" t="s">
        <v>38</v>
      </c>
      <c r="O241" s="643" t="s">
        <v>38</v>
      </c>
      <c r="P241" s="633" t="s">
        <v>38</v>
      </c>
      <c r="Q241" s="633" t="s">
        <v>38</v>
      </c>
      <c r="R241" s="564" t="s">
        <v>234</v>
      </c>
      <c r="S241" s="19"/>
      <c r="T241" s="576"/>
      <c r="U241" s="593"/>
      <c r="V241" s="593"/>
      <c r="W241" s="593"/>
      <c r="AB241" s="598"/>
      <c r="AC241" s="579"/>
      <c r="AD241" s="579"/>
      <c r="AE241" s="579"/>
      <c r="AF241" s="579"/>
      <c r="AG241" s="579"/>
      <c r="AH241" s="579"/>
      <c r="AI241" s="579"/>
      <c r="AJ241" s="579"/>
      <c r="AK241" s="579"/>
      <c r="AL241" s="579"/>
    </row>
    <row r="242" spans="1:50" ht="13" customHeight="1">
      <c r="A242" s="564">
        <v>191</v>
      </c>
      <c r="B242" s="564" t="s">
        <v>237</v>
      </c>
      <c r="C242" s="564" t="s">
        <v>61</v>
      </c>
      <c r="D242" s="564" t="s">
        <v>62</v>
      </c>
      <c r="E242" s="564">
        <v>1000</v>
      </c>
      <c r="F242" s="564" t="s">
        <v>669</v>
      </c>
      <c r="G242" s="564" t="s">
        <v>755</v>
      </c>
      <c r="H242" s="564" t="s">
        <v>33</v>
      </c>
      <c r="I242" s="564" t="s">
        <v>1132</v>
      </c>
      <c r="J242" s="564" t="s">
        <v>34</v>
      </c>
      <c r="K242" s="564">
        <v>2000</v>
      </c>
      <c r="L242" s="564" t="s">
        <v>233</v>
      </c>
      <c r="M242" s="564" t="s">
        <v>236</v>
      </c>
      <c r="N242" s="643" t="s">
        <v>38</v>
      </c>
      <c r="O242" s="643" t="s">
        <v>38</v>
      </c>
      <c r="P242" s="633" t="s">
        <v>38</v>
      </c>
      <c r="Q242" s="633" t="s">
        <v>38</v>
      </c>
      <c r="R242" s="564" t="s">
        <v>234</v>
      </c>
      <c r="S242" s="19"/>
      <c r="T242" s="576"/>
      <c r="U242" s="593"/>
      <c r="V242" s="593"/>
      <c r="W242" s="593"/>
      <c r="AC242" s="594"/>
      <c r="AD242" s="579"/>
      <c r="AE242" s="579"/>
      <c r="AF242" s="579"/>
      <c r="AG242" s="579"/>
      <c r="AH242" s="579"/>
      <c r="AI242" s="579"/>
      <c r="AJ242" s="579"/>
      <c r="AK242" s="579"/>
      <c r="AL242" s="579"/>
    </row>
    <row r="243" spans="1:50" ht="13" customHeight="1">
      <c r="A243" s="564">
        <v>192</v>
      </c>
      <c r="B243" s="564" t="s">
        <v>239</v>
      </c>
      <c r="C243" s="564" t="s">
        <v>61</v>
      </c>
      <c r="D243" s="564" t="s">
        <v>62</v>
      </c>
      <c r="E243" s="564">
        <v>1000</v>
      </c>
      <c r="F243" s="564" t="s">
        <v>669</v>
      </c>
      <c r="G243" s="564" t="s">
        <v>52</v>
      </c>
      <c r="H243" s="564" t="s">
        <v>33</v>
      </c>
      <c r="I243" s="564">
        <f>65.3*1000000</f>
        <v>65300000</v>
      </c>
      <c r="J243" s="564" t="s">
        <v>34</v>
      </c>
      <c r="K243" s="564">
        <v>2000</v>
      </c>
      <c r="L243" s="564" t="s">
        <v>233</v>
      </c>
      <c r="M243" s="564" t="s">
        <v>236</v>
      </c>
      <c r="N243" s="643" t="s">
        <v>38</v>
      </c>
      <c r="O243" s="643" t="s">
        <v>38</v>
      </c>
      <c r="P243" s="633" t="s">
        <v>38</v>
      </c>
      <c r="Q243" s="633" t="s">
        <v>38</v>
      </c>
      <c r="R243" s="564" t="s">
        <v>234</v>
      </c>
      <c r="T243" s="576"/>
      <c r="U243" s="593"/>
      <c r="V243" s="593"/>
      <c r="W243" s="593"/>
      <c r="AC243" s="579"/>
      <c r="AD243" s="579"/>
      <c r="AE243" s="579"/>
      <c r="AF243" s="579"/>
      <c r="AG243" s="579"/>
      <c r="AH243" s="579"/>
      <c r="AI243" s="579"/>
      <c r="AJ243" s="579"/>
      <c r="AK243" s="579"/>
      <c r="AL243" s="579"/>
    </row>
    <row r="244" spans="1:50" ht="13" customHeight="1">
      <c r="A244" s="564">
        <v>193</v>
      </c>
      <c r="B244" s="564" t="s">
        <v>240</v>
      </c>
      <c r="C244" s="564" t="s">
        <v>61</v>
      </c>
      <c r="D244" s="564" t="s">
        <v>62</v>
      </c>
      <c r="E244" s="564">
        <v>1000</v>
      </c>
      <c r="F244" s="564" t="s">
        <v>669</v>
      </c>
      <c r="G244" s="564" t="s">
        <v>755</v>
      </c>
      <c r="H244" s="564" t="s">
        <v>33</v>
      </c>
      <c r="I244" s="564">
        <f>65.3*1000000</f>
        <v>65300000</v>
      </c>
      <c r="J244" s="564" t="s">
        <v>34</v>
      </c>
      <c r="K244" s="564">
        <v>2000</v>
      </c>
      <c r="L244" s="564" t="s">
        <v>233</v>
      </c>
      <c r="M244" s="564" t="s">
        <v>236</v>
      </c>
      <c r="N244" s="643" t="s">
        <v>38</v>
      </c>
      <c r="O244" s="643" t="s">
        <v>38</v>
      </c>
      <c r="P244" s="633" t="s">
        <v>38</v>
      </c>
      <c r="Q244" s="633" t="s">
        <v>38</v>
      </c>
      <c r="R244" s="564" t="s">
        <v>234</v>
      </c>
      <c r="T244" s="576"/>
      <c r="U244" s="593"/>
      <c r="V244" s="593"/>
      <c r="W244" s="593"/>
      <c r="AC244" s="579"/>
      <c r="AD244" s="579"/>
      <c r="AE244" s="579"/>
      <c r="AF244" s="579"/>
      <c r="AG244" s="579"/>
      <c r="AH244" s="579"/>
      <c r="AI244" s="579"/>
      <c r="AJ244" s="579"/>
      <c r="AK244" s="579"/>
      <c r="AL244" s="579"/>
    </row>
    <row r="245" spans="1:50" ht="13" customHeight="1">
      <c r="A245" s="564">
        <v>194</v>
      </c>
      <c r="B245" s="564" t="s">
        <v>235</v>
      </c>
      <c r="C245" s="564" t="s">
        <v>61</v>
      </c>
      <c r="D245" s="564" t="s">
        <v>62</v>
      </c>
      <c r="E245" s="564">
        <v>1000</v>
      </c>
      <c r="F245" s="564" t="s">
        <v>670</v>
      </c>
      <c r="G245" s="564" t="s">
        <v>52</v>
      </c>
      <c r="H245" s="564" t="s">
        <v>76</v>
      </c>
      <c r="I245" s="564">
        <v>7.78</v>
      </c>
      <c r="J245" s="564" t="s">
        <v>77</v>
      </c>
      <c r="K245" s="564">
        <v>2000</v>
      </c>
      <c r="L245" s="564" t="s">
        <v>233</v>
      </c>
      <c r="M245" s="564" t="s">
        <v>241</v>
      </c>
      <c r="N245" s="643" t="s">
        <v>38</v>
      </c>
      <c r="O245" s="643" t="s">
        <v>38</v>
      </c>
      <c r="P245" s="633" t="s">
        <v>38</v>
      </c>
      <c r="Q245" s="633" t="s">
        <v>38</v>
      </c>
      <c r="R245" s="564" t="s">
        <v>234</v>
      </c>
      <c r="T245" s="576"/>
      <c r="U245" s="593"/>
      <c r="V245" s="593"/>
      <c r="W245" s="593"/>
      <c r="AC245" s="579"/>
      <c r="AD245" s="579"/>
      <c r="AE245" s="579"/>
      <c r="AF245" s="579"/>
      <c r="AG245" s="579"/>
      <c r="AH245" s="579"/>
      <c r="AI245" s="579"/>
      <c r="AJ245" s="579"/>
      <c r="AK245" s="579"/>
      <c r="AL245" s="579"/>
    </row>
    <row r="246" spans="1:50" ht="13" customHeight="1">
      <c r="A246" s="564">
        <v>195</v>
      </c>
      <c r="B246" s="564" t="s">
        <v>237</v>
      </c>
      <c r="C246" s="564" t="s">
        <v>61</v>
      </c>
      <c r="D246" s="564" t="s">
        <v>62</v>
      </c>
      <c r="E246" s="564">
        <v>1000</v>
      </c>
      <c r="F246" s="564" t="s">
        <v>670</v>
      </c>
      <c r="G246" s="564" t="s">
        <v>755</v>
      </c>
      <c r="H246" s="564" t="s">
        <v>76</v>
      </c>
      <c r="I246" s="564">
        <v>5.9</v>
      </c>
      <c r="J246" s="564" t="s">
        <v>77</v>
      </c>
      <c r="K246" s="564">
        <v>2000</v>
      </c>
      <c r="L246" s="564" t="s">
        <v>233</v>
      </c>
      <c r="M246" s="564" t="s">
        <v>241</v>
      </c>
      <c r="N246" s="643" t="s">
        <v>38</v>
      </c>
      <c r="O246" s="643" t="s">
        <v>38</v>
      </c>
      <c r="P246" s="633" t="s">
        <v>38</v>
      </c>
      <c r="Q246" s="633" t="s">
        <v>38</v>
      </c>
      <c r="R246" s="564" t="s">
        <v>234</v>
      </c>
      <c r="T246" s="576"/>
      <c r="U246" s="593"/>
      <c r="V246" s="593"/>
      <c r="W246" s="593"/>
      <c r="AC246" s="579"/>
      <c r="AD246" s="579"/>
      <c r="AE246" s="579"/>
      <c r="AF246" s="579"/>
      <c r="AG246" s="579"/>
      <c r="AH246" s="579"/>
      <c r="AI246" s="579"/>
      <c r="AJ246" s="579"/>
      <c r="AK246" s="579"/>
      <c r="AL246" s="579"/>
    </row>
    <row r="247" spans="1:50" ht="50.5" customHeight="1">
      <c r="A247" s="564">
        <v>196</v>
      </c>
      <c r="B247" s="564" t="s">
        <v>239</v>
      </c>
      <c r="C247" s="564" t="s">
        <v>61</v>
      </c>
      <c r="D247" s="564" t="s">
        <v>62</v>
      </c>
      <c r="E247" s="564">
        <v>1000</v>
      </c>
      <c r="F247" s="564" t="s">
        <v>670</v>
      </c>
      <c r="G247" s="564" t="s">
        <v>52</v>
      </c>
      <c r="H247" s="564" t="s">
        <v>76</v>
      </c>
      <c r="I247" s="564">
        <v>7.7</v>
      </c>
      <c r="J247" s="564" t="s">
        <v>77</v>
      </c>
      <c r="K247" s="564">
        <v>2000</v>
      </c>
      <c r="L247" s="564" t="s">
        <v>233</v>
      </c>
      <c r="M247" s="564" t="s">
        <v>241</v>
      </c>
      <c r="N247" s="643" t="s">
        <v>38</v>
      </c>
      <c r="O247" s="643" t="s">
        <v>38</v>
      </c>
      <c r="P247" s="633" t="s">
        <v>38</v>
      </c>
      <c r="Q247" s="633" t="s">
        <v>38</v>
      </c>
      <c r="R247" s="564" t="s">
        <v>234</v>
      </c>
      <c r="T247" s="576"/>
      <c r="U247" s="593"/>
      <c r="V247" s="593"/>
      <c r="W247" s="593"/>
      <c r="AC247" s="579"/>
      <c r="AD247" s="579"/>
      <c r="AE247" s="579"/>
      <c r="AF247" s="579"/>
      <c r="AG247" s="579"/>
      <c r="AH247" s="579"/>
      <c r="AI247" s="579"/>
      <c r="AJ247" s="579"/>
      <c r="AK247" s="579"/>
      <c r="AL247" s="579"/>
    </row>
    <row r="248" spans="1:50" ht="13" customHeight="1">
      <c r="A248" s="564">
        <v>197</v>
      </c>
      <c r="B248" s="564" t="s">
        <v>240</v>
      </c>
      <c r="C248" s="564" t="s">
        <v>61</v>
      </c>
      <c r="D248" s="564" t="s">
        <v>62</v>
      </c>
      <c r="E248" s="564">
        <v>1000</v>
      </c>
      <c r="F248" s="564" t="s">
        <v>670</v>
      </c>
      <c r="G248" s="564" t="s">
        <v>755</v>
      </c>
      <c r="H248" s="564" t="s">
        <v>76</v>
      </c>
      <c r="I248" s="564">
        <v>5.9</v>
      </c>
      <c r="J248" s="564" t="s">
        <v>77</v>
      </c>
      <c r="K248" s="564">
        <v>2000</v>
      </c>
      <c r="L248" s="564" t="s">
        <v>233</v>
      </c>
      <c r="M248" s="564" t="s">
        <v>241</v>
      </c>
      <c r="N248" s="643" t="s">
        <v>38</v>
      </c>
      <c r="O248" s="643" t="s">
        <v>38</v>
      </c>
      <c r="P248" s="633" t="s">
        <v>38</v>
      </c>
      <c r="Q248" s="633" t="s">
        <v>38</v>
      </c>
      <c r="R248" s="564" t="s">
        <v>234</v>
      </c>
      <c r="T248" s="576"/>
      <c r="U248" s="593"/>
      <c r="V248" s="593"/>
      <c r="W248" s="593"/>
      <c r="X248" s="579"/>
      <c r="Y248" s="579"/>
      <c r="Z248" s="579"/>
      <c r="AA248" s="579"/>
      <c r="AC248" s="579"/>
      <c r="AD248" s="579"/>
      <c r="AE248" s="579"/>
      <c r="AF248" s="579"/>
      <c r="AG248" s="579"/>
      <c r="AH248" s="579"/>
      <c r="AI248" s="579"/>
      <c r="AJ248" s="579"/>
      <c r="AK248" s="579"/>
      <c r="AL248" s="579"/>
    </row>
    <row r="249" spans="1:50" ht="13" customHeight="1">
      <c r="A249" s="564">
        <v>198</v>
      </c>
      <c r="B249" s="564" t="s">
        <v>235</v>
      </c>
      <c r="C249" s="564" t="s">
        <v>61</v>
      </c>
      <c r="D249" s="564" t="s">
        <v>62</v>
      </c>
      <c r="E249" s="564">
        <v>1000</v>
      </c>
      <c r="F249" s="564" t="s">
        <v>31</v>
      </c>
      <c r="G249" s="564" t="s">
        <v>52</v>
      </c>
      <c r="H249" s="564" t="s">
        <v>76</v>
      </c>
      <c r="I249" s="564">
        <v>3940</v>
      </c>
      <c r="J249" s="564" t="s">
        <v>189</v>
      </c>
      <c r="K249" s="564">
        <v>2000</v>
      </c>
      <c r="L249" s="564" t="s">
        <v>233</v>
      </c>
      <c r="M249" s="564" t="s">
        <v>242</v>
      </c>
      <c r="N249" s="643" t="s">
        <v>38</v>
      </c>
      <c r="O249" s="643" t="s">
        <v>38</v>
      </c>
      <c r="P249" s="633" t="s">
        <v>38</v>
      </c>
      <c r="Q249" s="633" t="s">
        <v>38</v>
      </c>
      <c r="R249" s="564" t="s">
        <v>234</v>
      </c>
      <c r="T249" s="576"/>
      <c r="U249" s="593"/>
      <c r="V249" s="593"/>
      <c r="W249" s="593"/>
      <c r="X249" s="579"/>
      <c r="Y249" s="579"/>
      <c r="Z249" s="579"/>
      <c r="AA249" s="579"/>
      <c r="AC249" s="579"/>
      <c r="AD249" s="579"/>
      <c r="AE249" s="579"/>
      <c r="AF249" s="579"/>
      <c r="AG249" s="579"/>
      <c r="AH249" s="579"/>
      <c r="AI249" s="579"/>
      <c r="AJ249" s="579"/>
      <c r="AK249" s="579"/>
      <c r="AL249" s="579"/>
    </row>
    <row r="250" spans="1:50" ht="13" customHeight="1">
      <c r="A250" s="564">
        <v>199</v>
      </c>
      <c r="B250" s="564" t="s">
        <v>237</v>
      </c>
      <c r="C250" s="564" t="s">
        <v>61</v>
      </c>
      <c r="D250" s="564" t="s">
        <v>62</v>
      </c>
      <c r="E250" s="564">
        <v>1000</v>
      </c>
      <c r="F250" s="564" t="s">
        <v>31</v>
      </c>
      <c r="G250" s="564" t="s">
        <v>755</v>
      </c>
      <c r="H250" s="564" t="s">
        <v>76</v>
      </c>
      <c r="I250" s="564">
        <v>2950</v>
      </c>
      <c r="J250" s="564" t="s">
        <v>189</v>
      </c>
      <c r="K250" s="564">
        <v>2000</v>
      </c>
      <c r="L250" s="564" t="s">
        <v>233</v>
      </c>
      <c r="M250" s="564" t="s">
        <v>243</v>
      </c>
      <c r="N250" s="643" t="s">
        <v>38</v>
      </c>
      <c r="O250" s="643" t="s">
        <v>38</v>
      </c>
      <c r="P250" s="633" t="s">
        <v>38</v>
      </c>
      <c r="Q250" s="633" t="s">
        <v>38</v>
      </c>
      <c r="R250" s="564" t="s">
        <v>234</v>
      </c>
      <c r="T250" s="576"/>
      <c r="U250" s="593"/>
      <c r="V250" s="593"/>
      <c r="W250" s="593"/>
      <c r="X250" s="579"/>
      <c r="Y250" s="579"/>
      <c r="Z250" s="579"/>
      <c r="AA250" s="579"/>
      <c r="AC250" s="579"/>
      <c r="AD250" s="579"/>
      <c r="AE250" s="579"/>
      <c r="AF250" s="579"/>
      <c r="AG250" s="579"/>
      <c r="AH250" s="579"/>
      <c r="AI250" s="579"/>
      <c r="AJ250" s="579"/>
      <c r="AK250" s="579"/>
      <c r="AL250" s="579"/>
    </row>
    <row r="251" spans="1:50" ht="13" customHeight="1">
      <c r="A251" s="564">
        <v>200</v>
      </c>
      <c r="B251" s="564" t="s">
        <v>239</v>
      </c>
      <c r="C251" s="564" t="s">
        <v>61</v>
      </c>
      <c r="D251" s="564" t="s">
        <v>62</v>
      </c>
      <c r="E251" s="564">
        <v>1000</v>
      </c>
      <c r="F251" s="564" t="s">
        <v>31</v>
      </c>
      <c r="G251" s="564" t="s">
        <v>52</v>
      </c>
      <c r="H251" s="564" t="s">
        <v>76</v>
      </c>
      <c r="I251" s="564">
        <v>2820</v>
      </c>
      <c r="J251" s="564" t="s">
        <v>189</v>
      </c>
      <c r="K251" s="564">
        <v>2000</v>
      </c>
      <c r="L251" s="564" t="s">
        <v>233</v>
      </c>
      <c r="M251" s="564" t="s">
        <v>244</v>
      </c>
      <c r="N251" s="643" t="s">
        <v>38</v>
      </c>
      <c r="O251" s="643" t="s">
        <v>38</v>
      </c>
      <c r="P251" s="633" t="s">
        <v>38</v>
      </c>
      <c r="Q251" s="633" t="s">
        <v>38</v>
      </c>
      <c r="R251" s="564" t="s">
        <v>234</v>
      </c>
      <c r="T251" s="576"/>
      <c r="U251" s="593"/>
      <c r="V251" s="593"/>
      <c r="W251" s="593"/>
      <c r="X251" s="579"/>
      <c r="Y251" s="579"/>
      <c r="Z251" s="579"/>
      <c r="AA251" s="579"/>
      <c r="AC251" s="579"/>
      <c r="AD251" s="579"/>
      <c r="AE251" s="579"/>
      <c r="AF251" s="579"/>
      <c r="AG251" s="579"/>
      <c r="AH251" s="579"/>
      <c r="AI251" s="579"/>
      <c r="AJ251" s="579"/>
      <c r="AK251" s="579"/>
      <c r="AL251" s="579"/>
    </row>
    <row r="252" spans="1:50" ht="13" customHeight="1">
      <c r="A252" s="564">
        <v>201</v>
      </c>
      <c r="B252" s="564" t="s">
        <v>240</v>
      </c>
      <c r="C252" s="564" t="s">
        <v>61</v>
      </c>
      <c r="D252" s="564" t="s">
        <v>62</v>
      </c>
      <c r="E252" s="564">
        <v>1000</v>
      </c>
      <c r="F252" s="564" t="s">
        <v>31</v>
      </c>
      <c r="G252" s="564" t="s">
        <v>755</v>
      </c>
      <c r="H252" s="564" t="s">
        <v>76</v>
      </c>
      <c r="I252" s="564">
        <v>2170</v>
      </c>
      <c r="J252" s="564" t="s">
        <v>189</v>
      </c>
      <c r="K252" s="564">
        <v>2000</v>
      </c>
      <c r="L252" s="564" t="s">
        <v>233</v>
      </c>
      <c r="M252" s="564" t="s">
        <v>245</v>
      </c>
      <c r="N252" s="643" t="s">
        <v>38</v>
      </c>
      <c r="O252" s="643" t="s">
        <v>38</v>
      </c>
      <c r="P252" s="633" t="s">
        <v>38</v>
      </c>
      <c r="Q252" s="633" t="s">
        <v>38</v>
      </c>
      <c r="R252" s="564" t="s">
        <v>234</v>
      </c>
      <c r="T252" s="576"/>
      <c r="U252" s="593"/>
      <c r="V252" s="593"/>
      <c r="W252" s="593"/>
      <c r="X252" s="579"/>
      <c r="Y252" s="579"/>
      <c r="Z252" s="579"/>
      <c r="AA252" s="579"/>
      <c r="AC252" s="579"/>
      <c r="AD252" s="579"/>
      <c r="AE252" s="579"/>
      <c r="AF252" s="579"/>
      <c r="AG252" s="579"/>
      <c r="AH252" s="579"/>
      <c r="AI252" s="579"/>
      <c r="AJ252" s="579"/>
      <c r="AK252" s="579"/>
      <c r="AL252" s="579"/>
    </row>
    <row r="253" spans="1:50" s="81" customFormat="1" ht="13" customHeight="1">
      <c r="A253" s="564">
        <v>202</v>
      </c>
      <c r="B253" s="564" t="s">
        <v>211</v>
      </c>
      <c r="C253" s="564" t="s">
        <v>61</v>
      </c>
      <c r="D253" s="564" t="s">
        <v>62</v>
      </c>
      <c r="E253" s="564">
        <v>1000</v>
      </c>
      <c r="F253" s="564" t="s">
        <v>31</v>
      </c>
      <c r="G253" s="564" t="s">
        <v>52</v>
      </c>
      <c r="H253" s="564" t="s">
        <v>76</v>
      </c>
      <c r="I253" s="564">
        <v>5625</v>
      </c>
      <c r="J253" s="564" t="s">
        <v>189</v>
      </c>
      <c r="K253" s="564">
        <v>2000</v>
      </c>
      <c r="L253" s="564" t="s">
        <v>233</v>
      </c>
      <c r="M253" s="564" t="s">
        <v>246</v>
      </c>
      <c r="N253" s="643" t="s">
        <v>38</v>
      </c>
      <c r="O253" s="643" t="s">
        <v>38</v>
      </c>
      <c r="P253" s="633" t="s">
        <v>38</v>
      </c>
      <c r="Q253" s="633" t="s">
        <v>38</v>
      </c>
      <c r="R253" s="564" t="s">
        <v>234</v>
      </c>
      <c r="S253"/>
      <c r="T253" s="576"/>
      <c r="U253" s="593"/>
      <c r="V253" s="593"/>
      <c r="W253" s="593"/>
      <c r="X253" s="579"/>
      <c r="Y253" s="579"/>
      <c r="Z253" s="579"/>
      <c r="AA253" s="579"/>
      <c r="AB253" s="570"/>
      <c r="AC253" s="579"/>
      <c r="AD253" s="579"/>
      <c r="AE253" s="579"/>
      <c r="AF253" s="579"/>
      <c r="AG253" s="579"/>
      <c r="AH253" s="579"/>
      <c r="AI253" s="579"/>
      <c r="AJ253" s="579"/>
      <c r="AK253" s="579"/>
      <c r="AL253" s="579"/>
      <c r="AM253" s="570"/>
      <c r="AN253" s="570"/>
      <c r="AO253" s="570"/>
      <c r="AP253" s="570"/>
      <c r="AQ253" s="570"/>
      <c r="AR253" s="570"/>
      <c r="AS253" s="570"/>
      <c r="AT253" s="570"/>
      <c r="AU253" s="570"/>
      <c r="AV253" s="570"/>
      <c r="AW253" s="570"/>
      <c r="AX253" s="570"/>
    </row>
    <row r="254" spans="1:50" s="81" customFormat="1" ht="13" customHeight="1">
      <c r="A254" s="564">
        <v>203</v>
      </c>
      <c r="B254" s="564" t="s">
        <v>213</v>
      </c>
      <c r="C254" s="564" t="s">
        <v>61</v>
      </c>
      <c r="D254" s="564" t="s">
        <v>62</v>
      </c>
      <c r="E254" s="564">
        <v>1000</v>
      </c>
      <c r="F254" s="564" t="s">
        <v>31</v>
      </c>
      <c r="G254" s="564" t="s">
        <v>52</v>
      </c>
      <c r="H254" s="564" t="s">
        <v>76</v>
      </c>
      <c r="I254" s="564">
        <v>5215</v>
      </c>
      <c r="J254" s="564" t="s">
        <v>189</v>
      </c>
      <c r="K254" s="564">
        <v>2000</v>
      </c>
      <c r="L254" s="564" t="s">
        <v>233</v>
      </c>
      <c r="M254" s="564" t="s">
        <v>246</v>
      </c>
      <c r="N254" s="643" t="s">
        <v>38</v>
      </c>
      <c r="O254" s="643" t="s">
        <v>38</v>
      </c>
      <c r="P254" s="633" t="s">
        <v>38</v>
      </c>
      <c r="Q254" s="633" t="s">
        <v>38</v>
      </c>
      <c r="R254" s="564" t="s">
        <v>234</v>
      </c>
      <c r="S254"/>
      <c r="T254" s="576"/>
      <c r="U254" s="593"/>
      <c r="V254" s="593"/>
      <c r="W254" s="593"/>
      <c r="X254" s="579"/>
      <c r="Y254" s="579"/>
      <c r="Z254" s="579"/>
      <c r="AA254" s="579"/>
      <c r="AB254" s="570"/>
      <c r="AC254" s="579"/>
      <c r="AD254" s="579"/>
      <c r="AE254" s="579"/>
      <c r="AF254" s="579"/>
      <c r="AG254" s="579"/>
      <c r="AH254" s="579"/>
      <c r="AI254" s="579"/>
      <c r="AJ254" s="579"/>
      <c r="AK254" s="579"/>
      <c r="AL254" s="579"/>
      <c r="AM254" s="570"/>
      <c r="AN254" s="570"/>
      <c r="AO254" s="570"/>
      <c r="AP254" s="570"/>
      <c r="AQ254" s="570"/>
      <c r="AR254" s="570"/>
      <c r="AS254" s="570"/>
      <c r="AT254" s="570"/>
      <c r="AU254" s="570"/>
      <c r="AV254" s="570"/>
      <c r="AW254" s="570"/>
      <c r="AX254" s="570"/>
    </row>
    <row r="255" spans="1:50" s="81" customFormat="1" ht="13" customHeight="1">
      <c r="A255" s="564">
        <v>204</v>
      </c>
      <c r="B255" s="564" t="s">
        <v>214</v>
      </c>
      <c r="C255" s="564" t="s">
        <v>61</v>
      </c>
      <c r="D255" s="564" t="s">
        <v>62</v>
      </c>
      <c r="E255" s="564">
        <v>1000</v>
      </c>
      <c r="F255" s="564" t="s">
        <v>31</v>
      </c>
      <c r="G255" s="564" t="s">
        <v>52</v>
      </c>
      <c r="H255" s="564" t="s">
        <v>76</v>
      </c>
      <c r="I255" s="564">
        <v>4155</v>
      </c>
      <c r="J255" s="564" t="s">
        <v>189</v>
      </c>
      <c r="K255" s="564">
        <v>2000</v>
      </c>
      <c r="L255" s="564" t="s">
        <v>233</v>
      </c>
      <c r="M255" s="564" t="s">
        <v>246</v>
      </c>
      <c r="N255" s="643" t="s">
        <v>38</v>
      </c>
      <c r="O255" s="643" t="s">
        <v>38</v>
      </c>
      <c r="P255" s="633" t="s">
        <v>38</v>
      </c>
      <c r="Q255" s="633" t="s">
        <v>38</v>
      </c>
      <c r="R255" s="564" t="s">
        <v>234</v>
      </c>
      <c r="S255"/>
      <c r="T255" s="576"/>
      <c r="U255" s="593"/>
      <c r="V255" s="593"/>
      <c r="W255" s="593"/>
      <c r="X255" s="579"/>
      <c r="Y255" s="579"/>
      <c r="Z255" s="579"/>
      <c r="AA255" s="579"/>
      <c r="AB255" s="570"/>
      <c r="AC255" s="579"/>
      <c r="AD255" s="579"/>
      <c r="AE255" s="579"/>
      <c r="AF255" s="579"/>
      <c r="AG255" s="579"/>
      <c r="AH255" s="579"/>
      <c r="AI255" s="579"/>
      <c r="AJ255" s="579"/>
      <c r="AK255" s="579"/>
      <c r="AL255" s="579"/>
      <c r="AM255" s="570"/>
      <c r="AN255" s="570"/>
      <c r="AO255" s="570"/>
      <c r="AP255" s="570"/>
      <c r="AQ255" s="570"/>
      <c r="AR255" s="570"/>
      <c r="AS255" s="570"/>
      <c r="AT255" s="570"/>
      <c r="AU255" s="570"/>
      <c r="AV255" s="570"/>
      <c r="AW255" s="570"/>
      <c r="AX255" s="570"/>
    </row>
    <row r="256" spans="1:50" s="81" customFormat="1" ht="13" customHeight="1">
      <c r="A256" s="564">
        <v>205</v>
      </c>
      <c r="B256" s="564" t="s">
        <v>215</v>
      </c>
      <c r="C256" s="564" t="s">
        <v>61</v>
      </c>
      <c r="D256" s="564" t="s">
        <v>62</v>
      </c>
      <c r="E256" s="564">
        <v>1000</v>
      </c>
      <c r="F256" s="564" t="s">
        <v>31</v>
      </c>
      <c r="G256" s="564" t="s">
        <v>52</v>
      </c>
      <c r="H256" s="564" t="s">
        <v>76</v>
      </c>
      <c r="I256" s="564">
        <v>2868</v>
      </c>
      <c r="J256" s="564" t="s">
        <v>189</v>
      </c>
      <c r="K256" s="564">
        <v>2000</v>
      </c>
      <c r="L256" s="564" t="s">
        <v>233</v>
      </c>
      <c r="M256" s="564" t="s">
        <v>246</v>
      </c>
      <c r="N256" s="643" t="s">
        <v>38</v>
      </c>
      <c r="O256" s="643" t="s">
        <v>38</v>
      </c>
      <c r="P256" s="633" t="s">
        <v>38</v>
      </c>
      <c r="Q256" s="633" t="s">
        <v>38</v>
      </c>
      <c r="R256" s="564" t="s">
        <v>234</v>
      </c>
      <c r="S256"/>
      <c r="T256" s="576"/>
      <c r="U256" s="593"/>
      <c r="V256" s="593"/>
      <c r="W256" s="593"/>
      <c r="X256" s="579"/>
      <c r="Y256" s="579"/>
      <c r="Z256" s="579"/>
      <c r="AA256" s="579"/>
      <c r="AB256" s="570"/>
      <c r="AC256" s="579"/>
      <c r="AD256" s="579"/>
      <c r="AE256" s="579"/>
      <c r="AF256" s="579"/>
      <c r="AG256" s="579"/>
      <c r="AH256" s="579"/>
      <c r="AI256" s="579"/>
      <c r="AJ256" s="579"/>
      <c r="AK256" s="579"/>
      <c r="AL256" s="579"/>
      <c r="AM256" s="570"/>
      <c r="AN256" s="570"/>
      <c r="AO256" s="570"/>
      <c r="AP256" s="570"/>
      <c r="AQ256" s="570"/>
      <c r="AR256" s="570"/>
      <c r="AS256" s="570"/>
      <c r="AT256" s="570"/>
      <c r="AU256" s="570"/>
      <c r="AV256" s="570"/>
      <c r="AW256" s="570"/>
      <c r="AX256" s="570"/>
    </row>
    <row r="257" spans="1:38" ht="13" customHeight="1">
      <c r="A257" s="564">
        <v>206</v>
      </c>
      <c r="B257" s="564" t="s">
        <v>818</v>
      </c>
      <c r="C257" s="564" t="s">
        <v>30</v>
      </c>
      <c r="D257" s="564" t="s">
        <v>815</v>
      </c>
      <c r="E257" s="564">
        <v>38000</v>
      </c>
      <c r="F257" s="564" t="s">
        <v>31</v>
      </c>
      <c r="G257" s="564" t="s">
        <v>57</v>
      </c>
      <c r="H257" s="564" t="s">
        <v>33</v>
      </c>
      <c r="I257" s="564">
        <f>(79244-4000)*1000000</f>
        <v>75244000000</v>
      </c>
      <c r="J257" s="564" t="s">
        <v>34</v>
      </c>
      <c r="K257" s="564">
        <v>2014</v>
      </c>
      <c r="L257" s="564" t="s">
        <v>248</v>
      </c>
      <c r="M257" s="564" t="s">
        <v>819</v>
      </c>
      <c r="N257" s="632" t="s">
        <v>706</v>
      </c>
      <c r="O257" s="564" t="s">
        <v>84</v>
      </c>
      <c r="P257" s="633" t="s">
        <v>38</v>
      </c>
      <c r="Q257" s="564">
        <v>4000000</v>
      </c>
      <c r="R257" s="633" t="s">
        <v>122</v>
      </c>
      <c r="T257" s="578"/>
      <c r="U257" s="579"/>
      <c r="V257" s="579"/>
      <c r="W257" s="579"/>
      <c r="X257" s="579"/>
      <c r="Y257" s="579"/>
      <c r="Z257" s="579"/>
      <c r="AA257" s="579"/>
      <c r="AC257" s="579"/>
      <c r="AD257" s="579"/>
      <c r="AE257" s="579"/>
      <c r="AF257" s="579"/>
      <c r="AG257" s="579"/>
      <c r="AH257" s="579"/>
      <c r="AI257" s="579"/>
      <c r="AJ257" s="579"/>
      <c r="AK257" s="579"/>
      <c r="AL257" s="579"/>
    </row>
    <row r="258" spans="1:38" ht="13" customHeight="1">
      <c r="A258" s="564">
        <v>207</v>
      </c>
      <c r="B258" s="564" t="s">
        <v>81</v>
      </c>
      <c r="C258" s="564" t="s">
        <v>61</v>
      </c>
      <c r="D258" s="564" t="s">
        <v>62</v>
      </c>
      <c r="E258" s="564" t="s">
        <v>81</v>
      </c>
      <c r="F258" s="564" t="s">
        <v>75</v>
      </c>
      <c r="G258" s="564" t="s">
        <v>52</v>
      </c>
      <c r="H258" s="564" t="s">
        <v>76</v>
      </c>
      <c r="I258" s="564">
        <v>86</v>
      </c>
      <c r="J258" s="564" t="s">
        <v>88</v>
      </c>
      <c r="K258" s="564">
        <v>1990</v>
      </c>
      <c r="L258" s="564" t="s">
        <v>249</v>
      </c>
      <c r="M258" s="564" t="s">
        <v>250</v>
      </c>
      <c r="N258" s="632">
        <v>0.75</v>
      </c>
      <c r="O258" s="564" t="s">
        <v>84</v>
      </c>
      <c r="P258" s="633" t="s">
        <v>38</v>
      </c>
      <c r="Q258" s="633" t="s">
        <v>38</v>
      </c>
      <c r="R258" s="633" t="s">
        <v>122</v>
      </c>
      <c r="T258" s="609"/>
      <c r="U258" s="576"/>
      <c r="V258" s="575"/>
      <c r="W258" s="576"/>
      <c r="X258" s="579"/>
      <c r="Y258" s="579"/>
      <c r="Z258" s="579"/>
      <c r="AA258" s="579"/>
      <c r="AC258" s="579"/>
      <c r="AD258" s="579"/>
      <c r="AE258" s="579"/>
      <c r="AF258" s="579"/>
      <c r="AG258" s="579"/>
      <c r="AH258" s="579"/>
      <c r="AI258" s="579"/>
      <c r="AJ258" s="579"/>
      <c r="AK258" s="579"/>
      <c r="AL258" s="579"/>
    </row>
    <row r="259" spans="1:38" ht="26.5" customHeight="1">
      <c r="A259" s="564">
        <v>208</v>
      </c>
      <c r="B259" s="564" t="s">
        <v>81</v>
      </c>
      <c r="C259" s="564" t="s">
        <v>61</v>
      </c>
      <c r="D259" s="564" t="s">
        <v>251</v>
      </c>
      <c r="E259" s="564" t="s">
        <v>81</v>
      </c>
      <c r="F259" s="564" t="s">
        <v>75</v>
      </c>
      <c r="G259" s="564" t="s">
        <v>52</v>
      </c>
      <c r="H259" s="564" t="s">
        <v>76</v>
      </c>
      <c r="I259" s="564">
        <v>76</v>
      </c>
      <c r="J259" s="564" t="s">
        <v>88</v>
      </c>
      <c r="K259" s="564">
        <v>1990</v>
      </c>
      <c r="L259" s="564" t="s">
        <v>249</v>
      </c>
      <c r="M259" s="564" t="s">
        <v>252</v>
      </c>
      <c r="N259" s="632">
        <v>0.75</v>
      </c>
      <c r="O259" s="564" t="s">
        <v>84</v>
      </c>
      <c r="P259" s="633" t="s">
        <v>38</v>
      </c>
      <c r="Q259" s="633" t="s">
        <v>38</v>
      </c>
      <c r="R259" s="633" t="s">
        <v>122</v>
      </c>
      <c r="T259" s="609"/>
      <c r="U259" s="576"/>
      <c r="V259" s="575"/>
      <c r="W259" s="576"/>
      <c r="X259" s="579"/>
      <c r="Y259" s="579"/>
      <c r="Z259" s="579"/>
      <c r="AA259" s="579"/>
      <c r="AC259" s="579"/>
      <c r="AD259" s="579"/>
      <c r="AE259" s="579"/>
      <c r="AF259" s="579"/>
      <c r="AG259" s="579"/>
      <c r="AH259" s="579"/>
      <c r="AI259" s="579"/>
      <c r="AJ259" s="579"/>
      <c r="AK259" s="579"/>
      <c r="AL259" s="579"/>
    </row>
    <row r="260" spans="1:38" ht="13" customHeight="1">
      <c r="A260" s="564">
        <v>209</v>
      </c>
      <c r="B260" s="564" t="s">
        <v>81</v>
      </c>
      <c r="C260" s="564" t="s">
        <v>61</v>
      </c>
      <c r="D260" s="564" t="s">
        <v>107</v>
      </c>
      <c r="E260" s="564" t="s">
        <v>81</v>
      </c>
      <c r="F260" s="564" t="s">
        <v>75</v>
      </c>
      <c r="G260" s="564" t="s">
        <v>52</v>
      </c>
      <c r="H260" s="564" t="s">
        <v>76</v>
      </c>
      <c r="I260" s="564">
        <v>74</v>
      </c>
      <c r="J260" s="564" t="s">
        <v>88</v>
      </c>
      <c r="K260" s="564">
        <v>1990</v>
      </c>
      <c r="L260" s="564" t="s">
        <v>249</v>
      </c>
      <c r="M260" s="564" t="s">
        <v>252</v>
      </c>
      <c r="N260" s="632">
        <v>0.75</v>
      </c>
      <c r="O260" s="564" t="s">
        <v>84</v>
      </c>
      <c r="P260" s="633" t="s">
        <v>38</v>
      </c>
      <c r="Q260" s="633" t="s">
        <v>38</v>
      </c>
      <c r="R260" s="633" t="s">
        <v>122</v>
      </c>
      <c r="S260" s="19"/>
      <c r="T260" s="609"/>
      <c r="U260" s="576"/>
      <c r="V260" s="575"/>
      <c r="W260" s="576"/>
      <c r="X260" s="579"/>
      <c r="Y260" s="579"/>
      <c r="Z260" s="579"/>
      <c r="AA260" s="579"/>
      <c r="AC260" s="579"/>
      <c r="AD260" s="579"/>
      <c r="AE260" s="579"/>
      <c r="AF260" s="579"/>
      <c r="AG260" s="579"/>
      <c r="AH260" s="579"/>
      <c r="AI260" s="579"/>
      <c r="AJ260" s="579"/>
      <c r="AK260" s="579"/>
      <c r="AL260" s="579"/>
    </row>
    <row r="261" spans="1:38" ht="13" customHeight="1">
      <c r="A261" s="564">
        <v>210</v>
      </c>
      <c r="B261" s="564" t="s">
        <v>253</v>
      </c>
      <c r="C261" s="564" t="s">
        <v>61</v>
      </c>
      <c r="D261" s="564" t="s">
        <v>62</v>
      </c>
      <c r="E261" s="564">
        <v>1160</v>
      </c>
      <c r="F261" s="564" t="s">
        <v>31</v>
      </c>
      <c r="G261" s="564" t="s">
        <v>32</v>
      </c>
      <c r="H261" s="564" t="s">
        <v>76</v>
      </c>
      <c r="I261" s="564">
        <f>7.98*1000000</f>
        <v>7980000</v>
      </c>
      <c r="J261" s="564" t="s">
        <v>254</v>
      </c>
      <c r="K261" s="564">
        <v>2019</v>
      </c>
      <c r="L261" s="564" t="s">
        <v>1126</v>
      </c>
      <c r="M261" s="564" t="s">
        <v>255</v>
      </c>
      <c r="N261" s="632">
        <v>0.9</v>
      </c>
      <c r="O261" s="564" t="s">
        <v>84</v>
      </c>
      <c r="P261" s="633" t="s">
        <v>38</v>
      </c>
      <c r="Q261" s="633" t="s">
        <v>38</v>
      </c>
      <c r="R261" s="633" t="s">
        <v>38</v>
      </c>
      <c r="S261" s="19"/>
      <c r="T261" s="610"/>
      <c r="U261" s="575"/>
      <c r="V261" s="575"/>
      <c r="W261" s="575"/>
      <c r="X261" s="579"/>
      <c r="Y261" s="579"/>
      <c r="Z261" s="579"/>
      <c r="AA261" s="579"/>
      <c r="AC261" s="579"/>
      <c r="AD261" s="579"/>
      <c r="AE261" s="579"/>
      <c r="AF261" s="579"/>
      <c r="AG261" s="579"/>
      <c r="AH261" s="579"/>
      <c r="AI261" s="579"/>
      <c r="AJ261" s="579"/>
      <c r="AK261" s="579"/>
      <c r="AL261" s="579"/>
    </row>
    <row r="262" spans="1:38" ht="13" customHeight="1">
      <c r="A262" s="564">
        <v>211</v>
      </c>
      <c r="B262" s="564" t="s">
        <v>253</v>
      </c>
      <c r="C262" s="564" t="s">
        <v>61</v>
      </c>
      <c r="D262" s="564" t="s">
        <v>62</v>
      </c>
      <c r="E262" s="564">
        <v>1160</v>
      </c>
      <c r="F262" s="564" t="s">
        <v>31</v>
      </c>
      <c r="G262" s="564" t="s">
        <v>52</v>
      </c>
      <c r="H262" s="564" t="s">
        <v>76</v>
      </c>
      <c r="I262" s="564">
        <f>6.87*1000000</f>
        <v>6870000</v>
      </c>
      <c r="J262" s="564" t="s">
        <v>254</v>
      </c>
      <c r="K262" s="564">
        <v>2019</v>
      </c>
      <c r="L262" s="564" t="s">
        <v>1126</v>
      </c>
      <c r="M262" s="564" t="s">
        <v>256</v>
      </c>
      <c r="N262" s="632">
        <v>0.9</v>
      </c>
      <c r="O262" s="564" t="s">
        <v>84</v>
      </c>
      <c r="P262" s="633" t="s">
        <v>38</v>
      </c>
      <c r="Q262" s="633" t="s">
        <v>38</v>
      </c>
      <c r="R262" s="633" t="s">
        <v>38</v>
      </c>
      <c r="S262" s="19"/>
      <c r="T262" s="610"/>
      <c r="U262" s="575"/>
      <c r="V262" s="575"/>
      <c r="W262" s="575"/>
      <c r="X262" s="579"/>
      <c r="Y262" s="579"/>
      <c r="Z262" s="579"/>
      <c r="AA262" s="579"/>
      <c r="AC262" s="579"/>
      <c r="AD262" s="579"/>
      <c r="AE262" s="579"/>
      <c r="AF262" s="579"/>
      <c r="AG262" s="579"/>
      <c r="AH262" s="579"/>
      <c r="AI262" s="579"/>
      <c r="AJ262" s="579"/>
      <c r="AK262" s="579"/>
      <c r="AL262" s="579"/>
    </row>
    <row r="263" spans="1:38" ht="13" customHeight="1">
      <c r="A263" s="564">
        <v>515</v>
      </c>
      <c r="B263" s="564" t="s">
        <v>488</v>
      </c>
      <c r="C263" s="564" t="s">
        <v>470</v>
      </c>
      <c r="D263" s="564" t="s">
        <v>471</v>
      </c>
      <c r="E263" s="564">
        <v>383.1</v>
      </c>
      <c r="F263" s="564" t="s">
        <v>31</v>
      </c>
      <c r="G263" s="564" t="s">
        <v>754</v>
      </c>
      <c r="H263" s="564" t="s">
        <v>33</v>
      </c>
      <c r="I263" s="564">
        <f>(837.7-37.9)*1000000</f>
        <v>799800000.00000012</v>
      </c>
      <c r="J263" s="564" t="s">
        <v>34</v>
      </c>
      <c r="K263" s="564">
        <v>2020</v>
      </c>
      <c r="L263" s="564" t="s">
        <v>486</v>
      </c>
      <c r="M263" s="564" t="s">
        <v>496</v>
      </c>
      <c r="N263" s="632">
        <v>0.9</v>
      </c>
      <c r="O263" s="564" t="s">
        <v>350</v>
      </c>
      <c r="P263" s="633" t="s">
        <v>38</v>
      </c>
      <c r="Q263" s="565" t="s">
        <v>487</v>
      </c>
      <c r="R263" s="634" t="s">
        <v>38</v>
      </c>
      <c r="S263" s="568"/>
      <c r="T263" s="576"/>
      <c r="U263" s="575"/>
      <c r="V263" s="575"/>
      <c r="W263" s="575"/>
      <c r="X263" s="579"/>
      <c r="Y263" s="579"/>
      <c r="Z263" s="579"/>
      <c r="AA263" s="579"/>
      <c r="AC263" s="579"/>
      <c r="AD263" s="579"/>
      <c r="AE263" s="579"/>
      <c r="AF263" s="579"/>
      <c r="AG263" s="579"/>
      <c r="AH263" s="579"/>
      <c r="AI263" s="579"/>
      <c r="AJ263" s="579"/>
      <c r="AK263" s="579"/>
      <c r="AL263" s="579"/>
    </row>
    <row r="264" spans="1:38" ht="13" customHeight="1">
      <c r="A264" s="564">
        <v>534</v>
      </c>
      <c r="B264" s="564" t="s">
        <v>492</v>
      </c>
      <c r="C264" s="564" t="s">
        <v>470</v>
      </c>
      <c r="D264" s="564" t="s">
        <v>471</v>
      </c>
      <c r="E264" s="564">
        <v>814.4</v>
      </c>
      <c r="F264" s="564" t="s">
        <v>31</v>
      </c>
      <c r="G264" s="564" t="s">
        <v>754</v>
      </c>
      <c r="H264" s="564" t="s">
        <v>33</v>
      </c>
      <c r="I264" s="564">
        <f>(1638.8-66.8)*1000000</f>
        <v>1572000000</v>
      </c>
      <c r="J264" s="564" t="s">
        <v>34</v>
      </c>
      <c r="K264" s="564">
        <v>2020</v>
      </c>
      <c r="L264" s="564" t="s">
        <v>486</v>
      </c>
      <c r="M264" s="564" t="s">
        <v>496</v>
      </c>
      <c r="N264" s="632">
        <v>0.9</v>
      </c>
      <c r="O264" s="564" t="s">
        <v>350</v>
      </c>
      <c r="P264" s="633" t="s">
        <v>38</v>
      </c>
      <c r="Q264" s="565" t="s">
        <v>487</v>
      </c>
      <c r="R264" s="634" t="s">
        <v>38</v>
      </c>
      <c r="S264" s="568"/>
      <c r="T264" s="576"/>
      <c r="U264" s="575"/>
      <c r="V264" s="575"/>
      <c r="W264" s="575"/>
      <c r="X264" s="579"/>
      <c r="Y264" s="579"/>
      <c r="Z264" s="579"/>
      <c r="AA264" s="579"/>
      <c r="AC264" s="579"/>
      <c r="AD264" s="579"/>
      <c r="AE264" s="579"/>
      <c r="AF264" s="579"/>
      <c r="AG264" s="579"/>
      <c r="AH264" s="579"/>
      <c r="AI264" s="579"/>
      <c r="AJ264" s="579"/>
      <c r="AK264" s="579"/>
      <c r="AL264" s="579"/>
    </row>
    <row r="265" spans="1:38" ht="13" customHeight="1">
      <c r="A265" s="564"/>
      <c r="B265" s="564"/>
      <c r="C265" s="564"/>
      <c r="D265" s="564"/>
      <c r="E265" s="564"/>
      <c r="F265" s="564"/>
      <c r="G265" s="564"/>
      <c r="H265" s="564"/>
      <c r="I265" s="564"/>
      <c r="J265" s="564"/>
      <c r="K265" s="564"/>
      <c r="L265" s="564"/>
      <c r="M265" s="564"/>
      <c r="N265" s="632">
        <v>0.9</v>
      </c>
      <c r="O265" s="564" t="s">
        <v>350</v>
      </c>
      <c r="P265" s="633" t="s">
        <v>38</v>
      </c>
      <c r="Q265" s="565" t="s">
        <v>487</v>
      </c>
      <c r="R265" s="634" t="s">
        <v>38</v>
      </c>
      <c r="S265" s="568"/>
      <c r="T265" s="576"/>
      <c r="U265" s="575"/>
      <c r="V265" s="575"/>
      <c r="W265" s="575"/>
      <c r="X265" s="579"/>
      <c r="Y265" s="579"/>
      <c r="Z265" s="579"/>
      <c r="AA265" s="579"/>
      <c r="AC265" s="579"/>
      <c r="AD265" s="579"/>
      <c r="AE265" s="579"/>
      <c r="AF265" s="579"/>
      <c r="AG265" s="579"/>
      <c r="AH265" s="579"/>
      <c r="AI265" s="579"/>
      <c r="AJ265" s="579"/>
      <c r="AK265" s="579"/>
      <c r="AL265" s="579"/>
    </row>
    <row r="266" spans="1:38" ht="13" customHeight="1">
      <c r="A266" s="564"/>
      <c r="B266" s="564"/>
      <c r="C266" s="564"/>
      <c r="D266" s="564"/>
      <c r="E266" s="564"/>
      <c r="F266" s="564"/>
      <c r="G266" s="564"/>
      <c r="H266" s="564"/>
      <c r="I266" s="564"/>
      <c r="J266" s="564"/>
      <c r="K266" s="564"/>
      <c r="L266" s="564"/>
      <c r="M266" s="564"/>
      <c r="N266" s="633" t="s">
        <v>122</v>
      </c>
      <c r="O266" s="634" t="s">
        <v>38</v>
      </c>
      <c r="P266" s="633" t="s">
        <v>38</v>
      </c>
      <c r="Q266" s="633" t="s">
        <v>38</v>
      </c>
      <c r="R266" s="634" t="s">
        <v>38</v>
      </c>
      <c r="S266" s="568"/>
      <c r="T266" s="576"/>
      <c r="U266" s="575"/>
      <c r="V266" s="575"/>
      <c r="W266" s="575"/>
      <c r="X266" s="579"/>
      <c r="Y266" s="579"/>
      <c r="Z266" s="579"/>
      <c r="AA266" s="579"/>
      <c r="AC266" s="579"/>
      <c r="AD266" s="579"/>
      <c r="AE266" s="579"/>
      <c r="AF266" s="579"/>
      <c r="AG266" s="579"/>
      <c r="AH266" s="579"/>
      <c r="AI266" s="579"/>
      <c r="AJ266" s="579"/>
      <c r="AK266" s="579"/>
      <c r="AL266" s="579"/>
    </row>
    <row r="267" spans="1:38" ht="13" customHeight="1">
      <c r="A267" s="564">
        <v>517</v>
      </c>
      <c r="B267" s="564" t="s">
        <v>488</v>
      </c>
      <c r="C267" s="564" t="s">
        <v>470</v>
      </c>
      <c r="D267" s="564" t="s">
        <v>471</v>
      </c>
      <c r="E267" s="564">
        <v>383.1</v>
      </c>
      <c r="F267" s="564" t="s">
        <v>116</v>
      </c>
      <c r="G267" s="564" t="s">
        <v>754</v>
      </c>
      <c r="H267" s="564" t="s">
        <v>33</v>
      </c>
      <c r="I267" s="564">
        <f>42*1000000</f>
        <v>42000000</v>
      </c>
      <c r="J267" s="564" t="s">
        <v>34</v>
      </c>
      <c r="K267" s="564">
        <v>2020</v>
      </c>
      <c r="L267" s="564" t="s">
        <v>486</v>
      </c>
      <c r="M267" s="564"/>
      <c r="N267" s="633" t="s">
        <v>122</v>
      </c>
      <c r="O267" s="634" t="s">
        <v>38</v>
      </c>
      <c r="P267" s="633" t="s">
        <v>38</v>
      </c>
      <c r="Q267" s="633" t="s">
        <v>38</v>
      </c>
      <c r="R267" s="634" t="s">
        <v>38</v>
      </c>
      <c r="S267" s="568"/>
      <c r="T267" s="576"/>
      <c r="U267" s="575"/>
      <c r="V267" s="575"/>
      <c r="W267" s="575"/>
      <c r="X267" s="579"/>
      <c r="Y267" s="579"/>
      <c r="Z267" s="579"/>
      <c r="AA267" s="579"/>
      <c r="AC267" s="579"/>
      <c r="AD267" s="579"/>
      <c r="AE267" s="579"/>
      <c r="AF267" s="579"/>
      <c r="AG267" s="579"/>
      <c r="AH267" s="579"/>
      <c r="AI267" s="579"/>
      <c r="AJ267" s="579"/>
      <c r="AK267" s="579"/>
      <c r="AL267" s="579"/>
    </row>
    <row r="268" spans="1:38" ht="13" customHeight="1">
      <c r="A268" s="564"/>
      <c r="B268" s="564"/>
      <c r="C268" s="564"/>
      <c r="D268" s="564"/>
      <c r="E268" s="564"/>
      <c r="F268" s="564"/>
      <c r="G268" s="564"/>
      <c r="H268" s="564"/>
      <c r="I268" s="564"/>
      <c r="J268" s="564"/>
      <c r="K268" s="564"/>
      <c r="L268" s="564"/>
      <c r="M268" s="564"/>
      <c r="N268" s="633" t="s">
        <v>122</v>
      </c>
      <c r="O268" s="634" t="s">
        <v>38</v>
      </c>
      <c r="P268" s="633" t="s">
        <v>38</v>
      </c>
      <c r="Q268" s="633" t="s">
        <v>38</v>
      </c>
      <c r="R268" s="634" t="s">
        <v>38</v>
      </c>
      <c r="S268" s="568"/>
      <c r="T268" s="576"/>
      <c r="U268" s="575"/>
      <c r="V268" s="575"/>
      <c r="W268" s="575"/>
      <c r="X268" s="579"/>
      <c r="Y268" s="579"/>
      <c r="Z268" s="579"/>
      <c r="AA268" s="579"/>
      <c r="AC268" s="579"/>
      <c r="AD268" s="579"/>
      <c r="AE268" s="579"/>
      <c r="AF268" s="579"/>
      <c r="AG268" s="579"/>
      <c r="AH268" s="579"/>
      <c r="AI268" s="579"/>
      <c r="AJ268" s="579"/>
      <c r="AK268" s="579"/>
      <c r="AL268" s="579"/>
    </row>
    <row r="269" spans="1:38" ht="13" customHeight="1">
      <c r="A269" s="564">
        <v>519</v>
      </c>
      <c r="B269" s="564" t="s">
        <v>488</v>
      </c>
      <c r="C269" s="564" t="s">
        <v>470</v>
      </c>
      <c r="D269" s="564" t="s">
        <v>471</v>
      </c>
      <c r="E269" s="564">
        <v>383.1</v>
      </c>
      <c r="F269" s="564" t="s">
        <v>63</v>
      </c>
      <c r="G269" s="564" t="s">
        <v>754</v>
      </c>
      <c r="H269" s="564" t="s">
        <v>76</v>
      </c>
      <c r="I269" s="564">
        <f>(0.1*1000000)/(0.9*8760*383.1)</f>
        <v>3.3108631671902464E-2</v>
      </c>
      <c r="J269" s="564" t="s">
        <v>128</v>
      </c>
      <c r="K269" s="564">
        <v>2020</v>
      </c>
      <c r="L269" s="564" t="s">
        <v>486</v>
      </c>
      <c r="M269" s="564"/>
      <c r="N269" s="633" t="s">
        <v>122</v>
      </c>
      <c r="O269" s="634" t="s">
        <v>38</v>
      </c>
      <c r="P269" s="633" t="s">
        <v>38</v>
      </c>
      <c r="Q269" s="633" t="s">
        <v>38</v>
      </c>
      <c r="R269" s="634" t="s">
        <v>38</v>
      </c>
      <c r="S269" s="568"/>
      <c r="T269" s="576"/>
      <c r="U269" s="575"/>
      <c r="V269" s="575"/>
      <c r="W269" s="575"/>
      <c r="X269" s="579"/>
      <c r="Y269" s="579"/>
      <c r="Z269" s="579"/>
      <c r="AA269" s="579"/>
      <c r="AC269" s="579"/>
      <c r="AD269" s="579"/>
      <c r="AE269" s="579"/>
      <c r="AF269" s="579"/>
      <c r="AG269" s="579"/>
      <c r="AH269" s="579"/>
      <c r="AI269" s="579"/>
      <c r="AJ269" s="579"/>
      <c r="AK269" s="579"/>
      <c r="AL269" s="579"/>
    </row>
    <row r="270" spans="1:38" ht="13" customHeight="1">
      <c r="A270" s="564"/>
      <c r="B270" s="564"/>
      <c r="C270" s="564"/>
      <c r="D270" s="564"/>
      <c r="E270" s="564"/>
      <c r="F270" s="564"/>
      <c r="G270" s="564"/>
      <c r="H270" s="564"/>
      <c r="I270" s="564"/>
      <c r="J270" s="564"/>
      <c r="K270" s="564"/>
      <c r="L270" s="564"/>
      <c r="M270" s="564" t="s">
        <v>490</v>
      </c>
      <c r="N270" s="633" t="s">
        <v>122</v>
      </c>
      <c r="O270" s="634" t="s">
        <v>38</v>
      </c>
      <c r="P270" s="633" t="s">
        <v>38</v>
      </c>
      <c r="Q270" s="633" t="s">
        <v>38</v>
      </c>
      <c r="R270" s="634" t="s">
        <v>38</v>
      </c>
      <c r="S270" s="568"/>
      <c r="T270" s="576"/>
      <c r="U270" s="575"/>
      <c r="V270" s="575"/>
      <c r="W270" s="575"/>
      <c r="X270" s="579"/>
      <c r="Y270" s="579"/>
      <c r="Z270" s="579"/>
      <c r="AA270" s="579"/>
      <c r="AC270" s="579"/>
      <c r="AD270" s="579"/>
      <c r="AE270" s="579"/>
      <c r="AF270" s="579"/>
      <c r="AG270" s="579"/>
      <c r="AH270" s="579"/>
      <c r="AI270" s="579"/>
      <c r="AJ270" s="579"/>
      <c r="AK270" s="579"/>
      <c r="AL270" s="579"/>
    </row>
    <row r="271" spans="1:38" ht="13" customHeight="1">
      <c r="A271" s="564">
        <v>521</v>
      </c>
      <c r="B271" s="564" t="s">
        <v>488</v>
      </c>
      <c r="C271" s="564" t="s">
        <v>470</v>
      </c>
      <c r="D271" s="564" t="s">
        <v>471</v>
      </c>
      <c r="E271" s="564">
        <v>383.1</v>
      </c>
      <c r="F271" s="564" t="s">
        <v>493</v>
      </c>
      <c r="G271" s="564" t="s">
        <v>754</v>
      </c>
      <c r="H271" s="564" t="s">
        <v>76</v>
      </c>
      <c r="I271" s="564">
        <v>0.5</v>
      </c>
      <c r="J271" s="564" t="s">
        <v>77</v>
      </c>
      <c r="K271" s="564">
        <v>2020</v>
      </c>
      <c r="L271" s="564" t="s">
        <v>486</v>
      </c>
      <c r="M271" s="564" t="s">
        <v>490</v>
      </c>
      <c r="N271" s="633" t="s">
        <v>122</v>
      </c>
      <c r="O271" s="634" t="s">
        <v>38</v>
      </c>
      <c r="P271" s="633" t="s">
        <v>38</v>
      </c>
      <c r="Q271" s="633" t="s">
        <v>38</v>
      </c>
      <c r="R271" s="634" t="s">
        <v>38</v>
      </c>
      <c r="S271" s="180"/>
      <c r="T271" s="576"/>
      <c r="U271" s="575"/>
      <c r="V271" s="575"/>
      <c r="W271" s="575"/>
      <c r="X271" s="579"/>
      <c r="Y271" s="579"/>
      <c r="Z271" s="579"/>
      <c r="AA271" s="579"/>
      <c r="AC271" s="579"/>
      <c r="AD271" s="579"/>
      <c r="AE271" s="579"/>
      <c r="AF271" s="579"/>
      <c r="AG271" s="579"/>
      <c r="AH271" s="579"/>
      <c r="AI271" s="579"/>
      <c r="AJ271" s="579"/>
      <c r="AK271" s="579"/>
      <c r="AL271" s="579"/>
    </row>
    <row r="272" spans="1:38" ht="13" customHeight="1">
      <c r="A272" s="564"/>
      <c r="B272" s="564"/>
      <c r="C272" s="564"/>
      <c r="D272" s="564"/>
      <c r="E272" s="564"/>
      <c r="F272" s="564"/>
      <c r="G272" s="564"/>
      <c r="H272" s="564"/>
      <c r="I272" s="564"/>
      <c r="J272" s="564"/>
      <c r="K272" s="564"/>
      <c r="L272" s="564"/>
      <c r="M272" s="564"/>
      <c r="N272" s="633" t="s">
        <v>122</v>
      </c>
      <c r="O272" s="634" t="s">
        <v>38</v>
      </c>
      <c r="P272" s="633" t="s">
        <v>38</v>
      </c>
      <c r="Q272" s="633" t="s">
        <v>38</v>
      </c>
      <c r="R272" s="634" t="s">
        <v>38</v>
      </c>
      <c r="S272" s="180"/>
      <c r="T272" s="576"/>
      <c r="U272" s="575"/>
      <c r="V272" s="575"/>
      <c r="W272" s="575"/>
      <c r="X272" s="579"/>
      <c r="Y272" s="579"/>
      <c r="Z272" s="579"/>
      <c r="AA272" s="579"/>
      <c r="AC272" s="579"/>
      <c r="AD272" s="579"/>
      <c r="AE272" s="579"/>
      <c r="AF272" s="579"/>
      <c r="AG272" s="579"/>
      <c r="AH272" s="579"/>
      <c r="AI272" s="579"/>
      <c r="AJ272" s="579"/>
      <c r="AK272" s="579"/>
      <c r="AL272" s="579"/>
    </row>
    <row r="273" spans="1:38" ht="13" customHeight="1">
      <c r="A273" s="564">
        <v>523</v>
      </c>
      <c r="B273" s="564" t="s">
        <v>488</v>
      </c>
      <c r="C273" s="564" t="s">
        <v>470</v>
      </c>
      <c r="D273" s="564" t="s">
        <v>471</v>
      </c>
      <c r="E273" s="564">
        <v>383.1</v>
      </c>
      <c r="F273" s="564" t="s">
        <v>115</v>
      </c>
      <c r="G273" s="564" t="s">
        <v>754</v>
      </c>
      <c r="H273" s="564" t="s">
        <v>33</v>
      </c>
      <c r="I273" s="564">
        <f>6.1*1000000</f>
        <v>6100000</v>
      </c>
      <c r="J273" s="564" t="s">
        <v>34</v>
      </c>
      <c r="K273" s="564">
        <v>2020</v>
      </c>
      <c r="L273" s="564" t="s">
        <v>486</v>
      </c>
      <c r="M273" s="564"/>
      <c r="N273" s="633" t="s">
        <v>122</v>
      </c>
      <c r="O273" s="634" t="s">
        <v>38</v>
      </c>
      <c r="P273" s="633" t="s">
        <v>38</v>
      </c>
      <c r="Q273" s="633" t="s">
        <v>38</v>
      </c>
      <c r="R273" s="634" t="s">
        <v>38</v>
      </c>
      <c r="S273" s="180"/>
      <c r="T273" s="576"/>
      <c r="U273" s="575"/>
      <c r="V273" s="575"/>
      <c r="W273" s="575"/>
      <c r="X273" s="579"/>
      <c r="Y273" s="579"/>
      <c r="Z273" s="579"/>
      <c r="AA273" s="579"/>
      <c r="AC273" s="579"/>
      <c r="AD273" s="579"/>
      <c r="AE273" s="579"/>
      <c r="AF273" s="579"/>
      <c r="AG273" s="579"/>
      <c r="AH273" s="579"/>
      <c r="AI273" s="579"/>
      <c r="AJ273" s="579"/>
      <c r="AK273" s="579"/>
      <c r="AL273" s="579"/>
    </row>
    <row r="274" spans="1:38" ht="13" customHeight="1">
      <c r="A274" s="564"/>
      <c r="B274" s="564"/>
      <c r="C274" s="564"/>
      <c r="D274" s="564"/>
      <c r="E274" s="564"/>
      <c r="F274" s="564"/>
      <c r="G274" s="564"/>
      <c r="H274" s="564"/>
      <c r="I274" s="564"/>
      <c r="J274" s="564"/>
      <c r="K274" s="564"/>
      <c r="L274" s="564"/>
      <c r="M274" s="564"/>
      <c r="N274" s="632">
        <v>0.9</v>
      </c>
      <c r="O274" s="564" t="s">
        <v>350</v>
      </c>
      <c r="P274" s="633" t="s">
        <v>38</v>
      </c>
      <c r="Q274" s="633" t="s">
        <v>38</v>
      </c>
      <c r="R274" s="634" t="s">
        <v>38</v>
      </c>
      <c r="S274" s="180"/>
      <c r="T274" s="576"/>
      <c r="U274" s="575"/>
      <c r="V274" s="575"/>
      <c r="W274" s="575"/>
      <c r="X274" s="579"/>
      <c r="Y274" s="579"/>
      <c r="Z274" s="579"/>
      <c r="AA274" s="579"/>
      <c r="AC274" s="579"/>
      <c r="AD274" s="579"/>
      <c r="AE274" s="579"/>
      <c r="AF274" s="579"/>
      <c r="AG274" s="579"/>
      <c r="AH274" s="579"/>
      <c r="AI274" s="579"/>
      <c r="AJ274" s="579"/>
      <c r="AK274" s="579"/>
      <c r="AL274" s="579"/>
    </row>
    <row r="275" spans="1:38" ht="13" customHeight="1">
      <c r="A275" s="564">
        <v>525</v>
      </c>
      <c r="B275" s="564" t="s">
        <v>488</v>
      </c>
      <c r="C275" s="564" t="s">
        <v>470</v>
      </c>
      <c r="D275" s="564" t="s">
        <v>471</v>
      </c>
      <c r="E275" s="564">
        <v>383.1</v>
      </c>
      <c r="F275" s="564" t="s">
        <v>75</v>
      </c>
      <c r="G275" s="564" t="s">
        <v>754</v>
      </c>
      <c r="H275" s="564" t="s">
        <v>76</v>
      </c>
      <c r="I275" s="564">
        <v>39.700000000000003</v>
      </c>
      <c r="J275" s="564" t="s">
        <v>77</v>
      </c>
      <c r="K275" s="564">
        <v>2020</v>
      </c>
      <c r="L275" s="564" t="s">
        <v>486</v>
      </c>
      <c r="M275" s="564" t="s">
        <v>491</v>
      </c>
      <c r="N275" s="632">
        <v>0.9</v>
      </c>
      <c r="O275" s="564" t="s">
        <v>350</v>
      </c>
      <c r="P275" s="633" t="s">
        <v>38</v>
      </c>
      <c r="Q275" s="633" t="s">
        <v>38</v>
      </c>
      <c r="R275" s="634" t="s">
        <v>38</v>
      </c>
      <c r="S275" s="180"/>
      <c r="T275" s="576"/>
      <c r="U275" s="575"/>
      <c r="V275" s="575"/>
      <c r="W275" s="575"/>
      <c r="X275" s="579"/>
      <c r="Y275" s="579"/>
      <c r="Z275" s="579"/>
      <c r="AA275" s="579"/>
      <c r="AC275" s="579"/>
      <c r="AD275" s="579"/>
      <c r="AE275" s="579"/>
      <c r="AF275" s="579"/>
      <c r="AG275" s="579"/>
      <c r="AH275" s="579"/>
      <c r="AI275" s="579"/>
      <c r="AJ275" s="579"/>
      <c r="AK275" s="579"/>
      <c r="AL275" s="579"/>
    </row>
    <row r="276" spans="1:38" ht="13" customHeight="1">
      <c r="A276" s="564">
        <v>526</v>
      </c>
      <c r="B276" s="564" t="s">
        <v>492</v>
      </c>
      <c r="C276" s="564" t="s">
        <v>470</v>
      </c>
      <c r="D276" s="564" t="s">
        <v>471</v>
      </c>
      <c r="E276" s="564">
        <v>814.4</v>
      </c>
      <c r="F276" s="564" t="s">
        <v>116</v>
      </c>
      <c r="G276" s="564" t="s">
        <v>754</v>
      </c>
      <c r="H276" s="564" t="s">
        <v>33</v>
      </c>
      <c r="I276" s="564">
        <f>61.3*1000000</f>
        <v>61300000</v>
      </c>
      <c r="J276" s="564" t="s">
        <v>34</v>
      </c>
      <c r="K276" s="564">
        <v>2020</v>
      </c>
      <c r="L276" s="564" t="s">
        <v>486</v>
      </c>
      <c r="M276" s="564"/>
      <c r="N276" s="633" t="s">
        <v>122</v>
      </c>
      <c r="O276" s="634" t="s">
        <v>38</v>
      </c>
      <c r="P276" s="633" t="s">
        <v>38</v>
      </c>
      <c r="Q276" s="633" t="s">
        <v>38</v>
      </c>
      <c r="R276" s="634" t="s">
        <v>38</v>
      </c>
      <c r="S276" s="180"/>
      <c r="T276" s="576"/>
      <c r="U276" s="575"/>
      <c r="V276" s="575"/>
      <c r="W276" s="575"/>
      <c r="X276" s="579"/>
      <c r="Y276" s="579"/>
      <c r="Z276" s="579"/>
      <c r="AA276" s="579"/>
      <c r="AC276" s="579"/>
      <c r="AD276" s="579"/>
      <c r="AE276" s="579"/>
      <c r="AF276" s="579"/>
      <c r="AG276" s="579"/>
      <c r="AH276" s="579"/>
      <c r="AI276" s="579"/>
      <c r="AJ276" s="579"/>
      <c r="AK276" s="579"/>
      <c r="AL276" s="579"/>
    </row>
    <row r="277" spans="1:38" ht="13" customHeight="1">
      <c r="A277" s="564">
        <v>527</v>
      </c>
      <c r="B277" s="564" t="s">
        <v>492</v>
      </c>
      <c r="C277" s="564" t="s">
        <v>470</v>
      </c>
      <c r="D277" s="564" t="s">
        <v>471</v>
      </c>
      <c r="E277" s="564">
        <v>814.4</v>
      </c>
      <c r="F277" s="564" t="s">
        <v>63</v>
      </c>
      <c r="G277" s="564" t="s">
        <v>754</v>
      </c>
      <c r="H277" s="564" t="s">
        <v>76</v>
      </c>
      <c r="I277" s="564">
        <f>(0.1*1000000)/(0.9*8760*814.4)</f>
        <v>1.5574554019530741E-2</v>
      </c>
      <c r="J277" s="564" t="s">
        <v>128</v>
      </c>
      <c r="K277" s="564">
        <v>2020</v>
      </c>
      <c r="L277" s="564" t="s">
        <v>486</v>
      </c>
      <c r="M277" s="564"/>
      <c r="N277" s="633" t="s">
        <v>122</v>
      </c>
      <c r="O277" s="634" t="s">
        <v>38</v>
      </c>
      <c r="P277" s="633" t="s">
        <v>38</v>
      </c>
      <c r="Q277" s="633" t="s">
        <v>38</v>
      </c>
      <c r="R277" s="634" t="s">
        <v>38</v>
      </c>
      <c r="S277" s="180"/>
      <c r="T277" s="576"/>
      <c r="U277" s="575"/>
      <c r="V277" s="575"/>
      <c r="W277" s="575"/>
      <c r="X277" s="579"/>
      <c r="Y277" s="579"/>
      <c r="Z277" s="579"/>
      <c r="AA277" s="579"/>
      <c r="AC277" s="579"/>
      <c r="AD277" s="579"/>
      <c r="AE277" s="579"/>
      <c r="AF277" s="579"/>
      <c r="AG277" s="579"/>
      <c r="AH277" s="579"/>
      <c r="AI277" s="579"/>
      <c r="AJ277" s="579"/>
      <c r="AK277" s="579"/>
      <c r="AL277" s="579"/>
    </row>
    <row r="278" spans="1:38" ht="13" customHeight="1">
      <c r="A278" s="564">
        <v>528</v>
      </c>
      <c r="B278" s="564" t="s">
        <v>492</v>
      </c>
      <c r="C278" s="564" t="s">
        <v>470</v>
      </c>
      <c r="D278" s="564" t="s">
        <v>471</v>
      </c>
      <c r="E278" s="564">
        <v>814.4</v>
      </c>
      <c r="F278" s="564" t="s">
        <v>493</v>
      </c>
      <c r="G278" s="564" t="s">
        <v>754</v>
      </c>
      <c r="H278" s="564" t="s">
        <v>76</v>
      </c>
      <c r="I278" s="564">
        <v>0.5</v>
      </c>
      <c r="J278" s="564" t="s">
        <v>77</v>
      </c>
      <c r="K278" s="564">
        <v>2020</v>
      </c>
      <c r="L278" s="564" t="s">
        <v>486</v>
      </c>
      <c r="M278" s="564" t="s">
        <v>490</v>
      </c>
      <c r="N278" s="633" t="s">
        <v>122</v>
      </c>
      <c r="O278" s="634" t="s">
        <v>38</v>
      </c>
      <c r="P278" s="633" t="s">
        <v>38</v>
      </c>
      <c r="Q278" s="633" t="s">
        <v>38</v>
      </c>
      <c r="R278" s="634" t="s">
        <v>38</v>
      </c>
      <c r="S278" s="180"/>
      <c r="T278" s="576"/>
      <c r="U278" s="575"/>
      <c r="V278" s="575"/>
      <c r="W278" s="575"/>
      <c r="X278" s="579"/>
      <c r="Y278" s="579"/>
      <c r="Z278" s="579"/>
      <c r="AA278" s="579"/>
      <c r="AC278" s="579"/>
      <c r="AD278" s="579"/>
      <c r="AE278" s="579"/>
      <c r="AF278" s="579"/>
      <c r="AG278" s="579"/>
      <c r="AH278" s="579"/>
      <c r="AI278" s="579"/>
      <c r="AJ278" s="579"/>
      <c r="AK278" s="579"/>
      <c r="AL278" s="579"/>
    </row>
    <row r="279" spans="1:38" ht="13" customHeight="1">
      <c r="A279" s="564">
        <v>529</v>
      </c>
      <c r="B279" s="564" t="s">
        <v>492</v>
      </c>
      <c r="C279" s="564" t="s">
        <v>470</v>
      </c>
      <c r="D279" s="564" t="s">
        <v>471</v>
      </c>
      <c r="E279" s="564">
        <v>814.4</v>
      </c>
      <c r="F279" s="564" t="s">
        <v>115</v>
      </c>
      <c r="G279" s="564" t="s">
        <v>754</v>
      </c>
      <c r="H279" s="564" t="s">
        <v>33</v>
      </c>
      <c r="I279" s="564">
        <f>29.5*1000000</f>
        <v>29500000</v>
      </c>
      <c r="J279" s="564" t="s">
        <v>34</v>
      </c>
      <c r="K279" s="564">
        <v>2020</v>
      </c>
      <c r="L279" s="564" t="s">
        <v>486</v>
      </c>
      <c r="M279" s="564"/>
      <c r="N279" s="633" t="s">
        <v>122</v>
      </c>
      <c r="O279" s="634" t="s">
        <v>38</v>
      </c>
      <c r="P279" s="633" t="s">
        <v>38</v>
      </c>
      <c r="Q279" s="633" t="s">
        <v>38</v>
      </c>
      <c r="R279" s="634" t="s">
        <v>38</v>
      </c>
      <c r="S279" s="180"/>
      <c r="T279" s="576"/>
      <c r="U279" s="575"/>
      <c r="V279" s="575"/>
      <c r="W279" s="575"/>
      <c r="X279" s="579"/>
      <c r="Y279" s="579"/>
      <c r="Z279" s="579"/>
      <c r="AA279" s="579"/>
      <c r="AC279" s="579"/>
      <c r="AD279" s="579"/>
      <c r="AE279" s="579"/>
      <c r="AF279" s="579"/>
      <c r="AG279" s="579"/>
      <c r="AH279" s="579"/>
      <c r="AI279" s="579"/>
      <c r="AJ279" s="579"/>
      <c r="AK279" s="579"/>
      <c r="AL279" s="579"/>
    </row>
    <row r="280" spans="1:38" ht="13" customHeight="1">
      <c r="A280" s="564">
        <v>530</v>
      </c>
      <c r="B280" s="564" t="s">
        <v>492</v>
      </c>
      <c r="C280" s="564" t="s">
        <v>470</v>
      </c>
      <c r="D280" s="564" t="s">
        <v>471</v>
      </c>
      <c r="E280" s="564">
        <v>814.4</v>
      </c>
      <c r="F280" s="564" t="s">
        <v>75</v>
      </c>
      <c r="G280" s="564" t="s">
        <v>754</v>
      </c>
      <c r="H280" s="564" t="s">
        <v>76</v>
      </c>
      <c r="I280" s="564">
        <v>66.8</v>
      </c>
      <c r="J280" s="564" t="s">
        <v>77</v>
      </c>
      <c r="K280" s="564">
        <v>2020</v>
      </c>
      <c r="L280" s="564" t="s">
        <v>486</v>
      </c>
      <c r="M280" s="564" t="s">
        <v>494</v>
      </c>
      <c r="N280" s="632">
        <v>0.9</v>
      </c>
      <c r="O280" s="564" t="s">
        <v>350</v>
      </c>
      <c r="P280" s="633" t="s">
        <v>38</v>
      </c>
      <c r="Q280" s="633" t="s">
        <v>38</v>
      </c>
      <c r="R280" s="634" t="s">
        <v>38</v>
      </c>
      <c r="S280" s="180"/>
      <c r="T280" s="576"/>
      <c r="U280" s="575"/>
      <c r="V280" s="575"/>
      <c r="W280" s="575"/>
      <c r="X280" s="579"/>
      <c r="Y280" s="579"/>
      <c r="Z280" s="579"/>
      <c r="AA280" s="579"/>
      <c r="AC280" s="579"/>
      <c r="AD280" s="579"/>
      <c r="AE280" s="579"/>
      <c r="AF280" s="579"/>
      <c r="AG280" s="579"/>
      <c r="AH280" s="579"/>
      <c r="AI280" s="579"/>
      <c r="AJ280" s="579"/>
      <c r="AK280" s="579"/>
      <c r="AL280" s="579"/>
    </row>
    <row r="281" spans="1:38" ht="13" customHeight="1">
      <c r="A281" s="564">
        <v>531</v>
      </c>
      <c r="B281" s="564" t="s">
        <v>492</v>
      </c>
      <c r="C281" s="564" t="s">
        <v>470</v>
      </c>
      <c r="D281" s="564" t="s">
        <v>471</v>
      </c>
      <c r="E281" s="564">
        <v>814.4</v>
      </c>
      <c r="F281" s="564" t="s">
        <v>75</v>
      </c>
      <c r="G281" s="564" t="s">
        <v>754</v>
      </c>
      <c r="H281" s="564" t="s">
        <v>76</v>
      </c>
      <c r="I281" s="564">
        <v>53.7</v>
      </c>
      <c r="J281" s="564" t="s">
        <v>77</v>
      </c>
      <c r="K281" s="564">
        <v>2020</v>
      </c>
      <c r="L281" s="564" t="s">
        <v>486</v>
      </c>
      <c r="M281" s="564" t="s">
        <v>495</v>
      </c>
      <c r="N281" s="632">
        <v>0.9</v>
      </c>
      <c r="O281" s="564" t="s">
        <v>350</v>
      </c>
      <c r="P281" s="633" t="s">
        <v>38</v>
      </c>
      <c r="Q281" s="633" t="s">
        <v>38</v>
      </c>
      <c r="R281" s="634" t="s">
        <v>38</v>
      </c>
      <c r="S281" s="180"/>
      <c r="T281" s="576"/>
      <c r="U281" s="575"/>
      <c r="V281" s="575"/>
      <c r="W281" s="575"/>
      <c r="X281" s="579"/>
      <c r="Y281" s="579"/>
      <c r="Z281" s="579"/>
      <c r="AA281" s="579"/>
      <c r="AC281" s="579"/>
      <c r="AD281" s="579"/>
      <c r="AE281" s="579"/>
      <c r="AF281" s="579"/>
      <c r="AG281" s="579"/>
      <c r="AH281" s="579"/>
      <c r="AI281" s="579"/>
      <c r="AJ281" s="579"/>
      <c r="AK281" s="579"/>
      <c r="AL281" s="579"/>
    </row>
    <row r="282" spans="1:38" ht="13" customHeight="1">
      <c r="A282" s="564"/>
      <c r="B282" s="564"/>
      <c r="C282" s="564"/>
      <c r="D282" s="564"/>
      <c r="E282" s="564"/>
      <c r="F282" s="564"/>
      <c r="G282" s="564"/>
      <c r="H282" s="564"/>
      <c r="I282" s="564"/>
      <c r="J282" s="564"/>
      <c r="K282" s="564"/>
      <c r="L282" s="564"/>
      <c r="M282" s="564"/>
      <c r="N282" s="632">
        <v>0.9</v>
      </c>
      <c r="O282" s="564" t="s">
        <v>350</v>
      </c>
      <c r="P282" s="633" t="s">
        <v>38</v>
      </c>
      <c r="Q282" s="633" t="s">
        <v>38</v>
      </c>
      <c r="R282" s="634" t="s">
        <v>38</v>
      </c>
      <c r="S282" s="180"/>
      <c r="T282" s="576"/>
      <c r="U282" s="575"/>
      <c r="V282" s="575"/>
      <c r="W282" s="575"/>
      <c r="X282" s="579"/>
      <c r="Y282" s="579"/>
      <c r="Z282" s="579"/>
      <c r="AA282" s="579"/>
      <c r="AC282" s="579"/>
      <c r="AD282" s="579"/>
      <c r="AE282" s="579"/>
      <c r="AF282" s="579"/>
      <c r="AG282" s="579"/>
      <c r="AH282" s="579"/>
      <c r="AI282" s="579"/>
      <c r="AJ282" s="579"/>
      <c r="AK282" s="579"/>
      <c r="AL282" s="579"/>
    </row>
    <row r="283" spans="1:38" ht="13" customHeight="1">
      <c r="A283" s="564">
        <v>533</v>
      </c>
      <c r="B283" s="564" t="s">
        <v>488</v>
      </c>
      <c r="C283" s="564" t="s">
        <v>470</v>
      </c>
      <c r="D283" s="564" t="s">
        <v>471</v>
      </c>
      <c r="E283" s="564">
        <v>383.1</v>
      </c>
      <c r="F283" s="564" t="s">
        <v>75</v>
      </c>
      <c r="G283" s="564" t="s">
        <v>754</v>
      </c>
      <c r="H283" s="564" t="s">
        <v>76</v>
      </c>
      <c r="I283" s="564">
        <v>33.799999999999997</v>
      </c>
      <c r="J283" s="564" t="s">
        <v>77</v>
      </c>
      <c r="K283" s="564">
        <v>2020</v>
      </c>
      <c r="L283" s="564" t="s">
        <v>486</v>
      </c>
      <c r="M283" s="564" t="s">
        <v>495</v>
      </c>
      <c r="N283" s="632">
        <v>0.9</v>
      </c>
      <c r="O283" s="564" t="s">
        <v>350</v>
      </c>
      <c r="P283" s="633" t="s">
        <v>38</v>
      </c>
      <c r="Q283" s="633" t="s">
        <v>38</v>
      </c>
      <c r="R283" s="634" t="s">
        <v>38</v>
      </c>
      <c r="S283" s="180"/>
      <c r="T283" s="576"/>
      <c r="U283" s="575"/>
      <c r="V283" s="575"/>
      <c r="W283" s="575"/>
      <c r="X283" s="579"/>
      <c r="Y283" s="579"/>
      <c r="Z283" s="579"/>
      <c r="AA283" s="579"/>
      <c r="AC283" s="579"/>
      <c r="AD283" s="579"/>
      <c r="AE283" s="579"/>
      <c r="AF283" s="579"/>
      <c r="AG283" s="579"/>
      <c r="AH283" s="579"/>
      <c r="AI283" s="579"/>
      <c r="AJ283" s="579"/>
      <c r="AK283" s="579"/>
      <c r="AL283" s="579"/>
    </row>
    <row r="284" spans="1:38" ht="13" customHeight="1">
      <c r="A284" s="564">
        <v>212</v>
      </c>
      <c r="B284" s="564" t="s">
        <v>79</v>
      </c>
      <c r="C284" s="564" t="s">
        <v>61</v>
      </c>
      <c r="D284" s="564" t="s">
        <v>62</v>
      </c>
      <c r="E284" s="564" t="s">
        <v>257</v>
      </c>
      <c r="F284" s="564" t="s">
        <v>493</v>
      </c>
      <c r="G284" s="564" t="s">
        <v>32</v>
      </c>
      <c r="H284" s="564" t="s">
        <v>33</v>
      </c>
      <c r="I284" s="564">
        <f>335*1000000</f>
        <v>335000000</v>
      </c>
      <c r="J284" s="564" t="s">
        <v>34</v>
      </c>
      <c r="K284" s="564">
        <v>1989</v>
      </c>
      <c r="L284" s="564" t="s">
        <v>80</v>
      </c>
      <c r="M284" s="564"/>
      <c r="N284" s="634" t="s">
        <v>38</v>
      </c>
      <c r="O284" s="634" t="s">
        <v>38</v>
      </c>
      <c r="P284" s="564" t="s">
        <v>699</v>
      </c>
      <c r="Q284" s="633" t="s">
        <v>38</v>
      </c>
      <c r="R284" s="633" t="s">
        <v>38</v>
      </c>
      <c r="S284" s="180"/>
      <c r="T284" s="610"/>
      <c r="U284" s="610"/>
      <c r="V284" s="610"/>
      <c r="W284" s="610"/>
      <c r="X284" s="611"/>
      <c r="Y284" s="611"/>
      <c r="Z284" s="611"/>
      <c r="AA284" s="611"/>
      <c r="AC284" s="579"/>
      <c r="AD284" s="579"/>
      <c r="AE284" s="579"/>
      <c r="AF284" s="579"/>
      <c r="AG284" s="579"/>
      <c r="AH284" s="579"/>
      <c r="AI284" s="579"/>
      <c r="AJ284" s="579"/>
      <c r="AK284" s="579"/>
      <c r="AL284" s="579"/>
    </row>
    <row r="285" spans="1:38" ht="13" customHeight="1">
      <c r="A285" s="564">
        <v>214</v>
      </c>
      <c r="B285" s="564" t="s">
        <v>79</v>
      </c>
      <c r="C285" s="564" t="s">
        <v>61</v>
      </c>
      <c r="D285" s="564" t="s">
        <v>62</v>
      </c>
      <c r="E285" s="564" t="s">
        <v>257</v>
      </c>
      <c r="F285" s="564" t="s">
        <v>63</v>
      </c>
      <c r="G285" s="564" t="s">
        <v>32</v>
      </c>
      <c r="H285" s="564" t="s">
        <v>33</v>
      </c>
      <c r="I285" s="564">
        <f>8*1000000</f>
        <v>8000000</v>
      </c>
      <c r="J285" s="564" t="s">
        <v>34</v>
      </c>
      <c r="K285" s="564">
        <v>1989</v>
      </c>
      <c r="L285" s="564" t="s">
        <v>80</v>
      </c>
      <c r="M285" s="564" t="s">
        <v>259</v>
      </c>
      <c r="N285" s="634" t="s">
        <v>38</v>
      </c>
      <c r="O285" s="634" t="s">
        <v>38</v>
      </c>
      <c r="P285" s="564" t="s">
        <v>699</v>
      </c>
      <c r="Q285" s="633" t="s">
        <v>38</v>
      </c>
      <c r="R285" s="633" t="s">
        <v>38</v>
      </c>
      <c r="S285" s="180"/>
      <c r="T285" s="610"/>
      <c r="U285" s="610"/>
      <c r="V285" s="610"/>
      <c r="W285" s="610"/>
      <c r="X285" s="611"/>
      <c r="Y285" s="611"/>
      <c r="Z285" s="611"/>
      <c r="AA285" s="611"/>
      <c r="AC285" s="579"/>
      <c r="AD285" s="579"/>
      <c r="AE285" s="579"/>
      <c r="AF285" s="579"/>
      <c r="AG285" s="579"/>
      <c r="AH285" s="579"/>
      <c r="AI285" s="579"/>
      <c r="AJ285" s="579"/>
      <c r="AK285" s="579"/>
      <c r="AL285" s="579"/>
    </row>
    <row r="286" spans="1:38" ht="13" customHeight="1">
      <c r="A286" s="564">
        <v>215</v>
      </c>
      <c r="B286" s="564" t="s">
        <v>79</v>
      </c>
      <c r="C286" s="564" t="s">
        <v>61</v>
      </c>
      <c r="D286" s="564" t="s">
        <v>62</v>
      </c>
      <c r="E286" s="564" t="s">
        <v>257</v>
      </c>
      <c r="F286" s="564" t="s">
        <v>116</v>
      </c>
      <c r="G286" s="564" t="s">
        <v>32</v>
      </c>
      <c r="H286" s="564" t="s">
        <v>33</v>
      </c>
      <c r="I286" s="564">
        <f>188*1000000</f>
        <v>188000000</v>
      </c>
      <c r="J286" s="564" t="s">
        <v>34</v>
      </c>
      <c r="K286" s="564">
        <v>1989</v>
      </c>
      <c r="L286" s="564" t="s">
        <v>80</v>
      </c>
      <c r="M286" s="564" t="s">
        <v>260</v>
      </c>
      <c r="N286" s="634" t="s">
        <v>38</v>
      </c>
      <c r="O286" s="634" t="s">
        <v>38</v>
      </c>
      <c r="P286" s="564" t="s">
        <v>699</v>
      </c>
      <c r="Q286" s="633" t="s">
        <v>38</v>
      </c>
      <c r="R286" s="633" t="s">
        <v>38</v>
      </c>
      <c r="S286" s="180"/>
      <c r="T286" s="610"/>
      <c r="U286" s="610"/>
      <c r="V286" s="610"/>
      <c r="W286" s="610"/>
      <c r="X286" s="611"/>
      <c r="Y286" s="611"/>
      <c r="Z286" s="611"/>
      <c r="AA286" s="611"/>
      <c r="AC286" s="579"/>
      <c r="AD286" s="579"/>
      <c r="AE286" s="579"/>
      <c r="AF286" s="579"/>
      <c r="AG286" s="579"/>
      <c r="AH286" s="579"/>
      <c r="AI286" s="579"/>
      <c r="AJ286" s="579"/>
      <c r="AK286" s="579"/>
      <c r="AL286" s="579"/>
    </row>
    <row r="287" spans="1:38" ht="13" customHeight="1">
      <c r="A287" s="564">
        <v>213</v>
      </c>
      <c r="B287" s="564" t="s">
        <v>79</v>
      </c>
      <c r="C287" s="564" t="s">
        <v>61</v>
      </c>
      <c r="D287" s="564" t="s">
        <v>62</v>
      </c>
      <c r="E287" s="564" t="s">
        <v>257</v>
      </c>
      <c r="F287" s="564" t="s">
        <v>31</v>
      </c>
      <c r="G287" s="564" t="s">
        <v>32</v>
      </c>
      <c r="H287" s="564" t="s">
        <v>33</v>
      </c>
      <c r="I287" s="564">
        <f>2754.7*1000000+((477+70)*1000000)</f>
        <v>3301700000</v>
      </c>
      <c r="J287" s="564" t="s">
        <v>34</v>
      </c>
      <c r="K287" s="564">
        <v>1989</v>
      </c>
      <c r="L287" s="564" t="s">
        <v>80</v>
      </c>
      <c r="M287" s="564" t="s">
        <v>258</v>
      </c>
      <c r="N287" s="634" t="s">
        <v>38</v>
      </c>
      <c r="O287" s="564" t="s">
        <v>104</v>
      </c>
      <c r="P287" s="564" t="s">
        <v>699</v>
      </c>
      <c r="Q287" s="633" t="s">
        <v>38</v>
      </c>
      <c r="R287" s="633" t="s">
        <v>38</v>
      </c>
      <c r="S287" s="180"/>
      <c r="T287" s="610"/>
      <c r="U287" s="610"/>
      <c r="V287" s="610"/>
      <c r="W287" s="610"/>
      <c r="X287" s="611"/>
      <c r="Y287" s="611"/>
      <c r="Z287" s="611"/>
      <c r="AA287" s="611"/>
      <c r="AC287" s="579"/>
      <c r="AD287" s="579"/>
      <c r="AE287" s="579"/>
      <c r="AF287" s="579"/>
      <c r="AG287" s="579"/>
      <c r="AH287" s="579"/>
      <c r="AI287" s="579"/>
      <c r="AJ287" s="579"/>
      <c r="AK287" s="579"/>
      <c r="AL287" s="579"/>
    </row>
    <row r="288" spans="1:38" ht="13" customHeight="1">
      <c r="A288" s="564">
        <v>216</v>
      </c>
      <c r="B288" s="564" t="s">
        <v>261</v>
      </c>
      <c r="C288" s="564" t="s">
        <v>61</v>
      </c>
      <c r="D288" s="564" t="s">
        <v>62</v>
      </c>
      <c r="E288" s="564">
        <v>1600</v>
      </c>
      <c r="F288" s="564" t="s">
        <v>690</v>
      </c>
      <c r="G288" s="564" t="s">
        <v>57</v>
      </c>
      <c r="H288" s="564" t="s">
        <v>76</v>
      </c>
      <c r="I288" s="564">
        <v>0.5</v>
      </c>
      <c r="J288" s="564" t="s">
        <v>77</v>
      </c>
      <c r="K288" s="564">
        <v>2010</v>
      </c>
      <c r="L288" s="564" t="s">
        <v>262</v>
      </c>
      <c r="M288" s="564"/>
      <c r="N288" s="633" t="s">
        <v>122</v>
      </c>
      <c r="O288" s="634" t="s">
        <v>38</v>
      </c>
      <c r="P288" s="633" t="s">
        <v>38</v>
      </c>
      <c r="Q288" s="633" t="s">
        <v>38</v>
      </c>
      <c r="R288" s="633" t="s">
        <v>38</v>
      </c>
      <c r="S288" s="180"/>
      <c r="T288" s="612"/>
      <c r="U288" s="575"/>
      <c r="V288" s="575"/>
      <c r="W288" s="591"/>
      <c r="X288" s="592"/>
      <c r="Y288" s="592"/>
      <c r="Z288" s="592"/>
      <c r="AA288" s="592"/>
      <c r="AC288" s="579"/>
      <c r="AD288" s="579"/>
      <c r="AE288" s="579"/>
      <c r="AF288" s="579"/>
      <c r="AG288" s="579"/>
      <c r="AH288" s="579"/>
      <c r="AI288" s="579"/>
      <c r="AJ288" s="579"/>
      <c r="AK288" s="579"/>
      <c r="AL288" s="579"/>
    </row>
    <row r="289" spans="1:50" ht="13" customHeight="1">
      <c r="A289" s="564">
        <v>217</v>
      </c>
      <c r="B289" s="564" t="s">
        <v>261</v>
      </c>
      <c r="C289" s="564" t="s">
        <v>61</v>
      </c>
      <c r="D289" s="564" t="s">
        <v>62</v>
      </c>
      <c r="E289" s="564">
        <v>1420</v>
      </c>
      <c r="F289" s="564" t="s">
        <v>690</v>
      </c>
      <c r="G289" s="564" t="s">
        <v>57</v>
      </c>
      <c r="H289" s="564" t="s">
        <v>76</v>
      </c>
      <c r="I289" s="564">
        <v>0.5</v>
      </c>
      <c r="J289" s="564" t="s">
        <v>77</v>
      </c>
      <c r="K289" s="564">
        <v>2010</v>
      </c>
      <c r="L289" s="564" t="s">
        <v>262</v>
      </c>
      <c r="M289" s="564"/>
      <c r="N289" s="633" t="s">
        <v>122</v>
      </c>
      <c r="O289" s="634" t="s">
        <v>38</v>
      </c>
      <c r="P289" s="633" t="s">
        <v>38</v>
      </c>
      <c r="Q289" s="633" t="s">
        <v>38</v>
      </c>
      <c r="R289" s="633" t="s">
        <v>38</v>
      </c>
      <c r="S289" s="180"/>
      <c r="T289" s="612"/>
      <c r="U289" s="575"/>
      <c r="V289" s="575"/>
      <c r="W289" s="591"/>
      <c r="X289" s="592"/>
      <c r="Y289" s="592"/>
      <c r="Z289" s="592"/>
      <c r="AA289" s="592"/>
      <c r="AC289" s="579"/>
      <c r="AD289" s="579"/>
      <c r="AE289" s="579"/>
      <c r="AF289" s="579"/>
      <c r="AG289" s="579"/>
      <c r="AH289" s="579"/>
      <c r="AI289" s="579"/>
      <c r="AJ289" s="579"/>
      <c r="AK289" s="579"/>
      <c r="AL289" s="579"/>
    </row>
    <row r="290" spans="1:50" ht="13" customHeight="1">
      <c r="A290" s="564">
        <v>218</v>
      </c>
      <c r="B290" s="564" t="s">
        <v>261</v>
      </c>
      <c r="C290" s="564" t="s">
        <v>61</v>
      </c>
      <c r="D290" s="564" t="s">
        <v>62</v>
      </c>
      <c r="E290" s="564">
        <v>1000</v>
      </c>
      <c r="F290" s="564" t="s">
        <v>690</v>
      </c>
      <c r="G290" s="564" t="s">
        <v>57</v>
      </c>
      <c r="H290" s="564" t="s">
        <v>76</v>
      </c>
      <c r="I290" s="564">
        <v>0.5</v>
      </c>
      <c r="J290" s="564" t="s">
        <v>77</v>
      </c>
      <c r="K290" s="564">
        <v>2010</v>
      </c>
      <c r="L290" s="564" t="s">
        <v>262</v>
      </c>
      <c r="M290" s="564"/>
      <c r="N290" s="633" t="s">
        <v>122</v>
      </c>
      <c r="O290" s="634" t="s">
        <v>38</v>
      </c>
      <c r="P290" s="633" t="s">
        <v>38</v>
      </c>
      <c r="Q290" s="633" t="s">
        <v>38</v>
      </c>
      <c r="R290" s="633" t="s">
        <v>38</v>
      </c>
      <c r="S290" s="180"/>
      <c r="T290" s="612"/>
      <c r="U290" s="575"/>
      <c r="V290" s="575"/>
      <c r="W290" s="591"/>
      <c r="X290" s="592"/>
      <c r="Y290" s="592"/>
      <c r="Z290" s="592"/>
      <c r="AA290" s="592"/>
      <c r="AC290" s="579"/>
      <c r="AD290" s="579"/>
      <c r="AE290" s="579"/>
      <c r="AF290" s="579"/>
      <c r="AG290" s="579"/>
      <c r="AH290" s="579"/>
      <c r="AI290" s="579"/>
      <c r="AJ290" s="579"/>
      <c r="AK290" s="579"/>
      <c r="AL290" s="579"/>
    </row>
    <row r="291" spans="1:50" ht="13" customHeight="1">
      <c r="A291" s="564">
        <v>219</v>
      </c>
      <c r="B291" s="564" t="s">
        <v>261</v>
      </c>
      <c r="C291" s="564" t="s">
        <v>61</v>
      </c>
      <c r="D291" s="564" t="s">
        <v>62</v>
      </c>
      <c r="E291" s="564">
        <v>1420</v>
      </c>
      <c r="F291" s="564" t="s">
        <v>493</v>
      </c>
      <c r="G291" s="564" t="s">
        <v>57</v>
      </c>
      <c r="H291" s="564" t="s">
        <v>76</v>
      </c>
      <c r="I291" s="564">
        <v>1</v>
      </c>
      <c r="J291" s="564" t="s">
        <v>77</v>
      </c>
      <c r="K291" s="564">
        <v>2010</v>
      </c>
      <c r="L291" s="564" t="s">
        <v>262</v>
      </c>
      <c r="M291" s="564"/>
      <c r="N291" s="634" t="s">
        <v>38</v>
      </c>
      <c r="O291" s="634" t="s">
        <v>38</v>
      </c>
      <c r="P291" s="633" t="s">
        <v>38</v>
      </c>
      <c r="Q291" s="633" t="s">
        <v>38</v>
      </c>
      <c r="R291" s="633" t="s">
        <v>38</v>
      </c>
      <c r="S291" s="180"/>
      <c r="T291" s="612"/>
      <c r="U291" s="575"/>
      <c r="V291" s="575"/>
      <c r="W291" s="591"/>
      <c r="X291" s="592"/>
      <c r="Y291" s="592"/>
      <c r="Z291" s="592"/>
      <c r="AA291" s="592"/>
      <c r="AC291" s="579"/>
      <c r="AD291" s="579"/>
      <c r="AE291" s="579"/>
      <c r="AF291" s="579"/>
      <c r="AG291" s="579"/>
      <c r="AH291" s="579"/>
      <c r="AI291" s="579"/>
      <c r="AJ291" s="579"/>
      <c r="AK291" s="579"/>
      <c r="AL291" s="579"/>
    </row>
    <row r="292" spans="1:50" ht="13" customHeight="1">
      <c r="A292" s="564">
        <v>220</v>
      </c>
      <c r="B292" s="564" t="s">
        <v>261</v>
      </c>
      <c r="C292" s="564" t="s">
        <v>61</v>
      </c>
      <c r="D292" s="564" t="s">
        <v>62</v>
      </c>
      <c r="E292" s="564">
        <v>1600</v>
      </c>
      <c r="F292" s="564" t="s">
        <v>493</v>
      </c>
      <c r="G292" s="564" t="s">
        <v>57</v>
      </c>
      <c r="H292" s="564" t="s">
        <v>76</v>
      </c>
      <c r="I292" s="564">
        <v>1</v>
      </c>
      <c r="J292" s="564" t="s">
        <v>77</v>
      </c>
      <c r="K292" s="564">
        <v>2010</v>
      </c>
      <c r="L292" s="564" t="s">
        <v>262</v>
      </c>
      <c r="M292" s="564"/>
      <c r="N292" s="634" t="s">
        <v>38</v>
      </c>
      <c r="O292" s="634" t="s">
        <v>38</v>
      </c>
      <c r="P292" s="633" t="s">
        <v>38</v>
      </c>
      <c r="Q292" s="633" t="s">
        <v>38</v>
      </c>
      <c r="R292" s="633" t="s">
        <v>38</v>
      </c>
      <c r="S292" s="180"/>
      <c r="T292" s="612"/>
      <c r="U292" s="575"/>
      <c r="V292" s="575"/>
      <c r="W292" s="591"/>
      <c r="X292" s="592"/>
      <c r="Y292" s="592"/>
      <c r="Z292" s="592"/>
      <c r="AA292" s="592"/>
      <c r="AC292" s="579"/>
      <c r="AD292" s="579"/>
      <c r="AE292" s="579"/>
      <c r="AF292" s="579"/>
      <c r="AG292" s="579"/>
      <c r="AH292" s="579"/>
      <c r="AI292" s="579"/>
      <c r="AJ292" s="579"/>
      <c r="AK292" s="579"/>
      <c r="AL292" s="579"/>
    </row>
    <row r="293" spans="1:50" ht="13" customHeight="1">
      <c r="A293" s="564">
        <v>221</v>
      </c>
      <c r="B293" s="564" t="s">
        <v>264</v>
      </c>
      <c r="C293" s="564" t="s">
        <v>61</v>
      </c>
      <c r="D293" s="564" t="s">
        <v>62</v>
      </c>
      <c r="E293" s="564">
        <v>1000</v>
      </c>
      <c r="F293" s="564" t="s">
        <v>493</v>
      </c>
      <c r="G293" s="564" t="s">
        <v>57</v>
      </c>
      <c r="H293" s="564" t="s">
        <v>76</v>
      </c>
      <c r="I293" s="564">
        <v>1</v>
      </c>
      <c r="J293" s="564" t="s">
        <v>77</v>
      </c>
      <c r="K293" s="564">
        <v>2010</v>
      </c>
      <c r="L293" s="564" t="s">
        <v>262</v>
      </c>
      <c r="M293" s="564"/>
      <c r="N293" s="634" t="s">
        <v>38</v>
      </c>
      <c r="O293" s="634" t="s">
        <v>38</v>
      </c>
      <c r="P293" s="633" t="s">
        <v>38</v>
      </c>
      <c r="Q293" s="633" t="s">
        <v>38</v>
      </c>
      <c r="R293" s="633" t="s">
        <v>38</v>
      </c>
      <c r="S293" s="180"/>
      <c r="T293" s="612"/>
      <c r="U293" s="575"/>
      <c r="V293" s="575"/>
      <c r="W293" s="591"/>
      <c r="X293" s="592"/>
      <c r="Y293" s="592"/>
      <c r="Z293" s="592"/>
      <c r="AA293" s="592"/>
      <c r="AC293" s="579"/>
      <c r="AD293" s="579"/>
      <c r="AE293" s="579"/>
      <c r="AF293" s="579"/>
      <c r="AG293" s="579"/>
      <c r="AH293" s="579"/>
      <c r="AI293" s="579"/>
      <c r="AJ293" s="579"/>
      <c r="AK293" s="579"/>
      <c r="AL293" s="579"/>
    </row>
    <row r="294" spans="1:50" ht="13" customHeight="1">
      <c r="A294" s="564">
        <v>222</v>
      </c>
      <c r="B294" s="564" t="s">
        <v>265</v>
      </c>
      <c r="C294" s="564" t="s">
        <v>61</v>
      </c>
      <c r="D294" s="564" t="s">
        <v>62</v>
      </c>
      <c r="E294" s="564">
        <v>1600</v>
      </c>
      <c r="F294" s="564" t="s">
        <v>493</v>
      </c>
      <c r="G294" s="564" t="s">
        <v>57</v>
      </c>
      <c r="H294" s="564" t="s">
        <v>76</v>
      </c>
      <c r="I294" s="564">
        <v>1</v>
      </c>
      <c r="J294" s="564" t="s">
        <v>77</v>
      </c>
      <c r="K294" s="564">
        <v>2010</v>
      </c>
      <c r="L294" s="564" t="s">
        <v>262</v>
      </c>
      <c r="M294" s="564"/>
      <c r="N294" s="634" t="s">
        <v>38</v>
      </c>
      <c r="O294" s="634" t="s">
        <v>38</v>
      </c>
      <c r="P294" s="633" t="s">
        <v>38</v>
      </c>
      <c r="Q294" s="633" t="s">
        <v>38</v>
      </c>
      <c r="R294" s="633" t="s">
        <v>38</v>
      </c>
      <c r="S294" s="180"/>
      <c r="T294" s="612"/>
      <c r="U294" s="575"/>
      <c r="V294" s="575"/>
      <c r="W294" s="591"/>
      <c r="X294" s="592"/>
      <c r="Y294" s="592"/>
      <c r="Z294" s="592"/>
      <c r="AA294" s="592"/>
      <c r="AC294" s="579"/>
      <c r="AD294" s="579"/>
      <c r="AE294" s="579"/>
      <c r="AF294" s="579"/>
      <c r="AG294" s="579"/>
      <c r="AH294" s="579"/>
      <c r="AI294" s="579"/>
      <c r="AJ294" s="579"/>
      <c r="AK294" s="579"/>
      <c r="AL294" s="579"/>
    </row>
    <row r="295" spans="1:50" ht="13" customHeight="1">
      <c r="A295" s="564">
        <v>223</v>
      </c>
      <c r="B295" s="564" t="s">
        <v>686</v>
      </c>
      <c r="C295" s="564" t="s">
        <v>61</v>
      </c>
      <c r="D295" s="564" t="s">
        <v>62</v>
      </c>
      <c r="E295" s="564">
        <v>1000</v>
      </c>
      <c r="F295" s="564" t="s">
        <v>493</v>
      </c>
      <c r="G295" s="564" t="s">
        <v>57</v>
      </c>
      <c r="H295" s="564" t="s">
        <v>76</v>
      </c>
      <c r="I295" s="564">
        <v>1</v>
      </c>
      <c r="J295" s="564" t="s">
        <v>77</v>
      </c>
      <c r="K295" s="564">
        <v>2010</v>
      </c>
      <c r="L295" s="564" t="s">
        <v>262</v>
      </c>
      <c r="M295" s="564"/>
      <c r="N295" s="634" t="s">
        <v>38</v>
      </c>
      <c r="O295" s="634" t="s">
        <v>38</v>
      </c>
      <c r="P295" s="633" t="s">
        <v>38</v>
      </c>
      <c r="Q295" s="633" t="s">
        <v>38</v>
      </c>
      <c r="R295" s="633" t="s">
        <v>38</v>
      </c>
      <c r="S295" s="180"/>
      <c r="T295" s="612"/>
      <c r="U295" s="575"/>
      <c r="V295" s="575"/>
      <c r="W295" s="591"/>
      <c r="X295" s="592"/>
      <c r="Y295" s="592"/>
      <c r="Z295" s="592"/>
      <c r="AA295" s="592"/>
      <c r="AC295" s="579"/>
      <c r="AD295" s="579"/>
      <c r="AE295" s="579"/>
      <c r="AF295" s="579"/>
      <c r="AG295" s="579"/>
      <c r="AH295" s="579"/>
      <c r="AI295" s="579"/>
      <c r="AJ295" s="579"/>
      <c r="AK295" s="579"/>
      <c r="AL295" s="579"/>
    </row>
    <row r="296" spans="1:50" ht="13" customHeight="1">
      <c r="A296" s="564">
        <v>224</v>
      </c>
      <c r="B296" s="564" t="s">
        <v>687</v>
      </c>
      <c r="C296" s="564" t="s">
        <v>61</v>
      </c>
      <c r="D296" s="564" t="s">
        <v>62</v>
      </c>
      <c r="E296" s="564">
        <v>1420</v>
      </c>
      <c r="F296" s="564" t="s">
        <v>493</v>
      </c>
      <c r="G296" s="564" t="s">
        <v>57</v>
      </c>
      <c r="H296" s="564" t="s">
        <v>76</v>
      </c>
      <c r="I296" s="564">
        <v>1</v>
      </c>
      <c r="J296" s="564" t="s">
        <v>77</v>
      </c>
      <c r="K296" s="564">
        <v>2010</v>
      </c>
      <c r="L296" s="564" t="s">
        <v>262</v>
      </c>
      <c r="M296" s="564"/>
      <c r="N296" s="634" t="s">
        <v>38</v>
      </c>
      <c r="O296" s="634" t="s">
        <v>38</v>
      </c>
      <c r="P296" s="633" t="s">
        <v>38</v>
      </c>
      <c r="Q296" s="633" t="s">
        <v>38</v>
      </c>
      <c r="R296" s="633" t="s">
        <v>38</v>
      </c>
      <c r="S296" s="180"/>
      <c r="T296" s="612"/>
      <c r="U296" s="575"/>
      <c r="V296" s="575"/>
      <c r="W296" s="591"/>
      <c r="X296" s="592"/>
      <c r="Y296" s="592"/>
      <c r="Z296" s="592"/>
      <c r="AA296" s="592"/>
      <c r="AC296" s="579"/>
      <c r="AD296" s="579"/>
      <c r="AE296" s="579"/>
      <c r="AF296" s="579"/>
      <c r="AG296" s="579"/>
      <c r="AH296" s="579"/>
      <c r="AI296" s="579"/>
      <c r="AJ296" s="579"/>
      <c r="AK296" s="579"/>
      <c r="AL296" s="579"/>
    </row>
    <row r="297" spans="1:50" ht="24.4" customHeight="1">
      <c r="A297" s="564">
        <v>225</v>
      </c>
      <c r="B297" s="564" t="s">
        <v>261</v>
      </c>
      <c r="C297" s="564" t="s">
        <v>61</v>
      </c>
      <c r="D297" s="564" t="s">
        <v>62</v>
      </c>
      <c r="E297" s="564">
        <v>1600</v>
      </c>
      <c r="F297" s="564" t="s">
        <v>115</v>
      </c>
      <c r="G297" s="564" t="s">
        <v>57</v>
      </c>
      <c r="H297" s="564" t="s">
        <v>33</v>
      </c>
      <c r="I297" s="564">
        <f>7.5*1000000</f>
        <v>7500000</v>
      </c>
      <c r="J297" s="564" t="s">
        <v>34</v>
      </c>
      <c r="K297" s="564">
        <v>2010</v>
      </c>
      <c r="L297" s="564" t="s">
        <v>262</v>
      </c>
      <c r="M297" s="564" t="s">
        <v>263</v>
      </c>
      <c r="N297" s="633" t="s">
        <v>122</v>
      </c>
      <c r="O297" s="634" t="s">
        <v>38</v>
      </c>
      <c r="P297" s="633" t="s">
        <v>38</v>
      </c>
      <c r="Q297" s="633" t="s">
        <v>38</v>
      </c>
      <c r="R297" s="633" t="s">
        <v>38</v>
      </c>
      <c r="S297" s="180"/>
      <c r="T297" s="612"/>
      <c r="U297" s="575"/>
      <c r="V297" s="575"/>
      <c r="W297" s="591"/>
      <c r="X297" s="592"/>
      <c r="Y297" s="592"/>
      <c r="Z297" s="592"/>
      <c r="AA297" s="592"/>
      <c r="AC297" s="579"/>
      <c r="AD297" s="579"/>
      <c r="AE297" s="579"/>
      <c r="AF297" s="579"/>
      <c r="AG297" s="579"/>
      <c r="AH297" s="579"/>
      <c r="AI297" s="579"/>
      <c r="AJ297" s="579"/>
      <c r="AK297" s="579"/>
      <c r="AL297" s="579"/>
    </row>
    <row r="298" spans="1:50" s="146" customFormat="1" ht="15" customHeight="1">
      <c r="A298" s="564">
        <v>226</v>
      </c>
      <c r="B298" s="564" t="s">
        <v>261</v>
      </c>
      <c r="C298" s="564" t="s">
        <v>61</v>
      </c>
      <c r="D298" s="564" t="s">
        <v>62</v>
      </c>
      <c r="E298" s="564">
        <v>1420</v>
      </c>
      <c r="F298" s="564" t="s">
        <v>115</v>
      </c>
      <c r="G298" s="564" t="s">
        <v>57</v>
      </c>
      <c r="H298" s="564" t="s">
        <v>33</v>
      </c>
      <c r="I298" s="564">
        <f>7.5*1000000</f>
        <v>7500000</v>
      </c>
      <c r="J298" s="564" t="s">
        <v>34</v>
      </c>
      <c r="K298" s="564">
        <v>2010</v>
      </c>
      <c r="L298" s="564" t="s">
        <v>262</v>
      </c>
      <c r="M298" s="564" t="s">
        <v>263</v>
      </c>
      <c r="N298" s="633" t="s">
        <v>122</v>
      </c>
      <c r="O298" s="634" t="s">
        <v>38</v>
      </c>
      <c r="P298" s="633" t="s">
        <v>38</v>
      </c>
      <c r="Q298" s="633" t="s">
        <v>38</v>
      </c>
      <c r="R298" s="633" t="s">
        <v>38</v>
      </c>
      <c r="S298" s="180"/>
      <c r="T298" s="612"/>
      <c r="U298" s="575"/>
      <c r="V298" s="575"/>
      <c r="W298" s="591"/>
      <c r="X298" s="592"/>
      <c r="Y298" s="592"/>
      <c r="Z298" s="592"/>
      <c r="AA298" s="592"/>
      <c r="AB298" s="570"/>
      <c r="AC298" s="579"/>
      <c r="AD298" s="579"/>
      <c r="AE298" s="579"/>
      <c r="AF298" s="579"/>
      <c r="AG298" s="579"/>
      <c r="AH298" s="579"/>
      <c r="AI298" s="579"/>
      <c r="AJ298" s="579"/>
      <c r="AK298" s="579"/>
      <c r="AL298" s="579"/>
      <c r="AM298" s="570"/>
      <c r="AN298" s="570"/>
      <c r="AO298" s="570"/>
      <c r="AP298" s="570"/>
      <c r="AQ298" s="570"/>
      <c r="AR298" s="570"/>
      <c r="AS298" s="570"/>
      <c r="AT298" s="570"/>
      <c r="AU298" s="570"/>
      <c r="AV298" s="570"/>
      <c r="AW298" s="570"/>
      <c r="AX298" s="570"/>
    </row>
    <row r="299" spans="1:50" s="133" customFormat="1" ht="13" customHeight="1">
      <c r="A299" s="564">
        <v>227</v>
      </c>
      <c r="B299" s="564" t="s">
        <v>261</v>
      </c>
      <c r="C299" s="564" t="s">
        <v>61</v>
      </c>
      <c r="D299" s="564" t="s">
        <v>62</v>
      </c>
      <c r="E299" s="564">
        <v>1000</v>
      </c>
      <c r="F299" s="564" t="s">
        <v>115</v>
      </c>
      <c r="G299" s="564" t="s">
        <v>57</v>
      </c>
      <c r="H299" s="564" t="s">
        <v>33</v>
      </c>
      <c r="I299" s="564">
        <f>7.5*1000000</f>
        <v>7500000</v>
      </c>
      <c r="J299" s="564" t="s">
        <v>34</v>
      </c>
      <c r="K299" s="564">
        <v>2010</v>
      </c>
      <c r="L299" s="564" t="s">
        <v>262</v>
      </c>
      <c r="M299" s="564" t="s">
        <v>263</v>
      </c>
      <c r="N299" s="633" t="s">
        <v>122</v>
      </c>
      <c r="O299" s="634" t="s">
        <v>38</v>
      </c>
      <c r="P299" s="633" t="s">
        <v>38</v>
      </c>
      <c r="Q299" s="633" t="s">
        <v>38</v>
      </c>
      <c r="R299" s="633" t="s">
        <v>38</v>
      </c>
      <c r="S299" s="55"/>
      <c r="T299" s="612"/>
      <c r="U299" s="575"/>
      <c r="V299" s="575"/>
      <c r="W299" s="591"/>
      <c r="X299" s="592"/>
      <c r="Y299" s="592"/>
      <c r="Z299" s="592"/>
      <c r="AA299" s="592"/>
      <c r="AB299" s="570"/>
      <c r="AC299" s="579"/>
      <c r="AD299" s="579"/>
      <c r="AE299" s="579"/>
      <c r="AF299" s="579"/>
      <c r="AG299" s="579"/>
      <c r="AH299" s="579"/>
      <c r="AI299" s="579"/>
      <c r="AJ299" s="579"/>
      <c r="AK299" s="579"/>
      <c r="AL299" s="579"/>
      <c r="AM299" s="570"/>
      <c r="AN299" s="570"/>
      <c r="AO299" s="570"/>
      <c r="AP299" s="570"/>
      <c r="AQ299" s="570"/>
      <c r="AR299" s="570"/>
      <c r="AS299" s="570"/>
      <c r="AT299" s="570"/>
      <c r="AU299" s="570"/>
      <c r="AV299" s="570"/>
      <c r="AW299" s="570"/>
      <c r="AX299" s="570"/>
    </row>
    <row r="300" spans="1:50" s="133" customFormat="1" ht="13" customHeight="1">
      <c r="A300" s="564">
        <v>228</v>
      </c>
      <c r="B300" s="564" t="s">
        <v>264</v>
      </c>
      <c r="C300" s="564" t="s">
        <v>61</v>
      </c>
      <c r="D300" s="564" t="s">
        <v>62</v>
      </c>
      <c r="E300" s="564">
        <v>1000</v>
      </c>
      <c r="F300" s="564" t="s">
        <v>230</v>
      </c>
      <c r="G300" s="564" t="s">
        <v>57</v>
      </c>
      <c r="H300" s="564" t="s">
        <v>33</v>
      </c>
      <c r="I300" s="564">
        <f>5000*1000000 * 1.075 * 0.375</f>
        <v>2015625000</v>
      </c>
      <c r="J300" s="564" t="s">
        <v>34</v>
      </c>
      <c r="K300" s="564">
        <v>2010</v>
      </c>
      <c r="L300" s="564" t="s">
        <v>262</v>
      </c>
      <c r="M300" s="564"/>
      <c r="N300" s="632">
        <v>0.75</v>
      </c>
      <c r="O300" s="564" t="s">
        <v>84</v>
      </c>
      <c r="P300" s="633" t="s">
        <v>38</v>
      </c>
      <c r="Q300" s="633" t="s">
        <v>38</v>
      </c>
      <c r="R300" s="633" t="s">
        <v>38</v>
      </c>
      <c r="S300" s="55"/>
      <c r="T300" s="612"/>
      <c r="U300" s="575"/>
      <c r="V300" s="575"/>
      <c r="W300" s="591"/>
      <c r="X300" s="592"/>
      <c r="Y300" s="592"/>
      <c r="Z300" s="592"/>
      <c r="AA300" s="592"/>
      <c r="AB300" s="570"/>
      <c r="AC300" s="579"/>
      <c r="AD300" s="579"/>
      <c r="AE300" s="579"/>
      <c r="AF300" s="579"/>
      <c r="AG300" s="579"/>
      <c r="AH300" s="579"/>
      <c r="AI300" s="579"/>
      <c r="AJ300" s="579"/>
      <c r="AK300" s="579"/>
      <c r="AL300" s="579"/>
      <c r="AM300" s="570"/>
      <c r="AN300" s="570"/>
      <c r="AO300" s="570"/>
      <c r="AP300" s="570"/>
      <c r="AQ300" s="570"/>
      <c r="AR300" s="570"/>
      <c r="AS300" s="570"/>
      <c r="AT300" s="570"/>
      <c r="AU300" s="570"/>
      <c r="AV300" s="570"/>
      <c r="AW300" s="570"/>
      <c r="AX300" s="570"/>
    </row>
    <row r="301" spans="1:50" s="133" customFormat="1" ht="13" customHeight="1">
      <c r="A301" s="564">
        <v>229</v>
      </c>
      <c r="B301" s="564" t="s">
        <v>265</v>
      </c>
      <c r="C301" s="564" t="s">
        <v>61</v>
      </c>
      <c r="D301" s="564" t="s">
        <v>62</v>
      </c>
      <c r="E301" s="564">
        <v>1600</v>
      </c>
      <c r="F301" s="564" t="s">
        <v>230</v>
      </c>
      <c r="G301" s="564" t="s">
        <v>57</v>
      </c>
      <c r="H301" s="564" t="s">
        <v>33</v>
      </c>
      <c r="I301" s="564">
        <f>6000*1000000 * 1.075 * 0.375</f>
        <v>2418750000</v>
      </c>
      <c r="J301" s="564" t="s">
        <v>34</v>
      </c>
      <c r="K301" s="564">
        <v>2010</v>
      </c>
      <c r="L301" s="564" t="s">
        <v>262</v>
      </c>
      <c r="M301" s="564"/>
      <c r="N301" s="632">
        <v>0.75</v>
      </c>
      <c r="O301" s="564" t="s">
        <v>84</v>
      </c>
      <c r="P301" s="633" t="s">
        <v>38</v>
      </c>
      <c r="Q301" s="633" t="s">
        <v>38</v>
      </c>
      <c r="R301" s="633" t="s">
        <v>38</v>
      </c>
      <c r="S301" s="55"/>
      <c r="T301" s="612"/>
      <c r="U301" s="575"/>
      <c r="V301" s="575"/>
      <c r="W301" s="591"/>
      <c r="X301" s="592"/>
      <c r="Y301" s="592"/>
      <c r="Z301" s="592"/>
      <c r="AA301" s="592"/>
      <c r="AB301" s="570"/>
      <c r="AC301" s="579"/>
      <c r="AD301" s="579"/>
      <c r="AE301" s="579"/>
      <c r="AF301" s="579"/>
      <c r="AG301" s="579"/>
      <c r="AH301" s="579"/>
      <c r="AI301" s="579"/>
      <c r="AJ301" s="579"/>
      <c r="AK301" s="579"/>
      <c r="AL301" s="579"/>
      <c r="AM301" s="570"/>
      <c r="AN301" s="570"/>
      <c r="AO301" s="570"/>
      <c r="AP301" s="570"/>
      <c r="AQ301" s="570"/>
      <c r="AR301" s="570"/>
      <c r="AS301" s="570"/>
      <c r="AT301" s="570"/>
      <c r="AU301" s="570"/>
      <c r="AV301" s="570"/>
      <c r="AW301" s="570"/>
      <c r="AX301" s="570"/>
    </row>
    <row r="302" spans="1:50" s="133" customFormat="1" ht="13" customHeight="1">
      <c r="A302" s="564">
        <v>230</v>
      </c>
      <c r="B302" s="564" t="s">
        <v>688</v>
      </c>
      <c r="C302" s="564" t="s">
        <v>61</v>
      </c>
      <c r="D302" s="564" t="s">
        <v>62</v>
      </c>
      <c r="E302" s="564">
        <v>1200</v>
      </c>
      <c r="F302" s="564" t="s">
        <v>230</v>
      </c>
      <c r="G302" s="564" t="s">
        <v>57</v>
      </c>
      <c r="H302" s="564" t="s">
        <v>33</v>
      </c>
      <c r="I302" s="564">
        <f>4000*1000000 * 1.075 * 0.375</f>
        <v>1612500000</v>
      </c>
      <c r="J302" s="564" t="s">
        <v>34</v>
      </c>
      <c r="K302" s="564">
        <v>2010</v>
      </c>
      <c r="L302" s="564" t="s">
        <v>262</v>
      </c>
      <c r="M302" s="564"/>
      <c r="N302" s="632">
        <v>0.75</v>
      </c>
      <c r="O302" s="564" t="s">
        <v>84</v>
      </c>
      <c r="P302" s="633" t="s">
        <v>38</v>
      </c>
      <c r="Q302" s="633" t="s">
        <v>38</v>
      </c>
      <c r="R302" s="633" t="s">
        <v>38</v>
      </c>
      <c r="S302" s="55"/>
      <c r="T302" s="612"/>
      <c r="U302" s="575"/>
      <c r="V302" s="575"/>
      <c r="W302" s="591"/>
      <c r="X302" s="592"/>
      <c r="Y302" s="592"/>
      <c r="Z302" s="592"/>
      <c r="AA302" s="592"/>
      <c r="AB302" s="570"/>
      <c r="AC302" s="579"/>
      <c r="AD302" s="579"/>
      <c r="AE302" s="579"/>
      <c r="AF302" s="579"/>
      <c r="AG302" s="579"/>
      <c r="AH302" s="579"/>
      <c r="AI302" s="579"/>
      <c r="AJ302" s="579"/>
      <c r="AK302" s="579"/>
      <c r="AL302" s="579"/>
      <c r="AM302" s="570"/>
      <c r="AN302" s="570"/>
      <c r="AO302" s="570"/>
      <c r="AP302" s="570"/>
      <c r="AQ302" s="570"/>
      <c r="AR302" s="570"/>
      <c r="AS302" s="570"/>
      <c r="AT302" s="570"/>
      <c r="AU302" s="570"/>
      <c r="AV302" s="570"/>
      <c r="AW302" s="570"/>
      <c r="AX302" s="570"/>
    </row>
    <row r="303" spans="1:50" s="133" customFormat="1" ht="13" customHeight="1">
      <c r="A303" s="564">
        <v>231</v>
      </c>
      <c r="B303" s="564" t="s">
        <v>687</v>
      </c>
      <c r="C303" s="564" t="s">
        <v>61</v>
      </c>
      <c r="D303" s="564" t="s">
        <v>62</v>
      </c>
      <c r="E303" s="564">
        <v>1420</v>
      </c>
      <c r="F303" s="564" t="s">
        <v>230</v>
      </c>
      <c r="G303" s="564" t="s">
        <v>57</v>
      </c>
      <c r="H303" s="564" t="s">
        <v>33</v>
      </c>
      <c r="I303" s="564">
        <f>5000*1000000 * 1.075 * 0.375</f>
        <v>2015625000</v>
      </c>
      <c r="J303" s="564" t="s">
        <v>34</v>
      </c>
      <c r="K303" s="564">
        <v>2010</v>
      </c>
      <c r="L303" s="564" t="s">
        <v>262</v>
      </c>
      <c r="M303" s="564"/>
      <c r="N303" s="632">
        <v>0.75</v>
      </c>
      <c r="O303" s="564" t="s">
        <v>84</v>
      </c>
      <c r="P303" s="633" t="s">
        <v>38</v>
      </c>
      <c r="Q303" s="633" t="s">
        <v>38</v>
      </c>
      <c r="R303" s="633" t="s">
        <v>38</v>
      </c>
      <c r="S303" s="55"/>
      <c r="T303" s="612"/>
      <c r="U303" s="575"/>
      <c r="V303" s="575"/>
      <c r="W303" s="591"/>
      <c r="X303" s="592"/>
      <c r="Y303" s="592"/>
      <c r="Z303" s="592"/>
      <c r="AA303" s="592"/>
      <c r="AB303" s="570"/>
      <c r="AC303" s="579"/>
      <c r="AD303" s="579"/>
      <c r="AE303" s="579"/>
      <c r="AF303" s="579"/>
      <c r="AG303" s="579"/>
      <c r="AH303" s="579"/>
      <c r="AI303" s="579"/>
      <c r="AJ303" s="579"/>
      <c r="AK303" s="579"/>
      <c r="AL303" s="579"/>
      <c r="AM303" s="570"/>
      <c r="AN303" s="570"/>
      <c r="AO303" s="570"/>
      <c r="AP303" s="570"/>
      <c r="AQ303" s="570"/>
      <c r="AR303" s="570"/>
      <c r="AS303" s="570"/>
      <c r="AT303" s="570"/>
      <c r="AU303" s="570"/>
      <c r="AV303" s="570"/>
      <c r="AW303" s="570"/>
      <c r="AX303" s="570"/>
    </row>
    <row r="304" spans="1:50" s="133" customFormat="1" ht="13" customHeight="1">
      <c r="A304" s="564">
        <v>232</v>
      </c>
      <c r="B304" s="564" t="s">
        <v>264</v>
      </c>
      <c r="C304" s="564" t="s">
        <v>61</v>
      </c>
      <c r="D304" s="564" t="s">
        <v>62</v>
      </c>
      <c r="E304" s="564">
        <v>1000</v>
      </c>
      <c r="F304" s="564" t="s">
        <v>116</v>
      </c>
      <c r="G304" s="564" t="s">
        <v>57</v>
      </c>
      <c r="H304" s="564" t="s">
        <v>33</v>
      </c>
      <c r="I304" s="644">
        <f>(108 * (1000/1200)^0.5)*1000000</f>
        <v>98590060.350929901</v>
      </c>
      <c r="J304" s="564" t="s">
        <v>34</v>
      </c>
      <c r="K304" s="564">
        <v>2010</v>
      </c>
      <c r="L304" s="564" t="s">
        <v>262</v>
      </c>
      <c r="M304" s="564"/>
      <c r="N304" s="634" t="s">
        <v>38</v>
      </c>
      <c r="O304" s="634" t="s">
        <v>38</v>
      </c>
      <c r="P304" s="633" t="s">
        <v>38</v>
      </c>
      <c r="Q304" s="633" t="s">
        <v>38</v>
      </c>
      <c r="R304" s="633" t="s">
        <v>38</v>
      </c>
      <c r="S304" s="55"/>
      <c r="T304" s="612"/>
      <c r="U304" s="575"/>
      <c r="V304" s="575"/>
      <c r="W304" s="591"/>
      <c r="X304" s="592"/>
      <c r="Y304" s="592"/>
      <c r="Z304" s="592"/>
      <c r="AA304" s="592"/>
      <c r="AB304" s="570"/>
      <c r="AC304" s="579"/>
      <c r="AD304" s="579"/>
      <c r="AE304" s="579"/>
      <c r="AF304" s="579"/>
      <c r="AG304" s="579"/>
      <c r="AH304" s="579"/>
      <c r="AI304" s="579"/>
      <c r="AJ304" s="579"/>
      <c r="AK304" s="579"/>
      <c r="AL304" s="579"/>
      <c r="AM304" s="570"/>
      <c r="AN304" s="570"/>
      <c r="AO304" s="570"/>
      <c r="AP304" s="570"/>
      <c r="AQ304" s="570"/>
      <c r="AR304" s="570"/>
      <c r="AS304" s="570"/>
      <c r="AT304" s="570"/>
      <c r="AU304" s="570"/>
      <c r="AV304" s="570"/>
      <c r="AW304" s="570"/>
      <c r="AX304" s="570"/>
    </row>
    <row r="305" spans="1:50" s="133" customFormat="1" ht="13" customHeight="1">
      <c r="A305" s="564">
        <v>233</v>
      </c>
      <c r="B305" s="564" t="s">
        <v>265</v>
      </c>
      <c r="C305" s="564" t="s">
        <v>61</v>
      </c>
      <c r="D305" s="564" t="s">
        <v>62</v>
      </c>
      <c r="E305" s="564">
        <v>1600</v>
      </c>
      <c r="F305" s="564" t="s">
        <v>116</v>
      </c>
      <c r="G305" s="564" t="s">
        <v>57</v>
      </c>
      <c r="H305" s="564" t="s">
        <v>33</v>
      </c>
      <c r="I305" s="645">
        <f>(108 * (1600/1200)^0.5)*1000000</f>
        <v>124707658.14495915</v>
      </c>
      <c r="J305" s="564" t="s">
        <v>34</v>
      </c>
      <c r="K305" s="564">
        <v>2010</v>
      </c>
      <c r="L305" s="564" t="s">
        <v>262</v>
      </c>
      <c r="M305" s="564"/>
      <c r="N305" s="634" t="s">
        <v>38</v>
      </c>
      <c r="O305" s="634" t="s">
        <v>38</v>
      </c>
      <c r="P305" s="633" t="s">
        <v>38</v>
      </c>
      <c r="Q305" s="633" t="s">
        <v>38</v>
      </c>
      <c r="R305" s="633" t="s">
        <v>38</v>
      </c>
      <c r="S305" s="55"/>
      <c r="T305" s="612"/>
      <c r="U305" s="575"/>
      <c r="V305" s="575"/>
      <c r="W305" s="591"/>
      <c r="X305" s="592"/>
      <c r="Y305" s="592"/>
      <c r="Z305" s="592"/>
      <c r="AA305" s="592"/>
      <c r="AB305" s="570"/>
      <c r="AC305" s="579"/>
      <c r="AD305" s="579"/>
      <c r="AE305" s="579"/>
      <c r="AF305" s="579"/>
      <c r="AG305" s="579"/>
      <c r="AH305" s="579"/>
      <c r="AI305" s="579"/>
      <c r="AJ305" s="579"/>
      <c r="AK305" s="579"/>
      <c r="AL305" s="579"/>
      <c r="AM305" s="570"/>
      <c r="AN305" s="570"/>
      <c r="AO305" s="570"/>
      <c r="AP305" s="570"/>
      <c r="AQ305" s="570"/>
      <c r="AR305" s="570"/>
      <c r="AS305" s="570"/>
      <c r="AT305" s="570"/>
      <c r="AU305" s="570"/>
      <c r="AV305" s="570"/>
      <c r="AW305" s="570"/>
      <c r="AX305" s="570"/>
    </row>
    <row r="306" spans="1:50" s="133" customFormat="1" ht="13" customHeight="1">
      <c r="A306" s="564">
        <v>234</v>
      </c>
      <c r="B306" s="564" t="s">
        <v>686</v>
      </c>
      <c r="C306" s="564" t="s">
        <v>61</v>
      </c>
      <c r="D306" s="564" t="s">
        <v>62</v>
      </c>
      <c r="E306" s="564">
        <v>1200</v>
      </c>
      <c r="F306" s="564" t="s">
        <v>116</v>
      </c>
      <c r="G306" s="564" t="s">
        <v>57</v>
      </c>
      <c r="H306" s="564" t="s">
        <v>33</v>
      </c>
      <c r="I306" s="564">
        <f>(108*(1200/1200)^0.5)*1000000</f>
        <v>108000000</v>
      </c>
      <c r="J306" s="564" t="s">
        <v>34</v>
      </c>
      <c r="K306" s="564">
        <v>2010</v>
      </c>
      <c r="L306" s="564" t="s">
        <v>262</v>
      </c>
      <c r="M306" s="564"/>
      <c r="N306" s="634" t="s">
        <v>38</v>
      </c>
      <c r="O306" s="634" t="s">
        <v>38</v>
      </c>
      <c r="P306" s="633" t="s">
        <v>38</v>
      </c>
      <c r="Q306" s="633" t="s">
        <v>38</v>
      </c>
      <c r="R306" s="633" t="s">
        <v>38</v>
      </c>
      <c r="S306" s="55"/>
      <c r="T306" s="612"/>
      <c r="U306" s="575"/>
      <c r="V306" s="575"/>
      <c r="W306" s="591"/>
      <c r="X306" s="592"/>
      <c r="Y306" s="592"/>
      <c r="Z306" s="592"/>
      <c r="AA306" s="592"/>
      <c r="AB306" s="570"/>
      <c r="AC306" s="579"/>
      <c r="AD306" s="579"/>
      <c r="AE306" s="579"/>
      <c r="AF306" s="579"/>
      <c r="AG306" s="579"/>
      <c r="AH306" s="579"/>
      <c r="AI306" s="579"/>
      <c r="AJ306" s="579"/>
      <c r="AK306" s="579"/>
      <c r="AL306" s="579"/>
      <c r="AM306" s="570"/>
      <c r="AN306" s="570"/>
      <c r="AO306" s="570"/>
      <c r="AP306" s="570"/>
      <c r="AQ306" s="570"/>
      <c r="AR306" s="570"/>
      <c r="AS306" s="570"/>
      <c r="AT306" s="570"/>
      <c r="AU306" s="570"/>
      <c r="AV306" s="570"/>
      <c r="AW306" s="570"/>
      <c r="AX306" s="570"/>
    </row>
    <row r="307" spans="1:50" s="133" customFormat="1" ht="13" customHeight="1">
      <c r="A307" s="564">
        <v>235</v>
      </c>
      <c r="B307" s="564" t="s">
        <v>687</v>
      </c>
      <c r="C307" s="564" t="s">
        <v>61</v>
      </c>
      <c r="D307" s="564" t="s">
        <v>62</v>
      </c>
      <c r="E307" s="564">
        <v>1420</v>
      </c>
      <c r="F307" s="564" t="s">
        <v>116</v>
      </c>
      <c r="G307" s="564" t="s">
        <v>57</v>
      </c>
      <c r="H307" s="564" t="s">
        <v>33</v>
      </c>
      <c r="I307" s="644">
        <f>(108*(1420/1200)^0.5)*1000000</f>
        <v>117483615.87898119</v>
      </c>
      <c r="J307" s="564" t="s">
        <v>34</v>
      </c>
      <c r="K307" s="564">
        <v>2010</v>
      </c>
      <c r="L307" s="564" t="s">
        <v>262</v>
      </c>
      <c r="M307" s="564"/>
      <c r="N307" s="634" t="s">
        <v>38</v>
      </c>
      <c r="O307" s="634" t="s">
        <v>38</v>
      </c>
      <c r="P307" s="633" t="s">
        <v>38</v>
      </c>
      <c r="Q307" s="633" t="s">
        <v>38</v>
      </c>
      <c r="R307" s="633" t="s">
        <v>38</v>
      </c>
      <c r="S307" s="55"/>
      <c r="T307" s="612"/>
      <c r="U307" s="575"/>
      <c r="V307" s="575"/>
      <c r="W307" s="591"/>
      <c r="X307" s="592"/>
      <c r="Y307" s="592"/>
      <c r="Z307" s="592"/>
      <c r="AA307" s="592"/>
      <c r="AB307" s="570"/>
      <c r="AC307" s="579"/>
      <c r="AD307" s="579"/>
      <c r="AE307" s="579"/>
      <c r="AF307" s="579"/>
      <c r="AG307" s="579"/>
      <c r="AH307" s="579"/>
      <c r="AI307" s="579"/>
      <c r="AJ307" s="579"/>
      <c r="AK307" s="579"/>
      <c r="AL307" s="579"/>
      <c r="AM307" s="570"/>
      <c r="AN307" s="570"/>
      <c r="AO307" s="570"/>
      <c r="AP307" s="570"/>
      <c r="AQ307" s="570"/>
      <c r="AR307" s="570"/>
      <c r="AS307" s="570"/>
      <c r="AT307" s="570"/>
      <c r="AU307" s="570"/>
      <c r="AV307" s="570"/>
      <c r="AW307" s="570"/>
      <c r="AX307" s="570"/>
    </row>
    <row r="308" spans="1:50" s="133" customFormat="1" ht="13" customHeight="1">
      <c r="A308" s="564">
        <v>236</v>
      </c>
      <c r="B308" s="564" t="s">
        <v>264</v>
      </c>
      <c r="C308" s="564" t="s">
        <v>61</v>
      </c>
      <c r="D308" s="564" t="s">
        <v>62</v>
      </c>
      <c r="E308" s="564">
        <v>1000</v>
      </c>
      <c r="F308" s="564" t="s">
        <v>266</v>
      </c>
      <c r="G308" s="564" t="s">
        <v>57</v>
      </c>
      <c r="H308" s="564" t="s">
        <v>33</v>
      </c>
      <c r="I308" s="564">
        <f>(5000000000/1.15)</f>
        <v>4347826086.956522</v>
      </c>
      <c r="J308" s="564" t="s">
        <v>34</v>
      </c>
      <c r="K308" s="564">
        <v>2010</v>
      </c>
      <c r="L308" s="564" t="s">
        <v>262</v>
      </c>
      <c r="M308" s="564" t="s">
        <v>267</v>
      </c>
      <c r="N308" s="632">
        <v>0.75</v>
      </c>
      <c r="O308" s="564" t="s">
        <v>84</v>
      </c>
      <c r="P308" s="633" t="s">
        <v>38</v>
      </c>
      <c r="Q308" s="564">
        <f>0.15*5000000</f>
        <v>750000</v>
      </c>
      <c r="R308" s="633" t="s">
        <v>38</v>
      </c>
      <c r="S308" s="55"/>
      <c r="T308" s="612"/>
      <c r="U308" s="575"/>
      <c r="V308" s="575"/>
      <c r="W308" s="591"/>
      <c r="X308" s="592"/>
      <c r="Y308" s="592"/>
      <c r="Z308" s="592"/>
      <c r="AA308" s="592"/>
      <c r="AB308" s="570"/>
      <c r="AC308" s="579"/>
      <c r="AD308" s="579"/>
      <c r="AE308" s="579"/>
      <c r="AF308" s="579"/>
      <c r="AG308" s="579"/>
      <c r="AH308" s="579"/>
      <c r="AI308" s="579"/>
      <c r="AJ308" s="579"/>
      <c r="AK308" s="579"/>
      <c r="AL308" s="579"/>
      <c r="AM308" s="570"/>
      <c r="AN308" s="570"/>
      <c r="AO308" s="570"/>
      <c r="AP308" s="570"/>
      <c r="AQ308" s="570"/>
      <c r="AR308" s="570"/>
      <c r="AS308" s="570"/>
      <c r="AT308" s="570"/>
      <c r="AU308" s="570"/>
      <c r="AV308" s="570"/>
      <c r="AW308" s="570"/>
      <c r="AX308" s="570"/>
    </row>
    <row r="309" spans="1:50" s="133" customFormat="1" ht="13" customHeight="1">
      <c r="A309" s="564">
        <v>237</v>
      </c>
      <c r="B309" s="564" t="s">
        <v>265</v>
      </c>
      <c r="C309" s="564" t="s">
        <v>61</v>
      </c>
      <c r="D309" s="564" t="s">
        <v>62</v>
      </c>
      <c r="E309" s="564">
        <v>1600</v>
      </c>
      <c r="F309" s="564" t="s">
        <v>266</v>
      </c>
      <c r="G309" s="564" t="s">
        <v>57</v>
      </c>
      <c r="H309" s="564" t="s">
        <v>33</v>
      </c>
      <c r="I309" s="564">
        <f>(6000000000/1.15)</f>
        <v>5217391304.347827</v>
      </c>
      <c r="J309" s="564" t="s">
        <v>34</v>
      </c>
      <c r="K309" s="564">
        <v>2010</v>
      </c>
      <c r="L309" s="564" t="s">
        <v>262</v>
      </c>
      <c r="M309" s="564" t="s">
        <v>267</v>
      </c>
      <c r="N309" s="632">
        <v>0.75</v>
      </c>
      <c r="O309" s="564" t="s">
        <v>84</v>
      </c>
      <c r="P309" s="633" t="s">
        <v>38</v>
      </c>
      <c r="Q309" s="564">
        <f>0.15*6000000</f>
        <v>900000</v>
      </c>
      <c r="R309" s="633" t="s">
        <v>38</v>
      </c>
      <c r="S309" s="55"/>
      <c r="T309" s="612"/>
      <c r="U309" s="575"/>
      <c r="V309" s="575"/>
      <c r="W309" s="591"/>
      <c r="X309" s="592"/>
      <c r="Y309" s="592"/>
      <c r="Z309" s="592"/>
      <c r="AA309" s="592"/>
      <c r="AB309" s="570"/>
      <c r="AC309" s="579"/>
      <c r="AD309" s="579"/>
      <c r="AE309" s="579"/>
      <c r="AF309" s="579"/>
      <c r="AG309" s="579"/>
      <c r="AH309" s="579"/>
      <c r="AI309" s="579"/>
      <c r="AJ309" s="579"/>
      <c r="AK309" s="579"/>
      <c r="AL309" s="579"/>
      <c r="AM309" s="570"/>
      <c r="AN309" s="570"/>
      <c r="AO309" s="570"/>
      <c r="AP309" s="570"/>
      <c r="AQ309" s="570"/>
      <c r="AR309" s="570"/>
      <c r="AS309" s="570"/>
      <c r="AT309" s="570"/>
      <c r="AU309" s="570"/>
      <c r="AV309" s="570"/>
      <c r="AW309" s="570"/>
      <c r="AX309" s="570"/>
    </row>
    <row r="310" spans="1:50" s="133" customFormat="1" ht="21" customHeight="1">
      <c r="A310" s="564">
        <v>238</v>
      </c>
      <c r="B310" s="564" t="s">
        <v>686</v>
      </c>
      <c r="C310" s="564" t="s">
        <v>61</v>
      </c>
      <c r="D310" s="564" t="s">
        <v>62</v>
      </c>
      <c r="E310" s="564">
        <v>1000</v>
      </c>
      <c r="F310" s="564" t="s">
        <v>266</v>
      </c>
      <c r="G310" s="564" t="s">
        <v>57</v>
      </c>
      <c r="H310" s="564" t="s">
        <v>33</v>
      </c>
      <c r="I310" s="564">
        <f>(4000000000/1.15)</f>
        <v>3478260869.5652175</v>
      </c>
      <c r="J310" s="564" t="s">
        <v>34</v>
      </c>
      <c r="K310" s="564">
        <v>2010</v>
      </c>
      <c r="L310" s="564" t="s">
        <v>262</v>
      </c>
      <c r="M310" s="564" t="s">
        <v>267</v>
      </c>
      <c r="N310" s="632">
        <v>0.75</v>
      </c>
      <c r="O310" s="564" t="s">
        <v>84</v>
      </c>
      <c r="P310" s="633" t="s">
        <v>38</v>
      </c>
      <c r="Q310" s="564">
        <f>0.15*4000000</f>
        <v>600000</v>
      </c>
      <c r="R310" s="633" t="s">
        <v>38</v>
      </c>
      <c r="S310" s="55"/>
      <c r="T310" s="612"/>
      <c r="U310" s="575"/>
      <c r="V310" s="575"/>
      <c r="W310" s="591"/>
      <c r="X310" s="592"/>
      <c r="Y310" s="592"/>
      <c r="Z310" s="592"/>
      <c r="AA310" s="592"/>
      <c r="AB310" s="570"/>
      <c r="AC310" s="579"/>
      <c r="AD310" s="579"/>
      <c r="AE310" s="579"/>
      <c r="AF310" s="579"/>
      <c r="AG310" s="583"/>
      <c r="AH310" s="579"/>
      <c r="AI310" s="579"/>
      <c r="AJ310" s="579"/>
      <c r="AK310" s="579"/>
      <c r="AL310" s="579"/>
      <c r="AM310" s="570"/>
      <c r="AN310" s="570"/>
      <c r="AO310" s="570"/>
      <c r="AP310" s="570"/>
      <c r="AQ310" s="570"/>
      <c r="AR310" s="570"/>
      <c r="AS310" s="570"/>
      <c r="AT310" s="570"/>
      <c r="AU310" s="570"/>
      <c r="AV310" s="570"/>
      <c r="AW310" s="570"/>
      <c r="AX310" s="570"/>
    </row>
    <row r="311" spans="1:50" s="133" customFormat="1" ht="13" customHeight="1">
      <c r="A311" s="564">
        <v>239</v>
      </c>
      <c r="B311" s="564" t="s">
        <v>687</v>
      </c>
      <c r="C311" s="564" t="s">
        <v>61</v>
      </c>
      <c r="D311" s="564" t="s">
        <v>62</v>
      </c>
      <c r="E311" s="564">
        <v>1420</v>
      </c>
      <c r="F311" s="564" t="s">
        <v>266</v>
      </c>
      <c r="G311" s="564" t="s">
        <v>57</v>
      </c>
      <c r="H311" s="564" t="s">
        <v>33</v>
      </c>
      <c r="I311" s="564">
        <f>(5000000000/1.15)</f>
        <v>4347826086.956522</v>
      </c>
      <c r="J311" s="564" t="s">
        <v>34</v>
      </c>
      <c r="K311" s="564">
        <v>2010</v>
      </c>
      <c r="L311" s="564" t="s">
        <v>262</v>
      </c>
      <c r="M311" s="564" t="s">
        <v>267</v>
      </c>
      <c r="N311" s="632">
        <v>0.75</v>
      </c>
      <c r="O311" s="564" t="s">
        <v>84</v>
      </c>
      <c r="P311" s="633" t="s">
        <v>38</v>
      </c>
      <c r="Q311" s="564">
        <f>0.15*5000000</f>
        <v>750000</v>
      </c>
      <c r="R311" s="633" t="s">
        <v>38</v>
      </c>
      <c r="S311"/>
      <c r="T311" s="612"/>
      <c r="U311" s="575"/>
      <c r="V311" s="575"/>
      <c r="W311" s="591"/>
      <c r="X311" s="592"/>
      <c r="Y311" s="592"/>
      <c r="Z311" s="592"/>
      <c r="AA311" s="592"/>
      <c r="AB311" s="570"/>
      <c r="AC311" s="579"/>
      <c r="AD311" s="579"/>
      <c r="AE311" s="579"/>
      <c r="AF311" s="579"/>
      <c r="AG311" s="579"/>
      <c r="AH311" s="579"/>
      <c r="AI311" s="579"/>
      <c r="AJ311" s="579"/>
      <c r="AK311" s="579"/>
      <c r="AL311" s="579"/>
      <c r="AM311" s="570"/>
      <c r="AN311" s="570"/>
      <c r="AO311" s="570"/>
      <c r="AP311" s="570"/>
      <c r="AQ311" s="570"/>
      <c r="AR311" s="570"/>
      <c r="AS311" s="570"/>
      <c r="AT311" s="570"/>
      <c r="AU311" s="570"/>
      <c r="AV311" s="570"/>
      <c r="AW311" s="570"/>
      <c r="AX311" s="570"/>
    </row>
    <row r="312" spans="1:50" s="133" customFormat="1" ht="13" customHeight="1">
      <c r="A312" s="564">
        <v>240</v>
      </c>
      <c r="B312" s="564" t="s">
        <v>264</v>
      </c>
      <c r="C312" s="564" t="s">
        <v>61</v>
      </c>
      <c r="D312" s="564" t="s">
        <v>62</v>
      </c>
      <c r="E312" s="564">
        <v>1000</v>
      </c>
      <c r="F312" s="564" t="s">
        <v>75</v>
      </c>
      <c r="G312" s="564" t="s">
        <v>57</v>
      </c>
      <c r="H312" s="564" t="s">
        <v>76</v>
      </c>
      <c r="I312" s="564">
        <v>109</v>
      </c>
      <c r="J312" s="564" t="s">
        <v>77</v>
      </c>
      <c r="K312" s="564">
        <v>2010</v>
      </c>
      <c r="L312" s="564" t="s">
        <v>262</v>
      </c>
      <c r="M312" s="564" t="s">
        <v>268</v>
      </c>
      <c r="N312" s="632">
        <v>0.75</v>
      </c>
      <c r="O312" s="564" t="s">
        <v>84</v>
      </c>
      <c r="P312" s="633" t="s">
        <v>38</v>
      </c>
      <c r="Q312" s="633" t="s">
        <v>38</v>
      </c>
      <c r="R312" s="633" t="s">
        <v>38</v>
      </c>
      <c r="S312" s="55"/>
      <c r="T312" s="612"/>
      <c r="U312" s="575"/>
      <c r="V312" s="575"/>
      <c r="W312" s="591"/>
      <c r="X312" s="592"/>
      <c r="Y312" s="592"/>
      <c r="Z312" s="592"/>
      <c r="AA312" s="592"/>
      <c r="AB312" s="570"/>
      <c r="AC312" s="579"/>
      <c r="AD312" s="579"/>
      <c r="AE312" s="579"/>
      <c r="AF312" s="579"/>
      <c r="AG312" s="579"/>
      <c r="AH312" s="579"/>
      <c r="AI312" s="579"/>
      <c r="AJ312" s="579"/>
      <c r="AK312" s="579"/>
      <c r="AL312" s="579"/>
      <c r="AM312" s="570"/>
      <c r="AN312" s="570"/>
      <c r="AO312" s="570"/>
      <c r="AP312" s="570"/>
      <c r="AQ312" s="570"/>
      <c r="AR312" s="570"/>
      <c r="AS312" s="570"/>
      <c r="AT312" s="570"/>
      <c r="AU312" s="570"/>
      <c r="AV312" s="570"/>
      <c r="AW312" s="570"/>
      <c r="AX312" s="570"/>
    </row>
    <row r="313" spans="1:50" s="133" customFormat="1" ht="13" customHeight="1">
      <c r="A313" s="564">
        <v>241</v>
      </c>
      <c r="B313" s="564" t="s">
        <v>265</v>
      </c>
      <c r="C313" s="564" t="s">
        <v>61</v>
      </c>
      <c r="D313" s="564" t="s">
        <v>62</v>
      </c>
      <c r="E313" s="564">
        <v>1600</v>
      </c>
      <c r="F313" s="564" t="s">
        <v>75</v>
      </c>
      <c r="G313" s="564" t="s">
        <v>57</v>
      </c>
      <c r="H313" s="564" t="s">
        <v>76</v>
      </c>
      <c r="I313" s="564">
        <v>140</v>
      </c>
      <c r="J313" s="564" t="s">
        <v>77</v>
      </c>
      <c r="K313" s="564">
        <v>2010</v>
      </c>
      <c r="L313" s="564" t="s">
        <v>262</v>
      </c>
      <c r="M313" s="564" t="s">
        <v>268</v>
      </c>
      <c r="N313" s="632">
        <v>0.75</v>
      </c>
      <c r="O313" s="564" t="s">
        <v>84</v>
      </c>
      <c r="P313" s="633" t="s">
        <v>38</v>
      </c>
      <c r="Q313" s="633" t="s">
        <v>38</v>
      </c>
      <c r="R313" s="633" t="s">
        <v>38</v>
      </c>
      <c r="S313" s="55"/>
      <c r="T313" s="612"/>
      <c r="U313" s="575"/>
      <c r="V313" s="575"/>
      <c r="W313" s="591"/>
      <c r="X313" s="592"/>
      <c r="Y313" s="592"/>
      <c r="Z313" s="592"/>
      <c r="AA313" s="592"/>
      <c r="AB313" s="570"/>
      <c r="AC313" s="579"/>
      <c r="AD313" s="579"/>
      <c r="AE313" s="579"/>
      <c r="AF313" s="579"/>
      <c r="AG313" s="579"/>
      <c r="AH313" s="579"/>
      <c r="AI313" s="579"/>
      <c r="AJ313" s="579"/>
      <c r="AK313" s="579"/>
      <c r="AL313" s="579"/>
      <c r="AM313" s="570"/>
      <c r="AN313" s="570"/>
      <c r="AO313" s="570"/>
      <c r="AP313" s="570"/>
      <c r="AQ313" s="570"/>
      <c r="AR313" s="570"/>
      <c r="AS313" s="570"/>
      <c r="AT313" s="570"/>
      <c r="AU313" s="570"/>
      <c r="AV313" s="570"/>
      <c r="AW313" s="570"/>
      <c r="AX313" s="570"/>
    </row>
    <row r="314" spans="1:50" s="133" customFormat="1" ht="13" customHeight="1">
      <c r="A314" s="564">
        <v>242</v>
      </c>
      <c r="B314" s="564" t="s">
        <v>686</v>
      </c>
      <c r="C314" s="564" t="s">
        <v>61</v>
      </c>
      <c r="D314" s="564" t="s">
        <v>62</v>
      </c>
      <c r="E314" s="564">
        <v>1000</v>
      </c>
      <c r="F314" s="564" t="s">
        <v>75</v>
      </c>
      <c r="G314" s="564" t="s">
        <v>57</v>
      </c>
      <c r="H314" s="564" t="s">
        <v>76</v>
      </c>
      <c r="I314" s="564">
        <v>98</v>
      </c>
      <c r="J314" s="564" t="s">
        <v>77</v>
      </c>
      <c r="K314" s="564">
        <v>2010</v>
      </c>
      <c r="L314" s="564" t="s">
        <v>262</v>
      </c>
      <c r="M314" s="564" t="s">
        <v>268</v>
      </c>
      <c r="N314" s="632">
        <v>0.75</v>
      </c>
      <c r="O314" s="564" t="s">
        <v>84</v>
      </c>
      <c r="P314" s="633" t="s">
        <v>38</v>
      </c>
      <c r="Q314" s="633" t="s">
        <v>38</v>
      </c>
      <c r="R314" s="633" t="s">
        <v>38</v>
      </c>
      <c r="S314" s="55"/>
      <c r="T314" s="612"/>
      <c r="U314" s="575"/>
      <c r="V314" s="575"/>
      <c r="W314" s="591"/>
      <c r="X314" s="592"/>
      <c r="Y314" s="592"/>
      <c r="Z314" s="592"/>
      <c r="AA314" s="592"/>
      <c r="AB314" s="570"/>
      <c r="AC314" s="579"/>
      <c r="AD314" s="579"/>
      <c r="AE314" s="579"/>
      <c r="AF314" s="579"/>
      <c r="AG314" s="579"/>
      <c r="AH314" s="579"/>
      <c r="AI314" s="579"/>
      <c r="AJ314" s="579"/>
      <c r="AK314" s="579"/>
      <c r="AL314" s="579"/>
      <c r="AM314" s="570"/>
      <c r="AN314" s="570"/>
      <c r="AO314" s="570"/>
      <c r="AP314" s="570"/>
      <c r="AQ314" s="570"/>
      <c r="AR314" s="570"/>
      <c r="AS314" s="570"/>
      <c r="AT314" s="570"/>
      <c r="AU314" s="570"/>
      <c r="AV314" s="570"/>
      <c r="AW314" s="570"/>
      <c r="AX314" s="570"/>
    </row>
    <row r="315" spans="1:50" s="133" customFormat="1" ht="13" customHeight="1">
      <c r="A315" s="564">
        <v>243</v>
      </c>
      <c r="B315" s="564" t="s">
        <v>687</v>
      </c>
      <c r="C315" s="564" t="s">
        <v>61</v>
      </c>
      <c r="D315" s="564" t="s">
        <v>62</v>
      </c>
      <c r="E315" s="564">
        <v>1420</v>
      </c>
      <c r="F315" s="564" t="s">
        <v>75</v>
      </c>
      <c r="G315" s="564" t="s">
        <v>57</v>
      </c>
      <c r="H315" s="564" t="s">
        <v>76</v>
      </c>
      <c r="I315" s="564">
        <v>130</v>
      </c>
      <c r="J315" s="564" t="s">
        <v>77</v>
      </c>
      <c r="K315" s="564">
        <v>2010</v>
      </c>
      <c r="L315" s="564" t="s">
        <v>262</v>
      </c>
      <c r="M315" s="564" t="s">
        <v>268</v>
      </c>
      <c r="N315" s="632">
        <v>0.75</v>
      </c>
      <c r="O315" s="564" t="s">
        <v>84</v>
      </c>
      <c r="P315" s="633" t="s">
        <v>38</v>
      </c>
      <c r="Q315" s="633" t="s">
        <v>38</v>
      </c>
      <c r="R315" s="633" t="s">
        <v>38</v>
      </c>
      <c r="S315" s="55"/>
      <c r="T315" s="612"/>
      <c r="U315" s="575"/>
      <c r="V315" s="575"/>
      <c r="W315" s="591"/>
      <c r="X315" s="592"/>
      <c r="Y315" s="592"/>
      <c r="Z315" s="592"/>
      <c r="AA315" s="592"/>
      <c r="AB315" s="570"/>
      <c r="AC315" s="579"/>
      <c r="AD315" s="579"/>
      <c r="AE315" s="579"/>
      <c r="AF315" s="579"/>
      <c r="AG315" s="579"/>
      <c r="AH315" s="579"/>
      <c r="AI315" s="579"/>
      <c r="AJ315" s="579"/>
      <c r="AK315" s="579"/>
      <c r="AL315" s="579"/>
      <c r="AM315" s="570"/>
      <c r="AN315" s="570"/>
      <c r="AO315" s="570"/>
      <c r="AP315" s="570"/>
      <c r="AQ315" s="570"/>
      <c r="AR315" s="570"/>
      <c r="AS315" s="570"/>
      <c r="AT315" s="570"/>
      <c r="AU315" s="570"/>
      <c r="AV315" s="570"/>
      <c r="AW315" s="570"/>
      <c r="AX315" s="570"/>
    </row>
    <row r="316" spans="1:50" s="133" customFormat="1" ht="13" customHeight="1">
      <c r="A316" s="564">
        <v>244</v>
      </c>
      <c r="B316" s="564" t="s">
        <v>269</v>
      </c>
      <c r="C316" s="564" t="s">
        <v>61</v>
      </c>
      <c r="D316" s="564" t="s">
        <v>62</v>
      </c>
      <c r="E316" s="564">
        <v>1013.2</v>
      </c>
      <c r="F316" s="564" t="s">
        <v>108</v>
      </c>
      <c r="G316" s="564" t="s">
        <v>52</v>
      </c>
      <c r="H316" s="564" t="s">
        <v>76</v>
      </c>
      <c r="I316" s="564">
        <v>64.3</v>
      </c>
      <c r="J316" s="564" t="s">
        <v>77</v>
      </c>
      <c r="K316" s="564">
        <v>2015</v>
      </c>
      <c r="L316" s="564" t="s">
        <v>289</v>
      </c>
      <c r="M316" s="564" t="s">
        <v>270</v>
      </c>
      <c r="N316" s="634" t="s">
        <v>38</v>
      </c>
      <c r="O316" s="564" t="s">
        <v>84</v>
      </c>
      <c r="P316" s="633" t="s">
        <v>38</v>
      </c>
      <c r="Q316" s="633" t="s">
        <v>38</v>
      </c>
      <c r="R316" s="634" t="s">
        <v>38</v>
      </c>
      <c r="S316" s="55"/>
      <c r="T316" s="609"/>
      <c r="U316" s="591"/>
      <c r="V316" s="575"/>
      <c r="W316" s="591"/>
      <c r="X316" s="613"/>
      <c r="Y316" s="613"/>
      <c r="Z316" s="613"/>
      <c r="AA316" s="613"/>
      <c r="AB316" s="570"/>
      <c r="AC316" s="579"/>
      <c r="AD316" s="579"/>
      <c r="AE316" s="579"/>
      <c r="AF316" s="579"/>
      <c r="AG316" s="579"/>
      <c r="AH316" s="579"/>
      <c r="AI316" s="579"/>
      <c r="AJ316" s="579"/>
      <c r="AK316" s="579"/>
      <c r="AL316" s="579"/>
      <c r="AM316" s="570"/>
      <c r="AN316" s="570"/>
      <c r="AO316" s="570"/>
      <c r="AP316" s="570"/>
      <c r="AQ316" s="570"/>
      <c r="AR316" s="570"/>
      <c r="AS316" s="570"/>
      <c r="AT316" s="570"/>
      <c r="AU316" s="570"/>
      <c r="AV316" s="570"/>
      <c r="AW316" s="570"/>
      <c r="AX316" s="570"/>
    </row>
    <row r="317" spans="1:50" s="133" customFormat="1" ht="13.15" customHeight="1">
      <c r="A317" s="564">
        <v>245</v>
      </c>
      <c r="B317" s="564" t="s">
        <v>271</v>
      </c>
      <c r="C317" s="564" t="s">
        <v>61</v>
      </c>
      <c r="D317" s="564" t="s">
        <v>62</v>
      </c>
      <c r="E317" s="564">
        <v>999.7</v>
      </c>
      <c r="F317" s="564" t="s">
        <v>108</v>
      </c>
      <c r="G317" s="564" t="s">
        <v>52</v>
      </c>
      <c r="H317" s="564" t="s">
        <v>76</v>
      </c>
      <c r="I317" s="564">
        <v>86.2</v>
      </c>
      <c r="J317" s="564" t="s">
        <v>77</v>
      </c>
      <c r="K317" s="564">
        <v>2015</v>
      </c>
      <c r="L317" s="564" t="s">
        <v>289</v>
      </c>
      <c r="M317" s="564" t="s">
        <v>272</v>
      </c>
      <c r="N317" s="634" t="s">
        <v>38</v>
      </c>
      <c r="O317" s="564" t="s">
        <v>84</v>
      </c>
      <c r="P317" s="633" t="s">
        <v>38</v>
      </c>
      <c r="Q317" s="633" t="s">
        <v>38</v>
      </c>
      <c r="R317" s="634" t="s">
        <v>38</v>
      </c>
      <c r="S317" s="55"/>
      <c r="T317" s="609"/>
      <c r="U317" s="591"/>
      <c r="V317" s="593"/>
      <c r="W317" s="591"/>
      <c r="X317" s="613"/>
      <c r="Y317" s="613"/>
      <c r="Z317" s="613"/>
      <c r="AA317" s="613"/>
      <c r="AB317" s="570"/>
      <c r="AC317" s="579"/>
      <c r="AD317" s="579"/>
      <c r="AE317" s="579"/>
      <c r="AF317" s="579"/>
      <c r="AG317" s="579"/>
      <c r="AH317" s="579"/>
      <c r="AI317" s="579"/>
      <c r="AJ317" s="579"/>
      <c r="AK317" s="579"/>
      <c r="AL317" s="579"/>
      <c r="AM317" s="570"/>
      <c r="AN317" s="570"/>
      <c r="AO317" s="570"/>
      <c r="AP317" s="570"/>
      <c r="AQ317" s="570"/>
      <c r="AR317" s="570"/>
      <c r="AS317" s="570"/>
      <c r="AT317" s="570"/>
      <c r="AU317" s="570"/>
      <c r="AV317" s="570"/>
      <c r="AW317" s="570"/>
      <c r="AX317" s="570"/>
    </row>
    <row r="318" spans="1:50" ht="13" customHeight="1">
      <c r="A318" s="564">
        <v>246</v>
      </c>
      <c r="B318" s="564" t="s">
        <v>273</v>
      </c>
      <c r="C318" s="564" t="s">
        <v>61</v>
      </c>
      <c r="D318" s="564" t="s">
        <v>62</v>
      </c>
      <c r="E318" s="564">
        <v>1010</v>
      </c>
      <c r="F318" s="564" t="s">
        <v>108</v>
      </c>
      <c r="G318" s="564" t="s">
        <v>52</v>
      </c>
      <c r="H318" s="564" t="s">
        <v>76</v>
      </c>
      <c r="I318" s="564">
        <v>73.2</v>
      </c>
      <c r="J318" s="564" t="s">
        <v>77</v>
      </c>
      <c r="K318" s="564">
        <v>2015</v>
      </c>
      <c r="L318" s="564" t="s">
        <v>289</v>
      </c>
      <c r="M318" s="564" t="s">
        <v>274</v>
      </c>
      <c r="N318" s="634" t="s">
        <v>38</v>
      </c>
      <c r="O318" s="564" t="s">
        <v>84</v>
      </c>
      <c r="P318" s="633" t="s">
        <v>38</v>
      </c>
      <c r="Q318" s="633" t="s">
        <v>38</v>
      </c>
      <c r="R318" s="634" t="s">
        <v>38</v>
      </c>
      <c r="S318" s="55"/>
      <c r="T318" s="609"/>
      <c r="U318" s="591"/>
      <c r="V318" s="593"/>
      <c r="W318" s="591"/>
      <c r="X318" s="613"/>
      <c r="Y318" s="613"/>
      <c r="Z318" s="613"/>
      <c r="AA318" s="613"/>
      <c r="AC318" s="579"/>
      <c r="AD318" s="579"/>
      <c r="AE318" s="579"/>
      <c r="AF318" s="579"/>
      <c r="AG318" s="579"/>
      <c r="AH318" s="579"/>
      <c r="AI318" s="579"/>
      <c r="AJ318" s="579"/>
      <c r="AK318" s="579"/>
      <c r="AL318" s="579"/>
    </row>
    <row r="319" spans="1:50" ht="13" customHeight="1">
      <c r="A319" s="564">
        <v>247</v>
      </c>
      <c r="B319" s="564" t="s">
        <v>275</v>
      </c>
      <c r="C319" s="564" t="s">
        <v>61</v>
      </c>
      <c r="D319" s="564" t="s">
        <v>62</v>
      </c>
      <c r="E319" s="564">
        <v>999.2</v>
      </c>
      <c r="F319" s="564" t="s">
        <v>108</v>
      </c>
      <c r="G319" s="564" t="s">
        <v>52</v>
      </c>
      <c r="H319" s="564" t="s">
        <v>76</v>
      </c>
      <c r="I319" s="564">
        <v>80.5</v>
      </c>
      <c r="J319" s="564" t="s">
        <v>77</v>
      </c>
      <c r="K319" s="564">
        <v>2015</v>
      </c>
      <c r="L319" s="564" t="s">
        <v>289</v>
      </c>
      <c r="M319" s="564" t="s">
        <v>276</v>
      </c>
      <c r="N319" s="634" t="s">
        <v>38</v>
      </c>
      <c r="O319" s="564" t="s">
        <v>84</v>
      </c>
      <c r="P319" s="633" t="s">
        <v>38</v>
      </c>
      <c r="Q319" s="633" t="s">
        <v>38</v>
      </c>
      <c r="R319" s="634" t="s">
        <v>38</v>
      </c>
      <c r="S319" s="55"/>
      <c r="T319" s="609"/>
      <c r="U319" s="591"/>
      <c r="V319" s="593"/>
      <c r="W319" s="591"/>
      <c r="X319" s="613"/>
      <c r="Y319" s="613"/>
      <c r="Z319" s="613"/>
      <c r="AA319" s="613"/>
      <c r="AC319" s="579"/>
      <c r="AD319" s="579"/>
      <c r="AE319" s="579"/>
      <c r="AF319" s="579"/>
      <c r="AG319" s="579"/>
      <c r="AH319" s="579"/>
      <c r="AI319" s="579"/>
      <c r="AJ319" s="579"/>
      <c r="AK319" s="579"/>
      <c r="AL319" s="579"/>
    </row>
    <row r="320" spans="1:50" ht="13" customHeight="1">
      <c r="A320" s="564">
        <v>257</v>
      </c>
      <c r="B320" s="564" t="s">
        <v>232</v>
      </c>
      <c r="C320" s="564" t="s">
        <v>61</v>
      </c>
      <c r="D320" s="564" t="s">
        <v>62</v>
      </c>
      <c r="E320" s="564" t="s">
        <v>81</v>
      </c>
      <c r="F320" s="564" t="s">
        <v>217</v>
      </c>
      <c r="G320" s="564" t="s">
        <v>52</v>
      </c>
      <c r="H320" s="564" t="s">
        <v>76</v>
      </c>
      <c r="I320" s="564">
        <v>5616</v>
      </c>
      <c r="J320" s="564" t="s">
        <v>189</v>
      </c>
      <c r="K320" s="564">
        <v>2015</v>
      </c>
      <c r="L320" s="564" t="s">
        <v>289</v>
      </c>
      <c r="M320" s="564" t="s">
        <v>685</v>
      </c>
      <c r="N320" s="634" t="s">
        <v>38</v>
      </c>
      <c r="O320" s="634" t="s">
        <v>38</v>
      </c>
      <c r="P320" s="633" t="s">
        <v>38</v>
      </c>
      <c r="Q320" s="633" t="s">
        <v>38</v>
      </c>
      <c r="R320" s="564"/>
      <c r="S320" s="55"/>
      <c r="AC320" s="579"/>
      <c r="AD320" s="579"/>
      <c r="AE320" s="579"/>
      <c r="AF320" s="579"/>
      <c r="AG320" s="579"/>
      <c r="AH320" s="579"/>
      <c r="AI320" s="579"/>
      <c r="AJ320" s="579"/>
      <c r="AK320" s="579"/>
      <c r="AL320" s="579"/>
    </row>
    <row r="321" spans="1:38" ht="13" customHeight="1">
      <c r="A321" s="564">
        <v>462</v>
      </c>
      <c r="B321" s="564" t="s">
        <v>636</v>
      </c>
      <c r="C321" s="564" t="s">
        <v>61</v>
      </c>
      <c r="D321" s="564" t="s">
        <v>62</v>
      </c>
      <c r="E321" s="564">
        <v>1000</v>
      </c>
      <c r="F321" s="564" t="s">
        <v>31</v>
      </c>
      <c r="G321" s="564" t="s">
        <v>32</v>
      </c>
      <c r="H321" s="564" t="s">
        <v>33</v>
      </c>
      <c r="I321" s="564">
        <f>(3.41*1000000000)*2.096-(3.41*1000000000)*0.2406</f>
        <v>6326914000</v>
      </c>
      <c r="J321" s="564" t="s">
        <v>34</v>
      </c>
      <c r="K321" s="564">
        <v>1996</v>
      </c>
      <c r="L321" s="564" t="s">
        <v>633</v>
      </c>
      <c r="M321" s="565" t="s">
        <v>637</v>
      </c>
      <c r="N321" s="634" t="s">
        <v>38</v>
      </c>
      <c r="O321" s="564" t="s">
        <v>84</v>
      </c>
      <c r="P321" s="633" t="s">
        <v>38</v>
      </c>
      <c r="Q321" s="633" t="s">
        <v>38</v>
      </c>
      <c r="R321" s="634" t="s">
        <v>38</v>
      </c>
      <c r="S321" s="55"/>
      <c r="T321" s="576"/>
      <c r="U321" s="575"/>
      <c r="V321" s="575"/>
      <c r="W321" s="575"/>
      <c r="X321" s="579"/>
      <c r="Y321" s="579"/>
      <c r="Z321" s="579"/>
      <c r="AA321" s="579"/>
      <c r="AC321" s="579"/>
      <c r="AD321" s="579"/>
      <c r="AE321" s="579"/>
      <c r="AF321" s="579"/>
      <c r="AG321" s="579"/>
      <c r="AH321" s="579"/>
      <c r="AI321" s="579"/>
      <c r="AJ321" s="579"/>
      <c r="AK321" s="579"/>
      <c r="AL321" s="579"/>
    </row>
    <row r="322" spans="1:38" ht="13" customHeight="1">
      <c r="A322" s="564">
        <v>463</v>
      </c>
      <c r="B322" s="564" t="s">
        <v>635</v>
      </c>
      <c r="C322" s="564" t="s">
        <v>61</v>
      </c>
      <c r="D322" s="564" t="s">
        <v>62</v>
      </c>
      <c r="E322" s="564">
        <v>1700</v>
      </c>
      <c r="F322" s="564" t="s">
        <v>31</v>
      </c>
      <c r="G322" s="564" t="s">
        <v>57</v>
      </c>
      <c r="H322" s="564" t="s">
        <v>33</v>
      </c>
      <c r="I322" s="564">
        <f>(5.1*1000000000)-(5.1*1000000000)*0.079</f>
        <v>4697100000</v>
      </c>
      <c r="J322" s="564" t="s">
        <v>34</v>
      </c>
      <c r="K322" s="564">
        <v>1996</v>
      </c>
      <c r="L322" s="564" t="s">
        <v>633</v>
      </c>
      <c r="M322" s="565" t="s">
        <v>1094</v>
      </c>
      <c r="N322" s="634" t="s">
        <v>38</v>
      </c>
      <c r="O322" s="564" t="s">
        <v>84</v>
      </c>
      <c r="P322" s="633" t="s">
        <v>38</v>
      </c>
      <c r="Q322" s="633" t="s">
        <v>38</v>
      </c>
      <c r="R322" s="634" t="s">
        <v>38</v>
      </c>
      <c r="S322" s="55"/>
      <c r="T322" s="576"/>
      <c r="U322" s="575"/>
      <c r="V322" s="575"/>
      <c r="W322" s="575"/>
      <c r="X322" s="579"/>
      <c r="Y322" s="579"/>
      <c r="Z322" s="579"/>
      <c r="AA322" s="579"/>
      <c r="AB322" s="614"/>
      <c r="AC322" s="579"/>
      <c r="AD322" s="579"/>
      <c r="AE322" s="579"/>
      <c r="AF322" s="579"/>
      <c r="AG322" s="579"/>
      <c r="AH322" s="579"/>
      <c r="AI322" s="579"/>
      <c r="AJ322" s="579"/>
      <c r="AK322" s="579"/>
      <c r="AL322" s="579"/>
    </row>
    <row r="323" spans="1:38" ht="13" customHeight="1">
      <c r="A323" s="564">
        <v>256</v>
      </c>
      <c r="B323" s="564" t="s">
        <v>286</v>
      </c>
      <c r="C323" s="564" t="s">
        <v>61</v>
      </c>
      <c r="D323" s="639" t="s">
        <v>278</v>
      </c>
      <c r="E323" s="564">
        <v>1604</v>
      </c>
      <c r="F323" s="564" t="s">
        <v>63</v>
      </c>
      <c r="G323" s="564" t="s">
        <v>57</v>
      </c>
      <c r="H323" s="564" t="s">
        <v>76</v>
      </c>
      <c r="I323" s="564">
        <v>2.3E-2</v>
      </c>
      <c r="J323" s="564" t="s">
        <v>77</v>
      </c>
      <c r="K323" s="564">
        <v>2002</v>
      </c>
      <c r="L323" s="564" t="s">
        <v>287</v>
      </c>
      <c r="M323" s="564" t="s">
        <v>288</v>
      </c>
      <c r="N323" s="633" t="s">
        <v>122</v>
      </c>
      <c r="O323" s="634" t="s">
        <v>38</v>
      </c>
      <c r="P323" s="633" t="s">
        <v>38</v>
      </c>
      <c r="Q323" s="633" t="s">
        <v>38</v>
      </c>
      <c r="R323" s="634" t="s">
        <v>38</v>
      </c>
      <c r="S323" s="55"/>
      <c r="T323" s="576"/>
      <c r="U323" s="575"/>
      <c r="V323" s="575"/>
      <c r="W323" s="575"/>
      <c r="X323" s="579"/>
      <c r="Y323" s="579"/>
      <c r="Z323" s="579"/>
      <c r="AA323" s="579"/>
      <c r="AC323" s="579"/>
      <c r="AD323" s="579"/>
      <c r="AE323" s="579"/>
      <c r="AF323" s="579"/>
      <c r="AG323" s="579"/>
      <c r="AH323" s="579"/>
      <c r="AI323" s="579"/>
      <c r="AJ323" s="579"/>
      <c r="AK323" s="579"/>
      <c r="AL323" s="579"/>
    </row>
    <row r="324" spans="1:38" ht="13" customHeight="1">
      <c r="A324" s="564">
        <v>258</v>
      </c>
      <c r="B324" s="564" t="s">
        <v>286</v>
      </c>
      <c r="C324" s="564" t="s">
        <v>61</v>
      </c>
      <c r="D324" s="639" t="s">
        <v>278</v>
      </c>
      <c r="E324" s="564">
        <v>1601</v>
      </c>
      <c r="F324" s="564" t="s">
        <v>63</v>
      </c>
      <c r="G324" s="564" t="s">
        <v>57</v>
      </c>
      <c r="H324" s="564" t="s">
        <v>76</v>
      </c>
      <c r="I324" s="564">
        <v>2.1999999999999999E-2</v>
      </c>
      <c r="J324" s="564" t="s">
        <v>77</v>
      </c>
      <c r="K324" s="564">
        <v>2002</v>
      </c>
      <c r="L324" s="564" t="s">
        <v>287</v>
      </c>
      <c r="M324" s="564"/>
      <c r="N324" s="633" t="s">
        <v>122</v>
      </c>
      <c r="O324" s="634" t="s">
        <v>38</v>
      </c>
      <c r="P324" s="633" t="s">
        <v>38</v>
      </c>
      <c r="Q324" s="633" t="s">
        <v>38</v>
      </c>
      <c r="R324" s="634" t="s">
        <v>38</v>
      </c>
      <c r="S324" s="55"/>
      <c r="T324" s="576"/>
      <c r="U324" s="575"/>
      <c r="V324" s="575"/>
      <c r="W324" s="575"/>
      <c r="X324" s="579"/>
      <c r="Y324" s="579"/>
      <c r="Z324" s="579"/>
      <c r="AA324" s="579"/>
      <c r="AC324" s="579"/>
      <c r="AD324" s="579"/>
      <c r="AE324" s="579"/>
      <c r="AF324" s="579"/>
      <c r="AG324" s="579"/>
      <c r="AH324" s="579"/>
      <c r="AI324" s="579"/>
      <c r="AJ324" s="579"/>
      <c r="AK324" s="579"/>
      <c r="AL324" s="579"/>
    </row>
    <row r="325" spans="1:38" ht="13" customHeight="1">
      <c r="A325" s="564">
        <v>259</v>
      </c>
      <c r="B325" s="564" t="s">
        <v>286</v>
      </c>
      <c r="C325" s="564" t="s">
        <v>61</v>
      </c>
      <c r="D325" s="639" t="s">
        <v>278</v>
      </c>
      <c r="E325" s="564">
        <v>1598</v>
      </c>
      <c r="F325" s="564" t="s">
        <v>63</v>
      </c>
      <c r="G325" s="564" t="s">
        <v>57</v>
      </c>
      <c r="H325" s="564" t="s">
        <v>76</v>
      </c>
      <c r="I325" s="564">
        <v>2.1000000000000001E-2</v>
      </c>
      <c r="J325" s="564" t="s">
        <v>77</v>
      </c>
      <c r="K325" s="564">
        <v>2002</v>
      </c>
      <c r="L325" s="564" t="s">
        <v>287</v>
      </c>
      <c r="M325" s="564"/>
      <c r="N325" s="633" t="s">
        <v>122</v>
      </c>
      <c r="O325" s="634" t="s">
        <v>38</v>
      </c>
      <c r="P325" s="633" t="s">
        <v>38</v>
      </c>
      <c r="Q325" s="633" t="s">
        <v>38</v>
      </c>
      <c r="R325" s="634" t="s">
        <v>38</v>
      </c>
      <c r="S325" s="55"/>
      <c r="T325" s="576"/>
      <c r="U325" s="575"/>
      <c r="V325" s="575"/>
      <c r="W325" s="575"/>
      <c r="X325" s="579"/>
      <c r="Y325" s="579"/>
      <c r="Z325" s="579"/>
      <c r="AA325" s="579"/>
      <c r="AC325" s="579"/>
      <c r="AD325" s="579"/>
      <c r="AE325" s="579"/>
      <c r="AF325" s="579"/>
      <c r="AG325" s="579"/>
      <c r="AH325" s="579"/>
      <c r="AI325" s="579"/>
      <c r="AJ325" s="579"/>
      <c r="AK325" s="579"/>
      <c r="AL325" s="579"/>
    </row>
    <row r="326" spans="1:38" ht="13" customHeight="1">
      <c r="A326" s="564">
        <v>260</v>
      </c>
      <c r="B326" s="564" t="s">
        <v>286</v>
      </c>
      <c r="C326" s="564" t="s">
        <v>61</v>
      </c>
      <c r="D326" s="639" t="s">
        <v>278</v>
      </c>
      <c r="E326" s="564">
        <v>1598</v>
      </c>
      <c r="F326" s="564" t="s">
        <v>63</v>
      </c>
      <c r="G326" s="564" t="s">
        <v>57</v>
      </c>
      <c r="H326" s="564" t="s">
        <v>76</v>
      </c>
      <c r="I326" s="564">
        <v>2.1000000000000001E-2</v>
      </c>
      <c r="J326" s="564" t="s">
        <v>77</v>
      </c>
      <c r="K326" s="564">
        <v>2002</v>
      </c>
      <c r="L326" s="564" t="s">
        <v>287</v>
      </c>
      <c r="M326" s="564"/>
      <c r="N326" s="633" t="s">
        <v>122</v>
      </c>
      <c r="O326" s="634" t="s">
        <v>38</v>
      </c>
      <c r="P326" s="633" t="s">
        <v>38</v>
      </c>
      <c r="Q326" s="633" t="s">
        <v>38</v>
      </c>
      <c r="R326" s="634" t="s">
        <v>38</v>
      </c>
      <c r="S326" s="55"/>
      <c r="T326" s="576"/>
      <c r="U326" s="575"/>
      <c r="V326" s="575"/>
      <c r="W326" s="575"/>
      <c r="X326" s="579"/>
      <c r="Y326" s="579"/>
      <c r="Z326" s="579"/>
      <c r="AA326" s="579"/>
      <c r="AC326" s="579"/>
      <c r="AD326" s="579"/>
      <c r="AE326" s="579"/>
      <c r="AF326" s="579"/>
      <c r="AG326" s="579"/>
      <c r="AH326" s="579"/>
      <c r="AI326" s="579"/>
      <c r="AJ326" s="579"/>
      <c r="AK326" s="579"/>
      <c r="AL326" s="579"/>
    </row>
    <row r="327" spans="1:38" ht="13" customHeight="1">
      <c r="A327" s="564">
        <v>261</v>
      </c>
      <c r="B327" s="564" t="s">
        <v>286</v>
      </c>
      <c r="C327" s="564" t="s">
        <v>61</v>
      </c>
      <c r="D327" s="639" t="s">
        <v>278</v>
      </c>
      <c r="E327" s="564">
        <v>1604</v>
      </c>
      <c r="F327" s="564" t="s">
        <v>116</v>
      </c>
      <c r="G327" s="564" t="s">
        <v>57</v>
      </c>
      <c r="H327" s="564" t="s">
        <v>76</v>
      </c>
      <c r="I327" s="564">
        <v>26.8</v>
      </c>
      <c r="J327" s="564" t="s">
        <v>77</v>
      </c>
      <c r="K327" s="564">
        <v>2002</v>
      </c>
      <c r="L327" s="564" t="s">
        <v>287</v>
      </c>
      <c r="M327" s="564"/>
      <c r="N327" s="633" t="s">
        <v>122</v>
      </c>
      <c r="O327" s="634" t="s">
        <v>38</v>
      </c>
      <c r="P327" s="633" t="s">
        <v>38</v>
      </c>
      <c r="Q327" s="633" t="s">
        <v>38</v>
      </c>
      <c r="R327" s="634" t="s">
        <v>38</v>
      </c>
      <c r="S327" s="55"/>
      <c r="T327" s="576"/>
      <c r="U327" s="575"/>
      <c r="V327" s="575"/>
      <c r="W327" s="575"/>
      <c r="X327" s="579"/>
      <c r="Y327" s="579"/>
      <c r="Z327" s="579"/>
      <c r="AA327" s="579"/>
      <c r="AC327" s="579"/>
      <c r="AD327" s="579"/>
      <c r="AE327" s="579"/>
      <c r="AF327" s="579"/>
      <c r="AG327" s="579"/>
      <c r="AH327" s="579"/>
      <c r="AI327" s="579"/>
      <c r="AJ327" s="579"/>
      <c r="AK327" s="579"/>
      <c r="AL327" s="579"/>
    </row>
    <row r="328" spans="1:38" ht="13" customHeight="1">
      <c r="A328" s="564">
        <v>262</v>
      </c>
      <c r="B328" s="564" t="s">
        <v>286</v>
      </c>
      <c r="C328" s="564" t="s">
        <v>61</v>
      </c>
      <c r="D328" s="639" t="s">
        <v>278</v>
      </c>
      <c r="E328" s="564">
        <v>1601</v>
      </c>
      <c r="F328" s="564" t="s">
        <v>116</v>
      </c>
      <c r="G328" s="564" t="s">
        <v>57</v>
      </c>
      <c r="H328" s="564" t="s">
        <v>76</v>
      </c>
      <c r="I328" s="564">
        <v>27.1</v>
      </c>
      <c r="J328" s="564" t="s">
        <v>77</v>
      </c>
      <c r="K328" s="564">
        <v>2002</v>
      </c>
      <c r="L328" s="564" t="s">
        <v>287</v>
      </c>
      <c r="M328" s="564"/>
      <c r="N328" s="633" t="s">
        <v>122</v>
      </c>
      <c r="O328" s="634" t="s">
        <v>38</v>
      </c>
      <c r="P328" s="633" t="s">
        <v>38</v>
      </c>
      <c r="Q328" s="633" t="s">
        <v>38</v>
      </c>
      <c r="R328" s="634" t="s">
        <v>38</v>
      </c>
      <c r="S328" s="55"/>
      <c r="T328" s="576"/>
      <c r="U328" s="575"/>
      <c r="V328" s="575"/>
      <c r="W328" s="575"/>
      <c r="X328" s="579"/>
      <c r="Y328" s="579"/>
      <c r="Z328" s="579"/>
      <c r="AA328" s="579"/>
      <c r="AC328" s="579"/>
      <c r="AD328" s="579"/>
      <c r="AE328" s="579"/>
      <c r="AF328" s="579"/>
      <c r="AG328" s="579"/>
      <c r="AH328" s="579"/>
      <c r="AI328" s="579"/>
      <c r="AJ328" s="579"/>
      <c r="AK328" s="579"/>
      <c r="AL328" s="579"/>
    </row>
    <row r="329" spans="1:38" ht="13" customHeight="1">
      <c r="A329" s="564">
        <v>263</v>
      </c>
      <c r="B329" s="564" t="s">
        <v>286</v>
      </c>
      <c r="C329" s="564" t="s">
        <v>61</v>
      </c>
      <c r="D329" s="639" t="s">
        <v>278</v>
      </c>
      <c r="E329" s="564">
        <v>1598</v>
      </c>
      <c r="F329" s="564" t="s">
        <v>116</v>
      </c>
      <c r="G329" s="564" t="s">
        <v>57</v>
      </c>
      <c r="H329" s="564" t="s">
        <v>76</v>
      </c>
      <c r="I329" s="564">
        <v>28.2</v>
      </c>
      <c r="J329" s="564" t="s">
        <v>77</v>
      </c>
      <c r="K329" s="564">
        <v>2002</v>
      </c>
      <c r="L329" s="564" t="s">
        <v>287</v>
      </c>
      <c r="M329" s="564"/>
      <c r="N329" s="633" t="s">
        <v>122</v>
      </c>
      <c r="O329" s="634" t="s">
        <v>38</v>
      </c>
      <c r="P329" s="633" t="s">
        <v>38</v>
      </c>
      <c r="Q329" s="633" t="s">
        <v>38</v>
      </c>
      <c r="R329" s="634" t="s">
        <v>38</v>
      </c>
      <c r="S329" s="55"/>
      <c r="T329" s="576"/>
      <c r="U329" s="575"/>
      <c r="V329" s="575"/>
      <c r="W329" s="575"/>
      <c r="X329" s="579"/>
      <c r="Y329" s="579"/>
      <c r="Z329" s="579"/>
      <c r="AA329" s="579"/>
      <c r="AC329" s="579"/>
      <c r="AD329" s="579"/>
      <c r="AE329" s="579"/>
      <c r="AF329" s="579"/>
      <c r="AG329" s="579"/>
      <c r="AH329" s="579"/>
      <c r="AI329" s="579"/>
      <c r="AJ329" s="579"/>
      <c r="AK329" s="579"/>
      <c r="AL329" s="579"/>
    </row>
    <row r="330" spans="1:38" ht="13" customHeight="1">
      <c r="A330" s="564">
        <v>264</v>
      </c>
      <c r="B330" s="564" t="s">
        <v>286</v>
      </c>
      <c r="C330" s="564" t="s">
        <v>61</v>
      </c>
      <c r="D330" s="639" t="s">
        <v>278</v>
      </c>
      <c r="E330" s="564">
        <v>1598</v>
      </c>
      <c r="F330" s="564" t="s">
        <v>116</v>
      </c>
      <c r="G330" s="564" t="s">
        <v>57</v>
      </c>
      <c r="H330" s="564" t="s">
        <v>76</v>
      </c>
      <c r="I330" s="564">
        <v>31.4</v>
      </c>
      <c r="J330" s="564" t="s">
        <v>77</v>
      </c>
      <c r="K330" s="564">
        <v>2002</v>
      </c>
      <c r="L330" s="564" t="s">
        <v>287</v>
      </c>
      <c r="M330" s="564"/>
      <c r="N330" s="633" t="s">
        <v>122</v>
      </c>
      <c r="O330" s="634" t="s">
        <v>38</v>
      </c>
      <c r="P330" s="633" t="s">
        <v>38</v>
      </c>
      <c r="Q330" s="633" t="s">
        <v>38</v>
      </c>
      <c r="R330" s="634" t="s">
        <v>38</v>
      </c>
      <c r="S330" s="55"/>
      <c r="T330" s="576"/>
      <c r="U330" s="575"/>
      <c r="V330" s="575"/>
      <c r="W330" s="575"/>
      <c r="X330" s="579"/>
      <c r="Y330" s="579"/>
      <c r="Z330" s="579"/>
      <c r="AA330" s="579"/>
      <c r="AC330" s="579"/>
      <c r="AD330" s="579"/>
      <c r="AE330" s="579"/>
      <c r="AF330" s="579"/>
      <c r="AG330" s="579"/>
      <c r="AH330" s="579"/>
      <c r="AI330" s="579"/>
      <c r="AJ330" s="579"/>
      <c r="AK330" s="579"/>
      <c r="AL330" s="579"/>
    </row>
    <row r="331" spans="1:38" ht="13" customHeight="1">
      <c r="A331" s="564">
        <v>265</v>
      </c>
      <c r="B331" s="564" t="s">
        <v>286</v>
      </c>
      <c r="C331" s="564" t="s">
        <v>61</v>
      </c>
      <c r="D331" s="639" t="s">
        <v>278</v>
      </c>
      <c r="E331" s="564">
        <v>1604</v>
      </c>
      <c r="F331" s="564" t="s">
        <v>115</v>
      </c>
      <c r="G331" s="564" t="s">
        <v>57</v>
      </c>
      <c r="H331" s="564" t="s">
        <v>76</v>
      </c>
      <c r="I331" s="564">
        <v>8.18</v>
      </c>
      <c r="J331" s="564" t="s">
        <v>77</v>
      </c>
      <c r="K331" s="564">
        <v>2002</v>
      </c>
      <c r="L331" s="564" t="s">
        <v>287</v>
      </c>
      <c r="M331" s="564"/>
      <c r="N331" s="633" t="s">
        <v>122</v>
      </c>
      <c r="O331" s="634" t="s">
        <v>38</v>
      </c>
      <c r="P331" s="633" t="s">
        <v>38</v>
      </c>
      <c r="Q331" s="633" t="s">
        <v>38</v>
      </c>
      <c r="R331" s="634" t="s">
        <v>38</v>
      </c>
      <c r="S331" s="55"/>
      <c r="T331" s="576"/>
      <c r="U331" s="575"/>
      <c r="V331" s="575"/>
      <c r="W331" s="575"/>
      <c r="X331" s="579"/>
      <c r="Y331" s="579"/>
      <c r="Z331" s="579"/>
      <c r="AA331" s="579"/>
      <c r="AC331" s="579"/>
      <c r="AD331" s="579"/>
      <c r="AE331" s="579"/>
      <c r="AF331" s="579"/>
      <c r="AG331" s="579"/>
      <c r="AH331" s="579"/>
      <c r="AI331" s="579"/>
      <c r="AJ331" s="579"/>
      <c r="AK331" s="579"/>
      <c r="AL331" s="579"/>
    </row>
    <row r="332" spans="1:38" ht="13" customHeight="1">
      <c r="A332" s="564">
        <v>266</v>
      </c>
      <c r="B332" s="564" t="s">
        <v>286</v>
      </c>
      <c r="C332" s="564" t="s">
        <v>61</v>
      </c>
      <c r="D332" s="639" t="s">
        <v>278</v>
      </c>
      <c r="E332" s="564">
        <v>1601</v>
      </c>
      <c r="F332" s="564" t="s">
        <v>115</v>
      </c>
      <c r="G332" s="564" t="s">
        <v>57</v>
      </c>
      <c r="H332" s="564" t="s">
        <v>76</v>
      </c>
      <c r="I332" s="564">
        <v>8.19</v>
      </c>
      <c r="J332" s="564" t="s">
        <v>77</v>
      </c>
      <c r="K332" s="564">
        <v>2002</v>
      </c>
      <c r="L332" s="564" t="s">
        <v>287</v>
      </c>
      <c r="M332" s="564"/>
      <c r="N332" s="633" t="s">
        <v>122</v>
      </c>
      <c r="O332" s="634" t="s">
        <v>38</v>
      </c>
      <c r="P332" s="633" t="s">
        <v>38</v>
      </c>
      <c r="Q332" s="633" t="s">
        <v>38</v>
      </c>
      <c r="R332" s="634" t="s">
        <v>38</v>
      </c>
      <c r="S332" s="55"/>
      <c r="T332" s="576"/>
      <c r="U332" s="575"/>
      <c r="V332" s="575"/>
      <c r="W332" s="575"/>
      <c r="X332" s="579"/>
      <c r="Y332" s="579"/>
      <c r="Z332" s="579"/>
      <c r="AA332" s="579"/>
      <c r="AC332" s="579"/>
      <c r="AD332" s="579"/>
      <c r="AE332" s="579"/>
      <c r="AF332" s="579"/>
      <c r="AG332" s="579"/>
      <c r="AH332" s="579"/>
      <c r="AI332" s="579"/>
      <c r="AJ332" s="579"/>
      <c r="AK332" s="579"/>
      <c r="AL332" s="579"/>
    </row>
    <row r="333" spans="1:38" ht="13" customHeight="1">
      <c r="A333" s="564">
        <v>267</v>
      </c>
      <c r="B333" s="564" t="s">
        <v>286</v>
      </c>
      <c r="C333" s="564" t="s">
        <v>61</v>
      </c>
      <c r="D333" s="639" t="s">
        <v>278</v>
      </c>
      <c r="E333" s="564">
        <v>1598</v>
      </c>
      <c r="F333" s="564" t="s">
        <v>115</v>
      </c>
      <c r="G333" s="564" t="s">
        <v>57</v>
      </c>
      <c r="H333" s="564" t="s">
        <v>76</v>
      </c>
      <c r="I333" s="564">
        <v>8.2100000000000009</v>
      </c>
      <c r="J333" s="564" t="s">
        <v>77</v>
      </c>
      <c r="K333" s="564">
        <v>2002</v>
      </c>
      <c r="L333" s="564" t="s">
        <v>287</v>
      </c>
      <c r="M333" s="564"/>
      <c r="N333" s="633" t="s">
        <v>122</v>
      </c>
      <c r="O333" s="634" t="s">
        <v>38</v>
      </c>
      <c r="P333" s="633" t="s">
        <v>38</v>
      </c>
      <c r="Q333" s="633" t="s">
        <v>38</v>
      </c>
      <c r="R333" s="634" t="s">
        <v>38</v>
      </c>
      <c r="S333" s="55"/>
      <c r="T333" s="576"/>
      <c r="U333" s="575"/>
      <c r="V333" s="575"/>
      <c r="W333" s="575"/>
      <c r="X333" s="579"/>
      <c r="Y333" s="579"/>
      <c r="Z333" s="579"/>
      <c r="AA333" s="579"/>
      <c r="AC333" s="579"/>
      <c r="AD333" s="579"/>
      <c r="AE333" s="579"/>
      <c r="AF333" s="579"/>
      <c r="AG333" s="579"/>
      <c r="AH333" s="579"/>
      <c r="AI333" s="579"/>
      <c r="AJ333" s="579"/>
      <c r="AK333" s="579"/>
      <c r="AL333" s="579"/>
    </row>
    <row r="334" spans="1:38" ht="13" customHeight="1">
      <c r="A334" s="564">
        <v>268</v>
      </c>
      <c r="B334" s="564" t="s">
        <v>286</v>
      </c>
      <c r="C334" s="564" t="s">
        <v>61</v>
      </c>
      <c r="D334" s="639" t="s">
        <v>278</v>
      </c>
      <c r="E334" s="564">
        <v>1598</v>
      </c>
      <c r="F334" s="564" t="s">
        <v>115</v>
      </c>
      <c r="G334" s="564" t="s">
        <v>57</v>
      </c>
      <c r="H334" s="564" t="s">
        <v>76</v>
      </c>
      <c r="I334" s="564">
        <v>8.24</v>
      </c>
      <c r="J334" s="564" t="s">
        <v>77</v>
      </c>
      <c r="K334" s="564">
        <v>2002</v>
      </c>
      <c r="L334" s="564" t="s">
        <v>287</v>
      </c>
      <c r="M334" s="564"/>
      <c r="N334" s="633" t="s">
        <v>122</v>
      </c>
      <c r="O334" s="634" t="s">
        <v>38</v>
      </c>
      <c r="P334" s="633" t="s">
        <v>38</v>
      </c>
      <c r="Q334" s="633" t="s">
        <v>38</v>
      </c>
      <c r="R334" s="634" t="s">
        <v>38</v>
      </c>
      <c r="S334" s="55"/>
      <c r="T334" s="576"/>
      <c r="U334" s="575"/>
      <c r="V334" s="575"/>
      <c r="W334" s="575"/>
      <c r="X334" s="579"/>
      <c r="Y334" s="579"/>
      <c r="Z334" s="579"/>
      <c r="AA334" s="579"/>
      <c r="AC334" s="579"/>
      <c r="AD334" s="579"/>
      <c r="AE334" s="579"/>
      <c r="AF334" s="579"/>
      <c r="AG334" s="579"/>
      <c r="AH334" s="579"/>
      <c r="AI334" s="579"/>
      <c r="AJ334" s="579"/>
      <c r="AK334" s="579"/>
      <c r="AL334" s="579"/>
    </row>
    <row r="335" spans="1:38" ht="13" customHeight="1">
      <c r="A335" s="564">
        <v>269</v>
      </c>
      <c r="B335" s="564" t="s">
        <v>286</v>
      </c>
      <c r="C335" s="564" t="s">
        <v>61</v>
      </c>
      <c r="D335" s="639" t="s">
        <v>278</v>
      </c>
      <c r="E335" s="564">
        <v>1604</v>
      </c>
      <c r="F335" s="564" t="s">
        <v>31</v>
      </c>
      <c r="G335" s="564" t="s">
        <v>57</v>
      </c>
      <c r="H335" s="564" t="s">
        <v>33</v>
      </c>
      <c r="I335" s="564">
        <v>7270000000</v>
      </c>
      <c r="J335" s="564" t="s">
        <v>34</v>
      </c>
      <c r="K335" s="564">
        <v>2002</v>
      </c>
      <c r="L335" s="564" t="s">
        <v>287</v>
      </c>
      <c r="M335" s="564" t="s">
        <v>290</v>
      </c>
      <c r="N335" s="632">
        <v>0.68</v>
      </c>
      <c r="O335" s="564" t="s">
        <v>84</v>
      </c>
      <c r="P335" s="633" t="s">
        <v>38</v>
      </c>
      <c r="Q335" s="633" t="s">
        <v>38</v>
      </c>
      <c r="R335" s="634" t="s">
        <v>38</v>
      </c>
      <c r="S335" s="55"/>
      <c r="T335" s="576"/>
      <c r="U335" s="575"/>
      <c r="V335" s="575"/>
      <c r="W335" s="575"/>
      <c r="X335" s="579"/>
      <c r="Y335" s="579"/>
      <c r="Z335" s="579"/>
      <c r="AA335" s="579"/>
      <c r="AC335" s="579"/>
      <c r="AD335" s="579"/>
      <c r="AE335" s="579"/>
      <c r="AF335" s="579"/>
      <c r="AG335" s="579"/>
      <c r="AH335" s="579"/>
      <c r="AI335" s="579"/>
      <c r="AJ335" s="579"/>
      <c r="AK335" s="579"/>
      <c r="AL335" s="579"/>
    </row>
    <row r="336" spans="1:38" ht="13" customHeight="1">
      <c r="A336" s="564">
        <v>270</v>
      </c>
      <c r="B336" s="564" t="s">
        <v>286</v>
      </c>
      <c r="C336" s="564" t="s">
        <v>61</v>
      </c>
      <c r="D336" s="639" t="s">
        <v>278</v>
      </c>
      <c r="E336" s="564">
        <v>1601</v>
      </c>
      <c r="F336" s="564" t="s">
        <v>31</v>
      </c>
      <c r="G336" s="564" t="s">
        <v>57</v>
      </c>
      <c r="H336" s="564" t="s">
        <v>33</v>
      </c>
      <c r="I336" s="564">
        <v>7393000000</v>
      </c>
      <c r="J336" s="564" t="s">
        <v>34</v>
      </c>
      <c r="K336" s="564">
        <v>2002</v>
      </c>
      <c r="L336" s="564" t="s">
        <v>287</v>
      </c>
      <c r="M336" s="564" t="s">
        <v>290</v>
      </c>
      <c r="N336" s="632">
        <v>0.70599999999999996</v>
      </c>
      <c r="O336" s="564" t="s">
        <v>84</v>
      </c>
      <c r="P336" s="633" t="s">
        <v>38</v>
      </c>
      <c r="Q336" s="633" t="s">
        <v>38</v>
      </c>
      <c r="R336" s="634" t="s">
        <v>38</v>
      </c>
      <c r="S336" s="55"/>
      <c r="T336" s="576"/>
      <c r="U336" s="575"/>
      <c r="V336" s="575"/>
      <c r="W336" s="575"/>
      <c r="X336" s="579"/>
      <c r="Y336" s="579"/>
      <c r="Z336" s="579"/>
      <c r="AA336" s="579"/>
      <c r="AC336" s="579"/>
      <c r="AD336" s="579"/>
      <c r="AE336" s="579"/>
      <c r="AF336" s="579"/>
      <c r="AG336" s="579"/>
      <c r="AH336" s="579"/>
      <c r="AI336" s="579"/>
      <c r="AJ336" s="579"/>
      <c r="AK336" s="579"/>
      <c r="AL336" s="579"/>
    </row>
    <row r="337" spans="1:38" ht="13" customHeight="1">
      <c r="A337" s="564">
        <v>271</v>
      </c>
      <c r="B337" s="564" t="s">
        <v>286</v>
      </c>
      <c r="C337" s="564" t="s">
        <v>61</v>
      </c>
      <c r="D337" s="639" t="s">
        <v>278</v>
      </c>
      <c r="E337" s="564">
        <v>1598</v>
      </c>
      <c r="F337" s="564" t="s">
        <v>31</v>
      </c>
      <c r="G337" s="564" t="s">
        <v>57</v>
      </c>
      <c r="H337" s="564" t="s">
        <v>33</v>
      </c>
      <c r="I337" s="564">
        <v>7705000000</v>
      </c>
      <c r="J337" s="564" t="s">
        <v>34</v>
      </c>
      <c r="K337" s="564">
        <v>2002</v>
      </c>
      <c r="L337" s="564" t="s">
        <v>287</v>
      </c>
      <c r="M337" s="564" t="s">
        <v>290</v>
      </c>
      <c r="N337" s="632">
        <v>0.72599999999999998</v>
      </c>
      <c r="O337" s="564" t="s">
        <v>84</v>
      </c>
      <c r="P337" s="633" t="s">
        <v>38</v>
      </c>
      <c r="Q337" s="633" t="s">
        <v>38</v>
      </c>
      <c r="R337" s="634" t="s">
        <v>38</v>
      </c>
      <c r="S337" s="55"/>
      <c r="T337" s="576"/>
      <c r="U337" s="575"/>
      <c r="V337" s="575"/>
      <c r="W337" s="575"/>
      <c r="X337" s="579"/>
      <c r="Y337" s="579"/>
      <c r="Z337" s="579"/>
      <c r="AA337" s="579"/>
      <c r="AC337" s="579"/>
      <c r="AD337" s="579"/>
      <c r="AE337" s="579"/>
      <c r="AF337" s="579"/>
      <c r="AG337" s="579"/>
      <c r="AH337" s="579"/>
      <c r="AI337" s="579"/>
      <c r="AJ337" s="579"/>
      <c r="AK337" s="579"/>
      <c r="AL337" s="579"/>
    </row>
    <row r="338" spans="1:38" ht="13" customHeight="1">
      <c r="A338" s="564">
        <v>272</v>
      </c>
      <c r="B338" s="564" t="s">
        <v>286</v>
      </c>
      <c r="C338" s="564" t="s">
        <v>61</v>
      </c>
      <c r="D338" s="639" t="s">
        <v>278</v>
      </c>
      <c r="E338" s="564">
        <v>1598</v>
      </c>
      <c r="F338" s="564" t="s">
        <v>31</v>
      </c>
      <c r="G338" s="564" t="s">
        <v>57</v>
      </c>
      <c r="H338" s="564" t="s">
        <v>33</v>
      </c>
      <c r="I338" s="564">
        <v>6735000000</v>
      </c>
      <c r="J338" s="564" t="s">
        <v>34</v>
      </c>
      <c r="K338" s="564">
        <v>2002</v>
      </c>
      <c r="L338" s="564" t="s">
        <v>287</v>
      </c>
      <c r="M338" s="564" t="s">
        <v>290</v>
      </c>
      <c r="N338" s="632">
        <v>0.72699999999999998</v>
      </c>
      <c r="O338" s="564" t="s">
        <v>84</v>
      </c>
      <c r="P338" s="633" t="s">
        <v>38</v>
      </c>
      <c r="Q338" s="633" t="s">
        <v>38</v>
      </c>
      <c r="R338" s="634" t="s">
        <v>38</v>
      </c>
      <c r="S338" s="55"/>
      <c r="T338" s="576"/>
      <c r="U338" s="575"/>
      <c r="V338" s="575"/>
      <c r="W338" s="575"/>
      <c r="X338" s="579"/>
      <c r="Y338" s="579"/>
      <c r="Z338" s="579"/>
      <c r="AA338" s="579"/>
      <c r="AC338" s="579"/>
      <c r="AD338" s="579"/>
      <c r="AE338" s="579"/>
      <c r="AF338" s="579"/>
      <c r="AG338" s="579"/>
      <c r="AH338" s="579"/>
      <c r="AI338" s="579"/>
      <c r="AJ338" s="579"/>
      <c r="AK338" s="579"/>
      <c r="AL338" s="579"/>
    </row>
    <row r="339" spans="1:38" ht="13" customHeight="1">
      <c r="A339" s="564">
        <v>273</v>
      </c>
      <c r="B339" s="564" t="s">
        <v>286</v>
      </c>
      <c r="C339" s="564" t="s">
        <v>61</v>
      </c>
      <c r="D339" s="639" t="s">
        <v>278</v>
      </c>
      <c r="E339" s="564">
        <v>1604</v>
      </c>
      <c r="F339" s="564" t="s">
        <v>75</v>
      </c>
      <c r="G339" s="564" t="s">
        <v>57</v>
      </c>
      <c r="H339" s="564" t="s">
        <v>76</v>
      </c>
      <c r="I339" s="564">
        <v>79</v>
      </c>
      <c r="J339" s="564" t="s">
        <v>77</v>
      </c>
      <c r="K339" s="564">
        <v>2002</v>
      </c>
      <c r="L339" s="564" t="s">
        <v>287</v>
      </c>
      <c r="M339" s="564" t="s">
        <v>292</v>
      </c>
      <c r="N339" s="632">
        <v>0.68</v>
      </c>
      <c r="O339" s="564" t="s">
        <v>84</v>
      </c>
      <c r="P339" s="633" t="s">
        <v>38</v>
      </c>
      <c r="Q339" s="633" t="s">
        <v>38</v>
      </c>
      <c r="R339" s="634" t="s">
        <v>38</v>
      </c>
      <c r="S339" s="55"/>
      <c r="T339" s="576"/>
      <c r="U339" s="575"/>
      <c r="V339" s="575"/>
      <c r="W339" s="575"/>
      <c r="X339" s="579"/>
      <c r="Y339" s="579"/>
      <c r="Z339" s="579"/>
      <c r="AA339" s="579"/>
      <c r="AC339" s="579"/>
      <c r="AD339" s="579"/>
      <c r="AE339" s="579"/>
      <c r="AF339" s="579"/>
      <c r="AG339" s="579"/>
      <c r="AH339" s="579"/>
      <c r="AI339" s="579"/>
      <c r="AJ339" s="579"/>
      <c r="AK339" s="579"/>
      <c r="AL339" s="579"/>
    </row>
    <row r="340" spans="1:38" ht="13" customHeight="1">
      <c r="A340" s="564">
        <v>274</v>
      </c>
      <c r="B340" s="564" t="s">
        <v>286</v>
      </c>
      <c r="C340" s="564" t="s">
        <v>61</v>
      </c>
      <c r="D340" s="639" t="s">
        <v>278</v>
      </c>
      <c r="E340" s="564">
        <v>1601</v>
      </c>
      <c r="F340" s="564" t="s">
        <v>75</v>
      </c>
      <c r="G340" s="564" t="s">
        <v>57</v>
      </c>
      <c r="H340" s="564" t="s">
        <v>76</v>
      </c>
      <c r="I340" s="564">
        <v>78.5</v>
      </c>
      <c r="J340" s="564" t="s">
        <v>77</v>
      </c>
      <c r="K340" s="564">
        <v>2002</v>
      </c>
      <c r="L340" s="564" t="s">
        <v>287</v>
      </c>
      <c r="M340" s="564" t="s">
        <v>292</v>
      </c>
      <c r="N340" s="632">
        <v>0.70599999999999996</v>
      </c>
      <c r="O340" s="564" t="s">
        <v>84</v>
      </c>
      <c r="P340" s="633" t="s">
        <v>38</v>
      </c>
      <c r="Q340" s="633" t="s">
        <v>38</v>
      </c>
      <c r="R340" s="634" t="s">
        <v>38</v>
      </c>
      <c r="S340" s="55"/>
      <c r="T340" s="576"/>
      <c r="U340" s="575"/>
      <c r="V340" s="575"/>
      <c r="W340" s="575"/>
      <c r="X340" s="579"/>
      <c r="Y340" s="579"/>
      <c r="Z340" s="579"/>
      <c r="AA340" s="579"/>
      <c r="AC340" s="579"/>
      <c r="AD340" s="579"/>
      <c r="AE340" s="579"/>
      <c r="AF340" s="579"/>
      <c r="AG340" s="579"/>
      <c r="AH340" s="579"/>
      <c r="AI340" s="579"/>
      <c r="AJ340" s="579"/>
      <c r="AK340" s="579"/>
      <c r="AL340" s="579"/>
    </row>
    <row r="341" spans="1:38" ht="13" customHeight="1">
      <c r="A341" s="564">
        <v>275</v>
      </c>
      <c r="B341" s="564" t="s">
        <v>286</v>
      </c>
      <c r="C341" s="564" t="s">
        <v>61</v>
      </c>
      <c r="D341" s="639" t="s">
        <v>278</v>
      </c>
      <c r="E341" s="564">
        <v>1598</v>
      </c>
      <c r="F341" s="564" t="s">
        <v>75</v>
      </c>
      <c r="G341" s="564" t="s">
        <v>57</v>
      </c>
      <c r="H341" s="564" t="s">
        <v>76</v>
      </c>
      <c r="I341" s="564">
        <v>80.3</v>
      </c>
      <c r="J341" s="564" t="s">
        <v>77</v>
      </c>
      <c r="K341" s="564">
        <v>2002</v>
      </c>
      <c r="L341" s="564" t="s">
        <v>287</v>
      </c>
      <c r="M341" s="564" t="s">
        <v>292</v>
      </c>
      <c r="N341" s="632">
        <v>0.72699999999999998</v>
      </c>
      <c r="O341" s="564" t="s">
        <v>84</v>
      </c>
      <c r="P341" s="633" t="s">
        <v>38</v>
      </c>
      <c r="Q341" s="633" t="s">
        <v>38</v>
      </c>
      <c r="R341" s="634" t="s">
        <v>38</v>
      </c>
      <c r="S341" s="55"/>
      <c r="T341" s="576"/>
      <c r="U341" s="575"/>
      <c r="V341" s="575"/>
      <c r="W341" s="575"/>
      <c r="X341" s="579"/>
      <c r="Y341" s="579"/>
      <c r="Z341" s="579"/>
      <c r="AA341" s="579"/>
      <c r="AC341" s="579"/>
      <c r="AD341" s="579"/>
      <c r="AE341" s="579"/>
      <c r="AF341" s="579"/>
      <c r="AG341" s="579"/>
      <c r="AH341" s="579"/>
      <c r="AI341" s="579"/>
      <c r="AJ341" s="579"/>
      <c r="AK341" s="579"/>
      <c r="AL341" s="579"/>
    </row>
    <row r="342" spans="1:38" ht="13" customHeight="1">
      <c r="A342" s="564">
        <v>276</v>
      </c>
      <c r="B342" s="564" t="s">
        <v>286</v>
      </c>
      <c r="C342" s="564" t="s">
        <v>61</v>
      </c>
      <c r="D342" s="639" t="s">
        <v>278</v>
      </c>
      <c r="E342" s="564">
        <v>1598</v>
      </c>
      <c r="F342" s="564" t="s">
        <v>75</v>
      </c>
      <c r="G342" s="564" t="s">
        <v>57</v>
      </c>
      <c r="H342" s="564" t="s">
        <v>76</v>
      </c>
      <c r="I342" s="564">
        <v>90.9</v>
      </c>
      <c r="J342" s="564" t="s">
        <v>77</v>
      </c>
      <c r="K342" s="564">
        <v>2002</v>
      </c>
      <c r="L342" s="564" t="s">
        <v>287</v>
      </c>
      <c r="M342" s="564" t="s">
        <v>292</v>
      </c>
      <c r="N342" s="632">
        <v>0.72699999999999998</v>
      </c>
      <c r="O342" s="564" t="s">
        <v>84</v>
      </c>
      <c r="P342" s="633" t="s">
        <v>38</v>
      </c>
      <c r="Q342" s="633" t="s">
        <v>38</v>
      </c>
      <c r="R342" s="634" t="s">
        <v>38</v>
      </c>
      <c r="S342" s="55"/>
      <c r="T342" s="576"/>
      <c r="U342" s="575"/>
      <c r="V342" s="575"/>
      <c r="W342" s="575"/>
      <c r="X342" s="579"/>
      <c r="Y342" s="579"/>
      <c r="Z342" s="579"/>
      <c r="AA342" s="579"/>
      <c r="AC342" s="579"/>
      <c r="AD342" s="579"/>
      <c r="AE342" s="579"/>
      <c r="AF342" s="579"/>
      <c r="AG342" s="579"/>
      <c r="AH342" s="579"/>
      <c r="AI342" s="579"/>
      <c r="AJ342" s="579"/>
      <c r="AK342" s="579"/>
      <c r="AL342" s="579"/>
    </row>
    <row r="343" spans="1:38" ht="13" customHeight="1">
      <c r="A343" s="564">
        <v>277</v>
      </c>
      <c r="B343" s="564" t="s">
        <v>293</v>
      </c>
      <c r="C343" s="564" t="s">
        <v>61</v>
      </c>
      <c r="D343" s="564" t="s">
        <v>62</v>
      </c>
      <c r="E343" s="564">
        <v>1000</v>
      </c>
      <c r="F343" s="564" t="s">
        <v>75</v>
      </c>
      <c r="G343" s="564" t="s">
        <v>52</v>
      </c>
      <c r="H343" s="564" t="s">
        <v>76</v>
      </c>
      <c r="I343" s="564">
        <v>87</v>
      </c>
      <c r="J343" s="564" t="s">
        <v>77</v>
      </c>
      <c r="K343" s="564">
        <v>1992</v>
      </c>
      <c r="L343" s="564" t="s">
        <v>294</v>
      </c>
      <c r="M343" s="564" t="s">
        <v>295</v>
      </c>
      <c r="N343" s="632">
        <v>0.75</v>
      </c>
      <c r="O343" s="564" t="s">
        <v>84</v>
      </c>
      <c r="P343" s="633" t="s">
        <v>38</v>
      </c>
      <c r="Q343" s="633" t="s">
        <v>38</v>
      </c>
      <c r="R343" s="634" t="s">
        <v>38</v>
      </c>
      <c r="S343" s="55"/>
      <c r="T343" s="574"/>
      <c r="U343" s="575"/>
      <c r="V343" s="575"/>
      <c r="W343" s="575"/>
      <c r="X343" s="579"/>
      <c r="Y343" s="579"/>
      <c r="Z343" s="579"/>
      <c r="AA343" s="579"/>
      <c r="AC343" s="579"/>
      <c r="AD343" s="579"/>
      <c r="AE343" s="579"/>
      <c r="AF343" s="579"/>
      <c r="AG343" s="579"/>
      <c r="AH343" s="579"/>
      <c r="AI343" s="579"/>
      <c r="AJ343" s="579"/>
      <c r="AK343" s="579"/>
      <c r="AL343" s="579"/>
    </row>
    <row r="344" spans="1:38" ht="13" customHeight="1">
      <c r="A344" s="564">
        <v>278</v>
      </c>
      <c r="B344" s="564" t="s">
        <v>296</v>
      </c>
      <c r="C344" s="564" t="s">
        <v>61</v>
      </c>
      <c r="D344" s="564" t="s">
        <v>297</v>
      </c>
      <c r="E344" s="564">
        <v>1000</v>
      </c>
      <c r="F344" s="564" t="s">
        <v>75</v>
      </c>
      <c r="G344" s="564" t="s">
        <v>52</v>
      </c>
      <c r="H344" s="564" t="s">
        <v>76</v>
      </c>
      <c r="I344" s="564">
        <v>44</v>
      </c>
      <c r="J344" s="564" t="s">
        <v>77</v>
      </c>
      <c r="K344" s="564">
        <v>1992</v>
      </c>
      <c r="L344" s="564" t="s">
        <v>294</v>
      </c>
      <c r="M344" s="564" t="s">
        <v>295</v>
      </c>
      <c r="N344" s="632">
        <v>0.75</v>
      </c>
      <c r="O344" s="564" t="s">
        <v>84</v>
      </c>
      <c r="P344" s="633" t="s">
        <v>38</v>
      </c>
      <c r="Q344" s="633" t="s">
        <v>38</v>
      </c>
      <c r="R344" s="634" t="s">
        <v>38</v>
      </c>
      <c r="S344" s="55"/>
      <c r="T344" s="574"/>
      <c r="U344" s="575"/>
      <c r="V344" s="575"/>
      <c r="W344" s="575"/>
      <c r="X344" s="579"/>
      <c r="Y344" s="579"/>
      <c r="Z344" s="579"/>
      <c r="AA344" s="579"/>
      <c r="AC344" s="579"/>
      <c r="AD344" s="579"/>
      <c r="AE344" s="579"/>
      <c r="AF344" s="579"/>
      <c r="AG344" s="579"/>
      <c r="AH344" s="579"/>
      <c r="AI344" s="579"/>
      <c r="AJ344" s="579"/>
      <c r="AK344" s="579"/>
      <c r="AL344" s="579"/>
    </row>
    <row r="345" spans="1:38" ht="13" customHeight="1">
      <c r="A345" s="564">
        <v>279</v>
      </c>
      <c r="B345" s="564" t="s">
        <v>298</v>
      </c>
      <c r="C345" s="564" t="s">
        <v>61</v>
      </c>
      <c r="D345" s="564" t="s">
        <v>251</v>
      </c>
      <c r="E345" s="564">
        <v>1000</v>
      </c>
      <c r="F345" s="564" t="s">
        <v>75</v>
      </c>
      <c r="G345" s="564" t="s">
        <v>52</v>
      </c>
      <c r="H345" s="564" t="s">
        <v>76</v>
      </c>
      <c r="I345" s="564">
        <v>43</v>
      </c>
      <c r="J345" s="564" t="s">
        <v>77</v>
      </c>
      <c r="K345" s="564">
        <v>1992</v>
      </c>
      <c r="L345" s="564" t="s">
        <v>294</v>
      </c>
      <c r="M345" s="564" t="s">
        <v>295</v>
      </c>
      <c r="N345" s="632">
        <v>0.75</v>
      </c>
      <c r="O345" s="564" t="s">
        <v>84</v>
      </c>
      <c r="P345" s="633" t="s">
        <v>38</v>
      </c>
      <c r="Q345" s="633" t="s">
        <v>38</v>
      </c>
      <c r="R345" s="634" t="s">
        <v>38</v>
      </c>
      <c r="S345" s="55"/>
      <c r="T345" s="574"/>
      <c r="U345" s="575"/>
      <c r="V345" s="575"/>
      <c r="W345" s="575"/>
      <c r="X345" s="579"/>
      <c r="Y345" s="579"/>
      <c r="Z345" s="579"/>
      <c r="AA345" s="579"/>
      <c r="AC345" s="579"/>
      <c r="AD345" s="579"/>
      <c r="AE345" s="579"/>
      <c r="AF345" s="579"/>
      <c r="AG345" s="579"/>
      <c r="AH345" s="579"/>
      <c r="AI345" s="579"/>
      <c r="AJ345" s="579"/>
      <c r="AK345" s="579"/>
      <c r="AL345" s="579"/>
    </row>
    <row r="346" spans="1:38" ht="13" customHeight="1">
      <c r="A346" s="564">
        <v>280</v>
      </c>
      <c r="B346" s="564" t="s">
        <v>299</v>
      </c>
      <c r="C346" s="564" t="s">
        <v>61</v>
      </c>
      <c r="D346" s="564" t="s">
        <v>251</v>
      </c>
      <c r="E346" s="564">
        <v>1000</v>
      </c>
      <c r="F346" s="564" t="s">
        <v>75</v>
      </c>
      <c r="G346" s="564" t="s">
        <v>52</v>
      </c>
      <c r="H346" s="564" t="s">
        <v>76</v>
      </c>
      <c r="I346" s="564">
        <v>78</v>
      </c>
      <c r="J346" s="564" t="s">
        <v>77</v>
      </c>
      <c r="K346" s="564">
        <v>1992</v>
      </c>
      <c r="L346" s="564" t="s">
        <v>294</v>
      </c>
      <c r="M346" s="564" t="s">
        <v>295</v>
      </c>
      <c r="N346" s="632">
        <v>0.75</v>
      </c>
      <c r="O346" s="564" t="s">
        <v>84</v>
      </c>
      <c r="P346" s="633" t="s">
        <v>38</v>
      </c>
      <c r="Q346" s="633" t="s">
        <v>38</v>
      </c>
      <c r="R346" s="634" t="s">
        <v>38</v>
      </c>
      <c r="S346" s="55"/>
      <c r="T346" s="574"/>
      <c r="U346" s="575"/>
      <c r="V346" s="575"/>
      <c r="W346" s="575"/>
      <c r="X346" s="579"/>
      <c r="Y346" s="579"/>
      <c r="Z346" s="579"/>
      <c r="AA346" s="579"/>
      <c r="AC346" s="579"/>
      <c r="AD346" s="579"/>
      <c r="AE346" s="579"/>
      <c r="AF346" s="579"/>
      <c r="AG346" s="579"/>
      <c r="AH346" s="579"/>
      <c r="AI346" s="579"/>
      <c r="AJ346" s="579"/>
      <c r="AK346" s="579"/>
      <c r="AL346" s="579"/>
    </row>
    <row r="347" spans="1:38" ht="13" customHeight="1">
      <c r="A347" s="564">
        <v>281</v>
      </c>
      <c r="B347" s="564" t="s">
        <v>112</v>
      </c>
      <c r="C347" s="564" t="s">
        <v>61</v>
      </c>
      <c r="D347" s="564" t="s">
        <v>113</v>
      </c>
      <c r="E347" s="564">
        <v>1000</v>
      </c>
      <c r="F347" s="564" t="s">
        <v>75</v>
      </c>
      <c r="G347" s="564" t="s">
        <v>52</v>
      </c>
      <c r="H347" s="564" t="s">
        <v>76</v>
      </c>
      <c r="I347" s="564">
        <v>52</v>
      </c>
      <c r="J347" s="564" t="s">
        <v>77</v>
      </c>
      <c r="K347" s="564">
        <v>1992</v>
      </c>
      <c r="L347" s="564" t="s">
        <v>294</v>
      </c>
      <c r="M347" s="564" t="s">
        <v>295</v>
      </c>
      <c r="N347" s="632">
        <v>0.75</v>
      </c>
      <c r="O347" s="564" t="s">
        <v>84</v>
      </c>
      <c r="P347" s="633" t="s">
        <v>38</v>
      </c>
      <c r="Q347" s="633" t="s">
        <v>38</v>
      </c>
      <c r="R347" s="634" t="s">
        <v>38</v>
      </c>
      <c r="S347" s="55"/>
      <c r="T347" s="574"/>
      <c r="U347" s="575"/>
      <c r="V347" s="575"/>
      <c r="W347" s="575"/>
      <c r="X347" s="579"/>
      <c r="Y347" s="579"/>
      <c r="Z347" s="579"/>
      <c r="AA347" s="579"/>
      <c r="AC347" s="579"/>
      <c r="AD347" s="579"/>
      <c r="AE347" s="579"/>
      <c r="AF347" s="579"/>
      <c r="AG347" s="579"/>
      <c r="AH347" s="579"/>
      <c r="AI347" s="579"/>
      <c r="AJ347" s="579"/>
      <c r="AK347" s="579"/>
      <c r="AL347" s="579"/>
    </row>
    <row r="348" spans="1:38" ht="13" customHeight="1">
      <c r="A348" s="564">
        <v>282</v>
      </c>
      <c r="B348" s="564" t="s">
        <v>300</v>
      </c>
      <c r="C348" s="564" t="s">
        <v>61</v>
      </c>
      <c r="D348" s="564" t="s">
        <v>113</v>
      </c>
      <c r="E348" s="564">
        <v>1000</v>
      </c>
      <c r="F348" s="564" t="s">
        <v>75</v>
      </c>
      <c r="G348" s="564" t="s">
        <v>52</v>
      </c>
      <c r="H348" s="564" t="s">
        <v>76</v>
      </c>
      <c r="I348" s="564">
        <v>46</v>
      </c>
      <c r="J348" s="564" t="s">
        <v>77</v>
      </c>
      <c r="K348" s="564">
        <v>1992</v>
      </c>
      <c r="L348" s="564" t="s">
        <v>294</v>
      </c>
      <c r="M348" s="564" t="s">
        <v>295</v>
      </c>
      <c r="N348" s="632">
        <v>0.75</v>
      </c>
      <c r="O348" s="564" t="s">
        <v>84</v>
      </c>
      <c r="P348" s="633" t="s">
        <v>38</v>
      </c>
      <c r="Q348" s="633" t="s">
        <v>38</v>
      </c>
      <c r="R348" s="634" t="s">
        <v>38</v>
      </c>
      <c r="S348" s="55"/>
      <c r="T348" s="574"/>
      <c r="U348" s="575"/>
      <c r="V348" s="575"/>
      <c r="W348" s="575"/>
      <c r="X348" s="579"/>
      <c r="Y348" s="579"/>
      <c r="Z348" s="579"/>
      <c r="AA348" s="579"/>
      <c r="AC348" s="579"/>
      <c r="AD348" s="579"/>
      <c r="AE348" s="579"/>
      <c r="AF348" s="579"/>
      <c r="AG348" s="579"/>
      <c r="AH348" s="579"/>
      <c r="AI348" s="579"/>
      <c r="AJ348" s="579"/>
      <c r="AK348" s="579"/>
      <c r="AL348" s="579"/>
    </row>
    <row r="349" spans="1:38" ht="13" customHeight="1">
      <c r="A349" s="564">
        <v>283</v>
      </c>
      <c r="B349" s="564" t="s">
        <v>301</v>
      </c>
      <c r="C349" s="564" t="s">
        <v>61</v>
      </c>
      <c r="D349" s="564" t="s">
        <v>62</v>
      </c>
      <c r="E349" s="564">
        <v>1000</v>
      </c>
      <c r="F349" s="564" t="s">
        <v>75</v>
      </c>
      <c r="G349" s="564" t="s">
        <v>52</v>
      </c>
      <c r="H349" s="564" t="s">
        <v>76</v>
      </c>
      <c r="I349" s="564">
        <v>82</v>
      </c>
      <c r="J349" s="564" t="s">
        <v>77</v>
      </c>
      <c r="K349" s="564">
        <v>1992</v>
      </c>
      <c r="L349" s="564" t="s">
        <v>294</v>
      </c>
      <c r="M349" s="564" t="s">
        <v>295</v>
      </c>
      <c r="N349" s="632">
        <v>0.75</v>
      </c>
      <c r="O349" s="564" t="s">
        <v>84</v>
      </c>
      <c r="P349" s="633" t="s">
        <v>38</v>
      </c>
      <c r="Q349" s="633" t="s">
        <v>38</v>
      </c>
      <c r="R349" s="634" t="s">
        <v>38</v>
      </c>
      <c r="S349" s="55"/>
      <c r="T349" s="574"/>
      <c r="U349" s="575"/>
      <c r="V349" s="575"/>
      <c r="W349" s="575"/>
      <c r="X349" s="579"/>
      <c r="Y349" s="579"/>
      <c r="Z349" s="579"/>
      <c r="AA349" s="579"/>
      <c r="AC349" s="579"/>
      <c r="AD349" s="579"/>
      <c r="AE349" s="579"/>
      <c r="AF349" s="579"/>
      <c r="AG349" s="579"/>
      <c r="AH349" s="579"/>
      <c r="AI349" s="579"/>
      <c r="AJ349" s="579"/>
      <c r="AK349" s="579"/>
      <c r="AL349" s="579"/>
    </row>
    <row r="350" spans="1:38" ht="13" customHeight="1">
      <c r="A350" s="564">
        <v>284</v>
      </c>
      <c r="B350" s="564" t="s">
        <v>302</v>
      </c>
      <c r="C350" s="564" t="s">
        <v>61</v>
      </c>
      <c r="D350" s="564" t="s">
        <v>62</v>
      </c>
      <c r="E350" s="564">
        <v>1000</v>
      </c>
      <c r="F350" s="564" t="s">
        <v>75</v>
      </c>
      <c r="G350" s="564" t="s">
        <v>52</v>
      </c>
      <c r="H350" s="564" t="s">
        <v>76</v>
      </c>
      <c r="I350" s="564">
        <v>56</v>
      </c>
      <c r="J350" s="564" t="s">
        <v>77</v>
      </c>
      <c r="K350" s="564">
        <v>1992</v>
      </c>
      <c r="L350" s="564" t="s">
        <v>294</v>
      </c>
      <c r="M350" s="564" t="s">
        <v>303</v>
      </c>
      <c r="N350" s="632">
        <v>0.75</v>
      </c>
      <c r="O350" s="564" t="s">
        <v>84</v>
      </c>
      <c r="P350" s="633" t="s">
        <v>38</v>
      </c>
      <c r="Q350" s="633" t="s">
        <v>38</v>
      </c>
      <c r="R350" s="634" t="s">
        <v>38</v>
      </c>
      <c r="S350" s="55"/>
      <c r="T350" s="574"/>
      <c r="U350" s="575"/>
      <c r="V350" s="575"/>
      <c r="W350" s="575"/>
      <c r="X350" s="579"/>
      <c r="Y350" s="579"/>
      <c r="Z350" s="579"/>
      <c r="AA350" s="579"/>
      <c r="AC350" s="579"/>
      <c r="AD350" s="579"/>
      <c r="AE350" s="579"/>
      <c r="AF350" s="579"/>
      <c r="AG350" s="579"/>
      <c r="AH350" s="579"/>
      <c r="AI350" s="579"/>
      <c r="AJ350" s="579"/>
      <c r="AK350" s="579"/>
      <c r="AL350" s="579"/>
    </row>
    <row r="351" spans="1:38" ht="13" customHeight="1">
      <c r="A351" s="564">
        <v>285</v>
      </c>
      <c r="B351" s="564" t="s">
        <v>126</v>
      </c>
      <c r="C351" s="564" t="s">
        <v>61</v>
      </c>
      <c r="D351" s="564" t="s">
        <v>62</v>
      </c>
      <c r="E351" s="564">
        <v>1000</v>
      </c>
      <c r="F351" s="564" t="s">
        <v>493</v>
      </c>
      <c r="G351" s="564" t="s">
        <v>52</v>
      </c>
      <c r="H351" s="564" t="s">
        <v>76</v>
      </c>
      <c r="I351" s="564">
        <v>0.5</v>
      </c>
      <c r="J351" s="564" t="s">
        <v>77</v>
      </c>
      <c r="K351" s="564">
        <v>1992</v>
      </c>
      <c r="L351" s="564" t="s">
        <v>294</v>
      </c>
      <c r="M351" s="564"/>
      <c r="N351" s="634" t="s">
        <v>38</v>
      </c>
      <c r="O351" s="634" t="s">
        <v>38</v>
      </c>
      <c r="P351" s="633" t="s">
        <v>38</v>
      </c>
      <c r="Q351" s="633" t="s">
        <v>38</v>
      </c>
      <c r="R351" s="634" t="s">
        <v>38</v>
      </c>
      <c r="S351" s="55"/>
      <c r="T351" s="574"/>
      <c r="U351" s="575"/>
      <c r="V351" s="575"/>
      <c r="W351" s="575"/>
      <c r="X351" s="579"/>
      <c r="Y351" s="579"/>
      <c r="Z351" s="579"/>
      <c r="AA351" s="579"/>
      <c r="AC351" s="579"/>
      <c r="AD351" s="579"/>
      <c r="AE351" s="579"/>
      <c r="AF351" s="579"/>
      <c r="AG351" s="579"/>
      <c r="AH351" s="579"/>
      <c r="AI351" s="579"/>
      <c r="AJ351" s="579"/>
      <c r="AK351" s="579"/>
      <c r="AL351" s="579"/>
    </row>
    <row r="352" spans="1:38" ht="16.899999999999999" customHeight="1">
      <c r="A352" s="564">
        <v>286</v>
      </c>
      <c r="B352" s="564" t="s">
        <v>304</v>
      </c>
      <c r="C352" s="564" t="s">
        <v>61</v>
      </c>
      <c r="D352" s="564" t="s">
        <v>62</v>
      </c>
      <c r="E352" s="564">
        <v>1000</v>
      </c>
      <c r="F352" s="564" t="s">
        <v>493</v>
      </c>
      <c r="G352" s="564" t="s">
        <v>52</v>
      </c>
      <c r="H352" s="564" t="s">
        <v>76</v>
      </c>
      <c r="I352" s="564">
        <v>0.3</v>
      </c>
      <c r="J352" s="564" t="s">
        <v>77</v>
      </c>
      <c r="K352" s="564">
        <v>1992</v>
      </c>
      <c r="L352" s="564" t="s">
        <v>294</v>
      </c>
      <c r="M352" s="564"/>
      <c r="N352" s="634" t="s">
        <v>38</v>
      </c>
      <c r="O352" s="634" t="s">
        <v>38</v>
      </c>
      <c r="P352" s="633" t="s">
        <v>38</v>
      </c>
      <c r="Q352" s="633" t="s">
        <v>38</v>
      </c>
      <c r="R352" s="634" t="s">
        <v>38</v>
      </c>
      <c r="S352" s="55"/>
      <c r="T352" s="574"/>
      <c r="U352" s="575"/>
      <c r="V352" s="575"/>
      <c r="W352" s="575"/>
      <c r="X352" s="579"/>
      <c r="Y352" s="579"/>
      <c r="Z352" s="579"/>
      <c r="AA352" s="579"/>
      <c r="AC352" s="579"/>
      <c r="AD352" s="579"/>
      <c r="AE352" s="579"/>
      <c r="AF352" s="579"/>
      <c r="AG352" s="579"/>
      <c r="AH352" s="579"/>
      <c r="AI352" s="579"/>
      <c r="AJ352" s="579"/>
      <c r="AK352" s="579"/>
      <c r="AL352" s="579"/>
    </row>
    <row r="353" spans="1:50" s="81" customFormat="1" ht="13" customHeight="1">
      <c r="A353" s="564">
        <v>287</v>
      </c>
      <c r="B353" s="564" t="s">
        <v>114</v>
      </c>
      <c r="C353" s="564" t="s">
        <v>61</v>
      </c>
      <c r="D353" s="564" t="s">
        <v>62</v>
      </c>
      <c r="E353" s="564">
        <v>1000</v>
      </c>
      <c r="F353" s="564" t="s">
        <v>493</v>
      </c>
      <c r="G353" s="564" t="s">
        <v>52</v>
      </c>
      <c r="H353" s="564" t="s">
        <v>76</v>
      </c>
      <c r="I353" s="564">
        <v>0.3</v>
      </c>
      <c r="J353" s="564" t="s">
        <v>77</v>
      </c>
      <c r="K353" s="564">
        <v>1992</v>
      </c>
      <c r="L353" s="564" t="s">
        <v>294</v>
      </c>
      <c r="M353" s="564"/>
      <c r="N353" s="634" t="s">
        <v>38</v>
      </c>
      <c r="O353" s="634" t="s">
        <v>38</v>
      </c>
      <c r="P353" s="633" t="s">
        <v>38</v>
      </c>
      <c r="Q353" s="633" t="s">
        <v>38</v>
      </c>
      <c r="R353" s="634" t="s">
        <v>38</v>
      </c>
      <c r="S353" s="55"/>
      <c r="T353" s="574"/>
      <c r="U353" s="575"/>
      <c r="V353" s="575"/>
      <c r="W353" s="575"/>
      <c r="X353" s="579"/>
      <c r="Y353" s="579"/>
      <c r="Z353" s="579"/>
      <c r="AA353" s="579"/>
      <c r="AB353" s="570"/>
      <c r="AC353" s="579"/>
      <c r="AD353" s="579"/>
      <c r="AE353" s="579"/>
      <c r="AF353" s="579"/>
      <c r="AG353" s="579"/>
      <c r="AH353" s="579"/>
      <c r="AI353" s="579"/>
      <c r="AJ353" s="579"/>
      <c r="AK353" s="579"/>
      <c r="AL353" s="579"/>
      <c r="AM353" s="570"/>
      <c r="AN353" s="570"/>
      <c r="AO353" s="570"/>
      <c r="AP353" s="570"/>
      <c r="AQ353" s="570"/>
      <c r="AR353" s="570"/>
      <c r="AS353" s="570"/>
      <c r="AT353" s="570"/>
      <c r="AU353" s="570"/>
      <c r="AV353" s="570"/>
      <c r="AW353" s="570"/>
      <c r="AX353" s="570"/>
    </row>
    <row r="354" spans="1:50" ht="13" customHeight="1">
      <c r="A354" s="564">
        <v>288</v>
      </c>
      <c r="B354" s="564" t="s">
        <v>301</v>
      </c>
      <c r="C354" s="564" t="s">
        <v>61</v>
      </c>
      <c r="D354" s="564" t="s">
        <v>62</v>
      </c>
      <c r="E354" s="564">
        <v>1000</v>
      </c>
      <c r="F354" s="564" t="s">
        <v>75</v>
      </c>
      <c r="G354" s="564" t="s">
        <v>52</v>
      </c>
      <c r="H354" s="564" t="s">
        <v>76</v>
      </c>
      <c r="I354" s="564">
        <v>0.5</v>
      </c>
      <c r="J354" s="564" t="s">
        <v>77</v>
      </c>
      <c r="K354" s="564">
        <v>1992</v>
      </c>
      <c r="L354" s="564" t="s">
        <v>294</v>
      </c>
      <c r="M354" s="564"/>
      <c r="N354" s="634" t="s">
        <v>38</v>
      </c>
      <c r="O354" s="634" t="s">
        <v>38</v>
      </c>
      <c r="P354" s="633" t="s">
        <v>38</v>
      </c>
      <c r="Q354" s="633" t="s">
        <v>38</v>
      </c>
      <c r="R354" s="634" t="s">
        <v>38</v>
      </c>
      <c r="S354" s="55"/>
      <c r="T354" s="574"/>
      <c r="U354" s="575"/>
      <c r="V354" s="575"/>
      <c r="W354" s="575"/>
      <c r="X354" s="579"/>
      <c r="Y354" s="579"/>
      <c r="Z354" s="579"/>
      <c r="AA354" s="579"/>
      <c r="AC354" s="579"/>
      <c r="AD354" s="579"/>
      <c r="AE354" s="579"/>
      <c r="AF354" s="579"/>
      <c r="AG354" s="579"/>
      <c r="AH354" s="579"/>
      <c r="AI354" s="579"/>
      <c r="AJ354" s="579"/>
      <c r="AK354" s="579"/>
      <c r="AL354" s="579"/>
    </row>
    <row r="355" spans="1:50" s="133" customFormat="1" ht="13" customHeight="1">
      <c r="A355" s="564">
        <v>289</v>
      </c>
      <c r="B355" s="564" t="s">
        <v>126</v>
      </c>
      <c r="C355" s="564" t="s">
        <v>61</v>
      </c>
      <c r="D355" s="564" t="s">
        <v>62</v>
      </c>
      <c r="E355" s="564">
        <v>1000</v>
      </c>
      <c r="F355" s="564" t="s">
        <v>75</v>
      </c>
      <c r="G355" s="564" t="s">
        <v>52</v>
      </c>
      <c r="H355" s="564" t="s">
        <v>76</v>
      </c>
      <c r="I355" s="564">
        <v>70</v>
      </c>
      <c r="J355" s="564" t="s">
        <v>77</v>
      </c>
      <c r="K355" s="564">
        <v>1992</v>
      </c>
      <c r="L355" s="564" t="s">
        <v>294</v>
      </c>
      <c r="M355" s="564" t="s">
        <v>295</v>
      </c>
      <c r="N355" s="632">
        <v>0.75</v>
      </c>
      <c r="O355" s="564" t="s">
        <v>84</v>
      </c>
      <c r="P355" s="633" t="s">
        <v>38</v>
      </c>
      <c r="Q355" s="633" t="s">
        <v>38</v>
      </c>
      <c r="R355" s="634" t="s">
        <v>38</v>
      </c>
      <c r="S355" s="55"/>
      <c r="T355" s="574"/>
      <c r="U355" s="575"/>
      <c r="V355" s="575"/>
      <c r="W355" s="575"/>
      <c r="X355" s="579"/>
      <c r="Y355" s="579"/>
      <c r="Z355" s="579"/>
      <c r="AA355" s="579"/>
      <c r="AB355" s="570"/>
      <c r="AC355" s="579"/>
      <c r="AD355" s="579"/>
      <c r="AE355" s="579"/>
      <c r="AF355" s="579"/>
      <c r="AG355" s="579"/>
      <c r="AH355" s="579"/>
      <c r="AI355" s="579"/>
      <c r="AJ355" s="579"/>
      <c r="AK355" s="579"/>
      <c r="AL355" s="579"/>
      <c r="AM355" s="570"/>
      <c r="AN355" s="570"/>
      <c r="AO355" s="570"/>
      <c r="AP355" s="570"/>
      <c r="AQ355" s="570"/>
      <c r="AR355" s="570"/>
      <c r="AS355" s="570"/>
      <c r="AT355" s="570"/>
      <c r="AU355" s="570"/>
      <c r="AV355" s="570"/>
      <c r="AW355" s="570"/>
      <c r="AX355" s="570"/>
    </row>
    <row r="356" spans="1:50" s="133" customFormat="1" ht="13" customHeight="1">
      <c r="A356" s="564">
        <v>290</v>
      </c>
      <c r="B356" s="564" t="s">
        <v>304</v>
      </c>
      <c r="C356" s="564" t="s">
        <v>61</v>
      </c>
      <c r="D356" s="564" t="s">
        <v>62</v>
      </c>
      <c r="E356" s="564">
        <v>1000</v>
      </c>
      <c r="F356" s="564" t="s">
        <v>75</v>
      </c>
      <c r="G356" s="564" t="s">
        <v>52</v>
      </c>
      <c r="H356" s="564" t="s">
        <v>76</v>
      </c>
      <c r="I356" s="564">
        <v>69</v>
      </c>
      <c r="J356" s="564" t="s">
        <v>77</v>
      </c>
      <c r="K356" s="564">
        <v>1992</v>
      </c>
      <c r="L356" s="564" t="s">
        <v>294</v>
      </c>
      <c r="M356" s="564" t="s">
        <v>295</v>
      </c>
      <c r="N356" s="632">
        <v>0.75</v>
      </c>
      <c r="O356" s="564" t="s">
        <v>84</v>
      </c>
      <c r="P356" s="633" t="s">
        <v>38</v>
      </c>
      <c r="Q356" s="633" t="s">
        <v>38</v>
      </c>
      <c r="R356" s="634" t="s">
        <v>38</v>
      </c>
      <c r="S356" s="55"/>
      <c r="T356" s="574"/>
      <c r="U356" s="575"/>
      <c r="V356" s="575"/>
      <c r="W356" s="575"/>
      <c r="X356" s="579"/>
      <c r="Y356" s="579"/>
      <c r="Z356" s="579"/>
      <c r="AA356" s="579"/>
      <c r="AB356" s="570"/>
      <c r="AC356" s="579"/>
      <c r="AD356" s="579"/>
      <c r="AE356" s="579"/>
      <c r="AF356" s="579"/>
      <c r="AG356" s="579"/>
      <c r="AH356" s="579"/>
      <c r="AI356" s="579"/>
      <c r="AJ356" s="579"/>
      <c r="AK356" s="579"/>
      <c r="AL356" s="579"/>
      <c r="AM356" s="570"/>
      <c r="AN356" s="570"/>
      <c r="AO356" s="570"/>
      <c r="AP356" s="570"/>
      <c r="AQ356" s="570"/>
      <c r="AR356" s="570"/>
      <c r="AS356" s="570"/>
      <c r="AT356" s="570"/>
      <c r="AU356" s="570"/>
      <c r="AV356" s="570"/>
      <c r="AW356" s="570"/>
      <c r="AX356" s="570"/>
    </row>
    <row r="357" spans="1:50" s="133" customFormat="1" ht="13" customHeight="1">
      <c r="A357" s="564">
        <v>291</v>
      </c>
      <c r="B357" s="564" t="s">
        <v>114</v>
      </c>
      <c r="C357" s="564" t="s">
        <v>61</v>
      </c>
      <c r="D357" s="564" t="s">
        <v>62</v>
      </c>
      <c r="E357" s="564">
        <v>1000</v>
      </c>
      <c r="F357" s="564" t="s">
        <v>75</v>
      </c>
      <c r="G357" s="564" t="s">
        <v>52</v>
      </c>
      <c r="H357" s="564" t="s">
        <v>76</v>
      </c>
      <c r="I357" s="564">
        <v>86</v>
      </c>
      <c r="J357" s="564" t="s">
        <v>77</v>
      </c>
      <c r="K357" s="564">
        <v>1992</v>
      </c>
      <c r="L357" s="564" t="s">
        <v>294</v>
      </c>
      <c r="M357" s="564" t="s">
        <v>295</v>
      </c>
      <c r="N357" s="632">
        <v>0.75</v>
      </c>
      <c r="O357" s="564" t="s">
        <v>84</v>
      </c>
      <c r="P357" s="633" t="s">
        <v>38</v>
      </c>
      <c r="Q357" s="633" t="s">
        <v>38</v>
      </c>
      <c r="R357" s="634" t="s">
        <v>38</v>
      </c>
      <c r="S357" s="55"/>
      <c r="T357" s="574"/>
      <c r="U357" s="575"/>
      <c r="V357" s="575"/>
      <c r="W357" s="575"/>
      <c r="X357" s="579"/>
      <c r="Y357" s="579"/>
      <c r="Z357" s="579"/>
      <c r="AA357" s="579"/>
      <c r="AB357" s="570"/>
      <c r="AC357" s="579"/>
      <c r="AD357" s="579"/>
      <c r="AE357" s="579"/>
      <c r="AF357" s="579"/>
      <c r="AG357" s="579"/>
      <c r="AH357" s="579"/>
      <c r="AI357" s="579"/>
      <c r="AJ357" s="579"/>
      <c r="AK357" s="579"/>
      <c r="AL357" s="579"/>
      <c r="AM357" s="570"/>
      <c r="AN357" s="570"/>
      <c r="AO357" s="570"/>
      <c r="AP357" s="570"/>
      <c r="AQ357" s="570"/>
      <c r="AR357" s="570"/>
      <c r="AS357" s="570"/>
      <c r="AT357" s="570"/>
      <c r="AU357" s="570"/>
      <c r="AV357" s="570"/>
      <c r="AW357" s="570"/>
      <c r="AX357" s="570"/>
    </row>
    <row r="358" spans="1:50" s="133" customFormat="1" ht="13" customHeight="1">
      <c r="A358" s="564">
        <v>292</v>
      </c>
      <c r="B358" s="564" t="s">
        <v>301</v>
      </c>
      <c r="C358" s="564" t="s">
        <v>61</v>
      </c>
      <c r="D358" s="564" t="s">
        <v>62</v>
      </c>
      <c r="E358" s="564">
        <v>1000</v>
      </c>
      <c r="F358" s="564" t="s">
        <v>75</v>
      </c>
      <c r="G358" s="564" t="s">
        <v>52</v>
      </c>
      <c r="H358" s="564" t="s">
        <v>76</v>
      </c>
      <c r="I358" s="564">
        <v>99</v>
      </c>
      <c r="J358" s="564" t="s">
        <v>77</v>
      </c>
      <c r="K358" s="564">
        <v>1992</v>
      </c>
      <c r="L358" s="564" t="s">
        <v>294</v>
      </c>
      <c r="M358" s="564" t="s">
        <v>305</v>
      </c>
      <c r="N358" s="632">
        <v>0.75</v>
      </c>
      <c r="O358" s="564" t="s">
        <v>84</v>
      </c>
      <c r="P358" s="633" t="s">
        <v>38</v>
      </c>
      <c r="Q358" s="633" t="s">
        <v>38</v>
      </c>
      <c r="R358" s="634" t="s">
        <v>38</v>
      </c>
      <c r="S358" s="55"/>
      <c r="T358" s="574"/>
      <c r="U358" s="575"/>
      <c r="V358" s="575"/>
      <c r="W358" s="575"/>
      <c r="X358" s="579"/>
      <c r="Y358" s="579"/>
      <c r="Z358" s="579"/>
      <c r="AA358" s="579"/>
      <c r="AB358" s="570"/>
      <c r="AC358" s="579"/>
      <c r="AD358" s="579"/>
      <c r="AE358" s="579"/>
      <c r="AF358" s="579"/>
      <c r="AG358" s="579"/>
      <c r="AH358" s="579"/>
      <c r="AI358" s="579"/>
      <c r="AJ358" s="579"/>
      <c r="AK358" s="579"/>
      <c r="AL358" s="579"/>
      <c r="AM358" s="570"/>
      <c r="AN358" s="570"/>
      <c r="AO358" s="570"/>
      <c r="AP358" s="570"/>
      <c r="AQ358" s="570"/>
      <c r="AR358" s="570"/>
      <c r="AS358" s="570"/>
      <c r="AT358" s="570"/>
      <c r="AU358" s="570"/>
      <c r="AV358" s="570"/>
      <c r="AW358" s="570"/>
      <c r="AX358" s="570"/>
    </row>
    <row r="359" spans="1:50" s="133" customFormat="1" ht="13" customHeight="1">
      <c r="A359" s="564">
        <v>293</v>
      </c>
      <c r="B359" s="564" t="s">
        <v>126</v>
      </c>
      <c r="C359" s="564" t="s">
        <v>61</v>
      </c>
      <c r="D359" s="564" t="s">
        <v>62</v>
      </c>
      <c r="E359" s="564">
        <v>1000</v>
      </c>
      <c r="F359" s="564" t="s">
        <v>75</v>
      </c>
      <c r="G359" s="564" t="s">
        <v>52</v>
      </c>
      <c r="H359" s="564" t="s">
        <v>76</v>
      </c>
      <c r="I359" s="564">
        <v>84</v>
      </c>
      <c r="J359" s="564" t="s">
        <v>77</v>
      </c>
      <c r="K359" s="564">
        <v>1992</v>
      </c>
      <c r="L359" s="564" t="s">
        <v>294</v>
      </c>
      <c r="M359" s="564" t="s">
        <v>305</v>
      </c>
      <c r="N359" s="632">
        <v>0.75</v>
      </c>
      <c r="O359" s="564" t="s">
        <v>84</v>
      </c>
      <c r="P359" s="633" t="s">
        <v>38</v>
      </c>
      <c r="Q359" s="633" t="s">
        <v>38</v>
      </c>
      <c r="R359" s="634" t="s">
        <v>38</v>
      </c>
      <c r="S359" s="55"/>
      <c r="T359" s="574"/>
      <c r="U359" s="575"/>
      <c r="V359" s="575"/>
      <c r="W359" s="575"/>
      <c r="X359" s="579"/>
      <c r="Y359" s="579"/>
      <c r="Z359" s="579"/>
      <c r="AA359" s="579"/>
      <c r="AB359" s="570"/>
      <c r="AC359" s="579"/>
      <c r="AD359" s="579"/>
      <c r="AE359" s="579"/>
      <c r="AF359" s="579"/>
      <c r="AG359" s="579"/>
      <c r="AH359" s="579"/>
      <c r="AI359" s="579"/>
      <c r="AJ359" s="579"/>
      <c r="AK359" s="579"/>
      <c r="AL359" s="579"/>
      <c r="AM359" s="570"/>
      <c r="AN359" s="570"/>
      <c r="AO359" s="570"/>
      <c r="AP359" s="570"/>
      <c r="AQ359" s="570"/>
      <c r="AR359" s="570"/>
      <c r="AS359" s="570"/>
      <c r="AT359" s="570"/>
      <c r="AU359" s="570"/>
      <c r="AV359" s="570"/>
      <c r="AW359" s="570"/>
      <c r="AX359" s="570"/>
    </row>
    <row r="360" spans="1:50" s="133" customFormat="1" ht="13" customHeight="1">
      <c r="A360" s="564">
        <v>294</v>
      </c>
      <c r="B360" s="564" t="s">
        <v>304</v>
      </c>
      <c r="C360" s="564" t="s">
        <v>61</v>
      </c>
      <c r="D360" s="564" t="s">
        <v>62</v>
      </c>
      <c r="E360" s="564">
        <v>1000</v>
      </c>
      <c r="F360" s="564" t="s">
        <v>75</v>
      </c>
      <c r="G360" s="564" t="s">
        <v>52</v>
      </c>
      <c r="H360" s="564" t="s">
        <v>76</v>
      </c>
      <c r="I360" s="564">
        <v>90</v>
      </c>
      <c r="J360" s="564" t="s">
        <v>77</v>
      </c>
      <c r="K360" s="564">
        <v>1992</v>
      </c>
      <c r="L360" s="564" t="s">
        <v>294</v>
      </c>
      <c r="M360" s="564" t="s">
        <v>305</v>
      </c>
      <c r="N360" s="632">
        <v>0.75</v>
      </c>
      <c r="O360" s="564" t="s">
        <v>84</v>
      </c>
      <c r="P360" s="633" t="s">
        <v>38</v>
      </c>
      <c r="Q360" s="633" t="s">
        <v>38</v>
      </c>
      <c r="R360" s="634" t="s">
        <v>38</v>
      </c>
      <c r="S360" s="55"/>
      <c r="T360" s="574"/>
      <c r="U360" s="575"/>
      <c r="V360" s="575"/>
      <c r="W360" s="575"/>
      <c r="X360" s="579"/>
      <c r="Y360" s="579"/>
      <c r="Z360" s="579"/>
      <c r="AA360" s="579"/>
      <c r="AB360" s="570"/>
      <c r="AC360" s="579"/>
      <c r="AD360" s="579"/>
      <c r="AE360" s="579"/>
      <c r="AF360" s="579"/>
      <c r="AG360" s="579"/>
      <c r="AH360" s="579"/>
      <c r="AI360" s="579"/>
      <c r="AJ360" s="579"/>
      <c r="AK360" s="579"/>
      <c r="AL360" s="579"/>
      <c r="AM360" s="570"/>
      <c r="AN360" s="570"/>
      <c r="AO360" s="570"/>
      <c r="AP360" s="570"/>
      <c r="AQ360" s="570"/>
      <c r="AR360" s="570"/>
      <c r="AS360" s="570"/>
      <c r="AT360" s="570"/>
      <c r="AU360" s="570"/>
      <c r="AV360" s="570"/>
      <c r="AW360" s="570"/>
      <c r="AX360" s="570"/>
    </row>
    <row r="361" spans="1:50" s="133" customFormat="1" ht="13" customHeight="1">
      <c r="A361" s="564">
        <v>295</v>
      </c>
      <c r="B361" s="564" t="s">
        <v>114</v>
      </c>
      <c r="C361" s="564" t="s">
        <v>61</v>
      </c>
      <c r="D361" s="564" t="s">
        <v>62</v>
      </c>
      <c r="E361" s="564">
        <v>1000</v>
      </c>
      <c r="F361" s="564" t="s">
        <v>75</v>
      </c>
      <c r="G361" s="564" t="s">
        <v>52</v>
      </c>
      <c r="H361" s="564" t="s">
        <v>76</v>
      </c>
      <c r="I361" s="564">
        <v>101</v>
      </c>
      <c r="J361" s="564" t="s">
        <v>77</v>
      </c>
      <c r="K361" s="564">
        <v>1992</v>
      </c>
      <c r="L361" s="564" t="s">
        <v>294</v>
      </c>
      <c r="M361" s="564" t="s">
        <v>305</v>
      </c>
      <c r="N361" s="632">
        <v>0.75</v>
      </c>
      <c r="O361" s="564" t="s">
        <v>84</v>
      </c>
      <c r="P361" s="633" t="s">
        <v>38</v>
      </c>
      <c r="Q361" s="633" t="s">
        <v>38</v>
      </c>
      <c r="R361" s="634" t="s">
        <v>38</v>
      </c>
      <c r="S361" s="55"/>
      <c r="T361" s="574"/>
      <c r="U361" s="575"/>
      <c r="V361" s="575"/>
      <c r="W361" s="575"/>
      <c r="X361" s="579"/>
      <c r="Y361" s="579"/>
      <c r="Z361" s="579"/>
      <c r="AA361" s="579"/>
      <c r="AB361" s="570"/>
      <c r="AC361" s="579"/>
      <c r="AD361" s="579"/>
      <c r="AE361" s="579"/>
      <c r="AF361" s="579"/>
      <c r="AG361" s="579"/>
      <c r="AH361" s="579"/>
      <c r="AI361" s="579"/>
      <c r="AJ361" s="579"/>
      <c r="AK361" s="579"/>
      <c r="AL361" s="579"/>
      <c r="AM361" s="570"/>
      <c r="AN361" s="570"/>
      <c r="AO361" s="570"/>
      <c r="AP361" s="570"/>
      <c r="AQ361" s="570"/>
      <c r="AR361" s="570"/>
      <c r="AS361" s="570"/>
      <c r="AT361" s="570"/>
      <c r="AU361" s="570"/>
      <c r="AV361" s="570"/>
      <c r="AW361" s="570"/>
      <c r="AX361" s="570"/>
    </row>
    <row r="362" spans="1:50" s="133" customFormat="1" ht="13" customHeight="1">
      <c r="A362" s="564">
        <v>296</v>
      </c>
      <c r="B362" s="564" t="s">
        <v>301</v>
      </c>
      <c r="C362" s="564" t="s">
        <v>61</v>
      </c>
      <c r="D362" s="564" t="s">
        <v>62</v>
      </c>
      <c r="E362" s="564">
        <v>1000</v>
      </c>
      <c r="F362" s="564" t="s">
        <v>63</v>
      </c>
      <c r="G362" s="564" t="s">
        <v>52</v>
      </c>
      <c r="H362" s="564" t="s">
        <v>76</v>
      </c>
      <c r="I362" s="564">
        <v>17.5</v>
      </c>
      <c r="J362" s="564" t="s">
        <v>77</v>
      </c>
      <c r="K362" s="564">
        <v>1992</v>
      </c>
      <c r="L362" s="564" t="s">
        <v>294</v>
      </c>
      <c r="M362" s="564" t="s">
        <v>306</v>
      </c>
      <c r="N362" s="633" t="s">
        <v>122</v>
      </c>
      <c r="O362" s="634" t="s">
        <v>38</v>
      </c>
      <c r="P362" s="633" t="s">
        <v>38</v>
      </c>
      <c r="Q362" s="633" t="s">
        <v>38</v>
      </c>
      <c r="R362" s="634" t="s">
        <v>38</v>
      </c>
      <c r="S362" s="55"/>
      <c r="T362" s="574"/>
      <c r="U362" s="575"/>
      <c r="V362" s="575"/>
      <c r="W362" s="575"/>
      <c r="X362" s="579"/>
      <c r="Y362" s="579"/>
      <c r="Z362" s="579"/>
      <c r="AA362" s="579"/>
      <c r="AB362" s="570"/>
      <c r="AC362" s="579"/>
      <c r="AD362" s="579"/>
      <c r="AE362" s="579"/>
      <c r="AF362" s="579"/>
      <c r="AG362" s="579"/>
      <c r="AH362" s="579"/>
      <c r="AI362" s="579"/>
      <c r="AJ362" s="579"/>
      <c r="AK362" s="579"/>
      <c r="AL362" s="579"/>
      <c r="AM362" s="570"/>
      <c r="AN362" s="570"/>
      <c r="AO362" s="570"/>
      <c r="AP362" s="570"/>
      <c r="AQ362" s="570"/>
      <c r="AR362" s="570"/>
      <c r="AS362" s="570"/>
      <c r="AT362" s="570"/>
      <c r="AU362" s="570"/>
      <c r="AV362" s="570"/>
      <c r="AW362" s="570"/>
      <c r="AX362" s="570"/>
    </row>
    <row r="363" spans="1:50" s="133" customFormat="1" ht="13" customHeight="1">
      <c r="A363" s="564">
        <v>297</v>
      </c>
      <c r="B363" s="564" t="s">
        <v>114</v>
      </c>
      <c r="C363" s="564" t="s">
        <v>61</v>
      </c>
      <c r="D363" s="564" t="s">
        <v>62</v>
      </c>
      <c r="E363" s="564">
        <v>1000</v>
      </c>
      <c r="F363" s="564" t="s">
        <v>31</v>
      </c>
      <c r="G363" s="564" t="s">
        <v>52</v>
      </c>
      <c r="H363" s="564" t="s">
        <v>33</v>
      </c>
      <c r="I363" s="564">
        <f>(4395-623.1-482.1)*1000000</f>
        <v>3289800000</v>
      </c>
      <c r="J363" s="564" t="s">
        <v>34</v>
      </c>
      <c r="K363" s="564">
        <v>1992</v>
      </c>
      <c r="L363" s="564" t="s">
        <v>294</v>
      </c>
      <c r="M363" s="564"/>
      <c r="N363" s="632">
        <v>0.75</v>
      </c>
      <c r="O363" s="564" t="s">
        <v>84</v>
      </c>
      <c r="P363" s="633" t="s">
        <v>38</v>
      </c>
      <c r="Q363" s="564">
        <f>482.1*1000000</f>
        <v>482100000</v>
      </c>
      <c r="R363" s="634" t="s">
        <v>38</v>
      </c>
      <c r="S363" s="55"/>
      <c r="T363" s="574"/>
      <c r="U363" s="575"/>
      <c r="V363" s="575"/>
      <c r="W363" s="575"/>
      <c r="X363" s="579"/>
      <c r="Y363" s="579"/>
      <c r="Z363" s="579"/>
      <c r="AA363" s="579"/>
      <c r="AB363" s="570"/>
      <c r="AC363" s="579"/>
      <c r="AD363" s="579"/>
      <c r="AE363" s="579"/>
      <c r="AF363" s="579"/>
      <c r="AG363" s="579"/>
      <c r="AH363" s="579"/>
      <c r="AI363" s="579"/>
      <c r="AJ363" s="579"/>
      <c r="AK363" s="579"/>
      <c r="AL363" s="579"/>
      <c r="AM363" s="570"/>
      <c r="AN363" s="570"/>
      <c r="AO363" s="570"/>
      <c r="AP363" s="570"/>
      <c r="AQ363" s="570"/>
      <c r="AR363" s="570"/>
      <c r="AS363" s="570"/>
      <c r="AT363" s="570"/>
      <c r="AU363" s="570"/>
      <c r="AV363" s="570"/>
      <c r="AW363" s="570"/>
      <c r="AX363" s="570"/>
    </row>
    <row r="364" spans="1:50" s="133" customFormat="1" ht="13" customHeight="1">
      <c r="A364" s="564">
        <v>298</v>
      </c>
      <c r="B364" s="564" t="s">
        <v>114</v>
      </c>
      <c r="C364" s="564" t="s">
        <v>61</v>
      </c>
      <c r="D364" s="564" t="s">
        <v>62</v>
      </c>
      <c r="E364" s="564">
        <v>1000</v>
      </c>
      <c r="F364" s="564" t="s">
        <v>115</v>
      </c>
      <c r="G364" s="564" t="s">
        <v>52</v>
      </c>
      <c r="H364" s="564" t="s">
        <v>76</v>
      </c>
      <c r="I364" s="564">
        <v>5</v>
      </c>
      <c r="J364" s="564" t="s">
        <v>77</v>
      </c>
      <c r="K364" s="564">
        <v>1992</v>
      </c>
      <c r="L364" s="564" t="s">
        <v>294</v>
      </c>
      <c r="M364" s="564"/>
      <c r="N364" s="633" t="s">
        <v>122</v>
      </c>
      <c r="O364" s="634" t="s">
        <v>38</v>
      </c>
      <c r="P364" s="633" t="s">
        <v>38</v>
      </c>
      <c r="Q364" s="633" t="s">
        <v>38</v>
      </c>
      <c r="R364" s="634" t="s">
        <v>38</v>
      </c>
      <c r="S364" s="55"/>
      <c r="T364" s="574"/>
      <c r="U364" s="575"/>
      <c r="V364" s="575"/>
      <c r="W364" s="575"/>
      <c r="X364" s="579"/>
      <c r="Y364" s="579"/>
      <c r="Z364" s="579"/>
      <c r="AA364" s="579"/>
      <c r="AB364" s="570"/>
      <c r="AC364" s="579"/>
      <c r="AD364" s="579"/>
      <c r="AE364" s="579"/>
      <c r="AF364" s="579"/>
      <c r="AG364" s="579"/>
      <c r="AH364" s="579"/>
      <c r="AI364" s="579"/>
      <c r="AJ364" s="579"/>
      <c r="AK364" s="579"/>
      <c r="AL364" s="579"/>
      <c r="AM364" s="570"/>
      <c r="AN364" s="570"/>
      <c r="AO364" s="570"/>
      <c r="AP364" s="570"/>
      <c r="AQ364" s="570"/>
      <c r="AR364" s="570"/>
      <c r="AS364" s="570"/>
      <c r="AT364" s="570"/>
      <c r="AU364" s="570"/>
      <c r="AV364" s="570"/>
      <c r="AW364" s="570"/>
      <c r="AX364" s="570"/>
    </row>
    <row r="365" spans="1:50" s="133" customFormat="1" ht="13" customHeight="1">
      <c r="A365" s="564">
        <v>299</v>
      </c>
      <c r="B365" s="564" t="s">
        <v>126</v>
      </c>
      <c r="C365" s="564" t="s">
        <v>61</v>
      </c>
      <c r="D365" s="564" t="s">
        <v>62</v>
      </c>
      <c r="E365" s="564">
        <v>1000</v>
      </c>
      <c r="F365" s="564" t="s">
        <v>115</v>
      </c>
      <c r="G365" s="564" t="s">
        <v>52</v>
      </c>
      <c r="H365" s="564" t="s">
        <v>76</v>
      </c>
      <c r="I365" s="564">
        <v>3.6</v>
      </c>
      <c r="J365" s="564" t="s">
        <v>77</v>
      </c>
      <c r="K365" s="564">
        <v>1992</v>
      </c>
      <c r="L365" s="564" t="s">
        <v>294</v>
      </c>
      <c r="M365" s="564"/>
      <c r="N365" s="633" t="s">
        <v>122</v>
      </c>
      <c r="O365" s="634" t="s">
        <v>38</v>
      </c>
      <c r="P365" s="633" t="s">
        <v>38</v>
      </c>
      <c r="Q365" s="633" t="s">
        <v>38</v>
      </c>
      <c r="R365" s="634" t="s">
        <v>38</v>
      </c>
      <c r="S365" s="55"/>
      <c r="T365" s="574"/>
      <c r="U365" s="575"/>
      <c r="V365" s="575"/>
      <c r="W365" s="575"/>
      <c r="X365" s="579"/>
      <c r="Y365" s="579"/>
      <c r="Z365" s="579"/>
      <c r="AA365" s="579"/>
      <c r="AB365" s="570"/>
      <c r="AC365" s="579"/>
      <c r="AD365" s="579"/>
      <c r="AE365" s="579"/>
      <c r="AF365" s="579"/>
      <c r="AG365" s="579"/>
      <c r="AH365" s="579"/>
      <c r="AI365" s="579"/>
      <c r="AJ365" s="579"/>
      <c r="AK365" s="579"/>
      <c r="AL365" s="579"/>
      <c r="AM365" s="570"/>
      <c r="AN365" s="570"/>
      <c r="AO365" s="570"/>
      <c r="AP365" s="570"/>
      <c r="AQ365" s="570"/>
      <c r="AR365" s="570"/>
      <c r="AS365" s="570"/>
      <c r="AT365" s="570"/>
      <c r="AU365" s="570"/>
      <c r="AV365" s="570"/>
      <c r="AW365" s="570"/>
      <c r="AX365" s="570"/>
    </row>
    <row r="366" spans="1:50" s="133" customFormat="1" ht="13" customHeight="1">
      <c r="A366" s="564">
        <v>300</v>
      </c>
      <c r="B366" s="564" t="s">
        <v>301</v>
      </c>
      <c r="C366" s="564" t="s">
        <v>61</v>
      </c>
      <c r="D366" s="564" t="s">
        <v>62</v>
      </c>
      <c r="E366" s="564">
        <v>1000</v>
      </c>
      <c r="F366" s="564" t="s">
        <v>115</v>
      </c>
      <c r="G366" s="564" t="s">
        <v>52</v>
      </c>
      <c r="H366" s="564" t="s">
        <v>76</v>
      </c>
      <c r="I366" s="564">
        <v>0.01</v>
      </c>
      <c r="J366" s="564" t="s">
        <v>77</v>
      </c>
      <c r="K366" s="564">
        <v>1992</v>
      </c>
      <c r="L366" s="564" t="s">
        <v>294</v>
      </c>
      <c r="M366" s="564"/>
      <c r="N366" s="633" t="s">
        <v>122</v>
      </c>
      <c r="O366" s="634" t="s">
        <v>38</v>
      </c>
      <c r="P366" s="633" t="s">
        <v>38</v>
      </c>
      <c r="Q366" s="633" t="s">
        <v>38</v>
      </c>
      <c r="R366" s="634" t="s">
        <v>38</v>
      </c>
      <c r="S366" s="55"/>
      <c r="T366" s="574"/>
      <c r="U366" s="575"/>
      <c r="V366" s="575"/>
      <c r="W366" s="575"/>
      <c r="X366" s="579"/>
      <c r="Y366" s="579"/>
      <c r="Z366" s="579"/>
      <c r="AA366" s="579"/>
      <c r="AB366" s="570"/>
      <c r="AC366" s="579"/>
      <c r="AD366" s="579"/>
      <c r="AE366" s="579"/>
      <c r="AF366" s="579"/>
      <c r="AG366" s="579"/>
      <c r="AH366" s="579"/>
      <c r="AI366" s="579"/>
      <c r="AJ366" s="579"/>
      <c r="AK366" s="579"/>
      <c r="AL366" s="579"/>
      <c r="AM366" s="570"/>
      <c r="AN366" s="570"/>
      <c r="AO366" s="570"/>
      <c r="AP366" s="570"/>
      <c r="AQ366" s="570"/>
      <c r="AR366" s="570"/>
      <c r="AS366" s="570"/>
      <c r="AT366" s="570"/>
      <c r="AU366" s="570"/>
      <c r="AV366" s="570"/>
      <c r="AW366" s="570"/>
      <c r="AX366" s="570"/>
    </row>
    <row r="367" spans="1:50" s="133" customFormat="1" ht="13" customHeight="1">
      <c r="A367" s="564">
        <v>301</v>
      </c>
      <c r="B367" s="564" t="s">
        <v>304</v>
      </c>
      <c r="C367" s="564" t="s">
        <v>61</v>
      </c>
      <c r="D367" s="564" t="s">
        <v>62</v>
      </c>
      <c r="E367" s="564">
        <v>1000</v>
      </c>
      <c r="F367" s="564" t="s">
        <v>115</v>
      </c>
      <c r="G367" s="564" t="s">
        <v>52</v>
      </c>
      <c r="H367" s="564" t="s">
        <v>76</v>
      </c>
      <c r="I367" s="564">
        <v>6.6</v>
      </c>
      <c r="J367" s="564" t="s">
        <v>77</v>
      </c>
      <c r="K367" s="564">
        <v>1992</v>
      </c>
      <c r="L367" s="564" t="s">
        <v>294</v>
      </c>
      <c r="M367" s="564"/>
      <c r="N367" s="633" t="s">
        <v>122</v>
      </c>
      <c r="O367" s="634" t="s">
        <v>38</v>
      </c>
      <c r="P367" s="633" t="s">
        <v>38</v>
      </c>
      <c r="Q367" s="633" t="s">
        <v>38</v>
      </c>
      <c r="R367" s="634" t="s">
        <v>38</v>
      </c>
      <c r="S367" s="55"/>
      <c r="T367" s="574"/>
      <c r="U367" s="575"/>
      <c r="V367" s="575"/>
      <c r="W367" s="575"/>
      <c r="X367" s="579"/>
      <c r="Y367" s="579"/>
      <c r="Z367" s="579"/>
      <c r="AA367" s="579"/>
      <c r="AB367" s="570"/>
      <c r="AC367" s="579"/>
      <c r="AD367" s="579"/>
      <c r="AE367" s="579"/>
      <c r="AF367" s="579"/>
      <c r="AG367" s="579"/>
      <c r="AH367" s="579"/>
      <c r="AI367" s="579"/>
      <c r="AJ367" s="579"/>
      <c r="AK367" s="579"/>
      <c r="AL367" s="579"/>
      <c r="AM367" s="570"/>
      <c r="AN367" s="570"/>
      <c r="AO367" s="570"/>
      <c r="AP367" s="570"/>
      <c r="AQ367" s="570"/>
      <c r="AR367" s="570"/>
      <c r="AS367" s="570"/>
      <c r="AT367" s="570"/>
      <c r="AU367" s="570"/>
      <c r="AV367" s="570"/>
      <c r="AW367" s="570"/>
      <c r="AX367" s="570"/>
    </row>
    <row r="368" spans="1:50" s="133" customFormat="1" ht="13" customHeight="1">
      <c r="A368" s="564">
        <v>302</v>
      </c>
      <c r="B368" s="564" t="s">
        <v>126</v>
      </c>
      <c r="C368" s="564" t="s">
        <v>61</v>
      </c>
      <c r="D368" s="564" t="s">
        <v>62</v>
      </c>
      <c r="E368" s="564">
        <v>1000</v>
      </c>
      <c r="F368" s="564" t="s">
        <v>31</v>
      </c>
      <c r="G368" s="564" t="s">
        <v>52</v>
      </c>
      <c r="H368" s="564" t="s">
        <v>33</v>
      </c>
      <c r="I368" s="564">
        <f>(4168.3-590.9-516.5)*1000000</f>
        <v>3060900000</v>
      </c>
      <c r="J368" s="564" t="s">
        <v>34</v>
      </c>
      <c r="K368" s="564">
        <v>1992</v>
      </c>
      <c r="L368" s="564" t="s">
        <v>294</v>
      </c>
      <c r="M368" s="564"/>
      <c r="N368" s="632">
        <v>0.75</v>
      </c>
      <c r="O368" s="564" t="s">
        <v>84</v>
      </c>
      <c r="P368" s="633" t="s">
        <v>38</v>
      </c>
      <c r="Q368" s="564">
        <f>516.5*1000000</f>
        <v>516500000</v>
      </c>
      <c r="R368" s="634" t="s">
        <v>38</v>
      </c>
      <c r="S368" s="55"/>
      <c r="T368" s="574"/>
      <c r="U368" s="575"/>
      <c r="V368" s="575"/>
      <c r="W368" s="575"/>
      <c r="X368" s="579"/>
      <c r="Y368" s="579"/>
      <c r="Z368" s="579"/>
      <c r="AA368" s="579"/>
      <c r="AB368" s="570"/>
      <c r="AC368" s="579"/>
      <c r="AD368" s="579"/>
      <c r="AE368" s="579"/>
      <c r="AF368" s="579"/>
      <c r="AG368" s="579"/>
      <c r="AH368" s="579"/>
      <c r="AI368" s="579"/>
      <c r="AJ368" s="579"/>
      <c r="AK368" s="579"/>
      <c r="AL368" s="579"/>
      <c r="AM368" s="570"/>
      <c r="AN368" s="570"/>
      <c r="AO368" s="570"/>
      <c r="AP368" s="570"/>
      <c r="AQ368" s="570"/>
      <c r="AR368" s="570"/>
      <c r="AS368" s="570"/>
      <c r="AT368" s="570"/>
      <c r="AU368" s="570"/>
      <c r="AV368" s="570"/>
      <c r="AW368" s="570"/>
      <c r="AX368" s="570"/>
    </row>
    <row r="369" spans="1:50" s="133" customFormat="1" ht="13" customHeight="1">
      <c r="A369" s="564">
        <v>303</v>
      </c>
      <c r="B369" s="564" t="s">
        <v>301</v>
      </c>
      <c r="C369" s="564" t="s">
        <v>61</v>
      </c>
      <c r="D369" s="564" t="s">
        <v>62</v>
      </c>
      <c r="E369" s="564">
        <v>1000</v>
      </c>
      <c r="F369" s="564" t="s">
        <v>31</v>
      </c>
      <c r="G369" s="564" t="s">
        <v>52</v>
      </c>
      <c r="H369" s="564" t="s">
        <v>33</v>
      </c>
      <c r="I369" s="564">
        <f>(4241.9-601.4-525.6)*1000000</f>
        <v>3114899999.9999995</v>
      </c>
      <c r="J369" s="564" t="s">
        <v>34</v>
      </c>
      <c r="K369" s="564">
        <v>1992</v>
      </c>
      <c r="L369" s="564" t="s">
        <v>294</v>
      </c>
      <c r="M369" s="564"/>
      <c r="N369" s="632">
        <v>0.75</v>
      </c>
      <c r="O369" s="564" t="s">
        <v>84</v>
      </c>
      <c r="P369" s="633" t="s">
        <v>38</v>
      </c>
      <c r="Q369" s="564">
        <f>525.6*1000000</f>
        <v>525600000</v>
      </c>
      <c r="R369" s="634" t="s">
        <v>38</v>
      </c>
      <c r="S369" s="55"/>
      <c r="T369" s="574"/>
      <c r="U369" s="575"/>
      <c r="V369" s="575"/>
      <c r="W369" s="575"/>
      <c r="X369" s="579"/>
      <c r="Y369" s="579"/>
      <c r="Z369" s="579"/>
      <c r="AA369" s="579"/>
      <c r="AB369" s="570"/>
      <c r="AC369" s="579"/>
      <c r="AD369" s="579"/>
      <c r="AE369" s="579"/>
      <c r="AF369" s="579"/>
      <c r="AG369" s="579"/>
      <c r="AH369" s="579"/>
      <c r="AI369" s="579"/>
      <c r="AJ369" s="579"/>
      <c r="AK369" s="579"/>
      <c r="AL369" s="579"/>
      <c r="AM369" s="570"/>
      <c r="AN369" s="570"/>
      <c r="AO369" s="570"/>
      <c r="AP369" s="570"/>
      <c r="AQ369" s="570"/>
      <c r="AR369" s="570"/>
      <c r="AS369" s="570"/>
      <c r="AT369" s="570"/>
      <c r="AU369" s="570"/>
      <c r="AV369" s="570"/>
      <c r="AW369" s="570"/>
      <c r="AX369" s="570"/>
    </row>
    <row r="370" spans="1:50" ht="13" customHeight="1">
      <c r="A370" s="564">
        <v>304</v>
      </c>
      <c r="B370" s="564" t="s">
        <v>304</v>
      </c>
      <c r="C370" s="564" t="s">
        <v>61</v>
      </c>
      <c r="D370" s="564" t="s">
        <v>62</v>
      </c>
      <c r="E370" s="564">
        <v>1000</v>
      </c>
      <c r="F370" s="564" t="s">
        <v>31</v>
      </c>
      <c r="G370" s="564" t="s">
        <v>52</v>
      </c>
      <c r="H370" s="564" t="s">
        <v>33</v>
      </c>
      <c r="I370" s="564">
        <f>(3668.8-520.1-402.4)*1000000</f>
        <v>2746300000</v>
      </c>
      <c r="J370" s="564" t="s">
        <v>34</v>
      </c>
      <c r="K370" s="564">
        <v>1992</v>
      </c>
      <c r="L370" s="564" t="s">
        <v>294</v>
      </c>
      <c r="M370" s="564"/>
      <c r="N370" s="632">
        <v>0.75</v>
      </c>
      <c r="O370" s="564" t="s">
        <v>84</v>
      </c>
      <c r="P370" s="633" t="s">
        <v>38</v>
      </c>
      <c r="Q370" s="564">
        <f>402.4*1000000</f>
        <v>402400000</v>
      </c>
      <c r="R370" s="634" t="s">
        <v>38</v>
      </c>
      <c r="S370" s="55"/>
      <c r="T370" s="574"/>
      <c r="U370" s="575"/>
      <c r="V370" s="575"/>
      <c r="W370" s="575"/>
      <c r="X370" s="579"/>
      <c r="Y370" s="579"/>
      <c r="Z370" s="579"/>
      <c r="AA370" s="579"/>
      <c r="AC370" s="579"/>
      <c r="AD370" s="579"/>
      <c r="AE370" s="579"/>
      <c r="AF370" s="579"/>
      <c r="AG370" s="579"/>
      <c r="AH370" s="579"/>
      <c r="AI370" s="579"/>
      <c r="AJ370" s="579"/>
      <c r="AK370" s="579"/>
      <c r="AL370" s="579"/>
    </row>
    <row r="371" spans="1:50" ht="13" customHeight="1">
      <c r="A371" s="564">
        <v>305</v>
      </c>
      <c r="B371" s="564" t="s">
        <v>126</v>
      </c>
      <c r="C371" s="564" t="s">
        <v>61</v>
      </c>
      <c r="D371" s="564" t="s">
        <v>62</v>
      </c>
      <c r="E371" s="564">
        <v>1000</v>
      </c>
      <c r="F371" s="564" t="s">
        <v>63</v>
      </c>
      <c r="G371" s="564" t="s">
        <v>52</v>
      </c>
      <c r="H371" s="564" t="s">
        <v>76</v>
      </c>
      <c r="I371" s="564">
        <v>0.03</v>
      </c>
      <c r="J371" s="564" t="s">
        <v>77</v>
      </c>
      <c r="K371" s="564">
        <v>1992</v>
      </c>
      <c r="L371" s="564" t="s">
        <v>294</v>
      </c>
      <c r="M371" s="564"/>
      <c r="N371" s="633" t="s">
        <v>122</v>
      </c>
      <c r="O371" s="634" t="s">
        <v>38</v>
      </c>
      <c r="P371" s="633" t="s">
        <v>38</v>
      </c>
      <c r="Q371" s="633" t="s">
        <v>38</v>
      </c>
      <c r="R371" s="634" t="s">
        <v>38</v>
      </c>
      <c r="S371" s="55"/>
      <c r="T371" s="574"/>
      <c r="U371" s="575"/>
      <c r="V371" s="575"/>
      <c r="W371" s="575"/>
      <c r="X371" s="579"/>
      <c r="Y371" s="579"/>
      <c r="Z371" s="579"/>
      <c r="AA371" s="579"/>
      <c r="AC371" s="579"/>
      <c r="AD371" s="579"/>
      <c r="AE371" s="579"/>
      <c r="AF371" s="579"/>
      <c r="AG371" s="579"/>
      <c r="AH371" s="579"/>
      <c r="AI371" s="579"/>
      <c r="AJ371" s="579"/>
      <c r="AK371" s="579"/>
      <c r="AL371" s="579"/>
    </row>
    <row r="372" spans="1:50" ht="13" customHeight="1">
      <c r="A372" s="564">
        <v>306</v>
      </c>
      <c r="B372" s="564" t="s">
        <v>304</v>
      </c>
      <c r="C372" s="564" t="s">
        <v>61</v>
      </c>
      <c r="D372" s="564" t="s">
        <v>62</v>
      </c>
      <c r="E372" s="564">
        <v>1000</v>
      </c>
      <c r="F372" s="564" t="s">
        <v>63</v>
      </c>
      <c r="G372" s="564" t="s">
        <v>52</v>
      </c>
      <c r="H372" s="564" t="s">
        <v>76</v>
      </c>
      <c r="I372" s="564">
        <v>0.03</v>
      </c>
      <c r="J372" s="564" t="s">
        <v>77</v>
      </c>
      <c r="K372" s="564">
        <v>1992</v>
      </c>
      <c r="L372" s="564" t="s">
        <v>294</v>
      </c>
      <c r="M372" s="564"/>
      <c r="N372" s="633" t="s">
        <v>122</v>
      </c>
      <c r="O372" s="634" t="s">
        <v>38</v>
      </c>
      <c r="P372" s="633" t="s">
        <v>38</v>
      </c>
      <c r="Q372" s="633" t="s">
        <v>38</v>
      </c>
      <c r="R372" s="634" t="s">
        <v>38</v>
      </c>
      <c r="S372" s="55"/>
      <c r="T372" s="574"/>
      <c r="U372" s="575"/>
      <c r="V372" s="575"/>
      <c r="W372" s="575"/>
      <c r="X372" s="579"/>
      <c r="Y372" s="579"/>
      <c r="Z372" s="579"/>
      <c r="AA372" s="579"/>
      <c r="AC372" s="579"/>
      <c r="AD372" s="579"/>
      <c r="AE372" s="579"/>
      <c r="AF372" s="579"/>
      <c r="AG372" s="579"/>
      <c r="AH372" s="579"/>
      <c r="AI372" s="579"/>
      <c r="AJ372" s="579"/>
      <c r="AK372" s="579"/>
      <c r="AL372" s="579"/>
    </row>
    <row r="373" spans="1:50" ht="13" customHeight="1">
      <c r="A373" s="564">
        <v>307</v>
      </c>
      <c r="B373" s="564" t="s">
        <v>114</v>
      </c>
      <c r="C373" s="564" t="s">
        <v>61</v>
      </c>
      <c r="D373" s="564" t="s">
        <v>62</v>
      </c>
      <c r="E373" s="564">
        <v>1000</v>
      </c>
      <c r="F373" s="564" t="s">
        <v>63</v>
      </c>
      <c r="G373" s="564" t="s">
        <v>52</v>
      </c>
      <c r="H373" s="564" t="s">
        <v>76</v>
      </c>
      <c r="I373" s="564">
        <v>0.03</v>
      </c>
      <c r="J373" s="564" t="s">
        <v>77</v>
      </c>
      <c r="K373" s="564">
        <v>1992</v>
      </c>
      <c r="L373" s="564" t="s">
        <v>294</v>
      </c>
      <c r="M373" s="564"/>
      <c r="N373" s="633" t="s">
        <v>122</v>
      </c>
      <c r="O373" s="634" t="s">
        <v>38</v>
      </c>
      <c r="P373" s="633" t="s">
        <v>38</v>
      </c>
      <c r="Q373" s="633" t="s">
        <v>38</v>
      </c>
      <c r="R373" s="634" t="s">
        <v>38</v>
      </c>
      <c r="S373" s="55"/>
      <c r="T373" s="574"/>
      <c r="U373" s="575"/>
      <c r="V373" s="575"/>
      <c r="W373" s="575"/>
      <c r="X373" s="579"/>
      <c r="Y373" s="579"/>
      <c r="Z373" s="579"/>
      <c r="AA373" s="579"/>
      <c r="AC373" s="579"/>
      <c r="AD373" s="579"/>
      <c r="AE373" s="579"/>
      <c r="AF373" s="579"/>
      <c r="AG373" s="579"/>
      <c r="AH373" s="579"/>
      <c r="AI373" s="579"/>
      <c r="AJ373" s="579"/>
      <c r="AK373" s="579"/>
      <c r="AL373" s="579"/>
    </row>
    <row r="374" spans="1:50" ht="13" customHeight="1">
      <c r="A374" s="564">
        <v>308</v>
      </c>
      <c r="B374" s="564" t="s">
        <v>301</v>
      </c>
      <c r="C374" s="564" t="s">
        <v>61</v>
      </c>
      <c r="D374" s="564" t="s">
        <v>62</v>
      </c>
      <c r="E374" s="564">
        <v>1000</v>
      </c>
      <c r="F374" s="564" t="s">
        <v>670</v>
      </c>
      <c r="G374" s="564" t="s">
        <v>52</v>
      </c>
      <c r="H374" s="564" t="s">
        <v>76</v>
      </c>
      <c r="I374" s="564">
        <v>9.1999999999999993</v>
      </c>
      <c r="J374" s="564" t="s">
        <v>77</v>
      </c>
      <c r="K374" s="564">
        <v>1992</v>
      </c>
      <c r="L374" s="564" t="s">
        <v>294</v>
      </c>
      <c r="M374" s="564" t="s">
        <v>307</v>
      </c>
      <c r="N374" s="633" t="s">
        <v>122</v>
      </c>
      <c r="O374" s="634" t="s">
        <v>38</v>
      </c>
      <c r="P374" s="633" t="s">
        <v>38</v>
      </c>
      <c r="Q374" s="633" t="s">
        <v>38</v>
      </c>
      <c r="R374" s="634" t="s">
        <v>38</v>
      </c>
      <c r="S374" s="55"/>
      <c r="T374" s="574"/>
      <c r="U374" s="575"/>
      <c r="V374" s="575"/>
      <c r="W374" s="575"/>
      <c r="X374" s="579"/>
      <c r="Y374" s="579"/>
      <c r="Z374" s="579"/>
      <c r="AA374" s="579"/>
      <c r="AC374" s="579"/>
      <c r="AD374" s="579"/>
      <c r="AE374" s="579"/>
      <c r="AF374" s="579"/>
      <c r="AG374" s="579"/>
      <c r="AH374" s="579"/>
      <c r="AI374" s="579"/>
      <c r="AJ374" s="579"/>
      <c r="AK374" s="579"/>
      <c r="AL374" s="579"/>
    </row>
    <row r="375" spans="1:50" ht="13" customHeight="1">
      <c r="A375" s="564">
        <v>309</v>
      </c>
      <c r="B375" s="564" t="s">
        <v>304</v>
      </c>
      <c r="C375" s="564" t="s">
        <v>61</v>
      </c>
      <c r="D375" s="564" t="s">
        <v>62</v>
      </c>
      <c r="E375" s="564">
        <v>1000</v>
      </c>
      <c r="F375" s="564" t="s">
        <v>670</v>
      </c>
      <c r="G375" s="564" t="s">
        <v>52</v>
      </c>
      <c r="H375" s="564" t="s">
        <v>76</v>
      </c>
      <c r="I375" s="564">
        <v>7.5</v>
      </c>
      <c r="J375" s="564" t="s">
        <v>77</v>
      </c>
      <c r="K375" s="564">
        <v>1992</v>
      </c>
      <c r="L375" s="564" t="s">
        <v>294</v>
      </c>
      <c r="M375" s="564" t="s">
        <v>307</v>
      </c>
      <c r="N375" s="633" t="s">
        <v>122</v>
      </c>
      <c r="O375" s="634" t="s">
        <v>38</v>
      </c>
      <c r="P375" s="633" t="s">
        <v>38</v>
      </c>
      <c r="Q375" s="633" t="s">
        <v>38</v>
      </c>
      <c r="R375" s="634" t="s">
        <v>38</v>
      </c>
      <c r="S375" s="55"/>
      <c r="T375" s="574"/>
      <c r="U375" s="575"/>
      <c r="V375" s="575"/>
      <c r="W375" s="575"/>
      <c r="X375" s="579"/>
      <c r="Y375" s="579"/>
      <c r="Z375" s="579"/>
      <c r="AA375" s="579"/>
      <c r="AC375" s="579"/>
      <c r="AD375" s="579"/>
      <c r="AE375" s="579"/>
      <c r="AF375" s="579"/>
      <c r="AG375" s="579"/>
      <c r="AH375" s="579"/>
      <c r="AI375" s="579"/>
      <c r="AJ375" s="579"/>
      <c r="AK375" s="579"/>
      <c r="AL375" s="579"/>
    </row>
    <row r="376" spans="1:50" ht="13" customHeight="1">
      <c r="A376" s="564">
        <v>310</v>
      </c>
      <c r="B376" s="564" t="s">
        <v>114</v>
      </c>
      <c r="C376" s="564" t="s">
        <v>61</v>
      </c>
      <c r="D376" s="564" t="s">
        <v>62</v>
      </c>
      <c r="E376" s="564">
        <v>1000</v>
      </c>
      <c r="F376" s="564" t="s">
        <v>670</v>
      </c>
      <c r="G376" s="564" t="s">
        <v>52</v>
      </c>
      <c r="H376" s="564" t="s">
        <v>76</v>
      </c>
      <c r="I376" s="564">
        <v>7.5</v>
      </c>
      <c r="J376" s="564" t="s">
        <v>77</v>
      </c>
      <c r="K376" s="564">
        <v>1992</v>
      </c>
      <c r="L376" s="564" t="s">
        <v>294</v>
      </c>
      <c r="M376" s="564" t="s">
        <v>307</v>
      </c>
      <c r="N376" s="633" t="s">
        <v>122</v>
      </c>
      <c r="O376" s="634" t="s">
        <v>38</v>
      </c>
      <c r="P376" s="633" t="s">
        <v>38</v>
      </c>
      <c r="Q376" s="633" t="s">
        <v>38</v>
      </c>
      <c r="R376" s="634" t="s">
        <v>38</v>
      </c>
      <c r="S376" s="55"/>
      <c r="T376" s="574"/>
      <c r="U376" s="575"/>
      <c r="V376" s="575"/>
      <c r="W376" s="575"/>
      <c r="X376" s="579"/>
      <c r="Y376" s="579"/>
      <c r="Z376" s="579"/>
      <c r="AA376" s="579"/>
      <c r="AC376" s="579"/>
      <c r="AD376" s="579"/>
      <c r="AE376" s="579"/>
      <c r="AF376" s="579"/>
      <c r="AG376" s="579"/>
      <c r="AH376" s="579"/>
      <c r="AI376" s="579"/>
      <c r="AJ376" s="579"/>
      <c r="AK376" s="579"/>
      <c r="AL376" s="579"/>
    </row>
    <row r="377" spans="1:50" ht="13" customHeight="1">
      <c r="A377" s="564">
        <v>311</v>
      </c>
      <c r="B377" s="564" t="s">
        <v>126</v>
      </c>
      <c r="C377" s="564" t="s">
        <v>61</v>
      </c>
      <c r="D377" s="564" t="s">
        <v>62</v>
      </c>
      <c r="E377" s="564">
        <v>1000</v>
      </c>
      <c r="F377" s="564" t="s">
        <v>670</v>
      </c>
      <c r="G377" s="564" t="s">
        <v>52</v>
      </c>
      <c r="H377" s="564" t="s">
        <v>76</v>
      </c>
      <c r="I377" s="564">
        <v>9.1999999999999993</v>
      </c>
      <c r="J377" s="564" t="s">
        <v>77</v>
      </c>
      <c r="K377" s="564">
        <v>1992</v>
      </c>
      <c r="L377" s="564" t="s">
        <v>294</v>
      </c>
      <c r="M377" s="564" t="s">
        <v>307</v>
      </c>
      <c r="N377" s="633" t="s">
        <v>122</v>
      </c>
      <c r="O377" s="634" t="s">
        <v>38</v>
      </c>
      <c r="P377" s="633" t="s">
        <v>38</v>
      </c>
      <c r="Q377" s="633" t="s">
        <v>38</v>
      </c>
      <c r="R377" s="634" t="s">
        <v>38</v>
      </c>
      <c r="S377" s="55"/>
      <c r="T377" s="574"/>
      <c r="U377" s="575"/>
      <c r="V377" s="575"/>
      <c r="W377" s="575"/>
      <c r="X377" s="579"/>
      <c r="Y377" s="579"/>
      <c r="Z377" s="579"/>
      <c r="AA377" s="579"/>
      <c r="AC377" s="579"/>
      <c r="AD377" s="579"/>
      <c r="AE377" s="579"/>
      <c r="AF377" s="579"/>
      <c r="AG377" s="579"/>
      <c r="AH377" s="579"/>
      <c r="AI377" s="579"/>
      <c r="AJ377" s="579"/>
      <c r="AK377" s="579"/>
      <c r="AL377" s="579"/>
    </row>
    <row r="378" spans="1:50" ht="13" customHeight="1">
      <c r="A378" s="564">
        <v>312</v>
      </c>
      <c r="B378" s="564" t="s">
        <v>79</v>
      </c>
      <c r="C378" s="564" t="s">
        <v>61</v>
      </c>
      <c r="D378" s="564" t="s">
        <v>62</v>
      </c>
      <c r="E378" s="564" t="s">
        <v>257</v>
      </c>
      <c r="F378" s="564" t="s">
        <v>308</v>
      </c>
      <c r="G378" s="564" t="s">
        <v>32</v>
      </c>
      <c r="H378" s="564" t="s">
        <v>33</v>
      </c>
      <c r="I378" s="564">
        <f>25*1000000000</f>
        <v>25000000000</v>
      </c>
      <c r="J378" s="564" t="s">
        <v>34</v>
      </c>
      <c r="K378" s="564">
        <v>2017</v>
      </c>
      <c r="L378" s="564" t="s">
        <v>309</v>
      </c>
      <c r="M378" s="564" t="s">
        <v>310</v>
      </c>
      <c r="N378" s="634" t="s">
        <v>38</v>
      </c>
      <c r="O378" s="634" t="s">
        <v>38</v>
      </c>
      <c r="P378" s="633" t="s">
        <v>38</v>
      </c>
      <c r="Q378" s="633" t="s">
        <v>38</v>
      </c>
      <c r="R378" s="634" t="s">
        <v>38</v>
      </c>
      <c r="S378" s="55"/>
      <c r="T378" s="615"/>
      <c r="AC378" s="579"/>
      <c r="AD378" s="579"/>
      <c r="AE378" s="579"/>
      <c r="AF378" s="579"/>
      <c r="AG378" s="579"/>
      <c r="AH378" s="579"/>
      <c r="AI378" s="579"/>
      <c r="AJ378" s="579"/>
      <c r="AK378" s="579"/>
      <c r="AL378" s="579"/>
    </row>
    <row r="379" spans="1:50" ht="13" customHeight="1">
      <c r="A379" s="564">
        <v>313</v>
      </c>
      <c r="B379" s="564" t="s">
        <v>81</v>
      </c>
      <c r="C379" s="564" t="s">
        <v>61</v>
      </c>
      <c r="D379" s="564" t="s">
        <v>62</v>
      </c>
      <c r="E379" s="564">
        <v>1000</v>
      </c>
      <c r="F379" s="564" t="s">
        <v>116</v>
      </c>
      <c r="G379" s="564" t="s">
        <v>57</v>
      </c>
      <c r="H379" s="564" t="s">
        <v>76</v>
      </c>
      <c r="I379" s="564" t="s">
        <v>1138</v>
      </c>
      <c r="J379" s="564" t="s">
        <v>82</v>
      </c>
      <c r="K379" s="564">
        <v>1998</v>
      </c>
      <c r="L379" s="564" t="s">
        <v>311</v>
      </c>
      <c r="M379" s="564" t="s">
        <v>312</v>
      </c>
      <c r="N379" s="633" t="s">
        <v>122</v>
      </c>
      <c r="O379" s="634" t="s">
        <v>38</v>
      </c>
      <c r="P379" s="633" t="s">
        <v>38</v>
      </c>
      <c r="Q379" s="633" t="s">
        <v>38</v>
      </c>
      <c r="R379" s="634" t="s">
        <v>38</v>
      </c>
      <c r="S379" s="55"/>
      <c r="T379" s="612"/>
      <c r="U379" s="575"/>
      <c r="V379" s="575"/>
      <c r="W379" s="575"/>
      <c r="X379" s="592"/>
      <c r="Y379" s="592"/>
      <c r="Z379" s="592"/>
      <c r="AA379" s="592"/>
      <c r="AC379" s="579"/>
      <c r="AD379" s="579"/>
      <c r="AE379" s="579"/>
      <c r="AF379" s="579"/>
      <c r="AG379" s="579"/>
      <c r="AH379" s="579"/>
      <c r="AI379" s="579"/>
      <c r="AJ379" s="579"/>
      <c r="AK379" s="579"/>
      <c r="AL379" s="579"/>
    </row>
    <row r="380" spans="1:50" ht="13" customHeight="1">
      <c r="A380" s="564">
        <v>314</v>
      </c>
      <c r="B380" s="564" t="s">
        <v>313</v>
      </c>
      <c r="C380" s="564" t="s">
        <v>61</v>
      </c>
      <c r="D380" s="564" t="s">
        <v>62</v>
      </c>
      <c r="E380" s="564">
        <v>1500</v>
      </c>
      <c r="F380" s="564" t="s">
        <v>31</v>
      </c>
      <c r="G380" s="567" t="s">
        <v>754</v>
      </c>
      <c r="H380" s="564" t="s">
        <v>76</v>
      </c>
      <c r="I380" s="564">
        <v>2576</v>
      </c>
      <c r="J380" s="564" t="s">
        <v>82</v>
      </c>
      <c r="K380" s="564">
        <v>1998</v>
      </c>
      <c r="L380" s="564" t="s">
        <v>311</v>
      </c>
      <c r="M380" s="564" t="s">
        <v>314</v>
      </c>
      <c r="N380" s="634" t="s">
        <v>38</v>
      </c>
      <c r="O380" s="634" t="s">
        <v>38</v>
      </c>
      <c r="P380" s="633" t="s">
        <v>38</v>
      </c>
      <c r="Q380" s="633" t="s">
        <v>38</v>
      </c>
      <c r="R380" s="634" t="s">
        <v>38</v>
      </c>
      <c r="S380" s="55"/>
      <c r="T380" s="612"/>
      <c r="U380" s="575"/>
      <c r="V380" s="593"/>
      <c r="W380" s="593"/>
      <c r="X380" s="592"/>
      <c r="Y380" s="592"/>
      <c r="Z380" s="592"/>
      <c r="AA380" s="592"/>
      <c r="AC380" s="579"/>
      <c r="AD380" s="579"/>
      <c r="AE380" s="579"/>
      <c r="AF380" s="579"/>
      <c r="AG380" s="579"/>
      <c r="AH380" s="579"/>
      <c r="AI380" s="579"/>
      <c r="AJ380" s="579"/>
      <c r="AK380" s="579"/>
      <c r="AL380" s="579"/>
    </row>
    <row r="381" spans="1:50" ht="13" customHeight="1">
      <c r="A381" s="564">
        <v>315</v>
      </c>
      <c r="B381" s="564" t="s">
        <v>313</v>
      </c>
      <c r="C381" s="564" t="s">
        <v>61</v>
      </c>
      <c r="D381" s="564" t="s">
        <v>62</v>
      </c>
      <c r="E381" s="564">
        <v>1500</v>
      </c>
      <c r="F381" s="564" t="s">
        <v>31</v>
      </c>
      <c r="G381" s="567" t="s">
        <v>52</v>
      </c>
      <c r="H381" s="564" t="s">
        <v>76</v>
      </c>
      <c r="I381" s="564">
        <v>2926</v>
      </c>
      <c r="J381" s="564" t="s">
        <v>82</v>
      </c>
      <c r="K381" s="564">
        <v>1998</v>
      </c>
      <c r="L381" s="564" t="s">
        <v>311</v>
      </c>
      <c r="M381" s="564" t="s">
        <v>315</v>
      </c>
      <c r="N381" s="634" t="s">
        <v>38</v>
      </c>
      <c r="O381" s="634" t="s">
        <v>38</v>
      </c>
      <c r="P381" s="633" t="s">
        <v>38</v>
      </c>
      <c r="Q381" s="633" t="s">
        <v>38</v>
      </c>
      <c r="R381" s="634" t="s">
        <v>38</v>
      </c>
      <c r="S381" s="55"/>
      <c r="T381" s="612"/>
      <c r="U381" s="575"/>
      <c r="V381" s="593"/>
      <c r="W381" s="593"/>
      <c r="X381" s="592"/>
      <c r="Y381" s="592"/>
      <c r="Z381" s="592"/>
      <c r="AA381" s="592"/>
      <c r="AC381" s="579"/>
      <c r="AD381" s="579"/>
      <c r="AE381" s="579"/>
      <c r="AF381" s="579"/>
      <c r="AG381" s="579"/>
      <c r="AH381" s="579"/>
      <c r="AI381" s="579"/>
      <c r="AJ381" s="579"/>
      <c r="AK381" s="579"/>
      <c r="AL381" s="579"/>
    </row>
    <row r="382" spans="1:50" ht="13" customHeight="1">
      <c r="A382" s="564">
        <v>316</v>
      </c>
      <c r="B382" s="564" t="s">
        <v>316</v>
      </c>
      <c r="C382" s="564" t="s">
        <v>61</v>
      </c>
      <c r="D382" s="564" t="s">
        <v>62</v>
      </c>
      <c r="E382" s="564">
        <v>1000</v>
      </c>
      <c r="F382" s="564" t="s">
        <v>31</v>
      </c>
      <c r="G382" s="567" t="s">
        <v>57</v>
      </c>
      <c r="H382" s="564" t="s">
        <v>76</v>
      </c>
      <c r="I382" s="564">
        <v>5220</v>
      </c>
      <c r="J382" s="564" t="s">
        <v>82</v>
      </c>
      <c r="K382" s="564">
        <v>1998</v>
      </c>
      <c r="L382" s="564" t="s">
        <v>311</v>
      </c>
      <c r="M382" s="564" t="s">
        <v>317</v>
      </c>
      <c r="N382" s="634" t="s">
        <v>38</v>
      </c>
      <c r="O382" s="634" t="s">
        <v>38</v>
      </c>
      <c r="P382" s="633" t="s">
        <v>38</v>
      </c>
      <c r="Q382" s="633" t="s">
        <v>38</v>
      </c>
      <c r="R382" s="634" t="s">
        <v>38</v>
      </c>
      <c r="S382" s="55"/>
      <c r="T382" s="612"/>
      <c r="U382" s="575"/>
      <c r="V382" s="593"/>
      <c r="W382" s="593"/>
      <c r="X382" s="592"/>
      <c r="Y382" s="592"/>
      <c r="Z382" s="592"/>
      <c r="AA382" s="592"/>
      <c r="AC382" s="579"/>
      <c r="AD382" s="579"/>
      <c r="AE382" s="579"/>
      <c r="AF382" s="579"/>
      <c r="AG382" s="579"/>
      <c r="AH382" s="579"/>
      <c r="AI382" s="579"/>
      <c r="AJ382" s="579"/>
      <c r="AK382" s="579"/>
      <c r="AL382" s="579"/>
    </row>
    <row r="383" spans="1:50" ht="13" customHeight="1">
      <c r="A383" s="564">
        <v>317</v>
      </c>
      <c r="B383" s="564" t="s">
        <v>318</v>
      </c>
      <c r="C383" s="564" t="s">
        <v>61</v>
      </c>
      <c r="D383" s="564" t="s">
        <v>62</v>
      </c>
      <c r="E383" s="564">
        <v>1000</v>
      </c>
      <c r="F383" s="564" t="s">
        <v>31</v>
      </c>
      <c r="G383" s="564" t="s">
        <v>32</v>
      </c>
      <c r="H383" s="564" t="s">
        <v>76</v>
      </c>
      <c r="I383" s="564">
        <v>7906</v>
      </c>
      <c r="J383" s="564" t="s">
        <v>82</v>
      </c>
      <c r="K383" s="564">
        <v>1998</v>
      </c>
      <c r="L383" s="564" t="s">
        <v>311</v>
      </c>
      <c r="M383" s="564" t="s">
        <v>319</v>
      </c>
      <c r="N383" s="634" t="s">
        <v>38</v>
      </c>
      <c r="O383" s="634" t="s">
        <v>38</v>
      </c>
      <c r="P383" s="633" t="s">
        <v>38</v>
      </c>
      <c r="Q383" s="633" t="s">
        <v>38</v>
      </c>
      <c r="R383" s="634" t="s">
        <v>38</v>
      </c>
      <c r="S383" s="55"/>
      <c r="T383" s="612"/>
      <c r="U383" s="575"/>
      <c r="V383" s="593"/>
      <c r="W383" s="593"/>
      <c r="X383" s="592"/>
      <c r="Y383" s="592"/>
      <c r="Z383" s="592"/>
      <c r="AA383" s="592"/>
      <c r="AC383" s="579"/>
      <c r="AD383" s="579"/>
      <c r="AE383" s="579"/>
      <c r="AF383" s="579"/>
      <c r="AG383" s="579"/>
      <c r="AH383" s="579"/>
      <c r="AI383" s="579"/>
      <c r="AJ383" s="579"/>
      <c r="AK383" s="579"/>
      <c r="AL383" s="579"/>
    </row>
    <row r="384" spans="1:50" ht="13" customHeight="1">
      <c r="A384" s="564">
        <v>319</v>
      </c>
      <c r="B384" s="564" t="s">
        <v>81</v>
      </c>
      <c r="C384" s="564" t="s">
        <v>61</v>
      </c>
      <c r="D384" s="564" t="s">
        <v>62</v>
      </c>
      <c r="E384" s="564">
        <v>1000</v>
      </c>
      <c r="F384" s="564" t="s">
        <v>116</v>
      </c>
      <c r="G384" s="564" t="s">
        <v>32</v>
      </c>
      <c r="H384" s="564" t="s">
        <v>76</v>
      </c>
      <c r="I384" s="564" t="s">
        <v>1137</v>
      </c>
      <c r="J384" s="564" t="s">
        <v>82</v>
      </c>
      <c r="K384" s="564">
        <v>1998</v>
      </c>
      <c r="L384" s="564" t="s">
        <v>311</v>
      </c>
      <c r="M384" s="564" t="s">
        <v>320</v>
      </c>
      <c r="N384" s="634" t="s">
        <v>38</v>
      </c>
      <c r="O384" s="634" t="s">
        <v>38</v>
      </c>
      <c r="P384" s="633" t="s">
        <v>38</v>
      </c>
      <c r="Q384" s="633" t="s">
        <v>38</v>
      </c>
      <c r="R384" s="634" t="s">
        <v>38</v>
      </c>
      <c r="S384" s="55"/>
      <c r="T384" s="612"/>
      <c r="U384" s="575"/>
      <c r="V384" s="593"/>
      <c r="W384" s="593"/>
      <c r="X384" s="592"/>
      <c r="Y384" s="592"/>
      <c r="Z384" s="592"/>
      <c r="AA384" s="592"/>
      <c r="AC384" s="579"/>
      <c r="AD384" s="579"/>
      <c r="AE384" s="579"/>
      <c r="AF384" s="579"/>
      <c r="AG384" s="579"/>
      <c r="AH384" s="579"/>
      <c r="AI384" s="579"/>
      <c r="AJ384" s="579"/>
      <c r="AK384" s="579"/>
      <c r="AL384" s="579"/>
    </row>
    <row r="385" spans="1:38" ht="13" customHeight="1">
      <c r="A385" s="564">
        <v>320</v>
      </c>
      <c r="B385" s="564" t="s">
        <v>81</v>
      </c>
      <c r="C385" s="564" t="s">
        <v>61</v>
      </c>
      <c r="D385" s="564" t="s">
        <v>62</v>
      </c>
      <c r="E385" s="564">
        <v>1000</v>
      </c>
      <c r="F385" s="564" t="s">
        <v>902</v>
      </c>
      <c r="G385" s="564" t="s">
        <v>32</v>
      </c>
      <c r="H385" s="564" t="s">
        <v>76</v>
      </c>
      <c r="I385" s="564">
        <f>8279-424</f>
        <v>7855</v>
      </c>
      <c r="J385" s="564" t="s">
        <v>82</v>
      </c>
      <c r="K385" s="564">
        <v>1998</v>
      </c>
      <c r="L385" s="564" t="s">
        <v>311</v>
      </c>
      <c r="M385" s="564" t="s">
        <v>321</v>
      </c>
      <c r="N385" s="632" t="s">
        <v>716</v>
      </c>
      <c r="O385" s="564" t="s">
        <v>84</v>
      </c>
      <c r="P385" s="633" t="s">
        <v>38</v>
      </c>
      <c r="Q385" s="633" t="s">
        <v>38</v>
      </c>
      <c r="R385" s="634" t="s">
        <v>38</v>
      </c>
      <c r="S385" s="55"/>
      <c r="T385" s="612"/>
      <c r="U385" s="575"/>
      <c r="V385" s="593"/>
      <c r="W385" s="593"/>
      <c r="X385" s="592"/>
      <c r="Y385" s="592"/>
      <c r="Z385" s="592"/>
      <c r="AA385" s="592"/>
      <c r="AC385" s="579"/>
      <c r="AD385" s="579"/>
      <c r="AE385" s="579"/>
      <c r="AF385" s="579"/>
      <c r="AG385" s="579"/>
      <c r="AH385" s="579"/>
      <c r="AI385" s="579"/>
      <c r="AJ385" s="579"/>
      <c r="AK385" s="579"/>
      <c r="AL385" s="579"/>
    </row>
    <row r="386" spans="1:38" ht="13" customHeight="1">
      <c r="A386" s="564">
        <v>321</v>
      </c>
      <c r="B386" s="564" t="s">
        <v>81</v>
      </c>
      <c r="C386" s="564" t="s">
        <v>61</v>
      </c>
      <c r="D386" s="564" t="s">
        <v>62</v>
      </c>
      <c r="E386" s="564">
        <v>1000</v>
      </c>
      <c r="F386" s="564" t="s">
        <v>116</v>
      </c>
      <c r="G386" s="564" t="s">
        <v>32</v>
      </c>
      <c r="H386" s="564" t="s">
        <v>76</v>
      </c>
      <c r="I386" s="564" t="s">
        <v>1134</v>
      </c>
      <c r="J386" s="564" t="s">
        <v>82</v>
      </c>
      <c r="K386" s="564">
        <v>1998</v>
      </c>
      <c r="L386" s="564" t="s">
        <v>311</v>
      </c>
      <c r="M386" s="564" t="s">
        <v>321</v>
      </c>
      <c r="N386" s="633" t="s">
        <v>122</v>
      </c>
      <c r="O386" s="634" t="s">
        <v>38</v>
      </c>
      <c r="P386" s="633" t="s">
        <v>38</v>
      </c>
      <c r="Q386" s="633" t="s">
        <v>38</v>
      </c>
      <c r="R386" s="634" t="s">
        <v>38</v>
      </c>
      <c r="S386" s="55"/>
      <c r="T386" s="612"/>
      <c r="U386" s="575"/>
      <c r="V386" s="593"/>
      <c r="W386" s="593"/>
      <c r="X386" s="592"/>
      <c r="Y386" s="592"/>
      <c r="Z386" s="592"/>
      <c r="AA386" s="592"/>
      <c r="AC386" s="579"/>
      <c r="AD386" s="579"/>
      <c r="AE386" s="579"/>
      <c r="AF386" s="579"/>
      <c r="AG386" s="579"/>
      <c r="AH386" s="579"/>
      <c r="AI386" s="579"/>
      <c r="AJ386" s="579"/>
      <c r="AK386" s="579"/>
      <c r="AL386" s="579"/>
    </row>
    <row r="387" spans="1:38" ht="13" customHeight="1">
      <c r="A387" s="564">
        <v>322</v>
      </c>
      <c r="B387" s="564" t="s">
        <v>81</v>
      </c>
      <c r="C387" s="564" t="s">
        <v>61</v>
      </c>
      <c r="D387" s="564" t="s">
        <v>62</v>
      </c>
      <c r="E387" s="564">
        <v>1000</v>
      </c>
      <c r="F387" s="564" t="s">
        <v>116</v>
      </c>
      <c r="G387" s="564" t="s">
        <v>57</v>
      </c>
      <c r="H387" s="564" t="s">
        <v>76</v>
      </c>
      <c r="I387" s="564" t="s">
        <v>1134</v>
      </c>
      <c r="J387" s="564" t="s">
        <v>82</v>
      </c>
      <c r="K387" s="564">
        <v>1998</v>
      </c>
      <c r="L387" s="564" t="s">
        <v>311</v>
      </c>
      <c r="M387" s="564" t="s">
        <v>322</v>
      </c>
      <c r="N387" s="633" t="s">
        <v>122</v>
      </c>
      <c r="O387" s="634" t="s">
        <v>38</v>
      </c>
      <c r="P387" s="633" t="s">
        <v>38</v>
      </c>
      <c r="Q387" s="633" t="s">
        <v>38</v>
      </c>
      <c r="R387" s="634" t="s">
        <v>38</v>
      </c>
      <c r="S387" s="55"/>
      <c r="T387" s="612"/>
      <c r="U387" s="575"/>
      <c r="V387" s="593"/>
      <c r="W387" s="593"/>
      <c r="X387" s="592"/>
      <c r="Y387" s="592"/>
      <c r="Z387" s="592"/>
      <c r="AA387" s="592"/>
      <c r="AC387" s="579"/>
      <c r="AD387" s="579"/>
      <c r="AE387" s="579"/>
      <c r="AF387" s="579"/>
      <c r="AG387" s="579"/>
      <c r="AH387" s="579"/>
      <c r="AI387" s="579"/>
      <c r="AJ387" s="579"/>
      <c r="AK387" s="579"/>
      <c r="AL387" s="579"/>
    </row>
    <row r="388" spans="1:38" ht="13" customHeight="1">
      <c r="A388" s="564">
        <v>326</v>
      </c>
      <c r="B388" s="564" t="s">
        <v>81</v>
      </c>
      <c r="C388" s="564" t="s">
        <v>61</v>
      </c>
      <c r="D388" s="564" t="s">
        <v>62</v>
      </c>
      <c r="E388" s="564">
        <v>1000</v>
      </c>
      <c r="F388" s="564" t="s">
        <v>116</v>
      </c>
      <c r="G388" s="564" t="s">
        <v>52</v>
      </c>
      <c r="H388" s="564" t="s">
        <v>76</v>
      </c>
      <c r="I388" s="564" t="s">
        <v>1135</v>
      </c>
      <c r="J388" s="564" t="s">
        <v>82</v>
      </c>
      <c r="K388" s="564">
        <v>1998</v>
      </c>
      <c r="L388" s="564" t="s">
        <v>311</v>
      </c>
      <c r="M388" s="564" t="s">
        <v>323</v>
      </c>
      <c r="N388" s="633" t="s">
        <v>122</v>
      </c>
      <c r="O388" s="634" t="s">
        <v>38</v>
      </c>
      <c r="P388" s="633" t="s">
        <v>38</v>
      </c>
      <c r="Q388" s="633" t="s">
        <v>38</v>
      </c>
      <c r="R388" s="634" t="s">
        <v>38</v>
      </c>
      <c r="S388" s="55"/>
      <c r="T388" s="612"/>
      <c r="U388" s="575"/>
      <c r="V388" s="593"/>
      <c r="W388" s="593"/>
      <c r="X388" s="592"/>
      <c r="Y388" s="592"/>
      <c r="Z388" s="592"/>
      <c r="AA388" s="592"/>
      <c r="AC388" s="579"/>
      <c r="AD388" s="579"/>
      <c r="AE388" s="579"/>
      <c r="AF388" s="579"/>
      <c r="AG388" s="579"/>
      <c r="AH388" s="579"/>
      <c r="AI388" s="579"/>
      <c r="AJ388" s="579"/>
      <c r="AK388" s="579"/>
      <c r="AL388" s="579"/>
    </row>
    <row r="389" spans="1:38" ht="13" customHeight="1">
      <c r="A389" s="564">
        <v>327</v>
      </c>
      <c r="B389" s="564" t="s">
        <v>81</v>
      </c>
      <c r="C389" s="564" t="s">
        <v>61</v>
      </c>
      <c r="D389" s="564" t="s">
        <v>62</v>
      </c>
      <c r="E389" s="564">
        <v>1000</v>
      </c>
      <c r="F389" s="564" t="s">
        <v>116</v>
      </c>
      <c r="G389" s="564" t="s">
        <v>754</v>
      </c>
      <c r="H389" s="564" t="s">
        <v>76</v>
      </c>
      <c r="I389" s="564" t="s">
        <v>1136</v>
      </c>
      <c r="J389" s="564" t="s">
        <v>82</v>
      </c>
      <c r="K389" s="564">
        <v>1998</v>
      </c>
      <c r="L389" s="564" t="s">
        <v>311</v>
      </c>
      <c r="M389" s="564" t="s">
        <v>324</v>
      </c>
      <c r="N389" s="633" t="s">
        <v>122</v>
      </c>
      <c r="O389" s="634" t="s">
        <v>38</v>
      </c>
      <c r="P389" s="633" t="s">
        <v>38</v>
      </c>
      <c r="Q389" s="633" t="s">
        <v>38</v>
      </c>
      <c r="R389" s="634" t="s">
        <v>38</v>
      </c>
      <c r="S389" s="55"/>
      <c r="T389" s="612"/>
      <c r="U389" s="575"/>
      <c r="V389" s="593"/>
      <c r="W389" s="593"/>
      <c r="X389" s="592"/>
      <c r="Y389" s="592"/>
      <c r="Z389" s="592"/>
      <c r="AA389" s="592"/>
      <c r="AC389" s="579"/>
      <c r="AD389" s="579"/>
      <c r="AE389" s="579"/>
      <c r="AF389" s="579"/>
      <c r="AG389" s="579"/>
      <c r="AH389" s="579"/>
      <c r="AI389" s="579"/>
      <c r="AJ389" s="579"/>
      <c r="AK389" s="579"/>
      <c r="AL389" s="579"/>
    </row>
    <row r="390" spans="1:38" ht="13" customHeight="1">
      <c r="A390" s="564">
        <v>329</v>
      </c>
      <c r="B390" s="564" t="s">
        <v>325</v>
      </c>
      <c r="C390" s="564" t="s">
        <v>61</v>
      </c>
      <c r="D390" s="564" t="s">
        <v>326</v>
      </c>
      <c r="E390" s="564">
        <v>1100</v>
      </c>
      <c r="F390" s="564" t="s">
        <v>115</v>
      </c>
      <c r="G390" s="564" t="s">
        <v>52</v>
      </c>
      <c r="H390" s="564" t="s">
        <v>33</v>
      </c>
      <c r="I390" s="564">
        <f>70*1000000</f>
        <v>70000000</v>
      </c>
      <c r="J390" s="564" t="s">
        <v>34</v>
      </c>
      <c r="K390" s="564">
        <v>1982</v>
      </c>
      <c r="L390" s="564" t="s">
        <v>327</v>
      </c>
      <c r="M390" s="564" t="s">
        <v>328</v>
      </c>
      <c r="N390" s="633" t="s">
        <v>122</v>
      </c>
      <c r="O390" s="633" t="s">
        <v>38</v>
      </c>
      <c r="P390" s="633" t="s">
        <v>38</v>
      </c>
      <c r="Q390" s="633" t="s">
        <v>38</v>
      </c>
      <c r="R390" s="634" t="s">
        <v>38</v>
      </c>
      <c r="S390" s="55"/>
      <c r="T390" s="576"/>
      <c r="U390" s="575"/>
      <c r="V390" s="575"/>
      <c r="W390" s="575"/>
      <c r="X390" s="579"/>
      <c r="Y390" s="579"/>
      <c r="Z390" s="579"/>
      <c r="AA390" s="579"/>
      <c r="AC390" s="579"/>
      <c r="AD390" s="579"/>
      <c r="AE390" s="579"/>
      <c r="AF390" s="579"/>
      <c r="AG390" s="579"/>
      <c r="AH390" s="579"/>
      <c r="AI390" s="579"/>
      <c r="AJ390" s="579"/>
      <c r="AK390" s="579"/>
      <c r="AL390" s="579"/>
    </row>
    <row r="391" spans="1:38" ht="13" customHeight="1">
      <c r="A391" s="564">
        <v>330</v>
      </c>
      <c r="B391" s="564" t="s">
        <v>325</v>
      </c>
      <c r="C391" s="564" t="s">
        <v>61</v>
      </c>
      <c r="D391" s="564" t="s">
        <v>326</v>
      </c>
      <c r="E391" s="564">
        <v>1100</v>
      </c>
      <c r="F391" s="564" t="s">
        <v>116</v>
      </c>
      <c r="G391" s="564" t="s">
        <v>52</v>
      </c>
      <c r="H391" s="564" t="s">
        <v>33</v>
      </c>
      <c r="I391" s="564">
        <f>73*1000000</f>
        <v>73000000</v>
      </c>
      <c r="J391" s="564" t="s">
        <v>34</v>
      </c>
      <c r="K391" s="564">
        <v>1982</v>
      </c>
      <c r="L391" s="564" t="s">
        <v>327</v>
      </c>
      <c r="M391" s="564"/>
      <c r="N391" s="633" t="s">
        <v>122</v>
      </c>
      <c r="O391" s="633" t="s">
        <v>38</v>
      </c>
      <c r="P391" s="633" t="s">
        <v>38</v>
      </c>
      <c r="Q391" s="633" t="s">
        <v>38</v>
      </c>
      <c r="R391" s="634" t="s">
        <v>38</v>
      </c>
      <c r="S391" s="55"/>
      <c r="T391" s="576"/>
      <c r="U391" s="575"/>
      <c r="V391" s="575"/>
      <c r="W391" s="575"/>
      <c r="X391" s="579"/>
      <c r="Y391" s="579"/>
      <c r="Z391" s="579"/>
      <c r="AA391" s="579"/>
      <c r="AC391" s="579"/>
      <c r="AD391" s="579"/>
      <c r="AE391" s="579"/>
      <c r="AF391" s="579"/>
      <c r="AG391" s="579"/>
      <c r="AH391" s="579"/>
      <c r="AI391" s="579"/>
      <c r="AJ391" s="579"/>
      <c r="AK391" s="579"/>
      <c r="AL391" s="579"/>
    </row>
    <row r="392" spans="1:38" ht="13" customHeight="1">
      <c r="A392" s="564">
        <v>331</v>
      </c>
      <c r="B392" s="564" t="s">
        <v>325</v>
      </c>
      <c r="C392" s="564" t="s">
        <v>61</v>
      </c>
      <c r="D392" s="564" t="s">
        <v>326</v>
      </c>
      <c r="E392" s="564">
        <v>1100</v>
      </c>
      <c r="F392" s="564" t="s">
        <v>31</v>
      </c>
      <c r="G392" s="564" t="s">
        <v>52</v>
      </c>
      <c r="H392" s="564" t="s">
        <v>33</v>
      </c>
      <c r="I392" s="564">
        <f>(2933+704)*1000000</f>
        <v>3637000000</v>
      </c>
      <c r="J392" s="564" t="s">
        <v>34</v>
      </c>
      <c r="K392" s="564">
        <v>1982</v>
      </c>
      <c r="L392" s="564" t="s">
        <v>327</v>
      </c>
      <c r="M392" s="564" t="s">
        <v>329</v>
      </c>
      <c r="N392" s="632" t="s">
        <v>710</v>
      </c>
      <c r="O392" s="633" t="s">
        <v>38</v>
      </c>
      <c r="P392" s="633" t="s">
        <v>38</v>
      </c>
      <c r="Q392" s="633" t="s">
        <v>38</v>
      </c>
      <c r="R392" s="634" t="s">
        <v>38</v>
      </c>
      <c r="S392" s="55"/>
      <c r="T392" s="576"/>
      <c r="U392" s="575"/>
      <c r="V392" s="575"/>
      <c r="W392" s="575"/>
      <c r="X392" s="579"/>
      <c r="Y392" s="579"/>
      <c r="Z392" s="579"/>
      <c r="AA392" s="579"/>
      <c r="AC392" s="579"/>
      <c r="AD392" s="579"/>
      <c r="AE392" s="579"/>
      <c r="AF392" s="579"/>
      <c r="AG392" s="579"/>
      <c r="AH392" s="579"/>
      <c r="AI392" s="579"/>
      <c r="AJ392" s="579"/>
      <c r="AK392" s="579"/>
      <c r="AL392" s="579"/>
    </row>
    <row r="393" spans="1:38" ht="13" customHeight="1">
      <c r="A393" s="564">
        <v>332</v>
      </c>
      <c r="B393" s="564" t="s">
        <v>330</v>
      </c>
      <c r="C393" s="564" t="s">
        <v>61</v>
      </c>
      <c r="D393" s="564" t="s">
        <v>62</v>
      </c>
      <c r="E393" s="564">
        <v>190</v>
      </c>
      <c r="F393" s="564" t="s">
        <v>902</v>
      </c>
      <c r="G393" s="564" t="s">
        <v>32</v>
      </c>
      <c r="H393" s="564" t="s">
        <v>33</v>
      </c>
      <c r="I393" s="564">
        <f>5.3*1000000000</f>
        <v>5300000000</v>
      </c>
      <c r="J393" s="564" t="s">
        <v>34</v>
      </c>
      <c r="K393" s="564">
        <v>2010</v>
      </c>
      <c r="L393" s="564" t="s">
        <v>331</v>
      </c>
      <c r="M393" s="564" t="s">
        <v>332</v>
      </c>
      <c r="N393" s="632" t="s">
        <v>711</v>
      </c>
      <c r="O393" s="564" t="s">
        <v>333</v>
      </c>
      <c r="P393" s="633" t="s">
        <v>38</v>
      </c>
      <c r="Q393" s="633" t="s">
        <v>38</v>
      </c>
      <c r="R393" s="634" t="s">
        <v>38</v>
      </c>
      <c r="S393" s="55"/>
      <c r="T393" s="609"/>
      <c r="U393" s="575"/>
      <c r="V393" s="575"/>
      <c r="W393" s="591"/>
      <c r="X393" s="613"/>
      <c r="Y393" s="613"/>
      <c r="Z393" s="613"/>
      <c r="AA393" s="613"/>
      <c r="AC393" s="579"/>
      <c r="AD393" s="579"/>
      <c r="AE393" s="579"/>
      <c r="AF393" s="579"/>
      <c r="AG393" s="579"/>
      <c r="AH393" s="579"/>
      <c r="AI393" s="579"/>
      <c r="AJ393" s="579"/>
      <c r="AK393" s="579"/>
      <c r="AL393" s="579"/>
    </row>
    <row r="394" spans="1:38" ht="13" customHeight="1">
      <c r="A394" s="564">
        <v>333</v>
      </c>
      <c r="B394" s="564" t="s">
        <v>330</v>
      </c>
      <c r="C394" s="564" t="s">
        <v>61</v>
      </c>
      <c r="D394" s="564" t="s">
        <v>62</v>
      </c>
      <c r="E394" s="564">
        <v>190</v>
      </c>
      <c r="F394" s="564" t="s">
        <v>669</v>
      </c>
      <c r="G394" s="564" t="s">
        <v>32</v>
      </c>
      <c r="H394" s="564" t="s">
        <v>33</v>
      </c>
      <c r="I394" s="564">
        <f>20*1000000</f>
        <v>20000000</v>
      </c>
      <c r="J394" s="564" t="s">
        <v>34</v>
      </c>
      <c r="K394" s="564">
        <v>2010</v>
      </c>
      <c r="L394" s="564" t="s">
        <v>331</v>
      </c>
      <c r="M394" s="564" t="s">
        <v>334</v>
      </c>
      <c r="N394" s="633" t="s">
        <v>122</v>
      </c>
      <c r="O394" s="634" t="s">
        <v>38</v>
      </c>
      <c r="P394" s="633" t="s">
        <v>38</v>
      </c>
      <c r="Q394" s="633" t="s">
        <v>38</v>
      </c>
      <c r="R394" s="634" t="s">
        <v>38</v>
      </c>
      <c r="S394" s="55"/>
      <c r="T394" s="609"/>
      <c r="U394" s="593"/>
      <c r="V394" s="593"/>
      <c r="W394" s="591"/>
      <c r="X394" s="613"/>
      <c r="Y394" s="613"/>
      <c r="Z394" s="613"/>
      <c r="AA394" s="613"/>
      <c r="AC394" s="579"/>
      <c r="AD394" s="579"/>
      <c r="AE394" s="579"/>
      <c r="AF394" s="579"/>
      <c r="AG394" s="579"/>
      <c r="AH394" s="579"/>
      <c r="AI394" s="579"/>
      <c r="AJ394" s="579"/>
      <c r="AK394" s="579"/>
      <c r="AL394" s="579"/>
    </row>
    <row r="395" spans="1:38" ht="13" customHeight="1">
      <c r="A395" s="564">
        <v>334</v>
      </c>
      <c r="B395" s="564" t="s">
        <v>335</v>
      </c>
      <c r="C395" s="564" t="s">
        <v>61</v>
      </c>
      <c r="D395" s="564" t="s">
        <v>62</v>
      </c>
      <c r="E395" s="564">
        <v>250</v>
      </c>
      <c r="F395" s="564" t="s">
        <v>902</v>
      </c>
      <c r="G395" s="567" t="s">
        <v>57</v>
      </c>
      <c r="H395" s="564" t="s">
        <v>33</v>
      </c>
      <c r="I395" s="564">
        <f>2.8*1000000000</f>
        <v>2800000000</v>
      </c>
      <c r="J395" s="564" t="s">
        <v>34</v>
      </c>
      <c r="K395" s="564">
        <v>2010</v>
      </c>
      <c r="L395" s="564" t="s">
        <v>331</v>
      </c>
      <c r="M395" s="564" t="s">
        <v>336</v>
      </c>
      <c r="N395" s="632" t="s">
        <v>711</v>
      </c>
      <c r="O395" s="564" t="s">
        <v>333</v>
      </c>
      <c r="P395" s="633" t="s">
        <v>38</v>
      </c>
      <c r="Q395" s="633" t="s">
        <v>38</v>
      </c>
      <c r="R395" s="634" t="s">
        <v>38</v>
      </c>
      <c r="S395" s="55"/>
      <c r="T395" s="609"/>
      <c r="U395" s="593"/>
      <c r="V395" s="593"/>
      <c r="W395" s="591"/>
      <c r="X395" s="613"/>
      <c r="Y395" s="613"/>
      <c r="Z395" s="613"/>
      <c r="AA395" s="613"/>
      <c r="AC395" s="579"/>
      <c r="AD395" s="579"/>
      <c r="AE395" s="579"/>
      <c r="AF395" s="579"/>
      <c r="AG395" s="579"/>
      <c r="AH395" s="579"/>
      <c r="AI395" s="579"/>
      <c r="AJ395" s="579"/>
      <c r="AK395" s="579"/>
      <c r="AL395" s="579"/>
    </row>
    <row r="396" spans="1:38" ht="13" customHeight="1">
      <c r="A396" s="564">
        <v>335</v>
      </c>
      <c r="B396" s="564" t="s">
        <v>335</v>
      </c>
      <c r="C396" s="564" t="s">
        <v>61</v>
      </c>
      <c r="D396" s="564" t="s">
        <v>62</v>
      </c>
      <c r="E396" s="564">
        <v>250</v>
      </c>
      <c r="F396" s="564" t="s">
        <v>670</v>
      </c>
      <c r="G396" s="567" t="s">
        <v>57</v>
      </c>
      <c r="H396" s="564" t="s">
        <v>76</v>
      </c>
      <c r="I396" s="632">
        <f>((14*1000000)/(250*8760*0.685))</f>
        <v>9.332400093323999</v>
      </c>
      <c r="J396" s="564" t="s">
        <v>77</v>
      </c>
      <c r="K396" s="564">
        <v>2010</v>
      </c>
      <c r="L396" s="564" t="s">
        <v>331</v>
      </c>
      <c r="M396" s="564" t="s">
        <v>724</v>
      </c>
      <c r="N396" s="633" t="s">
        <v>122</v>
      </c>
      <c r="O396" s="634" t="s">
        <v>38</v>
      </c>
      <c r="P396" s="633" t="s">
        <v>38</v>
      </c>
      <c r="Q396" s="633" t="s">
        <v>38</v>
      </c>
      <c r="R396" s="634" t="s">
        <v>38</v>
      </c>
      <c r="S396" s="55"/>
      <c r="T396" s="609"/>
      <c r="U396" s="593"/>
      <c r="V396" s="593"/>
      <c r="W396" s="591"/>
      <c r="X396" s="613"/>
      <c r="Y396" s="613"/>
      <c r="Z396" s="613"/>
      <c r="AA396" s="613"/>
      <c r="AC396" s="579"/>
      <c r="AD396" s="579"/>
      <c r="AE396" s="579"/>
      <c r="AF396" s="579"/>
      <c r="AG396" s="579"/>
      <c r="AH396" s="579"/>
      <c r="AI396" s="579"/>
      <c r="AJ396" s="579"/>
      <c r="AK396" s="579"/>
      <c r="AL396" s="579"/>
    </row>
    <row r="397" spans="1:38" ht="13" customHeight="1">
      <c r="A397" s="564">
        <v>336</v>
      </c>
      <c r="B397" s="564" t="s">
        <v>337</v>
      </c>
      <c r="C397" s="564" t="s">
        <v>61</v>
      </c>
      <c r="D397" s="564" t="s">
        <v>62</v>
      </c>
      <c r="E397" s="564">
        <v>500</v>
      </c>
      <c r="F397" s="564" t="s">
        <v>902</v>
      </c>
      <c r="G397" s="564" t="s">
        <v>32</v>
      </c>
      <c r="H397" s="564" t="s">
        <v>33</v>
      </c>
      <c r="I397" s="564">
        <f>5.9*1000000000</f>
        <v>5900000000</v>
      </c>
      <c r="J397" s="564" t="s">
        <v>34</v>
      </c>
      <c r="K397" s="564">
        <v>2010</v>
      </c>
      <c r="L397" s="564" t="s">
        <v>331</v>
      </c>
      <c r="M397" s="564" t="s">
        <v>338</v>
      </c>
      <c r="N397" s="632" t="s">
        <v>711</v>
      </c>
      <c r="O397" s="564" t="s">
        <v>333</v>
      </c>
      <c r="P397" s="633" t="s">
        <v>38</v>
      </c>
      <c r="Q397" s="633" t="s">
        <v>38</v>
      </c>
      <c r="R397" s="634" t="s">
        <v>38</v>
      </c>
      <c r="S397" s="55"/>
      <c r="T397" s="609"/>
      <c r="U397" s="593"/>
      <c r="V397" s="593"/>
      <c r="W397" s="591"/>
      <c r="X397" s="613"/>
      <c r="Y397" s="613"/>
      <c r="Z397" s="613"/>
      <c r="AA397" s="613"/>
      <c r="AC397" s="579"/>
      <c r="AD397" s="579"/>
      <c r="AE397" s="579"/>
      <c r="AF397" s="579"/>
      <c r="AG397" s="579"/>
      <c r="AH397" s="579"/>
      <c r="AI397" s="579"/>
      <c r="AJ397" s="579"/>
      <c r="AK397" s="579"/>
      <c r="AL397" s="579"/>
    </row>
    <row r="398" spans="1:38" ht="13" customHeight="1">
      <c r="A398" s="564">
        <v>337</v>
      </c>
      <c r="B398" s="564" t="s">
        <v>340</v>
      </c>
      <c r="C398" s="564" t="s">
        <v>61</v>
      </c>
      <c r="D398" s="564" t="s">
        <v>62</v>
      </c>
      <c r="E398" s="564">
        <v>500</v>
      </c>
      <c r="F398" s="564" t="s">
        <v>670</v>
      </c>
      <c r="G398" s="564" t="s">
        <v>57</v>
      </c>
      <c r="H398" s="564" t="s">
        <v>76</v>
      </c>
      <c r="I398" s="632">
        <f>((17*1000000)/(500*8760*0.685))</f>
        <v>5.6661000566609996</v>
      </c>
      <c r="J398" s="564" t="s">
        <v>77</v>
      </c>
      <c r="K398" s="564">
        <v>2010</v>
      </c>
      <c r="L398" s="564" t="s">
        <v>331</v>
      </c>
      <c r="M398" s="564" t="s">
        <v>726</v>
      </c>
      <c r="N398" s="633" t="s">
        <v>122</v>
      </c>
      <c r="O398" s="634" t="s">
        <v>38</v>
      </c>
      <c r="P398" s="633" t="s">
        <v>38</v>
      </c>
      <c r="Q398" s="633" t="s">
        <v>38</v>
      </c>
      <c r="R398" s="634" t="s">
        <v>38</v>
      </c>
      <c r="S398" s="55"/>
      <c r="T398" s="609"/>
      <c r="U398" s="593"/>
      <c r="V398" s="593"/>
      <c r="W398" s="591"/>
      <c r="X398" s="613"/>
      <c r="Y398" s="613"/>
      <c r="Z398" s="613"/>
      <c r="AA398" s="613"/>
      <c r="AC398" s="579"/>
      <c r="AD398" s="579"/>
      <c r="AE398" s="579"/>
      <c r="AF398" s="579"/>
      <c r="AG398" s="579"/>
      <c r="AH398" s="579"/>
      <c r="AI398" s="579"/>
      <c r="AJ398" s="579"/>
      <c r="AK398" s="579"/>
      <c r="AL398" s="579"/>
    </row>
    <row r="399" spans="1:38" ht="13" customHeight="1">
      <c r="A399" s="564">
        <v>338</v>
      </c>
      <c r="B399" s="564" t="s">
        <v>337</v>
      </c>
      <c r="C399" s="564" t="s">
        <v>61</v>
      </c>
      <c r="D399" s="564" t="s">
        <v>62</v>
      </c>
      <c r="E399" s="564">
        <v>500</v>
      </c>
      <c r="F399" s="564" t="s">
        <v>670</v>
      </c>
      <c r="G399" s="564" t="s">
        <v>32</v>
      </c>
      <c r="H399" s="564" t="s">
        <v>76</v>
      </c>
      <c r="I399" s="632">
        <f>((23*1000000)/(500*8760*0.685))</f>
        <v>7.6659000766589998</v>
      </c>
      <c r="J399" s="564" t="s">
        <v>77</v>
      </c>
      <c r="K399" s="564">
        <v>2010</v>
      </c>
      <c r="L399" s="564" t="s">
        <v>331</v>
      </c>
      <c r="M399" s="564" t="s">
        <v>725</v>
      </c>
      <c r="N399" s="633" t="s">
        <v>122</v>
      </c>
      <c r="O399" s="634" t="s">
        <v>38</v>
      </c>
      <c r="P399" s="633" t="s">
        <v>38</v>
      </c>
      <c r="Q399" s="633" t="s">
        <v>38</v>
      </c>
      <c r="R399" s="634" t="s">
        <v>38</v>
      </c>
      <c r="S399" s="55"/>
      <c r="T399" s="609"/>
      <c r="U399" s="593"/>
      <c r="V399" s="593"/>
      <c r="W399" s="591"/>
      <c r="X399" s="613"/>
      <c r="Y399" s="613"/>
      <c r="Z399" s="613"/>
      <c r="AA399" s="613"/>
      <c r="AC399" s="579"/>
      <c r="AD399" s="579"/>
      <c r="AE399" s="579"/>
      <c r="AF399" s="579"/>
      <c r="AG399" s="579"/>
      <c r="AH399" s="579"/>
      <c r="AI399" s="579"/>
      <c r="AJ399" s="579"/>
      <c r="AK399" s="579"/>
      <c r="AL399" s="579"/>
    </row>
    <row r="400" spans="1:38" ht="13" customHeight="1">
      <c r="A400" s="564">
        <v>339</v>
      </c>
      <c r="B400" s="564" t="s">
        <v>340</v>
      </c>
      <c r="C400" s="564" t="s">
        <v>61</v>
      </c>
      <c r="D400" s="564" t="s">
        <v>62</v>
      </c>
      <c r="E400" s="564">
        <v>500</v>
      </c>
      <c r="F400" s="564" t="s">
        <v>902</v>
      </c>
      <c r="G400" s="567" t="s">
        <v>57</v>
      </c>
      <c r="H400" s="564" t="s">
        <v>33</v>
      </c>
      <c r="I400" s="564">
        <f>4.2*1000000000</f>
        <v>4200000000</v>
      </c>
      <c r="J400" s="564" t="s">
        <v>34</v>
      </c>
      <c r="K400" s="564">
        <v>2010</v>
      </c>
      <c r="L400" s="564" t="s">
        <v>331</v>
      </c>
      <c r="M400" s="564" t="s">
        <v>339</v>
      </c>
      <c r="N400" s="632" t="s">
        <v>711</v>
      </c>
      <c r="O400" s="564" t="s">
        <v>333</v>
      </c>
      <c r="P400" s="633" t="s">
        <v>38</v>
      </c>
      <c r="Q400" s="633" t="s">
        <v>38</v>
      </c>
      <c r="R400" s="634" t="s">
        <v>38</v>
      </c>
      <c r="S400" s="55"/>
      <c r="T400" s="609"/>
      <c r="U400" s="593"/>
      <c r="V400" s="593"/>
      <c r="W400" s="591"/>
      <c r="X400" s="613"/>
      <c r="Y400" s="613"/>
      <c r="Z400" s="613"/>
      <c r="AA400" s="613"/>
      <c r="AC400" s="579"/>
      <c r="AD400" s="579"/>
      <c r="AE400" s="579"/>
      <c r="AF400" s="579"/>
      <c r="AG400" s="579"/>
      <c r="AH400" s="579"/>
      <c r="AI400" s="579"/>
      <c r="AJ400" s="579"/>
      <c r="AK400" s="579"/>
      <c r="AL400" s="579"/>
    </row>
    <row r="401" spans="1:38" ht="13" customHeight="1">
      <c r="A401" s="564"/>
      <c r="B401" s="564" t="s">
        <v>337</v>
      </c>
      <c r="C401" s="564" t="s">
        <v>61</v>
      </c>
      <c r="D401" s="564" t="s">
        <v>62</v>
      </c>
      <c r="E401" s="564">
        <v>500</v>
      </c>
      <c r="F401" s="564" t="s">
        <v>669</v>
      </c>
      <c r="G401" s="567" t="s">
        <v>32</v>
      </c>
      <c r="H401" s="564" t="s">
        <v>33</v>
      </c>
      <c r="I401" s="564">
        <f>33*1000000</f>
        <v>33000000</v>
      </c>
      <c r="J401" s="564" t="s">
        <v>34</v>
      </c>
      <c r="K401" s="564">
        <v>2010</v>
      </c>
      <c r="L401" s="564" t="s">
        <v>331</v>
      </c>
      <c r="M401" s="564" t="s">
        <v>341</v>
      </c>
      <c r="N401" s="633" t="s">
        <v>122</v>
      </c>
      <c r="O401" s="634" t="s">
        <v>38</v>
      </c>
      <c r="P401" s="633" t="s">
        <v>38</v>
      </c>
      <c r="Q401" s="633" t="s">
        <v>38</v>
      </c>
      <c r="R401" s="634" t="s">
        <v>38</v>
      </c>
      <c r="S401" s="55"/>
      <c r="T401" s="609"/>
      <c r="U401" s="593"/>
      <c r="V401" s="593"/>
      <c r="W401" s="591"/>
      <c r="X401" s="613"/>
      <c r="Y401" s="613"/>
      <c r="Z401" s="613"/>
      <c r="AA401" s="613"/>
      <c r="AC401" s="579"/>
      <c r="AD401" s="579"/>
      <c r="AE401" s="579"/>
      <c r="AF401" s="579"/>
      <c r="AG401" s="579"/>
      <c r="AH401" s="579"/>
      <c r="AI401" s="579"/>
      <c r="AJ401" s="579"/>
      <c r="AK401" s="579"/>
      <c r="AL401" s="579"/>
    </row>
    <row r="402" spans="1:38" ht="13" customHeight="1">
      <c r="A402" s="564">
        <v>340</v>
      </c>
      <c r="B402" s="564" t="s">
        <v>340</v>
      </c>
      <c r="C402" s="564" t="s">
        <v>61</v>
      </c>
      <c r="D402" s="564" t="s">
        <v>62</v>
      </c>
      <c r="E402" s="564">
        <v>500</v>
      </c>
      <c r="F402" s="564" t="s">
        <v>669</v>
      </c>
      <c r="G402" s="567" t="s">
        <v>57</v>
      </c>
      <c r="H402" s="564" t="s">
        <v>33</v>
      </c>
      <c r="I402" s="564">
        <f>33*1000000</f>
        <v>33000000</v>
      </c>
      <c r="J402" s="564" t="s">
        <v>34</v>
      </c>
      <c r="K402" s="564">
        <v>2010</v>
      </c>
      <c r="L402" s="564" t="s">
        <v>331</v>
      </c>
      <c r="M402" s="564" t="s">
        <v>341</v>
      </c>
      <c r="N402" s="633" t="s">
        <v>122</v>
      </c>
      <c r="O402" s="634" t="s">
        <v>38</v>
      </c>
      <c r="P402" s="633" t="s">
        <v>38</v>
      </c>
      <c r="Q402" s="633" t="s">
        <v>38</v>
      </c>
      <c r="R402" s="634" t="s">
        <v>38</v>
      </c>
      <c r="S402" s="55"/>
      <c r="T402" s="609"/>
      <c r="U402" s="593"/>
      <c r="V402" s="593"/>
      <c r="W402" s="591"/>
      <c r="X402" s="613"/>
      <c r="Y402" s="613"/>
      <c r="Z402" s="613"/>
      <c r="AA402" s="613"/>
      <c r="AC402" s="579"/>
      <c r="AD402" s="579"/>
      <c r="AE402" s="579"/>
      <c r="AF402" s="579"/>
      <c r="AG402" s="579"/>
      <c r="AH402" s="579"/>
      <c r="AI402" s="579"/>
      <c r="AJ402" s="579"/>
      <c r="AK402" s="579"/>
      <c r="AL402" s="579"/>
    </row>
    <row r="403" spans="1:38" ht="13" customHeight="1">
      <c r="A403" s="564">
        <v>341</v>
      </c>
      <c r="B403" s="564" t="s">
        <v>342</v>
      </c>
      <c r="C403" s="564" t="s">
        <v>61</v>
      </c>
      <c r="D403" s="564" t="s">
        <v>62</v>
      </c>
      <c r="E403" s="564">
        <v>500</v>
      </c>
      <c r="F403" s="564" t="s">
        <v>902</v>
      </c>
      <c r="G403" s="564" t="s">
        <v>32</v>
      </c>
      <c r="H403" s="564" t="s">
        <v>33</v>
      </c>
      <c r="I403" s="564">
        <f>8.5*1000000000</f>
        <v>8500000000</v>
      </c>
      <c r="J403" s="564" t="s">
        <v>34</v>
      </c>
      <c r="K403" s="564">
        <v>2010</v>
      </c>
      <c r="L403" s="564" t="s">
        <v>331</v>
      </c>
      <c r="M403" s="564" t="s">
        <v>338</v>
      </c>
      <c r="N403" s="632" t="s">
        <v>711</v>
      </c>
      <c r="O403" s="564" t="s">
        <v>333</v>
      </c>
      <c r="P403" s="633" t="s">
        <v>38</v>
      </c>
      <c r="Q403" s="633" t="s">
        <v>38</v>
      </c>
      <c r="R403" s="634" t="s">
        <v>38</v>
      </c>
      <c r="S403" s="55"/>
      <c r="T403" s="609"/>
      <c r="U403" s="593"/>
      <c r="V403" s="593"/>
      <c r="W403" s="591"/>
      <c r="X403" s="613"/>
      <c r="Y403" s="613"/>
      <c r="Z403" s="613"/>
      <c r="AA403" s="613"/>
      <c r="AC403" s="579"/>
      <c r="AD403" s="579"/>
      <c r="AE403" s="579"/>
      <c r="AF403" s="579"/>
      <c r="AG403" s="579"/>
      <c r="AH403" s="579"/>
      <c r="AI403" s="579"/>
      <c r="AJ403" s="579"/>
      <c r="AK403" s="579"/>
      <c r="AL403" s="579"/>
    </row>
    <row r="404" spans="1:38" ht="13" customHeight="1">
      <c r="A404" s="564">
        <v>342</v>
      </c>
      <c r="B404" s="564" t="s">
        <v>342</v>
      </c>
      <c r="C404" s="564" t="s">
        <v>61</v>
      </c>
      <c r="D404" s="564" t="s">
        <v>62</v>
      </c>
      <c r="E404" s="564">
        <v>500</v>
      </c>
      <c r="F404" s="564" t="s">
        <v>669</v>
      </c>
      <c r="G404" s="564" t="s">
        <v>32</v>
      </c>
      <c r="H404" s="564" t="s">
        <v>33</v>
      </c>
      <c r="I404" s="564">
        <f>33*1000000</f>
        <v>33000000</v>
      </c>
      <c r="J404" s="564" t="s">
        <v>34</v>
      </c>
      <c r="K404" s="564">
        <v>2010</v>
      </c>
      <c r="L404" s="564" t="s">
        <v>331</v>
      </c>
      <c r="M404" s="564" t="s">
        <v>338</v>
      </c>
      <c r="N404" s="633" t="s">
        <v>122</v>
      </c>
      <c r="O404" s="634" t="s">
        <v>38</v>
      </c>
      <c r="P404" s="633" t="s">
        <v>38</v>
      </c>
      <c r="Q404" s="633" t="s">
        <v>38</v>
      </c>
      <c r="R404" s="634" t="s">
        <v>38</v>
      </c>
      <c r="S404" s="55"/>
      <c r="T404" s="609"/>
      <c r="U404" s="593"/>
      <c r="V404" s="593"/>
      <c r="W404" s="591"/>
      <c r="X404" s="613"/>
      <c r="Y404" s="613"/>
      <c r="Z404" s="613"/>
      <c r="AA404" s="613"/>
      <c r="AC404" s="579"/>
      <c r="AD404" s="579"/>
      <c r="AE404" s="579"/>
      <c r="AF404" s="579"/>
      <c r="AG404" s="579"/>
      <c r="AH404" s="579"/>
      <c r="AI404" s="579"/>
      <c r="AJ404" s="579"/>
      <c r="AK404" s="579"/>
      <c r="AL404" s="579"/>
    </row>
    <row r="405" spans="1:38" ht="13" customHeight="1">
      <c r="A405" s="564">
        <v>343</v>
      </c>
      <c r="B405" s="564" t="s">
        <v>342</v>
      </c>
      <c r="C405" s="564" t="s">
        <v>61</v>
      </c>
      <c r="D405" s="564" t="s">
        <v>62</v>
      </c>
      <c r="E405" s="564">
        <v>500</v>
      </c>
      <c r="F405" s="564" t="s">
        <v>670</v>
      </c>
      <c r="G405" s="564" t="s">
        <v>32</v>
      </c>
      <c r="H405" s="564" t="s">
        <v>76</v>
      </c>
      <c r="I405" s="632">
        <f>((23*1000000)/(500*8760*0.685))</f>
        <v>7.6659000766589998</v>
      </c>
      <c r="J405" s="564" t="s">
        <v>77</v>
      </c>
      <c r="K405" s="564">
        <v>2010</v>
      </c>
      <c r="L405" s="564" t="s">
        <v>331</v>
      </c>
      <c r="M405" s="564" t="s">
        <v>725</v>
      </c>
      <c r="N405" s="633" t="s">
        <v>122</v>
      </c>
      <c r="O405" s="634" t="s">
        <v>38</v>
      </c>
      <c r="P405" s="633" t="s">
        <v>38</v>
      </c>
      <c r="Q405" s="633" t="s">
        <v>38</v>
      </c>
      <c r="R405" s="634" t="s">
        <v>38</v>
      </c>
      <c r="S405" s="55"/>
      <c r="T405" s="609"/>
      <c r="U405" s="593"/>
      <c r="V405" s="593"/>
      <c r="W405" s="591"/>
      <c r="X405" s="613"/>
      <c r="Y405" s="613"/>
      <c r="Z405" s="613"/>
      <c r="AA405" s="613"/>
      <c r="AC405" s="579"/>
      <c r="AD405" s="579"/>
      <c r="AE405" s="579"/>
      <c r="AF405" s="579"/>
      <c r="AG405" s="579"/>
      <c r="AH405" s="579"/>
      <c r="AI405" s="579"/>
      <c r="AJ405" s="579"/>
      <c r="AK405" s="579"/>
      <c r="AL405" s="579"/>
    </row>
    <row r="406" spans="1:38" ht="13" customHeight="1">
      <c r="A406" s="564">
        <v>344</v>
      </c>
      <c r="B406" s="564" t="s">
        <v>343</v>
      </c>
      <c r="C406" s="564" t="s">
        <v>61</v>
      </c>
      <c r="D406" s="564" t="s">
        <v>62</v>
      </c>
      <c r="E406" s="564">
        <v>1500</v>
      </c>
      <c r="F406" s="564" t="s">
        <v>31</v>
      </c>
      <c r="G406" s="564" t="s">
        <v>57</v>
      </c>
      <c r="H406" s="564" t="s">
        <v>76</v>
      </c>
      <c r="I406" s="564">
        <v>11580</v>
      </c>
      <c r="J406" s="564" t="s">
        <v>189</v>
      </c>
      <c r="K406" s="564">
        <v>2020</v>
      </c>
      <c r="L406" s="564" t="s">
        <v>344</v>
      </c>
      <c r="M406" s="565" t="s">
        <v>345</v>
      </c>
      <c r="N406" s="632" t="s">
        <v>712</v>
      </c>
      <c r="O406" s="564" t="s">
        <v>104</v>
      </c>
      <c r="P406" s="633" t="s">
        <v>38</v>
      </c>
      <c r="Q406" s="633" t="s">
        <v>38</v>
      </c>
      <c r="R406" s="634" t="s">
        <v>38</v>
      </c>
      <c r="S406" s="55"/>
      <c r="T406" s="576"/>
      <c r="U406" s="575"/>
      <c r="V406" s="575"/>
      <c r="W406" s="591"/>
      <c r="X406" s="592"/>
      <c r="Y406" s="592"/>
      <c r="Z406" s="592"/>
      <c r="AA406" s="592"/>
      <c r="AC406" s="579"/>
      <c r="AD406" s="579"/>
      <c r="AE406" s="579"/>
      <c r="AF406" s="579"/>
      <c r="AG406" s="579"/>
      <c r="AH406" s="579"/>
      <c r="AI406" s="579"/>
      <c r="AJ406" s="579"/>
      <c r="AK406" s="579"/>
      <c r="AL406" s="579"/>
    </row>
    <row r="407" spans="1:38" ht="13" customHeight="1">
      <c r="A407" s="564">
        <v>345</v>
      </c>
      <c r="B407" s="564" t="s">
        <v>343</v>
      </c>
      <c r="C407" s="564" t="s">
        <v>61</v>
      </c>
      <c r="D407" s="564" t="s">
        <v>62</v>
      </c>
      <c r="E407" s="564">
        <v>1500</v>
      </c>
      <c r="F407" s="564" t="s">
        <v>31</v>
      </c>
      <c r="G407" s="564" t="s">
        <v>52</v>
      </c>
      <c r="H407" s="564" t="s">
        <v>76</v>
      </c>
      <c r="I407" s="564">
        <v>8168</v>
      </c>
      <c r="J407" s="564" t="s">
        <v>189</v>
      </c>
      <c r="K407" s="564">
        <v>2020</v>
      </c>
      <c r="L407" s="564" t="s">
        <v>344</v>
      </c>
      <c r="M407" s="565" t="s">
        <v>346</v>
      </c>
      <c r="N407" s="632" t="s">
        <v>712</v>
      </c>
      <c r="O407" s="564" t="s">
        <v>104</v>
      </c>
      <c r="P407" s="633" t="s">
        <v>38</v>
      </c>
      <c r="Q407" s="633" t="s">
        <v>38</v>
      </c>
      <c r="R407" s="634" t="s">
        <v>38</v>
      </c>
      <c r="T407" s="576"/>
      <c r="U407" s="575"/>
      <c r="V407" s="575"/>
      <c r="W407" s="591"/>
      <c r="X407" s="592"/>
      <c r="Y407" s="592"/>
      <c r="Z407" s="592"/>
      <c r="AA407" s="592"/>
      <c r="AC407" s="579"/>
      <c r="AD407" s="579"/>
      <c r="AE407" s="579"/>
      <c r="AF407" s="579"/>
      <c r="AG407" s="579"/>
      <c r="AH407" s="579"/>
      <c r="AI407" s="579"/>
      <c r="AJ407" s="579"/>
      <c r="AK407" s="579"/>
      <c r="AL407" s="579"/>
    </row>
    <row r="408" spans="1:38" ht="13" customHeight="1">
      <c r="A408" s="564">
        <v>346</v>
      </c>
      <c r="B408" s="564" t="s">
        <v>347</v>
      </c>
      <c r="C408" s="564" t="s">
        <v>61</v>
      </c>
      <c r="D408" s="564" t="s">
        <v>62</v>
      </c>
      <c r="E408" s="564">
        <v>1500</v>
      </c>
      <c r="F408" s="564" t="s">
        <v>31</v>
      </c>
      <c r="G408" s="564" t="s">
        <v>57</v>
      </c>
      <c r="H408" s="564" t="s">
        <v>76</v>
      </c>
      <c r="I408" s="564">
        <v>7733</v>
      </c>
      <c r="J408" s="564" t="s">
        <v>189</v>
      </c>
      <c r="K408" s="564">
        <v>2020</v>
      </c>
      <c r="L408" s="564" t="s">
        <v>344</v>
      </c>
      <c r="M408" s="564"/>
      <c r="N408" s="632" t="s">
        <v>708</v>
      </c>
      <c r="O408" s="564" t="s">
        <v>84</v>
      </c>
      <c r="P408" s="633" t="s">
        <v>38</v>
      </c>
      <c r="Q408" s="633" t="s">
        <v>38</v>
      </c>
      <c r="R408" s="634" t="s">
        <v>38</v>
      </c>
      <c r="T408" s="576"/>
      <c r="U408" s="575"/>
      <c r="V408" s="575"/>
      <c r="W408" s="591"/>
      <c r="X408" s="592"/>
      <c r="Y408" s="592"/>
      <c r="Z408" s="592"/>
      <c r="AA408" s="592"/>
      <c r="AC408" s="579"/>
      <c r="AD408" s="579"/>
      <c r="AE408" s="579"/>
      <c r="AF408" s="579"/>
      <c r="AG408" s="579"/>
      <c r="AH408" s="579"/>
      <c r="AI408" s="579"/>
      <c r="AJ408" s="579"/>
      <c r="AK408" s="579"/>
      <c r="AL408" s="579"/>
    </row>
    <row r="409" spans="1:38" ht="13" customHeight="1">
      <c r="A409" s="564">
        <v>347</v>
      </c>
      <c r="B409" s="564" t="s">
        <v>347</v>
      </c>
      <c r="C409" s="564" t="s">
        <v>61</v>
      </c>
      <c r="D409" s="564" t="s">
        <v>62</v>
      </c>
      <c r="E409" s="564">
        <v>1500</v>
      </c>
      <c r="F409" s="564" t="s">
        <v>31</v>
      </c>
      <c r="G409" s="564" t="s">
        <v>52</v>
      </c>
      <c r="H409" s="564" t="s">
        <v>76</v>
      </c>
      <c r="I409" s="564">
        <v>5747</v>
      </c>
      <c r="J409" s="564" t="s">
        <v>189</v>
      </c>
      <c r="K409" s="564">
        <v>2020</v>
      </c>
      <c r="L409" s="564" t="s">
        <v>344</v>
      </c>
      <c r="M409" s="564"/>
      <c r="N409" s="632" t="s">
        <v>708</v>
      </c>
      <c r="O409" s="564" t="s">
        <v>84</v>
      </c>
      <c r="P409" s="633" t="s">
        <v>38</v>
      </c>
      <c r="Q409" s="633" t="s">
        <v>38</v>
      </c>
      <c r="R409" s="634" t="s">
        <v>38</v>
      </c>
      <c r="T409" s="576"/>
      <c r="U409" s="575"/>
      <c r="V409" s="575"/>
      <c r="W409" s="591"/>
      <c r="X409" s="592"/>
      <c r="Y409" s="592"/>
      <c r="Z409" s="592"/>
      <c r="AA409" s="592"/>
      <c r="AC409" s="579"/>
      <c r="AD409" s="579"/>
      <c r="AE409" s="579"/>
      <c r="AF409" s="579"/>
      <c r="AG409" s="579"/>
      <c r="AH409" s="579"/>
      <c r="AI409" s="579"/>
      <c r="AJ409" s="579"/>
      <c r="AK409" s="579"/>
      <c r="AL409" s="579"/>
    </row>
    <row r="410" spans="1:38" ht="13" customHeight="1">
      <c r="A410" s="564">
        <v>351</v>
      </c>
      <c r="B410" s="564" t="s">
        <v>343</v>
      </c>
      <c r="C410" s="564" t="s">
        <v>61</v>
      </c>
      <c r="D410" s="564" t="s">
        <v>62</v>
      </c>
      <c r="E410" s="564">
        <v>1500</v>
      </c>
      <c r="F410" s="564" t="s">
        <v>75</v>
      </c>
      <c r="G410" s="564" t="s">
        <v>52</v>
      </c>
      <c r="H410" s="564" t="s">
        <v>76</v>
      </c>
      <c r="I410" s="564">
        <v>157</v>
      </c>
      <c r="J410" s="564" t="s">
        <v>128</v>
      </c>
      <c r="K410" s="564">
        <v>2020</v>
      </c>
      <c r="L410" s="564" t="s">
        <v>344</v>
      </c>
      <c r="M410" s="564" t="s">
        <v>352</v>
      </c>
      <c r="N410" s="632" t="s">
        <v>712</v>
      </c>
      <c r="O410" s="564" t="s">
        <v>104</v>
      </c>
      <c r="P410" s="633" t="s">
        <v>38</v>
      </c>
      <c r="Q410" s="633" t="s">
        <v>38</v>
      </c>
      <c r="R410" s="634" t="s">
        <v>38</v>
      </c>
      <c r="T410" s="576"/>
      <c r="U410" s="575"/>
      <c r="V410" s="575"/>
      <c r="W410" s="591"/>
      <c r="X410" s="592"/>
      <c r="Y410" s="592"/>
      <c r="Z410" s="592"/>
      <c r="AA410" s="592"/>
      <c r="AC410" s="579"/>
      <c r="AD410" s="579"/>
      <c r="AE410" s="579"/>
      <c r="AF410" s="579"/>
      <c r="AG410" s="579"/>
      <c r="AH410" s="579"/>
      <c r="AI410" s="579"/>
      <c r="AJ410" s="579"/>
      <c r="AK410" s="579"/>
      <c r="AL410" s="579"/>
    </row>
    <row r="411" spans="1:38" ht="13" customHeight="1">
      <c r="A411" s="564">
        <v>352</v>
      </c>
      <c r="B411" s="564" t="s">
        <v>347</v>
      </c>
      <c r="C411" s="564" t="s">
        <v>61</v>
      </c>
      <c r="D411" s="564" t="s">
        <v>62</v>
      </c>
      <c r="E411" s="564">
        <v>1500</v>
      </c>
      <c r="F411" s="564" t="s">
        <v>75</v>
      </c>
      <c r="G411" s="564" t="s">
        <v>52</v>
      </c>
      <c r="H411" s="564" t="s">
        <v>76</v>
      </c>
      <c r="I411" s="564">
        <v>84</v>
      </c>
      <c r="J411" s="564" t="s">
        <v>128</v>
      </c>
      <c r="K411" s="564">
        <v>2020</v>
      </c>
      <c r="L411" s="564" t="s">
        <v>344</v>
      </c>
      <c r="M411" s="564" t="s">
        <v>352</v>
      </c>
      <c r="N411" s="632" t="s">
        <v>708</v>
      </c>
      <c r="O411" s="564" t="s">
        <v>84</v>
      </c>
      <c r="P411" s="633" t="s">
        <v>38</v>
      </c>
      <c r="Q411" s="633" t="s">
        <v>38</v>
      </c>
      <c r="R411" s="634" t="s">
        <v>38</v>
      </c>
      <c r="T411" s="576"/>
      <c r="U411" s="575"/>
      <c r="V411" s="575"/>
      <c r="W411" s="591"/>
      <c r="X411" s="592"/>
      <c r="Y411" s="592"/>
      <c r="Z411" s="592"/>
      <c r="AA411" s="592"/>
      <c r="AC411" s="579"/>
      <c r="AD411" s="579"/>
      <c r="AE411" s="579"/>
      <c r="AF411" s="579"/>
      <c r="AG411" s="579"/>
      <c r="AH411" s="579"/>
      <c r="AI411" s="579"/>
      <c r="AJ411" s="579"/>
      <c r="AK411" s="579"/>
      <c r="AL411" s="579"/>
    </row>
    <row r="412" spans="1:38" ht="13" customHeight="1">
      <c r="A412" s="564">
        <v>353</v>
      </c>
      <c r="B412" s="564" t="s">
        <v>348</v>
      </c>
      <c r="C412" s="564" t="s">
        <v>61</v>
      </c>
      <c r="D412" s="564" t="s">
        <v>62</v>
      </c>
      <c r="E412" s="564">
        <v>200</v>
      </c>
      <c r="F412" s="564" t="s">
        <v>75</v>
      </c>
      <c r="G412" s="564" t="s">
        <v>754</v>
      </c>
      <c r="H412" s="564" t="s">
        <v>76</v>
      </c>
      <c r="I412" s="564">
        <v>100</v>
      </c>
      <c r="J412" s="564" t="s">
        <v>128</v>
      </c>
      <c r="K412" s="564">
        <v>2020</v>
      </c>
      <c r="L412" s="564" t="s">
        <v>344</v>
      </c>
      <c r="M412" s="564" t="s">
        <v>352</v>
      </c>
      <c r="N412" s="634" t="s">
        <v>38</v>
      </c>
      <c r="O412" s="564" t="s">
        <v>350</v>
      </c>
      <c r="P412" s="633" t="s">
        <v>38</v>
      </c>
      <c r="Q412" s="633" t="s">
        <v>38</v>
      </c>
      <c r="R412" s="634" t="s">
        <v>38</v>
      </c>
      <c r="T412" s="576"/>
      <c r="U412" s="575"/>
      <c r="V412" s="575"/>
      <c r="W412" s="591"/>
      <c r="X412" s="592"/>
      <c r="Y412" s="592"/>
      <c r="Z412" s="592"/>
      <c r="AA412" s="592"/>
      <c r="AC412" s="579"/>
      <c r="AD412" s="579"/>
      <c r="AE412" s="579"/>
      <c r="AF412" s="579"/>
      <c r="AG412" s="579"/>
      <c r="AH412" s="579"/>
      <c r="AI412" s="579"/>
      <c r="AJ412" s="579"/>
      <c r="AK412" s="579"/>
      <c r="AL412" s="579"/>
    </row>
    <row r="413" spans="1:38" ht="13" customHeight="1">
      <c r="A413" s="564">
        <v>354</v>
      </c>
      <c r="B413" s="564" t="s">
        <v>343</v>
      </c>
      <c r="C413" s="564" t="s">
        <v>61</v>
      </c>
      <c r="D413" s="564" t="s">
        <v>62</v>
      </c>
      <c r="E413" s="564">
        <v>1500</v>
      </c>
      <c r="F413" s="564" t="s">
        <v>75</v>
      </c>
      <c r="G413" s="564" t="s">
        <v>52</v>
      </c>
      <c r="H413" s="564" t="s">
        <v>76</v>
      </c>
      <c r="I413" s="564">
        <v>200</v>
      </c>
      <c r="J413" s="564" t="s">
        <v>128</v>
      </c>
      <c r="K413" s="564">
        <v>2020</v>
      </c>
      <c r="L413" s="564" t="s">
        <v>344</v>
      </c>
      <c r="M413" s="564" t="s">
        <v>353</v>
      </c>
      <c r="N413" s="632" t="s">
        <v>712</v>
      </c>
      <c r="O413" s="564" t="s">
        <v>104</v>
      </c>
      <c r="P413" s="633" t="s">
        <v>38</v>
      </c>
      <c r="Q413" s="633" t="s">
        <v>38</v>
      </c>
      <c r="R413" s="634" t="s">
        <v>38</v>
      </c>
      <c r="T413" s="576"/>
      <c r="U413" s="575"/>
      <c r="V413" s="575"/>
      <c r="W413" s="591"/>
      <c r="X413" s="592"/>
      <c r="Y413" s="592"/>
      <c r="Z413" s="592"/>
      <c r="AA413" s="592"/>
      <c r="AC413" s="579"/>
      <c r="AD413" s="579"/>
      <c r="AE413" s="579"/>
      <c r="AF413" s="579"/>
      <c r="AG413" s="579"/>
      <c r="AH413" s="579"/>
      <c r="AI413" s="579"/>
      <c r="AJ413" s="579"/>
      <c r="AK413" s="579"/>
      <c r="AL413" s="579"/>
    </row>
    <row r="414" spans="1:38" ht="13" customHeight="1">
      <c r="A414" s="564">
        <v>355</v>
      </c>
      <c r="B414" s="564" t="s">
        <v>347</v>
      </c>
      <c r="C414" s="564" t="s">
        <v>61</v>
      </c>
      <c r="D414" s="564" t="s">
        <v>62</v>
      </c>
      <c r="E414" s="564">
        <v>1500</v>
      </c>
      <c r="F414" s="564" t="s">
        <v>75</v>
      </c>
      <c r="G414" s="564" t="s">
        <v>52</v>
      </c>
      <c r="H414" s="564" t="s">
        <v>76</v>
      </c>
      <c r="I414" s="564">
        <v>106</v>
      </c>
      <c r="J414" s="564" t="s">
        <v>128</v>
      </c>
      <c r="K414" s="564">
        <v>2020</v>
      </c>
      <c r="L414" s="564" t="s">
        <v>344</v>
      </c>
      <c r="M414" s="564" t="s">
        <v>353</v>
      </c>
      <c r="N414" s="632" t="s">
        <v>708</v>
      </c>
      <c r="O414" s="564" t="s">
        <v>84</v>
      </c>
      <c r="P414" s="633" t="s">
        <v>38</v>
      </c>
      <c r="Q414" s="633" t="s">
        <v>38</v>
      </c>
      <c r="R414" s="634" t="s">
        <v>38</v>
      </c>
      <c r="T414" s="576"/>
      <c r="U414" s="575"/>
      <c r="V414" s="575"/>
      <c r="W414" s="591"/>
      <c r="X414" s="592"/>
      <c r="Y414" s="592"/>
      <c r="Z414" s="592"/>
      <c r="AA414" s="592"/>
      <c r="AC414" s="579"/>
      <c r="AD414" s="579"/>
      <c r="AE414" s="579"/>
      <c r="AF414" s="579"/>
      <c r="AG414" s="579"/>
      <c r="AH414" s="579"/>
      <c r="AI414" s="579"/>
      <c r="AJ414" s="579"/>
      <c r="AK414" s="579"/>
      <c r="AL414" s="579"/>
    </row>
    <row r="415" spans="1:38" ht="13" customHeight="1">
      <c r="A415" s="564">
        <v>356</v>
      </c>
      <c r="B415" s="564" t="s">
        <v>348</v>
      </c>
      <c r="C415" s="564" t="s">
        <v>61</v>
      </c>
      <c r="D415" s="564" t="s">
        <v>62</v>
      </c>
      <c r="E415" s="564">
        <v>200</v>
      </c>
      <c r="F415" s="564" t="s">
        <v>75</v>
      </c>
      <c r="G415" s="564" t="s">
        <v>754</v>
      </c>
      <c r="H415" s="564" t="s">
        <v>76</v>
      </c>
      <c r="I415" s="564">
        <v>121</v>
      </c>
      <c r="J415" s="564" t="s">
        <v>128</v>
      </c>
      <c r="K415" s="564">
        <v>2020</v>
      </c>
      <c r="L415" s="564" t="s">
        <v>344</v>
      </c>
      <c r="M415" s="564" t="s">
        <v>353</v>
      </c>
      <c r="N415" s="634" t="s">
        <v>38</v>
      </c>
      <c r="O415" s="564" t="s">
        <v>350</v>
      </c>
      <c r="P415" s="633" t="s">
        <v>38</v>
      </c>
      <c r="Q415" s="633" t="s">
        <v>38</v>
      </c>
      <c r="R415" s="634" t="s">
        <v>38</v>
      </c>
      <c r="T415" s="576"/>
      <c r="U415" s="575"/>
      <c r="V415" s="575"/>
      <c r="W415" s="591"/>
      <c r="X415" s="592"/>
      <c r="Y415" s="592"/>
      <c r="Z415" s="592"/>
      <c r="AA415" s="592"/>
      <c r="AC415" s="579"/>
      <c r="AD415" s="579"/>
      <c r="AE415" s="579"/>
      <c r="AF415" s="579"/>
      <c r="AG415" s="579"/>
      <c r="AH415" s="579"/>
      <c r="AI415" s="579"/>
      <c r="AJ415" s="579"/>
      <c r="AK415" s="579"/>
      <c r="AL415" s="579"/>
    </row>
    <row r="416" spans="1:38" ht="13" customHeight="1">
      <c r="A416" s="564">
        <v>357</v>
      </c>
      <c r="B416" s="564" t="s">
        <v>343</v>
      </c>
      <c r="C416" s="564" t="s">
        <v>61</v>
      </c>
      <c r="D416" s="564" t="s">
        <v>62</v>
      </c>
      <c r="E416" s="564">
        <v>1500</v>
      </c>
      <c r="F416" s="564" t="s">
        <v>75</v>
      </c>
      <c r="G416" s="564" t="s">
        <v>52</v>
      </c>
      <c r="H416" s="564" t="s">
        <v>76</v>
      </c>
      <c r="I416" s="564">
        <v>255</v>
      </c>
      <c r="J416" s="564" t="s">
        <v>128</v>
      </c>
      <c r="K416" s="564">
        <v>2020</v>
      </c>
      <c r="L416" s="564" t="s">
        <v>344</v>
      </c>
      <c r="M416" s="564" t="s">
        <v>354</v>
      </c>
      <c r="N416" s="632" t="s">
        <v>712</v>
      </c>
      <c r="O416" s="564" t="s">
        <v>104</v>
      </c>
      <c r="P416" s="633" t="s">
        <v>38</v>
      </c>
      <c r="Q416" s="633" t="s">
        <v>38</v>
      </c>
      <c r="R416" s="634" t="s">
        <v>38</v>
      </c>
      <c r="T416" s="576"/>
      <c r="U416" s="575"/>
      <c r="V416" s="575"/>
      <c r="W416" s="591"/>
      <c r="X416" s="592"/>
      <c r="Y416" s="592"/>
      <c r="Z416" s="592"/>
      <c r="AA416" s="592"/>
      <c r="AC416" s="579"/>
      <c r="AD416" s="579"/>
      <c r="AE416" s="579"/>
      <c r="AF416" s="579"/>
      <c r="AG416" s="579"/>
      <c r="AH416" s="579"/>
      <c r="AI416" s="579"/>
      <c r="AJ416" s="579"/>
      <c r="AK416" s="579"/>
      <c r="AL416" s="579"/>
    </row>
    <row r="417" spans="1:50" ht="13" customHeight="1">
      <c r="A417" s="564">
        <v>358</v>
      </c>
      <c r="B417" s="564" t="s">
        <v>347</v>
      </c>
      <c r="C417" s="564" t="s">
        <v>61</v>
      </c>
      <c r="D417" s="564" t="s">
        <v>62</v>
      </c>
      <c r="E417" s="564">
        <v>1500</v>
      </c>
      <c r="F417" s="564" t="s">
        <v>75</v>
      </c>
      <c r="G417" s="564" t="s">
        <v>52</v>
      </c>
      <c r="H417" s="564" t="s">
        <v>76</v>
      </c>
      <c r="I417" s="564">
        <v>122</v>
      </c>
      <c r="J417" s="564" t="s">
        <v>128</v>
      </c>
      <c r="K417" s="564">
        <v>2020</v>
      </c>
      <c r="L417" s="564" t="s">
        <v>344</v>
      </c>
      <c r="M417" s="564" t="s">
        <v>354</v>
      </c>
      <c r="N417" s="632" t="s">
        <v>708</v>
      </c>
      <c r="O417" s="564" t="s">
        <v>84</v>
      </c>
      <c r="P417" s="633" t="s">
        <v>38</v>
      </c>
      <c r="Q417" s="633" t="s">
        <v>38</v>
      </c>
      <c r="R417" s="634" t="s">
        <v>38</v>
      </c>
      <c r="T417" s="576"/>
      <c r="U417" s="575"/>
      <c r="V417" s="575"/>
      <c r="W417" s="591"/>
      <c r="X417" s="592"/>
      <c r="Y417" s="592"/>
      <c r="Z417" s="592"/>
      <c r="AA417" s="592"/>
      <c r="AC417" s="579"/>
      <c r="AD417" s="579"/>
      <c r="AE417" s="579"/>
      <c r="AF417" s="579"/>
      <c r="AG417" s="579"/>
      <c r="AH417" s="579"/>
      <c r="AI417" s="579"/>
      <c r="AJ417" s="579"/>
      <c r="AK417" s="579"/>
      <c r="AL417" s="579"/>
    </row>
    <row r="418" spans="1:50" ht="13" customHeight="1">
      <c r="A418" s="564">
        <v>359</v>
      </c>
      <c r="B418" s="564" t="s">
        <v>348</v>
      </c>
      <c r="C418" s="564" t="s">
        <v>61</v>
      </c>
      <c r="D418" s="564" t="s">
        <v>62</v>
      </c>
      <c r="E418" s="564">
        <v>200</v>
      </c>
      <c r="F418" s="564" t="s">
        <v>75</v>
      </c>
      <c r="G418" s="564" t="s">
        <v>754</v>
      </c>
      <c r="H418" s="564" t="s">
        <v>76</v>
      </c>
      <c r="I418" s="564">
        <v>145</v>
      </c>
      <c r="J418" s="564" t="s">
        <v>128</v>
      </c>
      <c r="K418" s="564">
        <v>2020</v>
      </c>
      <c r="L418" s="564" t="s">
        <v>344</v>
      </c>
      <c r="M418" s="564" t="s">
        <v>354</v>
      </c>
      <c r="N418" s="634" t="s">
        <v>38</v>
      </c>
      <c r="O418" s="564" t="s">
        <v>350</v>
      </c>
      <c r="P418" s="633" t="s">
        <v>38</v>
      </c>
      <c r="Q418" s="633" t="s">
        <v>38</v>
      </c>
      <c r="R418" s="634" t="s">
        <v>38</v>
      </c>
      <c r="T418" s="576"/>
      <c r="U418" s="575"/>
      <c r="V418" s="575"/>
      <c r="W418" s="591"/>
      <c r="X418" s="592"/>
      <c r="Y418" s="592"/>
      <c r="Z418" s="592"/>
      <c r="AA418" s="592"/>
      <c r="AC418" s="579"/>
      <c r="AD418" s="579"/>
      <c r="AE418" s="579"/>
      <c r="AF418" s="579"/>
      <c r="AG418" s="579"/>
      <c r="AH418" s="579"/>
      <c r="AI418" s="579"/>
      <c r="AJ418" s="579"/>
      <c r="AK418" s="579"/>
      <c r="AL418" s="579"/>
    </row>
    <row r="419" spans="1:50" ht="13" customHeight="1">
      <c r="A419" s="564">
        <v>348</v>
      </c>
      <c r="B419" s="564" t="s">
        <v>348</v>
      </c>
      <c r="C419" s="564" t="s">
        <v>61</v>
      </c>
      <c r="D419" s="564" t="s">
        <v>62</v>
      </c>
      <c r="E419" s="564">
        <v>200</v>
      </c>
      <c r="F419" s="564" t="s">
        <v>31</v>
      </c>
      <c r="G419" s="564" t="s">
        <v>57</v>
      </c>
      <c r="H419" s="564" t="s">
        <v>76</v>
      </c>
      <c r="I419" s="564">
        <v>16343</v>
      </c>
      <c r="J419" s="564" t="s">
        <v>189</v>
      </c>
      <c r="K419" s="564">
        <v>2020</v>
      </c>
      <c r="L419" s="564" t="s">
        <v>344</v>
      </c>
      <c r="M419" s="564" t="s">
        <v>349</v>
      </c>
      <c r="N419" s="634" t="s">
        <v>38</v>
      </c>
      <c r="O419" s="564" t="s">
        <v>104</v>
      </c>
      <c r="P419" s="633" t="s">
        <v>38</v>
      </c>
      <c r="Q419" s="633" t="s">
        <v>38</v>
      </c>
      <c r="R419" s="634" t="s">
        <v>38</v>
      </c>
      <c r="T419" s="576"/>
      <c r="U419" s="575"/>
      <c r="V419" s="575"/>
      <c r="W419" s="591"/>
      <c r="X419" s="592"/>
      <c r="Y419" s="592"/>
      <c r="Z419" s="592"/>
      <c r="AA419" s="592"/>
      <c r="AC419" s="579"/>
      <c r="AD419" s="579"/>
      <c r="AE419" s="579"/>
      <c r="AF419" s="579"/>
      <c r="AG419" s="579"/>
      <c r="AH419" s="579"/>
      <c r="AI419" s="579"/>
      <c r="AJ419" s="579"/>
      <c r="AK419" s="579"/>
      <c r="AL419" s="579"/>
    </row>
    <row r="420" spans="1:50" ht="13" customHeight="1">
      <c r="A420" s="564">
        <v>349</v>
      </c>
      <c r="B420" s="564" t="s">
        <v>348</v>
      </c>
      <c r="C420" s="564" t="s">
        <v>61</v>
      </c>
      <c r="D420" s="564" t="s">
        <v>62</v>
      </c>
      <c r="E420" s="564">
        <v>200</v>
      </c>
      <c r="F420" s="564" t="s">
        <v>31</v>
      </c>
      <c r="G420" s="564" t="s">
        <v>52</v>
      </c>
      <c r="H420" s="564" t="s">
        <v>76</v>
      </c>
      <c r="I420" s="564">
        <v>12095</v>
      </c>
      <c r="J420" s="564" t="s">
        <v>189</v>
      </c>
      <c r="K420" s="564">
        <v>2020</v>
      </c>
      <c r="L420" s="564" t="s">
        <v>344</v>
      </c>
      <c r="M420" s="564" t="s">
        <v>349</v>
      </c>
      <c r="N420" s="634" t="s">
        <v>38</v>
      </c>
      <c r="O420" s="633" t="s">
        <v>350</v>
      </c>
      <c r="P420" s="633" t="s">
        <v>38</v>
      </c>
      <c r="Q420" s="633" t="s">
        <v>38</v>
      </c>
      <c r="R420" s="634" t="s">
        <v>38</v>
      </c>
      <c r="T420" s="576"/>
      <c r="U420" s="575"/>
      <c r="V420" s="575"/>
      <c r="W420" s="591"/>
      <c r="X420" s="592"/>
      <c r="Y420" s="592"/>
      <c r="Z420" s="592"/>
      <c r="AA420" s="592"/>
      <c r="AC420" s="579"/>
      <c r="AD420" s="579"/>
      <c r="AE420" s="579"/>
      <c r="AF420" s="579"/>
      <c r="AG420" s="579"/>
      <c r="AH420" s="579"/>
      <c r="AI420" s="579"/>
      <c r="AJ420" s="579"/>
      <c r="AK420" s="579"/>
      <c r="AL420" s="579"/>
    </row>
    <row r="421" spans="1:50" ht="13" customHeight="1">
      <c r="A421" s="564">
        <v>350</v>
      </c>
      <c r="B421" s="564" t="s">
        <v>348</v>
      </c>
      <c r="C421" s="564" t="s">
        <v>61</v>
      </c>
      <c r="D421" s="564" t="s">
        <v>62</v>
      </c>
      <c r="E421" s="564">
        <v>200</v>
      </c>
      <c r="F421" s="564" t="s">
        <v>31</v>
      </c>
      <c r="G421" s="564" t="s">
        <v>754</v>
      </c>
      <c r="H421" s="564" t="s">
        <v>76</v>
      </c>
      <c r="I421" s="564">
        <v>7219</v>
      </c>
      <c r="J421" s="564" t="s">
        <v>189</v>
      </c>
      <c r="K421" s="564">
        <v>2020</v>
      </c>
      <c r="L421" s="564" t="s">
        <v>344</v>
      </c>
      <c r="M421" s="564" t="s">
        <v>349</v>
      </c>
      <c r="N421" s="634" t="s">
        <v>38</v>
      </c>
      <c r="O421" s="564" t="s">
        <v>350</v>
      </c>
      <c r="P421" s="633" t="s">
        <v>38</v>
      </c>
      <c r="Q421" s="633" t="s">
        <v>38</v>
      </c>
      <c r="R421" s="634" t="s">
        <v>38</v>
      </c>
      <c r="T421" s="576"/>
      <c r="U421" s="575"/>
      <c r="V421" s="575"/>
      <c r="W421" s="591"/>
      <c r="X421" s="592"/>
      <c r="Y421" s="592"/>
      <c r="Z421" s="592"/>
      <c r="AA421" s="592"/>
      <c r="AC421" s="579"/>
      <c r="AD421" s="579"/>
      <c r="AE421" s="579"/>
      <c r="AF421" s="579"/>
      <c r="AG421" s="579"/>
      <c r="AH421" s="579"/>
      <c r="AI421" s="579"/>
      <c r="AJ421" s="579"/>
      <c r="AK421" s="579"/>
      <c r="AL421" s="579"/>
    </row>
    <row r="422" spans="1:50" s="81" customFormat="1" ht="13" customHeight="1">
      <c r="A422" s="564">
        <v>360</v>
      </c>
      <c r="B422" s="564" t="s">
        <v>81</v>
      </c>
      <c r="C422" s="564" t="s">
        <v>61</v>
      </c>
      <c r="D422" s="564" t="s">
        <v>62</v>
      </c>
      <c r="E422" s="564">
        <v>1500</v>
      </c>
      <c r="F422" s="564" t="s">
        <v>75</v>
      </c>
      <c r="G422" s="564" t="s">
        <v>57</v>
      </c>
      <c r="H422" s="564" t="s">
        <v>76</v>
      </c>
      <c r="I422" s="564">
        <v>45</v>
      </c>
      <c r="J422" s="564" t="s">
        <v>128</v>
      </c>
      <c r="K422" s="564">
        <v>2004</v>
      </c>
      <c r="L422" s="564" t="s">
        <v>355</v>
      </c>
      <c r="M422" s="564" t="s">
        <v>356</v>
      </c>
      <c r="N422" s="634" t="s">
        <v>38</v>
      </c>
      <c r="O422" s="633" t="s">
        <v>38</v>
      </c>
      <c r="P422" s="633" t="s">
        <v>38</v>
      </c>
      <c r="Q422" s="633" t="s">
        <v>38</v>
      </c>
      <c r="R422" s="634" t="s">
        <v>38</v>
      </c>
      <c r="S422" s="55"/>
      <c r="T422" s="603"/>
      <c r="U422" s="603"/>
      <c r="V422" s="603"/>
      <c r="W422" s="603"/>
      <c r="X422" s="616"/>
      <c r="Y422" s="616"/>
      <c r="Z422" s="616"/>
      <c r="AA422" s="616"/>
      <c r="AB422" s="570"/>
      <c r="AC422" s="579"/>
      <c r="AD422" s="579"/>
      <c r="AE422" s="579"/>
      <c r="AF422" s="579"/>
      <c r="AG422" s="579"/>
      <c r="AH422" s="579"/>
      <c r="AI422" s="579"/>
      <c r="AJ422" s="579"/>
      <c r="AK422" s="579"/>
      <c r="AL422" s="579"/>
      <c r="AM422" s="570"/>
      <c r="AN422" s="570"/>
      <c r="AO422" s="570"/>
      <c r="AP422" s="570"/>
      <c r="AQ422" s="570"/>
      <c r="AR422" s="570"/>
      <c r="AS422" s="570"/>
      <c r="AT422" s="570"/>
      <c r="AU422" s="570"/>
      <c r="AV422" s="570"/>
      <c r="AW422" s="570"/>
      <c r="AX422" s="570"/>
    </row>
    <row r="423" spans="1:50" s="81" customFormat="1" ht="13" customHeight="1">
      <c r="A423" s="564">
        <v>361</v>
      </c>
      <c r="B423" s="564" t="s">
        <v>81</v>
      </c>
      <c r="C423" s="564" t="s">
        <v>61</v>
      </c>
      <c r="D423" s="564" t="s">
        <v>62</v>
      </c>
      <c r="E423" s="564">
        <v>1500</v>
      </c>
      <c r="F423" s="564" t="s">
        <v>75</v>
      </c>
      <c r="G423" s="564" t="s">
        <v>57</v>
      </c>
      <c r="H423" s="564" t="s">
        <v>76</v>
      </c>
      <c r="I423" s="564">
        <v>65</v>
      </c>
      <c r="J423" s="564" t="s">
        <v>128</v>
      </c>
      <c r="K423" s="564">
        <v>2004</v>
      </c>
      <c r="L423" s="564" t="s">
        <v>355</v>
      </c>
      <c r="M423" s="564" t="s">
        <v>356</v>
      </c>
      <c r="N423" s="634" t="s">
        <v>38</v>
      </c>
      <c r="O423" s="633" t="s">
        <v>38</v>
      </c>
      <c r="P423" s="633" t="s">
        <v>38</v>
      </c>
      <c r="Q423" s="633" t="s">
        <v>38</v>
      </c>
      <c r="R423" s="634" t="s">
        <v>38</v>
      </c>
      <c r="S423" s="55"/>
      <c r="T423" s="603"/>
      <c r="U423" s="603"/>
      <c r="V423" s="603"/>
      <c r="W423" s="603"/>
      <c r="X423" s="616"/>
      <c r="Y423" s="616"/>
      <c r="Z423" s="616"/>
      <c r="AA423" s="616"/>
      <c r="AB423" s="570"/>
      <c r="AC423" s="579"/>
      <c r="AD423" s="579"/>
      <c r="AE423" s="579"/>
      <c r="AF423" s="579"/>
      <c r="AG423" s="579"/>
      <c r="AH423" s="579"/>
      <c r="AI423" s="579"/>
      <c r="AJ423" s="579"/>
      <c r="AK423" s="579"/>
      <c r="AL423" s="579"/>
      <c r="AM423" s="570"/>
      <c r="AN423" s="570"/>
      <c r="AO423" s="570"/>
      <c r="AP423" s="570"/>
      <c r="AQ423" s="570"/>
      <c r="AR423" s="570"/>
      <c r="AS423" s="570"/>
      <c r="AT423" s="570"/>
      <c r="AU423" s="570"/>
      <c r="AV423" s="570"/>
      <c r="AW423" s="570"/>
      <c r="AX423" s="570"/>
    </row>
    <row r="424" spans="1:50" s="81" customFormat="1" ht="15" customHeight="1">
      <c r="A424" s="564">
        <v>362</v>
      </c>
      <c r="B424" s="564" t="s">
        <v>81</v>
      </c>
      <c r="C424" s="564" t="s">
        <v>61</v>
      </c>
      <c r="D424" s="564" t="s">
        <v>62</v>
      </c>
      <c r="E424" s="564">
        <v>1500</v>
      </c>
      <c r="F424" s="564" t="s">
        <v>75</v>
      </c>
      <c r="G424" s="564" t="s">
        <v>57</v>
      </c>
      <c r="H424" s="564" t="s">
        <v>76</v>
      </c>
      <c r="I424" s="564">
        <v>90</v>
      </c>
      <c r="J424" s="564" t="s">
        <v>128</v>
      </c>
      <c r="K424" s="564">
        <v>2004</v>
      </c>
      <c r="L424" s="564" t="s">
        <v>355</v>
      </c>
      <c r="M424" s="564" t="s">
        <v>356</v>
      </c>
      <c r="N424" s="634" t="s">
        <v>38</v>
      </c>
      <c r="O424" s="633" t="s">
        <v>38</v>
      </c>
      <c r="P424" s="633" t="s">
        <v>38</v>
      </c>
      <c r="Q424" s="633" t="s">
        <v>38</v>
      </c>
      <c r="R424" s="634" t="s">
        <v>38</v>
      </c>
      <c r="S424" s="55"/>
      <c r="T424" s="603"/>
      <c r="U424" s="603"/>
      <c r="V424" s="603"/>
      <c r="W424" s="603"/>
      <c r="X424" s="616"/>
      <c r="Y424" s="616"/>
      <c r="Z424" s="616"/>
      <c r="AA424" s="616"/>
      <c r="AB424" s="570"/>
      <c r="AC424" s="579"/>
      <c r="AD424" s="579"/>
      <c r="AE424" s="579"/>
      <c r="AF424" s="579"/>
      <c r="AG424" s="579"/>
      <c r="AH424" s="579"/>
      <c r="AI424" s="579"/>
      <c r="AJ424" s="579"/>
      <c r="AK424" s="579"/>
      <c r="AL424" s="579"/>
      <c r="AM424" s="570"/>
      <c r="AN424" s="570"/>
      <c r="AO424" s="570"/>
      <c r="AP424" s="570"/>
      <c r="AQ424" s="570"/>
      <c r="AR424" s="570"/>
      <c r="AS424" s="570"/>
      <c r="AT424" s="570"/>
      <c r="AU424" s="570"/>
      <c r="AV424" s="570"/>
      <c r="AW424" s="570"/>
      <c r="AX424" s="570"/>
    </row>
    <row r="425" spans="1:50" s="81" customFormat="1" ht="13" customHeight="1">
      <c r="A425" s="564">
        <v>363</v>
      </c>
      <c r="B425" s="564" t="s">
        <v>357</v>
      </c>
      <c r="C425" s="564" t="s">
        <v>61</v>
      </c>
      <c r="D425" s="564" t="s">
        <v>62</v>
      </c>
      <c r="E425" s="564">
        <v>1546</v>
      </c>
      <c r="F425" s="564" t="s">
        <v>75</v>
      </c>
      <c r="G425" s="564" t="s">
        <v>52</v>
      </c>
      <c r="H425" s="564" t="s">
        <v>76</v>
      </c>
      <c r="I425" s="564">
        <v>50</v>
      </c>
      <c r="J425" s="564" t="s">
        <v>88</v>
      </c>
      <c r="K425" s="564">
        <v>2004</v>
      </c>
      <c r="L425" s="564" t="s">
        <v>358</v>
      </c>
      <c r="M425" s="564"/>
      <c r="N425" s="632">
        <v>0.75</v>
      </c>
      <c r="O425" s="633" t="s">
        <v>38</v>
      </c>
      <c r="P425" s="633" t="s">
        <v>38</v>
      </c>
      <c r="Q425" s="633" t="s">
        <v>38</v>
      </c>
      <c r="R425" s="634" t="s">
        <v>38</v>
      </c>
      <c r="S425" s="55"/>
      <c r="T425" s="603"/>
      <c r="U425" s="603"/>
      <c r="V425" s="603"/>
      <c r="W425" s="617"/>
      <c r="X425" s="618"/>
      <c r="Y425" s="618"/>
      <c r="Z425" s="618"/>
      <c r="AA425" s="618"/>
      <c r="AB425" s="570"/>
      <c r="AC425" s="579"/>
      <c r="AD425" s="579"/>
      <c r="AE425" s="579"/>
      <c r="AF425" s="579"/>
      <c r="AG425" s="579"/>
      <c r="AH425" s="579"/>
      <c r="AI425" s="579"/>
      <c r="AJ425" s="579"/>
      <c r="AK425" s="579"/>
      <c r="AL425" s="579"/>
      <c r="AM425" s="570"/>
      <c r="AN425" s="570"/>
      <c r="AO425" s="570"/>
      <c r="AP425" s="570"/>
      <c r="AQ425" s="570"/>
      <c r="AR425" s="570"/>
      <c r="AS425" s="570"/>
      <c r="AT425" s="570"/>
      <c r="AU425" s="570"/>
      <c r="AV425" s="570"/>
      <c r="AW425" s="570"/>
      <c r="AX425" s="570"/>
    </row>
    <row r="426" spans="1:50" s="6" customFormat="1" ht="13" customHeight="1">
      <c r="A426" s="564">
        <v>364</v>
      </c>
      <c r="B426" s="564" t="s">
        <v>359</v>
      </c>
      <c r="C426" s="564" t="s">
        <v>61</v>
      </c>
      <c r="D426" s="564" t="s">
        <v>62</v>
      </c>
      <c r="E426" s="564">
        <v>1546</v>
      </c>
      <c r="F426" s="564" t="s">
        <v>75</v>
      </c>
      <c r="G426" s="564" t="s">
        <v>32</v>
      </c>
      <c r="H426" s="564" t="s">
        <v>76</v>
      </c>
      <c r="I426" s="564">
        <v>90</v>
      </c>
      <c r="J426" s="564" t="s">
        <v>88</v>
      </c>
      <c r="K426" s="564">
        <v>2004</v>
      </c>
      <c r="L426" s="564" t="s">
        <v>358</v>
      </c>
      <c r="M426" s="564"/>
      <c r="N426" s="632">
        <v>0.75</v>
      </c>
      <c r="O426" s="633" t="s">
        <v>38</v>
      </c>
      <c r="P426" s="633" t="s">
        <v>38</v>
      </c>
      <c r="Q426" s="633" t="s">
        <v>38</v>
      </c>
      <c r="R426" s="634" t="s">
        <v>38</v>
      </c>
      <c r="S426" s="55"/>
      <c r="T426" s="603"/>
      <c r="U426" s="603"/>
      <c r="V426" s="603"/>
      <c r="W426" s="617"/>
      <c r="X426" s="618"/>
      <c r="Y426" s="618"/>
      <c r="Z426" s="618"/>
      <c r="AA426" s="618"/>
      <c r="AB426" s="570"/>
      <c r="AC426" s="619"/>
      <c r="AD426" s="619"/>
      <c r="AE426" s="619"/>
      <c r="AF426" s="619"/>
      <c r="AG426" s="619"/>
      <c r="AH426" s="619"/>
      <c r="AI426" s="619"/>
      <c r="AJ426" s="619"/>
      <c r="AK426" s="619"/>
      <c r="AL426" s="619"/>
      <c r="AM426" s="620"/>
      <c r="AN426" s="620"/>
      <c r="AO426" s="620"/>
      <c r="AP426" s="620"/>
      <c r="AQ426" s="620"/>
      <c r="AR426" s="620"/>
      <c r="AS426" s="620"/>
      <c r="AT426" s="620"/>
      <c r="AU426" s="620"/>
      <c r="AV426" s="620"/>
      <c r="AW426" s="620"/>
      <c r="AX426" s="620"/>
    </row>
    <row r="427" spans="1:50" s="6" customFormat="1" ht="13" customHeight="1">
      <c r="A427" s="564">
        <v>365</v>
      </c>
      <c r="B427" s="564" t="s">
        <v>360</v>
      </c>
      <c r="C427" s="564" t="s">
        <v>61</v>
      </c>
      <c r="D427" s="564" t="s">
        <v>62</v>
      </c>
      <c r="E427" s="564">
        <v>1500</v>
      </c>
      <c r="F427" s="564" t="s">
        <v>75</v>
      </c>
      <c r="G427" s="564" t="s">
        <v>52</v>
      </c>
      <c r="H427" s="564" t="s">
        <v>76</v>
      </c>
      <c r="I427" s="564">
        <v>50</v>
      </c>
      <c r="J427" s="564" t="s">
        <v>88</v>
      </c>
      <c r="K427" s="564">
        <v>2004</v>
      </c>
      <c r="L427" s="564" t="s">
        <v>358</v>
      </c>
      <c r="M427" s="564"/>
      <c r="N427" s="632">
        <v>0.75</v>
      </c>
      <c r="O427" s="633" t="s">
        <v>38</v>
      </c>
      <c r="P427" s="633" t="s">
        <v>38</v>
      </c>
      <c r="Q427" s="633" t="s">
        <v>38</v>
      </c>
      <c r="R427" s="634" t="s">
        <v>38</v>
      </c>
      <c r="S427" s="55"/>
      <c r="T427" s="603"/>
      <c r="U427" s="603"/>
      <c r="V427" s="603"/>
      <c r="W427" s="617"/>
      <c r="X427" s="618"/>
      <c r="Y427" s="618"/>
      <c r="Z427" s="618"/>
      <c r="AA427" s="618"/>
      <c r="AB427" s="570"/>
      <c r="AC427" s="619"/>
      <c r="AD427" s="619"/>
      <c r="AE427" s="619"/>
      <c r="AF427" s="619"/>
      <c r="AG427" s="619"/>
      <c r="AH427" s="619"/>
      <c r="AI427" s="619"/>
      <c r="AJ427" s="619"/>
      <c r="AK427" s="619"/>
      <c r="AL427" s="619"/>
      <c r="AM427" s="620"/>
      <c r="AN427" s="620"/>
      <c r="AO427" s="620"/>
      <c r="AP427" s="620"/>
      <c r="AQ427" s="620"/>
      <c r="AR427" s="620"/>
      <c r="AS427" s="620"/>
      <c r="AT427" s="620"/>
      <c r="AU427" s="620"/>
      <c r="AV427" s="620"/>
      <c r="AW427" s="620"/>
      <c r="AX427" s="620"/>
    </row>
    <row r="428" spans="1:50" s="6" customFormat="1" ht="13" customHeight="1">
      <c r="A428" s="564">
        <v>366</v>
      </c>
      <c r="B428" s="564" t="s">
        <v>361</v>
      </c>
      <c r="C428" s="564" t="s">
        <v>61</v>
      </c>
      <c r="D428" s="564" t="s">
        <v>62</v>
      </c>
      <c r="E428" s="564">
        <v>1500</v>
      </c>
      <c r="F428" s="564" t="s">
        <v>75</v>
      </c>
      <c r="G428" s="564" t="s">
        <v>32</v>
      </c>
      <c r="H428" s="564" t="s">
        <v>76</v>
      </c>
      <c r="I428" s="564">
        <v>90</v>
      </c>
      <c r="J428" s="564" t="s">
        <v>88</v>
      </c>
      <c r="K428" s="564">
        <v>2004</v>
      </c>
      <c r="L428" s="564" t="s">
        <v>358</v>
      </c>
      <c r="M428" s="564"/>
      <c r="N428" s="632">
        <v>0.75</v>
      </c>
      <c r="O428" s="633" t="s">
        <v>38</v>
      </c>
      <c r="P428" s="633" t="s">
        <v>38</v>
      </c>
      <c r="Q428" s="633" t="s">
        <v>38</v>
      </c>
      <c r="R428" s="634" t="s">
        <v>38</v>
      </c>
      <c r="S428" s="55"/>
      <c r="T428" s="603"/>
      <c r="U428" s="603"/>
      <c r="V428" s="603"/>
      <c r="W428" s="617"/>
      <c r="X428" s="618"/>
      <c r="Y428" s="618"/>
      <c r="Z428" s="618"/>
      <c r="AA428" s="618"/>
      <c r="AB428" s="570"/>
      <c r="AC428" s="619"/>
      <c r="AD428" s="619"/>
      <c r="AE428" s="619"/>
      <c r="AF428" s="619"/>
      <c r="AG428" s="619"/>
      <c r="AH428" s="619"/>
      <c r="AI428" s="619"/>
      <c r="AJ428" s="619"/>
      <c r="AK428" s="619"/>
      <c r="AL428" s="619"/>
      <c r="AM428" s="620"/>
      <c r="AN428" s="620"/>
      <c r="AO428" s="620"/>
      <c r="AP428" s="620"/>
      <c r="AQ428" s="620"/>
      <c r="AR428" s="620"/>
      <c r="AS428" s="620"/>
      <c r="AT428" s="620"/>
      <c r="AU428" s="620"/>
      <c r="AV428" s="620"/>
      <c r="AW428" s="620"/>
      <c r="AX428" s="620"/>
    </row>
    <row r="429" spans="1:50" s="6" customFormat="1" ht="13" customHeight="1">
      <c r="A429" s="564">
        <v>367</v>
      </c>
      <c r="B429" s="564" t="s">
        <v>362</v>
      </c>
      <c r="C429" s="564" t="s">
        <v>61</v>
      </c>
      <c r="D429" s="564" t="s">
        <v>62</v>
      </c>
      <c r="E429" s="564">
        <v>1332</v>
      </c>
      <c r="F429" s="564" t="s">
        <v>75</v>
      </c>
      <c r="G429" s="564" t="s">
        <v>52</v>
      </c>
      <c r="H429" s="564" t="s">
        <v>76</v>
      </c>
      <c r="I429" s="564">
        <v>40</v>
      </c>
      <c r="J429" s="564" t="s">
        <v>88</v>
      </c>
      <c r="K429" s="564">
        <v>2004</v>
      </c>
      <c r="L429" s="564" t="s">
        <v>358</v>
      </c>
      <c r="M429" s="564"/>
      <c r="N429" s="632">
        <v>0.75</v>
      </c>
      <c r="O429" s="633" t="s">
        <v>38</v>
      </c>
      <c r="P429" s="633" t="s">
        <v>38</v>
      </c>
      <c r="Q429" s="633" t="s">
        <v>38</v>
      </c>
      <c r="R429" s="634" t="s">
        <v>38</v>
      </c>
      <c r="S429" s="55"/>
      <c r="T429" s="603"/>
      <c r="U429" s="603"/>
      <c r="V429" s="603"/>
      <c r="W429" s="617"/>
      <c r="X429" s="618"/>
      <c r="Y429" s="618"/>
      <c r="Z429" s="618"/>
      <c r="AA429" s="618"/>
      <c r="AB429" s="570"/>
      <c r="AC429" s="619"/>
      <c r="AD429" s="619"/>
      <c r="AE429" s="619"/>
      <c r="AF429" s="619"/>
      <c r="AG429" s="619"/>
      <c r="AH429" s="619"/>
      <c r="AI429" s="619"/>
      <c r="AJ429" s="619"/>
      <c r="AK429" s="619"/>
      <c r="AL429" s="619"/>
      <c r="AM429" s="620"/>
      <c r="AN429" s="620"/>
      <c r="AO429" s="620"/>
      <c r="AP429" s="620"/>
      <c r="AQ429" s="620"/>
      <c r="AR429" s="620"/>
      <c r="AS429" s="620"/>
      <c r="AT429" s="620"/>
      <c r="AU429" s="620"/>
      <c r="AV429" s="620"/>
      <c r="AW429" s="620"/>
      <c r="AX429" s="620"/>
    </row>
    <row r="430" spans="1:50" s="6" customFormat="1" ht="13" customHeight="1">
      <c r="A430" s="564">
        <v>368</v>
      </c>
      <c r="B430" s="564" t="s">
        <v>363</v>
      </c>
      <c r="C430" s="564" t="s">
        <v>61</v>
      </c>
      <c r="D430" s="564" t="s">
        <v>62</v>
      </c>
      <c r="E430" s="564">
        <v>1332</v>
      </c>
      <c r="F430" s="564" t="s">
        <v>75</v>
      </c>
      <c r="G430" s="564" t="s">
        <v>32</v>
      </c>
      <c r="H430" s="564" t="s">
        <v>76</v>
      </c>
      <c r="I430" s="564">
        <v>80</v>
      </c>
      <c r="J430" s="564" t="s">
        <v>88</v>
      </c>
      <c r="K430" s="564">
        <v>2004</v>
      </c>
      <c r="L430" s="564" t="s">
        <v>358</v>
      </c>
      <c r="M430" s="564"/>
      <c r="N430" s="632">
        <v>0.75</v>
      </c>
      <c r="O430" s="633" t="s">
        <v>38</v>
      </c>
      <c r="P430" s="633" t="s">
        <v>38</v>
      </c>
      <c r="Q430" s="633" t="s">
        <v>38</v>
      </c>
      <c r="R430" s="634" t="s">
        <v>38</v>
      </c>
      <c r="S430" s="55"/>
      <c r="T430" s="603"/>
      <c r="U430" s="603"/>
      <c r="V430" s="603"/>
      <c r="W430" s="617"/>
      <c r="X430" s="618"/>
      <c r="Y430" s="618"/>
      <c r="Z430" s="618"/>
      <c r="AA430" s="618"/>
      <c r="AB430" s="570"/>
      <c r="AC430" s="619"/>
      <c r="AD430" s="619"/>
      <c r="AE430" s="619"/>
      <c r="AF430" s="619"/>
      <c r="AG430" s="619"/>
      <c r="AH430" s="619"/>
      <c r="AI430" s="619"/>
      <c r="AJ430" s="619"/>
      <c r="AK430" s="619"/>
      <c r="AL430" s="619"/>
      <c r="AM430" s="620"/>
      <c r="AN430" s="620"/>
      <c r="AO430" s="620"/>
      <c r="AP430" s="620"/>
      <c r="AQ430" s="620"/>
      <c r="AR430" s="620"/>
      <c r="AS430" s="620"/>
      <c r="AT430" s="620"/>
      <c r="AU430" s="620"/>
      <c r="AV430" s="620"/>
      <c r="AW430" s="620"/>
      <c r="AX430" s="620"/>
    </row>
    <row r="431" spans="1:50" s="6" customFormat="1" ht="13" customHeight="1">
      <c r="A431" s="564">
        <v>369</v>
      </c>
      <c r="B431" s="564" t="s">
        <v>364</v>
      </c>
      <c r="C431" s="564" t="s">
        <v>61</v>
      </c>
      <c r="D431" s="564" t="s">
        <v>62</v>
      </c>
      <c r="E431" s="564">
        <v>1449</v>
      </c>
      <c r="F431" s="564" t="s">
        <v>75</v>
      </c>
      <c r="G431" s="564" t="s">
        <v>52</v>
      </c>
      <c r="H431" s="564" t="s">
        <v>76</v>
      </c>
      <c r="I431" s="564">
        <v>40</v>
      </c>
      <c r="J431" s="564" t="s">
        <v>88</v>
      </c>
      <c r="K431" s="564">
        <v>2004</v>
      </c>
      <c r="L431" s="564" t="s">
        <v>358</v>
      </c>
      <c r="M431" s="564"/>
      <c r="N431" s="632">
        <v>0.75</v>
      </c>
      <c r="O431" s="633" t="s">
        <v>38</v>
      </c>
      <c r="P431" s="633" t="s">
        <v>38</v>
      </c>
      <c r="Q431" s="633" t="s">
        <v>38</v>
      </c>
      <c r="R431" s="634" t="s">
        <v>38</v>
      </c>
      <c r="S431" s="55"/>
      <c r="T431" s="603"/>
      <c r="U431" s="603"/>
      <c r="V431" s="603"/>
      <c r="W431" s="617"/>
      <c r="X431" s="618"/>
      <c r="Y431" s="618"/>
      <c r="Z431" s="618"/>
      <c r="AA431" s="618"/>
      <c r="AB431" s="570"/>
      <c r="AC431" s="619"/>
      <c r="AD431" s="619"/>
      <c r="AE431" s="619"/>
      <c r="AF431" s="619"/>
      <c r="AG431" s="619"/>
      <c r="AH431" s="619"/>
      <c r="AI431" s="619"/>
      <c r="AJ431" s="619"/>
      <c r="AK431" s="619"/>
      <c r="AL431" s="619"/>
      <c r="AM431" s="620"/>
      <c r="AN431" s="620"/>
      <c r="AO431" s="620"/>
      <c r="AP431" s="620"/>
      <c r="AQ431" s="620"/>
      <c r="AR431" s="620"/>
      <c r="AS431" s="620"/>
      <c r="AT431" s="620"/>
      <c r="AU431" s="620"/>
      <c r="AV431" s="620"/>
      <c r="AW431" s="620"/>
      <c r="AX431" s="620"/>
    </row>
    <row r="432" spans="1:50" s="6" customFormat="1" ht="13" customHeight="1">
      <c r="A432" s="564">
        <v>370</v>
      </c>
      <c r="B432" s="564" t="s">
        <v>365</v>
      </c>
      <c r="C432" s="564" t="s">
        <v>61</v>
      </c>
      <c r="D432" s="564" t="s">
        <v>62</v>
      </c>
      <c r="E432" s="564">
        <v>1449</v>
      </c>
      <c r="F432" s="564" t="s">
        <v>75</v>
      </c>
      <c r="G432" s="564" t="s">
        <v>32</v>
      </c>
      <c r="H432" s="564" t="s">
        <v>76</v>
      </c>
      <c r="I432" s="564">
        <v>70</v>
      </c>
      <c r="J432" s="564" t="s">
        <v>88</v>
      </c>
      <c r="K432" s="564">
        <v>2004</v>
      </c>
      <c r="L432" s="564" t="s">
        <v>358</v>
      </c>
      <c r="M432" s="564"/>
      <c r="N432" s="632">
        <v>0.75</v>
      </c>
      <c r="O432" s="633" t="s">
        <v>38</v>
      </c>
      <c r="P432" s="633" t="s">
        <v>38</v>
      </c>
      <c r="Q432" s="633" t="s">
        <v>38</v>
      </c>
      <c r="R432" s="634" t="s">
        <v>38</v>
      </c>
      <c r="S432" s="55"/>
      <c r="T432" s="603"/>
      <c r="U432" s="603"/>
      <c r="V432" s="603"/>
      <c r="W432" s="617"/>
      <c r="X432" s="618"/>
      <c r="Y432" s="618"/>
      <c r="Z432" s="618"/>
      <c r="AA432" s="618"/>
      <c r="AB432" s="570"/>
      <c r="AC432" s="619"/>
      <c r="AD432" s="619"/>
      <c r="AE432" s="619"/>
      <c r="AF432" s="619"/>
      <c r="AG432" s="619"/>
      <c r="AH432" s="619"/>
      <c r="AI432" s="619"/>
      <c r="AJ432" s="619"/>
      <c r="AK432" s="619"/>
      <c r="AL432" s="619"/>
      <c r="AM432" s="620"/>
      <c r="AN432" s="620"/>
      <c r="AO432" s="620"/>
      <c r="AP432" s="620"/>
      <c r="AQ432" s="620"/>
      <c r="AR432" s="620"/>
      <c r="AS432" s="620"/>
      <c r="AT432" s="620"/>
      <c r="AU432" s="620"/>
      <c r="AV432" s="620"/>
      <c r="AW432" s="620"/>
      <c r="AX432" s="620"/>
    </row>
    <row r="433" spans="1:50" s="6" customFormat="1" ht="13" customHeight="1">
      <c r="A433" s="564">
        <v>371</v>
      </c>
      <c r="B433" s="564" t="s">
        <v>366</v>
      </c>
      <c r="C433" s="564" t="s">
        <v>61</v>
      </c>
      <c r="D433" s="564" t="s">
        <v>62</v>
      </c>
      <c r="E433" s="564">
        <v>1527</v>
      </c>
      <c r="F433" s="564" t="s">
        <v>75</v>
      </c>
      <c r="G433" s="564" t="s">
        <v>52</v>
      </c>
      <c r="H433" s="564" t="s">
        <v>76</v>
      </c>
      <c r="I433" s="564">
        <v>30</v>
      </c>
      <c r="J433" s="564" t="s">
        <v>88</v>
      </c>
      <c r="K433" s="564">
        <v>2004</v>
      </c>
      <c r="L433" s="564" t="s">
        <v>358</v>
      </c>
      <c r="M433" s="564" t="s">
        <v>367</v>
      </c>
      <c r="N433" s="632">
        <v>0.75</v>
      </c>
      <c r="O433" s="633" t="s">
        <v>38</v>
      </c>
      <c r="P433" s="633" t="s">
        <v>38</v>
      </c>
      <c r="Q433" s="633" t="s">
        <v>38</v>
      </c>
      <c r="R433" s="634" t="s">
        <v>38</v>
      </c>
      <c r="S433" s="55"/>
      <c r="T433" s="603"/>
      <c r="U433" s="603"/>
      <c r="V433" s="603"/>
      <c r="W433" s="617"/>
      <c r="X433" s="618"/>
      <c r="Y433" s="618"/>
      <c r="Z433" s="618"/>
      <c r="AA433" s="618"/>
      <c r="AB433" s="570"/>
      <c r="AC433" s="619"/>
      <c r="AD433" s="619"/>
      <c r="AE433" s="619"/>
      <c r="AF433" s="619"/>
      <c r="AG433" s="619"/>
      <c r="AH433" s="619"/>
      <c r="AI433" s="619"/>
      <c r="AJ433" s="619"/>
      <c r="AK433" s="619"/>
      <c r="AL433" s="619"/>
      <c r="AM433" s="620"/>
      <c r="AN433" s="620"/>
      <c r="AO433" s="620"/>
      <c r="AP433" s="620"/>
      <c r="AQ433" s="620"/>
      <c r="AR433" s="620"/>
      <c r="AS433" s="620"/>
      <c r="AT433" s="620"/>
      <c r="AU433" s="620"/>
      <c r="AV433" s="620"/>
      <c r="AW433" s="620"/>
      <c r="AX433" s="620"/>
    </row>
    <row r="434" spans="1:50" s="6" customFormat="1" ht="13" customHeight="1">
      <c r="A434" s="564">
        <v>372</v>
      </c>
      <c r="B434" s="564" t="s">
        <v>368</v>
      </c>
      <c r="C434" s="564" t="s">
        <v>61</v>
      </c>
      <c r="D434" s="564" t="s">
        <v>62</v>
      </c>
      <c r="E434" s="564">
        <v>1527</v>
      </c>
      <c r="F434" s="564" t="s">
        <v>75</v>
      </c>
      <c r="G434" s="564" t="s">
        <v>32</v>
      </c>
      <c r="H434" s="564" t="s">
        <v>76</v>
      </c>
      <c r="I434" s="564">
        <v>50</v>
      </c>
      <c r="J434" s="564" t="s">
        <v>88</v>
      </c>
      <c r="K434" s="564">
        <v>2004</v>
      </c>
      <c r="L434" s="564" t="s">
        <v>358</v>
      </c>
      <c r="M434" s="564" t="s">
        <v>367</v>
      </c>
      <c r="N434" s="632">
        <v>0.75</v>
      </c>
      <c r="O434" s="633" t="s">
        <v>38</v>
      </c>
      <c r="P434" s="633" t="s">
        <v>38</v>
      </c>
      <c r="Q434" s="633" t="s">
        <v>38</v>
      </c>
      <c r="R434" s="634" t="s">
        <v>38</v>
      </c>
      <c r="S434" s="55"/>
      <c r="T434" s="603"/>
      <c r="U434" s="603"/>
      <c r="V434" s="603"/>
      <c r="W434" s="617"/>
      <c r="X434" s="618"/>
      <c r="Y434" s="618"/>
      <c r="Z434" s="618"/>
      <c r="AA434" s="618"/>
      <c r="AB434" s="570"/>
      <c r="AC434" s="619"/>
      <c r="AD434" s="619"/>
      <c r="AE434" s="619"/>
      <c r="AF434" s="619"/>
      <c r="AG434" s="619"/>
      <c r="AH434" s="619"/>
      <c r="AI434" s="619"/>
      <c r="AJ434" s="619"/>
      <c r="AK434" s="619"/>
      <c r="AL434" s="619"/>
      <c r="AM434" s="620"/>
      <c r="AN434" s="620"/>
      <c r="AO434" s="620"/>
      <c r="AP434" s="620"/>
      <c r="AQ434" s="620"/>
      <c r="AR434" s="620"/>
      <c r="AS434" s="620"/>
      <c r="AT434" s="620"/>
      <c r="AU434" s="620"/>
      <c r="AV434" s="620"/>
      <c r="AW434" s="620"/>
      <c r="AX434" s="620"/>
    </row>
    <row r="435" spans="1:50" s="6" customFormat="1" ht="13" customHeight="1">
      <c r="A435" s="564"/>
      <c r="B435" s="567" t="s">
        <v>839</v>
      </c>
      <c r="C435" s="564" t="s">
        <v>30</v>
      </c>
      <c r="D435" s="567" t="s">
        <v>796</v>
      </c>
      <c r="E435" s="567">
        <v>815</v>
      </c>
      <c r="F435" s="567" t="s">
        <v>31</v>
      </c>
      <c r="G435" s="567" t="s">
        <v>52</v>
      </c>
      <c r="H435" s="567" t="s">
        <v>33</v>
      </c>
      <c r="I435" s="567">
        <f>1233*1000000</f>
        <v>1233000000</v>
      </c>
      <c r="J435" s="567" t="s">
        <v>34</v>
      </c>
      <c r="K435" s="567">
        <v>1985</v>
      </c>
      <c r="L435" s="567" t="s">
        <v>842</v>
      </c>
      <c r="M435" s="635" t="s">
        <v>844</v>
      </c>
      <c r="N435" s="634">
        <v>0.75</v>
      </c>
      <c r="O435" s="634" t="s">
        <v>38</v>
      </c>
      <c r="P435" s="633" t="s">
        <v>38</v>
      </c>
      <c r="Q435" s="633">
        <f>123.3*1000000</f>
        <v>123300000</v>
      </c>
      <c r="R435" s="633"/>
      <c r="S435" s="55"/>
      <c r="T435" s="589"/>
      <c r="U435" s="621"/>
      <c r="V435" s="621"/>
      <c r="W435" s="575"/>
      <c r="X435" s="579"/>
      <c r="Y435" s="579"/>
      <c r="Z435" s="579"/>
      <c r="AA435" s="579"/>
      <c r="AB435" s="570"/>
      <c r="AC435" s="619"/>
      <c r="AD435" s="619"/>
      <c r="AE435" s="619"/>
      <c r="AF435" s="619"/>
      <c r="AG435" s="619"/>
      <c r="AH435" s="619"/>
      <c r="AI435" s="619"/>
      <c r="AJ435" s="619"/>
      <c r="AK435" s="619"/>
      <c r="AL435" s="619"/>
      <c r="AM435" s="620"/>
      <c r="AN435" s="620"/>
      <c r="AO435" s="620"/>
      <c r="AP435" s="620"/>
      <c r="AQ435" s="620"/>
      <c r="AR435" s="620"/>
      <c r="AS435" s="620"/>
      <c r="AT435" s="620"/>
      <c r="AU435" s="620"/>
      <c r="AV435" s="620"/>
      <c r="AW435" s="620"/>
      <c r="AX435" s="620"/>
    </row>
    <row r="436" spans="1:50" s="6" customFormat="1" ht="13" customHeight="1">
      <c r="A436" s="564"/>
      <c r="B436" s="567" t="s">
        <v>125</v>
      </c>
      <c r="C436" s="564" t="s">
        <v>30</v>
      </c>
      <c r="D436" s="567" t="s">
        <v>796</v>
      </c>
      <c r="E436" s="567">
        <v>815</v>
      </c>
      <c r="F436" s="567" t="s">
        <v>31</v>
      </c>
      <c r="G436" s="567" t="s">
        <v>52</v>
      </c>
      <c r="H436" s="567" t="s">
        <v>33</v>
      </c>
      <c r="I436" s="567">
        <f>1559.8*1000000</f>
        <v>1559800000</v>
      </c>
      <c r="J436" s="567" t="s">
        <v>34</v>
      </c>
      <c r="K436" s="567">
        <v>1985</v>
      </c>
      <c r="L436" s="567" t="s">
        <v>842</v>
      </c>
      <c r="M436" s="635" t="s">
        <v>844</v>
      </c>
      <c r="N436" s="634">
        <v>0.75</v>
      </c>
      <c r="O436" s="634" t="s">
        <v>38</v>
      </c>
      <c r="P436" s="633" t="s">
        <v>38</v>
      </c>
      <c r="Q436" s="633">
        <f>210*1000000</f>
        <v>210000000</v>
      </c>
      <c r="R436" s="633"/>
      <c r="S436" s="55"/>
      <c r="T436" s="589"/>
      <c r="U436" s="621"/>
      <c r="V436" s="621"/>
      <c r="W436" s="593"/>
      <c r="X436" s="622"/>
      <c r="Y436" s="622"/>
      <c r="Z436" s="622"/>
      <c r="AA436" s="622"/>
      <c r="AB436" s="570"/>
      <c r="AC436" s="619"/>
      <c r="AD436" s="619"/>
      <c r="AE436" s="619"/>
      <c r="AF436" s="619"/>
      <c r="AG436" s="619"/>
      <c r="AH436" s="619"/>
      <c r="AI436" s="619"/>
      <c r="AJ436" s="619"/>
      <c r="AK436" s="619"/>
      <c r="AL436" s="619"/>
      <c r="AM436" s="620"/>
      <c r="AN436" s="620"/>
      <c r="AO436" s="620"/>
      <c r="AP436" s="620"/>
      <c r="AQ436" s="620"/>
      <c r="AR436" s="620"/>
      <c r="AS436" s="620"/>
      <c r="AT436" s="620"/>
      <c r="AU436" s="620"/>
      <c r="AV436" s="620"/>
      <c r="AW436" s="620"/>
      <c r="AX436" s="620"/>
    </row>
    <row r="437" spans="1:50" s="6" customFormat="1" ht="13" customHeight="1">
      <c r="A437" s="564"/>
      <c r="B437" s="567" t="s">
        <v>839</v>
      </c>
      <c r="C437" s="564" t="s">
        <v>30</v>
      </c>
      <c r="D437" s="567" t="s">
        <v>796</v>
      </c>
      <c r="E437" s="567">
        <v>815</v>
      </c>
      <c r="F437" s="567" t="s">
        <v>670</v>
      </c>
      <c r="G437" s="567" t="s">
        <v>52</v>
      </c>
      <c r="H437" s="567" t="s">
        <v>76</v>
      </c>
      <c r="I437" s="567">
        <v>0.1</v>
      </c>
      <c r="J437" s="567" t="s">
        <v>77</v>
      </c>
      <c r="K437" s="567">
        <v>1985</v>
      </c>
      <c r="L437" s="567" t="s">
        <v>842</v>
      </c>
      <c r="M437" s="567"/>
      <c r="N437" s="634"/>
      <c r="O437" s="634" t="s">
        <v>38</v>
      </c>
      <c r="P437" s="633" t="s">
        <v>38</v>
      </c>
      <c r="Q437" s="633" t="s">
        <v>38</v>
      </c>
      <c r="R437" s="633" t="s">
        <v>38</v>
      </c>
      <c r="S437" s="55"/>
      <c r="T437" s="589"/>
      <c r="U437" s="621"/>
      <c r="V437" s="621"/>
      <c r="W437" s="593"/>
      <c r="X437" s="622"/>
      <c r="Y437" s="622"/>
      <c r="Z437" s="622"/>
      <c r="AA437" s="622"/>
      <c r="AB437" s="570"/>
      <c r="AC437" s="619"/>
      <c r="AD437" s="619"/>
      <c r="AE437" s="619"/>
      <c r="AF437" s="619"/>
      <c r="AG437" s="619"/>
      <c r="AH437" s="619"/>
      <c r="AI437" s="619"/>
      <c r="AJ437" s="619"/>
      <c r="AK437" s="619"/>
      <c r="AL437" s="619"/>
      <c r="AM437" s="620"/>
      <c r="AN437" s="620"/>
      <c r="AO437" s="620"/>
      <c r="AP437" s="620"/>
      <c r="AQ437" s="620"/>
      <c r="AR437" s="620"/>
      <c r="AS437" s="620"/>
      <c r="AT437" s="620"/>
      <c r="AU437" s="620"/>
      <c r="AV437" s="620"/>
      <c r="AW437" s="620"/>
      <c r="AX437" s="620"/>
    </row>
    <row r="438" spans="1:50" s="6" customFormat="1" ht="13" customHeight="1">
      <c r="A438" s="564"/>
      <c r="B438" s="567" t="s">
        <v>125</v>
      </c>
      <c r="C438" s="564" t="s">
        <v>30</v>
      </c>
      <c r="D438" s="567" t="s">
        <v>796</v>
      </c>
      <c r="E438" s="567">
        <v>815</v>
      </c>
      <c r="F438" s="567" t="s">
        <v>670</v>
      </c>
      <c r="G438" s="567" t="s">
        <v>52</v>
      </c>
      <c r="H438" s="567" t="s">
        <v>76</v>
      </c>
      <c r="I438" s="567">
        <v>0.1</v>
      </c>
      <c r="J438" s="567" t="s">
        <v>77</v>
      </c>
      <c r="K438" s="567">
        <v>1985</v>
      </c>
      <c r="L438" s="567" t="s">
        <v>842</v>
      </c>
      <c r="M438" s="567"/>
      <c r="N438" s="634"/>
      <c r="O438" s="634" t="s">
        <v>38</v>
      </c>
      <c r="P438" s="633" t="s">
        <v>38</v>
      </c>
      <c r="Q438" s="633" t="s">
        <v>38</v>
      </c>
      <c r="R438" s="633" t="s">
        <v>38</v>
      </c>
      <c r="S438" s="55"/>
      <c r="T438" s="589"/>
      <c r="U438" s="621"/>
      <c r="V438" s="621"/>
      <c r="W438" s="593"/>
      <c r="X438" s="622"/>
      <c r="Y438" s="622"/>
      <c r="Z438" s="622"/>
      <c r="AA438" s="622"/>
      <c r="AB438" s="620"/>
      <c r="AC438" s="619"/>
      <c r="AD438" s="619"/>
      <c r="AE438" s="619"/>
      <c r="AF438" s="619"/>
      <c r="AG438" s="619"/>
      <c r="AH438" s="619"/>
      <c r="AI438" s="619"/>
      <c r="AJ438" s="619"/>
      <c r="AK438" s="619"/>
      <c r="AL438" s="619"/>
      <c r="AM438" s="620"/>
      <c r="AN438" s="620"/>
      <c r="AO438" s="620"/>
      <c r="AP438" s="620"/>
      <c r="AQ438" s="620"/>
      <c r="AR438" s="620"/>
      <c r="AS438" s="620"/>
      <c r="AT438" s="620"/>
      <c r="AU438" s="620"/>
      <c r="AV438" s="620"/>
      <c r="AW438" s="620"/>
      <c r="AX438" s="620"/>
    </row>
    <row r="439" spans="1:50" s="6" customFormat="1" ht="13" customHeight="1">
      <c r="A439" s="564"/>
      <c r="B439" s="567" t="s">
        <v>839</v>
      </c>
      <c r="C439" s="564" t="s">
        <v>30</v>
      </c>
      <c r="D439" s="567" t="s">
        <v>796</v>
      </c>
      <c r="E439" s="567">
        <v>815</v>
      </c>
      <c r="F439" s="567" t="s">
        <v>669</v>
      </c>
      <c r="G439" s="567" t="s">
        <v>52</v>
      </c>
      <c r="H439" s="567" t="s">
        <v>33</v>
      </c>
      <c r="I439" s="567">
        <f>50*1000000</f>
        <v>50000000</v>
      </c>
      <c r="J439" s="567" t="s">
        <v>34</v>
      </c>
      <c r="K439" s="567">
        <v>1985</v>
      </c>
      <c r="L439" s="567" t="s">
        <v>842</v>
      </c>
      <c r="M439" s="567"/>
      <c r="N439" s="634">
        <v>0.75</v>
      </c>
      <c r="O439" s="634" t="s">
        <v>38</v>
      </c>
      <c r="P439" s="633" t="s">
        <v>38</v>
      </c>
      <c r="Q439" s="633" t="s">
        <v>38</v>
      </c>
      <c r="R439" s="633" t="s">
        <v>38</v>
      </c>
      <c r="S439" s="55"/>
      <c r="T439" s="589"/>
      <c r="U439" s="621"/>
      <c r="V439" s="621"/>
      <c r="W439" s="593"/>
      <c r="X439" s="622"/>
      <c r="Y439" s="622"/>
      <c r="Z439" s="622"/>
      <c r="AA439" s="622"/>
      <c r="AB439" s="620"/>
      <c r="AC439" s="619"/>
      <c r="AD439" s="619"/>
      <c r="AE439" s="619"/>
      <c r="AF439" s="619"/>
      <c r="AG439" s="619"/>
      <c r="AH439" s="619"/>
      <c r="AI439" s="619"/>
      <c r="AJ439" s="619"/>
      <c r="AK439" s="619"/>
      <c r="AL439" s="619"/>
      <c r="AM439" s="620"/>
      <c r="AN439" s="620"/>
      <c r="AO439" s="620"/>
      <c r="AP439" s="620"/>
      <c r="AQ439" s="620"/>
      <c r="AR439" s="620"/>
      <c r="AS439" s="620"/>
      <c r="AT439" s="620"/>
      <c r="AU439" s="620"/>
      <c r="AV439" s="620"/>
      <c r="AW439" s="620"/>
      <c r="AX439" s="620"/>
    </row>
    <row r="440" spans="1:50" s="6" customFormat="1" ht="13" customHeight="1">
      <c r="A440" s="564"/>
      <c r="B440" s="567" t="s">
        <v>125</v>
      </c>
      <c r="C440" s="564" t="s">
        <v>30</v>
      </c>
      <c r="D440" s="567" t="s">
        <v>796</v>
      </c>
      <c r="E440" s="567">
        <v>815</v>
      </c>
      <c r="F440" s="567" t="s">
        <v>669</v>
      </c>
      <c r="G440" s="567" t="s">
        <v>52</v>
      </c>
      <c r="H440" s="567" t="s">
        <v>33</v>
      </c>
      <c r="I440" s="567">
        <f>60*1000000</f>
        <v>60000000</v>
      </c>
      <c r="J440" s="567" t="s">
        <v>34</v>
      </c>
      <c r="K440" s="567">
        <v>1985</v>
      </c>
      <c r="L440" s="567" t="s">
        <v>842</v>
      </c>
      <c r="M440" s="567"/>
      <c r="N440" s="634">
        <v>0.75</v>
      </c>
      <c r="O440" s="634" t="s">
        <v>38</v>
      </c>
      <c r="P440" s="633" t="s">
        <v>38</v>
      </c>
      <c r="Q440" s="633" t="s">
        <v>38</v>
      </c>
      <c r="R440" s="633" t="s">
        <v>38</v>
      </c>
      <c r="S440" s="55"/>
      <c r="T440" s="589"/>
      <c r="U440" s="621"/>
      <c r="V440" s="621"/>
      <c r="W440" s="593"/>
      <c r="X440" s="622"/>
      <c r="Y440" s="622"/>
      <c r="Z440" s="622"/>
      <c r="AA440" s="622"/>
      <c r="AB440" s="620"/>
      <c r="AC440" s="619"/>
      <c r="AD440" s="619"/>
      <c r="AE440" s="619"/>
      <c r="AF440" s="619"/>
      <c r="AG440" s="619"/>
      <c r="AH440" s="619"/>
      <c r="AI440" s="619"/>
      <c r="AJ440" s="619"/>
      <c r="AK440" s="619"/>
      <c r="AL440" s="619"/>
      <c r="AM440" s="620"/>
      <c r="AN440" s="620"/>
      <c r="AO440" s="620"/>
      <c r="AP440" s="620"/>
      <c r="AQ440" s="620"/>
      <c r="AR440" s="620"/>
      <c r="AS440" s="620"/>
      <c r="AT440" s="620"/>
      <c r="AU440" s="620"/>
      <c r="AV440" s="620"/>
      <c r="AW440" s="620"/>
      <c r="AX440" s="620"/>
    </row>
    <row r="441" spans="1:50" ht="13" customHeight="1">
      <c r="A441" s="564"/>
      <c r="B441" s="567"/>
      <c r="C441" s="564"/>
      <c r="D441" s="567"/>
      <c r="E441" s="567"/>
      <c r="F441" s="567"/>
      <c r="G441" s="567"/>
      <c r="H441" s="567"/>
      <c r="I441" s="567"/>
      <c r="J441" s="567"/>
      <c r="K441" s="567"/>
      <c r="L441" s="567" t="s">
        <v>842</v>
      </c>
      <c r="M441" s="567"/>
      <c r="N441" s="634"/>
      <c r="O441" s="634"/>
      <c r="P441" s="633"/>
      <c r="Q441" s="633"/>
      <c r="R441" s="633"/>
      <c r="S441" s="55"/>
      <c r="T441" s="589"/>
      <c r="U441" s="621"/>
      <c r="V441" s="621"/>
      <c r="W441" s="593"/>
      <c r="X441" s="622"/>
      <c r="Y441" s="622"/>
      <c r="Z441" s="622"/>
      <c r="AA441" s="622"/>
      <c r="AB441" s="620"/>
      <c r="AC441" s="579"/>
      <c r="AD441" s="579"/>
      <c r="AE441" s="579"/>
      <c r="AF441" s="579"/>
      <c r="AG441" s="579"/>
      <c r="AH441" s="579"/>
      <c r="AI441" s="579"/>
      <c r="AJ441" s="579"/>
      <c r="AK441" s="579"/>
      <c r="AL441" s="579"/>
    </row>
    <row r="442" spans="1:50" ht="13" customHeight="1">
      <c r="A442" s="564"/>
      <c r="B442" s="567"/>
      <c r="C442" s="564"/>
      <c r="D442" s="567"/>
      <c r="E442" s="567"/>
      <c r="F442" s="567"/>
      <c r="G442" s="567"/>
      <c r="H442" s="567"/>
      <c r="I442" s="567"/>
      <c r="J442" s="567"/>
      <c r="K442" s="567"/>
      <c r="L442" s="567" t="s">
        <v>842</v>
      </c>
      <c r="M442" s="567"/>
      <c r="N442" s="634"/>
      <c r="O442" s="634"/>
      <c r="P442" s="633"/>
      <c r="Q442" s="633"/>
      <c r="R442" s="633"/>
      <c r="S442" s="55"/>
      <c r="T442" s="589"/>
      <c r="U442" s="621"/>
      <c r="V442" s="621"/>
      <c r="W442" s="593"/>
      <c r="X442" s="622"/>
      <c r="Y442" s="622"/>
      <c r="Z442" s="622"/>
      <c r="AA442" s="622"/>
      <c r="AB442" s="620"/>
      <c r="AC442" s="579"/>
      <c r="AD442" s="579"/>
      <c r="AE442" s="579"/>
      <c r="AF442" s="579"/>
      <c r="AG442" s="579"/>
      <c r="AH442" s="579"/>
      <c r="AI442" s="579"/>
      <c r="AJ442" s="579"/>
      <c r="AK442" s="579"/>
      <c r="AL442" s="579"/>
    </row>
    <row r="443" spans="1:50" ht="13" customHeight="1">
      <c r="A443" s="564">
        <v>373</v>
      </c>
      <c r="B443" s="564" t="s">
        <v>695</v>
      </c>
      <c r="C443" s="564" t="s">
        <v>61</v>
      </c>
      <c r="D443" s="564" t="s">
        <v>62</v>
      </c>
      <c r="E443" s="564">
        <v>1200</v>
      </c>
      <c r="F443" s="564" t="s">
        <v>493</v>
      </c>
      <c r="G443" s="564" t="s">
        <v>52</v>
      </c>
      <c r="H443" s="564" t="s">
        <v>76</v>
      </c>
      <c r="I443" s="564">
        <v>0.6</v>
      </c>
      <c r="J443" s="564" t="s">
        <v>77</v>
      </c>
      <c r="K443" s="564">
        <v>1990</v>
      </c>
      <c r="L443" s="564" t="s">
        <v>369</v>
      </c>
      <c r="M443" s="564"/>
      <c r="N443" s="634" t="s">
        <v>38</v>
      </c>
      <c r="O443" s="634" t="s">
        <v>38</v>
      </c>
      <c r="P443" s="633" t="s">
        <v>38</v>
      </c>
      <c r="Q443" s="633" t="s">
        <v>38</v>
      </c>
      <c r="R443" s="634" t="s">
        <v>38</v>
      </c>
      <c r="S443" s="55"/>
      <c r="T443" s="576"/>
      <c r="U443" s="575"/>
      <c r="V443" s="575"/>
      <c r="W443" s="575"/>
      <c r="X443" s="613"/>
      <c r="Y443" s="613"/>
      <c r="Z443" s="613"/>
      <c r="AA443" s="613"/>
      <c r="AB443" s="620"/>
      <c r="AC443" s="579"/>
      <c r="AD443" s="579"/>
      <c r="AE443" s="579"/>
      <c r="AF443" s="579"/>
      <c r="AG443" s="579"/>
      <c r="AH443" s="579"/>
      <c r="AI443" s="579"/>
      <c r="AJ443" s="579"/>
      <c r="AK443" s="579"/>
      <c r="AL443" s="579"/>
    </row>
    <row r="444" spans="1:50" ht="13" customHeight="1">
      <c r="A444" s="564">
        <v>374</v>
      </c>
      <c r="B444" s="564" t="s">
        <v>696</v>
      </c>
      <c r="C444" s="564" t="s">
        <v>61</v>
      </c>
      <c r="D444" s="564" t="s">
        <v>62</v>
      </c>
      <c r="E444" s="564">
        <v>1200</v>
      </c>
      <c r="F444" s="564" t="s">
        <v>493</v>
      </c>
      <c r="G444" s="564" t="s">
        <v>32</v>
      </c>
      <c r="H444" s="564" t="s">
        <v>76</v>
      </c>
      <c r="I444" s="564">
        <v>3.1</v>
      </c>
      <c r="J444" s="564" t="s">
        <v>77</v>
      </c>
      <c r="K444" s="564">
        <v>1990</v>
      </c>
      <c r="L444" s="564" t="s">
        <v>369</v>
      </c>
      <c r="M444" s="564"/>
      <c r="N444" s="634" t="s">
        <v>38</v>
      </c>
      <c r="O444" s="634" t="s">
        <v>38</v>
      </c>
      <c r="P444" s="633" t="s">
        <v>38</v>
      </c>
      <c r="Q444" s="633" t="s">
        <v>38</v>
      </c>
      <c r="R444" s="634" t="s">
        <v>38</v>
      </c>
      <c r="S444" s="55"/>
      <c r="T444" s="576"/>
      <c r="U444" s="593"/>
      <c r="V444" s="593"/>
      <c r="W444" s="593"/>
      <c r="X444" s="613"/>
      <c r="Y444" s="613"/>
      <c r="Z444" s="613"/>
      <c r="AA444" s="613"/>
      <c r="AB444" s="620"/>
      <c r="AC444" s="579"/>
      <c r="AD444" s="579"/>
      <c r="AE444" s="579"/>
      <c r="AF444" s="579"/>
      <c r="AG444" s="579"/>
      <c r="AH444" s="579"/>
      <c r="AI444" s="579"/>
      <c r="AJ444" s="579"/>
      <c r="AK444" s="579"/>
      <c r="AL444" s="579"/>
    </row>
    <row r="445" spans="1:50" s="103" customFormat="1" ht="13" customHeight="1">
      <c r="A445" s="564">
        <v>376</v>
      </c>
      <c r="B445" s="564" t="s">
        <v>695</v>
      </c>
      <c r="C445" s="564" t="s">
        <v>61</v>
      </c>
      <c r="D445" s="564" t="s">
        <v>62</v>
      </c>
      <c r="E445" s="564">
        <v>1200</v>
      </c>
      <c r="F445" s="564" t="s">
        <v>115</v>
      </c>
      <c r="G445" s="564" t="s">
        <v>52</v>
      </c>
      <c r="H445" s="564" t="s">
        <v>76</v>
      </c>
      <c r="I445" s="564">
        <v>13.4</v>
      </c>
      <c r="J445" s="564" t="s">
        <v>77</v>
      </c>
      <c r="K445" s="564">
        <v>1990</v>
      </c>
      <c r="L445" s="564" t="s">
        <v>369</v>
      </c>
      <c r="M445" s="564" t="s">
        <v>372</v>
      </c>
      <c r="N445" s="633" t="s">
        <v>122</v>
      </c>
      <c r="O445" s="634" t="s">
        <v>38</v>
      </c>
      <c r="P445" s="633" t="s">
        <v>38</v>
      </c>
      <c r="Q445" s="633" t="s">
        <v>38</v>
      </c>
      <c r="R445" s="634" t="s">
        <v>38</v>
      </c>
      <c r="S445" s="55"/>
      <c r="T445" s="576"/>
      <c r="U445" s="593"/>
      <c r="V445" s="593"/>
      <c r="W445" s="593"/>
      <c r="X445" s="613"/>
      <c r="Y445" s="613"/>
      <c r="Z445" s="613"/>
      <c r="AA445" s="613"/>
      <c r="AB445" s="620"/>
      <c r="AC445" s="619"/>
      <c r="AD445" s="619"/>
      <c r="AE445" s="619"/>
      <c r="AF445" s="619"/>
      <c r="AG445" s="619"/>
      <c r="AH445" s="619"/>
      <c r="AI445" s="619"/>
      <c r="AJ445" s="619"/>
      <c r="AK445" s="619"/>
      <c r="AL445" s="619"/>
      <c r="AM445" s="620"/>
      <c r="AN445" s="620"/>
      <c r="AO445" s="620"/>
      <c r="AP445" s="620"/>
      <c r="AQ445" s="620"/>
      <c r="AR445" s="620"/>
      <c r="AS445" s="620"/>
      <c r="AT445" s="620"/>
      <c r="AU445" s="620"/>
      <c r="AV445" s="620"/>
      <c r="AW445" s="620"/>
      <c r="AX445" s="620"/>
    </row>
    <row r="446" spans="1:50" s="103" customFormat="1" ht="13" customHeight="1">
      <c r="A446" s="564">
        <v>377</v>
      </c>
      <c r="B446" s="564" t="s">
        <v>695</v>
      </c>
      <c r="C446" s="564" t="s">
        <v>61</v>
      </c>
      <c r="D446" s="564" t="s">
        <v>62</v>
      </c>
      <c r="E446" s="564">
        <v>1200</v>
      </c>
      <c r="F446" s="564" t="s">
        <v>63</v>
      </c>
      <c r="G446" s="564" t="s">
        <v>52</v>
      </c>
      <c r="H446" s="564" t="s">
        <v>76</v>
      </c>
      <c r="I446" s="564">
        <v>0.06</v>
      </c>
      <c r="J446" s="564" t="s">
        <v>77</v>
      </c>
      <c r="K446" s="564">
        <v>1990</v>
      </c>
      <c r="L446" s="564" t="s">
        <v>369</v>
      </c>
      <c r="M446" s="564" t="s">
        <v>373</v>
      </c>
      <c r="N446" s="633" t="s">
        <v>122</v>
      </c>
      <c r="O446" s="634" t="s">
        <v>38</v>
      </c>
      <c r="P446" s="633" t="s">
        <v>38</v>
      </c>
      <c r="Q446" s="633" t="s">
        <v>38</v>
      </c>
      <c r="R446" s="634" t="s">
        <v>38</v>
      </c>
      <c r="S446" s="55"/>
      <c r="T446" s="576"/>
      <c r="U446" s="593"/>
      <c r="V446" s="593"/>
      <c r="W446" s="593"/>
      <c r="X446" s="613"/>
      <c r="Y446" s="613"/>
      <c r="Z446" s="613"/>
      <c r="AA446" s="613"/>
      <c r="AB446" s="620"/>
      <c r="AC446" s="619"/>
      <c r="AD446" s="619"/>
      <c r="AE446" s="619"/>
      <c r="AF446" s="619"/>
      <c r="AG446" s="619"/>
      <c r="AH446" s="619"/>
      <c r="AI446" s="619"/>
      <c r="AJ446" s="619"/>
      <c r="AK446" s="619"/>
      <c r="AL446" s="619"/>
      <c r="AM446" s="620"/>
      <c r="AN446" s="620"/>
      <c r="AO446" s="620"/>
      <c r="AP446" s="620"/>
      <c r="AQ446" s="620"/>
      <c r="AR446" s="620"/>
      <c r="AS446" s="620"/>
      <c r="AT446" s="620"/>
      <c r="AU446" s="620"/>
      <c r="AV446" s="620"/>
      <c r="AW446" s="620"/>
      <c r="AX446" s="620"/>
    </row>
    <row r="447" spans="1:50" s="103" customFormat="1" ht="13" customHeight="1">
      <c r="A447" s="564">
        <v>378</v>
      </c>
      <c r="B447" s="564" t="s">
        <v>695</v>
      </c>
      <c r="C447" s="564" t="s">
        <v>61</v>
      </c>
      <c r="D447" s="564" t="s">
        <v>62</v>
      </c>
      <c r="E447" s="564">
        <v>1200</v>
      </c>
      <c r="F447" s="564" t="s">
        <v>116</v>
      </c>
      <c r="G447" s="564" t="s">
        <v>52</v>
      </c>
      <c r="H447" s="564" t="s">
        <v>76</v>
      </c>
      <c r="I447" s="564">
        <v>6.7</v>
      </c>
      <c r="J447" s="564" t="s">
        <v>77</v>
      </c>
      <c r="K447" s="564">
        <v>1990</v>
      </c>
      <c r="L447" s="564" t="s">
        <v>369</v>
      </c>
      <c r="M447" s="564"/>
      <c r="N447" s="633" t="s">
        <v>122</v>
      </c>
      <c r="O447" s="634" t="s">
        <v>38</v>
      </c>
      <c r="P447" s="633" t="s">
        <v>38</v>
      </c>
      <c r="Q447" s="633" t="s">
        <v>38</v>
      </c>
      <c r="R447" s="634" t="s">
        <v>38</v>
      </c>
      <c r="S447" s="55"/>
      <c r="T447" s="576"/>
      <c r="U447" s="593"/>
      <c r="V447" s="593"/>
      <c r="W447" s="593"/>
      <c r="X447" s="613"/>
      <c r="Y447" s="613"/>
      <c r="Z447" s="613"/>
      <c r="AA447" s="613"/>
      <c r="AB447" s="620"/>
      <c r="AC447" s="619"/>
      <c r="AD447" s="619"/>
      <c r="AE447" s="619"/>
      <c r="AF447" s="619"/>
      <c r="AG447" s="619"/>
      <c r="AH447" s="619"/>
      <c r="AI447" s="619"/>
      <c r="AJ447" s="619"/>
      <c r="AK447" s="619"/>
      <c r="AL447" s="619"/>
      <c r="AM447" s="620"/>
      <c r="AN447" s="620"/>
      <c r="AO447" s="620"/>
      <c r="AP447" s="620"/>
      <c r="AQ447" s="620"/>
      <c r="AR447" s="620"/>
      <c r="AS447" s="620"/>
      <c r="AT447" s="620"/>
      <c r="AU447" s="620"/>
      <c r="AV447" s="620"/>
      <c r="AW447" s="620"/>
      <c r="AX447" s="620"/>
    </row>
    <row r="448" spans="1:50" ht="13" customHeight="1">
      <c r="A448" s="564">
        <v>379</v>
      </c>
      <c r="B448" s="564" t="s">
        <v>696</v>
      </c>
      <c r="C448" s="564" t="s">
        <v>61</v>
      </c>
      <c r="D448" s="564" t="s">
        <v>62</v>
      </c>
      <c r="E448" s="564">
        <v>1200</v>
      </c>
      <c r="F448" s="564" t="s">
        <v>31</v>
      </c>
      <c r="G448" s="564" t="s">
        <v>32</v>
      </c>
      <c r="H448" s="564" t="s">
        <v>33</v>
      </c>
      <c r="I448" s="564">
        <f>(6018+1745-536)*1000000</f>
        <v>7227000000</v>
      </c>
      <c r="J448" s="564" t="s">
        <v>34</v>
      </c>
      <c r="K448" s="564">
        <v>1990</v>
      </c>
      <c r="L448" s="564" t="s">
        <v>369</v>
      </c>
      <c r="M448" s="564" t="s">
        <v>374</v>
      </c>
      <c r="N448" s="632">
        <v>0.75</v>
      </c>
      <c r="O448" s="564" t="s">
        <v>371</v>
      </c>
      <c r="P448" s="633" t="s">
        <v>38</v>
      </c>
      <c r="Q448" s="633" t="s">
        <v>38</v>
      </c>
      <c r="R448" s="634" t="s">
        <v>38</v>
      </c>
      <c r="S448" s="55"/>
      <c r="T448" s="576"/>
      <c r="U448" s="593"/>
      <c r="V448" s="593"/>
      <c r="W448" s="593"/>
      <c r="X448" s="613"/>
      <c r="Y448" s="613"/>
      <c r="Z448" s="613"/>
      <c r="AA448" s="613"/>
      <c r="AB448" s="620"/>
      <c r="AC448" s="579"/>
      <c r="AD448" s="579"/>
      <c r="AE448" s="579"/>
      <c r="AF448" s="579"/>
      <c r="AG448" s="579"/>
      <c r="AH448" s="579"/>
      <c r="AI448" s="579"/>
      <c r="AJ448" s="579"/>
      <c r="AK448" s="579"/>
      <c r="AL448" s="579"/>
    </row>
    <row r="449" spans="1:38" ht="13" customHeight="1">
      <c r="A449" s="564">
        <v>380</v>
      </c>
      <c r="B449" s="564" t="s">
        <v>696</v>
      </c>
      <c r="C449" s="564" t="s">
        <v>61</v>
      </c>
      <c r="D449" s="564" t="s">
        <v>62</v>
      </c>
      <c r="E449" s="564">
        <v>1200</v>
      </c>
      <c r="F449" s="564" t="s">
        <v>63</v>
      </c>
      <c r="G449" s="564" t="s">
        <v>32</v>
      </c>
      <c r="H449" s="564" t="s">
        <v>76</v>
      </c>
      <c r="I449" s="564">
        <v>0.05</v>
      </c>
      <c r="J449" s="564" t="s">
        <v>77</v>
      </c>
      <c r="K449" s="564">
        <v>1990</v>
      </c>
      <c r="L449" s="564" t="s">
        <v>369</v>
      </c>
      <c r="M449" s="564" t="s">
        <v>373</v>
      </c>
      <c r="N449" s="633" t="s">
        <v>122</v>
      </c>
      <c r="O449" s="634" t="s">
        <v>38</v>
      </c>
      <c r="P449" s="633" t="s">
        <v>38</v>
      </c>
      <c r="Q449" s="633" t="s">
        <v>38</v>
      </c>
      <c r="R449" s="634" t="s">
        <v>38</v>
      </c>
      <c r="S449" s="55"/>
      <c r="T449" s="576"/>
      <c r="U449" s="593"/>
      <c r="V449" s="593"/>
      <c r="W449" s="593"/>
      <c r="X449" s="613"/>
      <c r="Y449" s="613"/>
      <c r="Z449" s="613"/>
      <c r="AA449" s="613"/>
      <c r="AB449" s="620"/>
      <c r="AC449" s="579"/>
      <c r="AD449" s="579"/>
      <c r="AE449" s="579"/>
      <c r="AF449" s="579"/>
      <c r="AG449" s="579"/>
      <c r="AH449" s="579"/>
      <c r="AI449" s="579"/>
      <c r="AJ449" s="579"/>
      <c r="AK449" s="579"/>
      <c r="AL449" s="579"/>
    </row>
    <row r="450" spans="1:38" ht="13" customHeight="1">
      <c r="A450" s="564">
        <v>381</v>
      </c>
      <c r="B450" s="564" t="s">
        <v>696</v>
      </c>
      <c r="C450" s="564" t="s">
        <v>61</v>
      </c>
      <c r="D450" s="564" t="s">
        <v>62</v>
      </c>
      <c r="E450" s="564">
        <v>1200</v>
      </c>
      <c r="F450" s="564" t="s">
        <v>115</v>
      </c>
      <c r="G450" s="564" t="s">
        <v>32</v>
      </c>
      <c r="H450" s="564" t="s">
        <v>76</v>
      </c>
      <c r="I450" s="564">
        <v>17.2</v>
      </c>
      <c r="J450" s="564" t="s">
        <v>77</v>
      </c>
      <c r="K450" s="564">
        <v>1990</v>
      </c>
      <c r="L450" s="564" t="s">
        <v>369</v>
      </c>
      <c r="M450" s="564"/>
      <c r="N450" s="633" t="s">
        <v>122</v>
      </c>
      <c r="O450" s="634" t="s">
        <v>38</v>
      </c>
      <c r="P450" s="633" t="s">
        <v>38</v>
      </c>
      <c r="Q450" s="633" t="s">
        <v>38</v>
      </c>
      <c r="R450" s="634" t="s">
        <v>38</v>
      </c>
      <c r="S450" s="55"/>
      <c r="T450" s="576"/>
      <c r="U450" s="593"/>
      <c r="V450" s="593"/>
      <c r="W450" s="593"/>
      <c r="X450" s="613"/>
      <c r="Y450" s="613"/>
      <c r="Z450" s="613"/>
      <c r="AA450" s="613"/>
      <c r="AB450" s="620"/>
      <c r="AC450" s="579"/>
      <c r="AD450" s="579"/>
      <c r="AE450" s="579"/>
      <c r="AF450" s="579"/>
      <c r="AG450" s="579"/>
      <c r="AH450" s="579"/>
      <c r="AI450" s="579"/>
      <c r="AJ450" s="579"/>
      <c r="AK450" s="579"/>
      <c r="AL450" s="579"/>
    </row>
    <row r="451" spans="1:38" ht="13" customHeight="1">
      <c r="A451" s="564">
        <v>383</v>
      </c>
      <c r="B451" s="564" t="s">
        <v>695</v>
      </c>
      <c r="C451" s="564" t="s">
        <v>61</v>
      </c>
      <c r="D451" s="564" t="s">
        <v>62</v>
      </c>
      <c r="E451" s="564">
        <v>1200</v>
      </c>
      <c r="F451" s="564" t="s">
        <v>108</v>
      </c>
      <c r="G451" s="564" t="s">
        <v>52</v>
      </c>
      <c r="H451" s="564" t="s">
        <v>76</v>
      </c>
      <c r="I451" s="564">
        <v>78.7</v>
      </c>
      <c r="J451" s="564" t="s">
        <v>77</v>
      </c>
      <c r="K451" s="564">
        <v>1990</v>
      </c>
      <c r="L451" s="564" t="s">
        <v>369</v>
      </c>
      <c r="M451" s="564" t="s">
        <v>376</v>
      </c>
      <c r="N451" s="632">
        <v>0.75</v>
      </c>
      <c r="O451" s="564" t="s">
        <v>371</v>
      </c>
      <c r="P451" s="633" t="s">
        <v>38</v>
      </c>
      <c r="Q451" s="633" t="s">
        <v>38</v>
      </c>
      <c r="R451" s="634" t="s">
        <v>38</v>
      </c>
      <c r="S451" s="55"/>
      <c r="T451" s="576"/>
      <c r="U451" s="593"/>
      <c r="V451" s="593"/>
      <c r="W451" s="593"/>
      <c r="X451" s="613"/>
      <c r="Y451" s="613"/>
      <c r="Z451" s="613"/>
      <c r="AA451" s="613"/>
      <c r="AB451" s="620"/>
      <c r="AC451" s="579"/>
      <c r="AD451" s="579"/>
      <c r="AE451" s="579"/>
      <c r="AF451" s="579"/>
      <c r="AG451" s="579"/>
      <c r="AH451" s="579"/>
      <c r="AI451" s="579"/>
      <c r="AJ451" s="579"/>
      <c r="AK451" s="579"/>
      <c r="AL451" s="579"/>
    </row>
    <row r="452" spans="1:38" ht="13" customHeight="1">
      <c r="A452" s="564">
        <v>384</v>
      </c>
      <c r="B452" s="564" t="s">
        <v>696</v>
      </c>
      <c r="C452" s="564" t="s">
        <v>61</v>
      </c>
      <c r="D452" s="564" t="s">
        <v>62</v>
      </c>
      <c r="E452" s="564">
        <v>1200</v>
      </c>
      <c r="F452" s="564" t="s">
        <v>108</v>
      </c>
      <c r="G452" s="564" t="s">
        <v>32</v>
      </c>
      <c r="H452" s="564" t="s">
        <v>76</v>
      </c>
      <c r="I452" s="564">
        <v>105.1</v>
      </c>
      <c r="J452" s="564" t="s">
        <v>77</v>
      </c>
      <c r="K452" s="564">
        <v>1990</v>
      </c>
      <c r="L452" s="564" t="s">
        <v>369</v>
      </c>
      <c r="M452" s="564" t="s">
        <v>376</v>
      </c>
      <c r="N452" s="632">
        <v>0.75</v>
      </c>
      <c r="O452" s="564" t="s">
        <v>371</v>
      </c>
      <c r="P452" s="633" t="s">
        <v>38</v>
      </c>
      <c r="Q452" s="633" t="s">
        <v>38</v>
      </c>
      <c r="R452" s="634" t="s">
        <v>38</v>
      </c>
      <c r="S452" s="55"/>
      <c r="T452" s="576"/>
      <c r="U452" s="593"/>
      <c r="V452" s="593"/>
      <c r="W452" s="593"/>
      <c r="X452" s="613"/>
      <c r="Y452" s="613"/>
      <c r="Z452" s="613"/>
      <c r="AA452" s="613"/>
      <c r="AB452" s="620"/>
      <c r="AC452" s="579"/>
      <c r="AD452" s="579"/>
      <c r="AE452" s="579"/>
      <c r="AF452" s="579"/>
      <c r="AG452" s="579"/>
      <c r="AH452" s="579"/>
      <c r="AI452" s="579"/>
      <c r="AJ452" s="579"/>
      <c r="AK452" s="579"/>
      <c r="AL452" s="579"/>
    </row>
    <row r="453" spans="1:38" ht="13" customHeight="1">
      <c r="A453" s="564">
        <v>375</v>
      </c>
      <c r="B453" s="564" t="s">
        <v>695</v>
      </c>
      <c r="C453" s="564" t="s">
        <v>61</v>
      </c>
      <c r="D453" s="564" t="s">
        <v>62</v>
      </c>
      <c r="E453" s="564">
        <v>1200</v>
      </c>
      <c r="F453" s="564" t="s">
        <v>31</v>
      </c>
      <c r="G453" s="564" t="s">
        <v>52</v>
      </c>
      <c r="H453" s="564" t="s">
        <v>33</v>
      </c>
      <c r="I453" s="564">
        <f>(4785-270-869)*1000000</f>
        <v>3646000000</v>
      </c>
      <c r="J453" s="564" t="s">
        <v>34</v>
      </c>
      <c r="K453" s="564">
        <v>1990</v>
      </c>
      <c r="L453" s="564" t="s">
        <v>369</v>
      </c>
      <c r="M453" s="564" t="s">
        <v>370</v>
      </c>
      <c r="N453" s="632">
        <v>0.75</v>
      </c>
      <c r="O453" s="564" t="s">
        <v>371</v>
      </c>
      <c r="P453" s="633" t="s">
        <v>38</v>
      </c>
      <c r="Q453" s="564">
        <f>270*1000000</f>
        <v>270000000</v>
      </c>
      <c r="R453" s="634" t="s">
        <v>38</v>
      </c>
      <c r="S453" s="55"/>
      <c r="T453" s="576"/>
      <c r="U453" s="593"/>
      <c r="V453" s="593"/>
      <c r="W453" s="593"/>
      <c r="X453" s="613"/>
      <c r="Y453" s="613"/>
      <c r="Z453" s="613"/>
      <c r="AA453" s="613"/>
      <c r="AC453" s="579"/>
      <c r="AD453" s="579"/>
      <c r="AE453" s="579"/>
      <c r="AF453" s="579"/>
      <c r="AG453" s="579"/>
      <c r="AH453" s="579"/>
      <c r="AI453" s="579"/>
      <c r="AJ453" s="579"/>
      <c r="AK453" s="579"/>
      <c r="AL453" s="579"/>
    </row>
    <row r="454" spans="1:38" ht="13" customHeight="1">
      <c r="A454" s="564">
        <v>382</v>
      </c>
      <c r="B454" s="564" t="s">
        <v>696</v>
      </c>
      <c r="C454" s="564" t="s">
        <v>61</v>
      </c>
      <c r="D454" s="564" t="s">
        <v>62</v>
      </c>
      <c r="E454" s="564">
        <v>1200</v>
      </c>
      <c r="F454" s="564" t="s">
        <v>116</v>
      </c>
      <c r="G454" s="564" t="s">
        <v>32</v>
      </c>
      <c r="H454" s="564" t="s">
        <v>76</v>
      </c>
      <c r="I454" s="564">
        <v>5.2</v>
      </c>
      <c r="J454" s="564" t="s">
        <v>77</v>
      </c>
      <c r="K454" s="564">
        <v>1990</v>
      </c>
      <c r="L454" s="564" t="s">
        <v>369</v>
      </c>
      <c r="M454" s="564" t="s">
        <v>375</v>
      </c>
      <c r="N454" s="633" t="s">
        <v>122</v>
      </c>
      <c r="O454" s="634" t="s">
        <v>38</v>
      </c>
      <c r="P454" s="633" t="s">
        <v>38</v>
      </c>
      <c r="Q454" s="633" t="s">
        <v>38</v>
      </c>
      <c r="R454" s="634" t="s">
        <v>38</v>
      </c>
      <c r="S454" s="55"/>
      <c r="T454" s="576"/>
      <c r="U454" s="593"/>
      <c r="V454" s="593"/>
      <c r="W454" s="593"/>
      <c r="X454" s="613"/>
      <c r="Y454" s="613"/>
      <c r="Z454" s="613"/>
      <c r="AA454" s="613"/>
      <c r="AC454" s="579"/>
      <c r="AD454" s="579"/>
      <c r="AE454" s="579"/>
      <c r="AF454" s="579"/>
      <c r="AG454" s="579"/>
      <c r="AH454" s="579"/>
      <c r="AI454" s="579"/>
      <c r="AJ454" s="579"/>
      <c r="AK454" s="579"/>
      <c r="AL454" s="579"/>
    </row>
    <row r="455" spans="1:38" ht="13" customHeight="1">
      <c r="A455" s="564">
        <v>385</v>
      </c>
      <c r="B455" s="564" t="s">
        <v>377</v>
      </c>
      <c r="C455" s="564" t="s">
        <v>61</v>
      </c>
      <c r="D455" s="564" t="s">
        <v>326</v>
      </c>
      <c r="E455" s="564" t="s">
        <v>378</v>
      </c>
      <c r="F455" s="564" t="s">
        <v>116</v>
      </c>
      <c r="G455" s="564" t="s">
        <v>32</v>
      </c>
      <c r="H455" s="564" t="s">
        <v>33</v>
      </c>
      <c r="I455" s="564">
        <f>(27.7+38)*1000000</f>
        <v>65700000</v>
      </c>
      <c r="J455" s="564" t="s">
        <v>34</v>
      </c>
      <c r="K455" s="564">
        <v>1982</v>
      </c>
      <c r="L455" s="564" t="s">
        <v>379</v>
      </c>
      <c r="M455" s="564" t="s">
        <v>380</v>
      </c>
      <c r="N455" s="633" t="s">
        <v>122</v>
      </c>
      <c r="O455" s="633" t="s">
        <v>38</v>
      </c>
      <c r="P455" s="633" t="s">
        <v>38</v>
      </c>
      <c r="Q455" s="633" t="s">
        <v>38</v>
      </c>
      <c r="R455" s="634" t="s">
        <v>38</v>
      </c>
      <c r="S455" s="55"/>
      <c r="T455" s="609"/>
      <c r="U455" s="609"/>
      <c r="V455" s="609"/>
      <c r="W455" s="609"/>
      <c r="X455" s="613"/>
      <c r="Y455" s="613"/>
      <c r="Z455" s="613"/>
      <c r="AA455" s="613"/>
      <c r="AB455" s="569"/>
      <c r="AC455" s="569"/>
      <c r="AD455" s="569"/>
      <c r="AE455" s="569"/>
      <c r="AF455" s="569"/>
      <c r="AG455" s="569"/>
      <c r="AH455" s="569"/>
      <c r="AI455" s="569"/>
      <c r="AJ455" s="569"/>
      <c r="AK455" s="569"/>
      <c r="AL455" s="569"/>
    </row>
    <row r="456" spans="1:38" ht="13" customHeight="1">
      <c r="A456" s="564">
        <v>386</v>
      </c>
      <c r="B456" s="564" t="s">
        <v>377</v>
      </c>
      <c r="C456" s="564" t="s">
        <v>61</v>
      </c>
      <c r="D456" s="564" t="s">
        <v>326</v>
      </c>
      <c r="E456" s="564" t="s">
        <v>378</v>
      </c>
      <c r="F456" s="564" t="s">
        <v>115</v>
      </c>
      <c r="G456" s="564" t="s">
        <v>32</v>
      </c>
      <c r="H456" s="564" t="s">
        <v>33</v>
      </c>
      <c r="I456" s="564">
        <f>17.2*1000000</f>
        <v>17200000</v>
      </c>
      <c r="J456" s="564" t="s">
        <v>34</v>
      </c>
      <c r="K456" s="564">
        <v>1982</v>
      </c>
      <c r="L456" s="564" t="s">
        <v>379</v>
      </c>
      <c r="M456" s="564" t="s">
        <v>720</v>
      </c>
      <c r="N456" s="633" t="s">
        <v>122</v>
      </c>
      <c r="O456" s="633" t="s">
        <v>38</v>
      </c>
      <c r="P456" s="633" t="s">
        <v>38</v>
      </c>
      <c r="Q456" s="633" t="s">
        <v>38</v>
      </c>
      <c r="R456" s="634" t="s">
        <v>38</v>
      </c>
      <c r="S456" s="55"/>
      <c r="T456" s="609"/>
      <c r="U456" s="609"/>
      <c r="V456" s="609"/>
      <c r="W456" s="609"/>
      <c r="X456" s="613"/>
      <c r="Y456" s="613"/>
      <c r="Z456" s="613"/>
      <c r="AA456" s="613"/>
      <c r="AB456" s="569"/>
      <c r="AC456" s="569"/>
      <c r="AD456" s="569"/>
      <c r="AE456" s="569"/>
      <c r="AF456" s="569"/>
      <c r="AG456" s="569"/>
      <c r="AH456" s="569"/>
      <c r="AI456" s="569"/>
      <c r="AJ456" s="569"/>
      <c r="AK456" s="569"/>
      <c r="AL456" s="569"/>
    </row>
    <row r="457" spans="1:38" ht="13" customHeight="1">
      <c r="A457" s="564">
        <v>387</v>
      </c>
      <c r="B457" s="564" t="s">
        <v>377</v>
      </c>
      <c r="C457" s="564" t="s">
        <v>61</v>
      </c>
      <c r="D457" s="564" t="s">
        <v>326</v>
      </c>
      <c r="E457" s="564" t="s">
        <v>378</v>
      </c>
      <c r="F457" s="564" t="s">
        <v>381</v>
      </c>
      <c r="G457" s="564" t="s">
        <v>32</v>
      </c>
      <c r="H457" s="564" t="s">
        <v>76</v>
      </c>
      <c r="I457" s="564">
        <f>((239.7-97.6)*1000000)/10800</f>
        <v>13157.407407407407</v>
      </c>
      <c r="J457" s="564" t="s">
        <v>382</v>
      </c>
      <c r="K457" s="564">
        <v>1982</v>
      </c>
      <c r="L457" s="564" t="s">
        <v>379</v>
      </c>
      <c r="M457" s="564" t="s">
        <v>383</v>
      </c>
      <c r="N457" s="634" t="s">
        <v>38</v>
      </c>
      <c r="O457" s="634" t="s">
        <v>38</v>
      </c>
      <c r="P457" s="633" t="s">
        <v>38</v>
      </c>
      <c r="Q457" s="633" t="s">
        <v>38</v>
      </c>
      <c r="R457" s="634" t="s">
        <v>38</v>
      </c>
      <c r="S457" s="55"/>
      <c r="T457" s="609"/>
      <c r="U457" s="609"/>
      <c r="V457" s="609"/>
      <c r="W457" s="609"/>
      <c r="X457" s="613"/>
      <c r="Y457" s="613"/>
      <c r="Z457" s="613"/>
      <c r="AA457" s="613"/>
      <c r="AB457" s="569"/>
      <c r="AC457" s="569"/>
      <c r="AD457" s="569"/>
      <c r="AE457" s="569"/>
      <c r="AF457" s="569"/>
      <c r="AG457" s="569"/>
      <c r="AH457" s="569"/>
      <c r="AI457" s="569"/>
      <c r="AJ457" s="569"/>
      <c r="AK457" s="569"/>
      <c r="AL457" s="569"/>
    </row>
    <row r="458" spans="1:38" ht="13" customHeight="1">
      <c r="A458" s="564">
        <v>388</v>
      </c>
      <c r="B458" s="564" t="s">
        <v>377</v>
      </c>
      <c r="C458" s="564" t="s">
        <v>61</v>
      </c>
      <c r="D458" s="564" t="s">
        <v>326</v>
      </c>
      <c r="E458" s="564" t="s">
        <v>378</v>
      </c>
      <c r="F458" s="564" t="s">
        <v>31</v>
      </c>
      <c r="G458" s="564" t="s">
        <v>32</v>
      </c>
      <c r="H458" s="564" t="s">
        <v>33</v>
      </c>
      <c r="I458" s="564">
        <v>1502000000</v>
      </c>
      <c r="J458" s="564" t="s">
        <v>34</v>
      </c>
      <c r="K458" s="564">
        <v>1982</v>
      </c>
      <c r="L458" s="564" t="s">
        <v>379</v>
      </c>
      <c r="M458" s="565" t="s">
        <v>384</v>
      </c>
      <c r="N458" s="632" t="s">
        <v>710</v>
      </c>
      <c r="O458" s="633" t="s">
        <v>38</v>
      </c>
      <c r="P458" s="633" t="s">
        <v>38</v>
      </c>
      <c r="Q458" s="633" t="s">
        <v>38</v>
      </c>
      <c r="R458" s="634" t="s">
        <v>38</v>
      </c>
      <c r="S458" s="55"/>
      <c r="T458" s="609"/>
      <c r="U458" s="609"/>
      <c r="V458" s="609"/>
      <c r="W458" s="609"/>
      <c r="X458" s="613"/>
      <c r="Y458" s="613"/>
      <c r="Z458" s="613"/>
      <c r="AA458" s="613"/>
      <c r="AB458" s="620"/>
      <c r="AC458" s="579"/>
      <c r="AD458" s="579"/>
      <c r="AE458" s="579"/>
      <c r="AF458" s="579"/>
      <c r="AG458" s="579"/>
      <c r="AH458" s="579"/>
      <c r="AI458" s="579"/>
      <c r="AJ458" s="579"/>
      <c r="AK458" s="579"/>
      <c r="AL458" s="579"/>
    </row>
    <row r="459" spans="1:38" ht="13" customHeight="1">
      <c r="A459" s="564">
        <v>389</v>
      </c>
      <c r="B459" s="567" t="s">
        <v>385</v>
      </c>
      <c r="C459" s="567" t="s">
        <v>61</v>
      </c>
      <c r="D459" s="567" t="s">
        <v>62</v>
      </c>
      <c r="E459" s="567">
        <v>1200</v>
      </c>
      <c r="F459" s="567" t="s">
        <v>116</v>
      </c>
      <c r="G459" s="564" t="s">
        <v>52</v>
      </c>
      <c r="H459" s="567" t="s">
        <v>33</v>
      </c>
      <c r="I459" s="567">
        <v>49100000</v>
      </c>
      <c r="J459" s="567" t="s">
        <v>34</v>
      </c>
      <c r="K459" s="567">
        <v>1982</v>
      </c>
      <c r="L459" s="567" t="s">
        <v>693</v>
      </c>
      <c r="M459" s="567"/>
      <c r="N459" s="633" t="s">
        <v>122</v>
      </c>
      <c r="O459" s="633" t="s">
        <v>38</v>
      </c>
      <c r="P459" s="633" t="s">
        <v>38</v>
      </c>
      <c r="Q459" s="633" t="s">
        <v>38</v>
      </c>
      <c r="R459" s="634" t="s">
        <v>38</v>
      </c>
      <c r="S459" s="55"/>
      <c r="T459" s="623"/>
      <c r="U459" s="623"/>
      <c r="V459" s="623"/>
      <c r="W459" s="623"/>
      <c r="X459" s="624"/>
      <c r="Y459" s="624"/>
      <c r="Z459" s="624"/>
      <c r="AA459" s="624"/>
      <c r="AB459" s="620"/>
      <c r="AC459" s="579"/>
      <c r="AD459" s="579"/>
      <c r="AE459" s="579"/>
      <c r="AF459" s="579"/>
      <c r="AG459" s="579"/>
      <c r="AH459" s="579"/>
      <c r="AI459" s="579"/>
      <c r="AJ459" s="579"/>
      <c r="AK459" s="579"/>
      <c r="AL459" s="579"/>
    </row>
    <row r="460" spans="1:38" ht="13" customHeight="1">
      <c r="A460" s="564">
        <v>507</v>
      </c>
      <c r="B460" s="564" t="s">
        <v>385</v>
      </c>
      <c r="C460" s="564" t="s">
        <v>61</v>
      </c>
      <c r="D460" s="564" t="s">
        <v>62</v>
      </c>
      <c r="E460" s="564">
        <v>1200</v>
      </c>
      <c r="F460" s="564" t="s">
        <v>690</v>
      </c>
      <c r="G460" s="564" t="s">
        <v>52</v>
      </c>
      <c r="H460" s="564" t="s">
        <v>76</v>
      </c>
      <c r="I460" s="564">
        <v>1</v>
      </c>
      <c r="J460" s="564" t="s">
        <v>77</v>
      </c>
      <c r="K460" s="564">
        <v>1983</v>
      </c>
      <c r="L460" s="564" t="s">
        <v>693</v>
      </c>
      <c r="M460" s="564"/>
      <c r="N460" s="634" t="s">
        <v>38</v>
      </c>
      <c r="O460" s="634" t="s">
        <v>38</v>
      </c>
      <c r="P460" s="633" t="s">
        <v>38</v>
      </c>
      <c r="Q460" s="633" t="s">
        <v>38</v>
      </c>
      <c r="R460" s="634" t="s">
        <v>38</v>
      </c>
      <c r="S460" s="55"/>
      <c r="T460" s="623"/>
      <c r="U460" s="623"/>
      <c r="V460" s="623"/>
      <c r="W460" s="623"/>
      <c r="X460" s="624"/>
      <c r="Y460" s="624"/>
      <c r="Z460" s="624"/>
      <c r="AA460" s="624"/>
      <c r="AC460" s="579"/>
      <c r="AD460" s="579"/>
      <c r="AE460" s="579"/>
      <c r="AF460" s="579"/>
      <c r="AG460" s="579"/>
      <c r="AH460" s="579"/>
      <c r="AI460" s="579"/>
      <c r="AJ460" s="579"/>
      <c r="AK460" s="579"/>
      <c r="AL460" s="579"/>
    </row>
    <row r="461" spans="1:38" ht="13" customHeight="1">
      <c r="A461" s="564">
        <v>390</v>
      </c>
      <c r="B461" s="564" t="s">
        <v>387</v>
      </c>
      <c r="C461" s="564" t="s">
        <v>30</v>
      </c>
      <c r="D461" s="564" t="s">
        <v>815</v>
      </c>
      <c r="E461" s="564">
        <v>1083</v>
      </c>
      <c r="F461" s="564" t="s">
        <v>31</v>
      </c>
      <c r="G461" s="567" t="s">
        <v>52</v>
      </c>
      <c r="H461" s="564" t="s">
        <v>33</v>
      </c>
      <c r="I461" s="564">
        <f>(4654.7-423.2)*1000000</f>
        <v>4231500000</v>
      </c>
      <c r="J461" s="564" t="s">
        <v>34</v>
      </c>
      <c r="K461" s="564">
        <v>1988</v>
      </c>
      <c r="L461" s="564" t="s">
        <v>386</v>
      </c>
      <c r="M461" s="564" t="s">
        <v>389</v>
      </c>
      <c r="N461" s="634" t="s">
        <v>38</v>
      </c>
      <c r="O461" s="634" t="s">
        <v>38</v>
      </c>
      <c r="P461" s="633" t="s">
        <v>38</v>
      </c>
      <c r="Q461" s="564">
        <f>423.2*1000000</f>
        <v>423200000</v>
      </c>
      <c r="R461" s="634" t="s">
        <v>38</v>
      </c>
      <c r="S461" s="55"/>
      <c r="T461" s="576"/>
      <c r="U461" s="575"/>
      <c r="V461" s="575"/>
      <c r="W461" s="625"/>
      <c r="X461" s="626"/>
      <c r="Y461" s="626"/>
      <c r="Z461" s="626"/>
      <c r="AA461" s="626"/>
      <c r="AC461" s="579"/>
      <c r="AD461" s="579"/>
      <c r="AE461" s="579"/>
      <c r="AF461" s="579"/>
      <c r="AG461" s="579"/>
      <c r="AH461" s="579"/>
      <c r="AI461" s="579"/>
      <c r="AJ461" s="579"/>
      <c r="AK461" s="579"/>
      <c r="AL461" s="579"/>
    </row>
    <row r="462" spans="1:38" ht="13" customHeight="1">
      <c r="A462" s="564">
        <v>391</v>
      </c>
      <c r="B462" s="564" t="s">
        <v>387</v>
      </c>
      <c r="C462" s="564" t="s">
        <v>30</v>
      </c>
      <c r="D462" s="564" t="s">
        <v>815</v>
      </c>
      <c r="E462" s="564">
        <v>1083</v>
      </c>
      <c r="F462" s="564" t="s">
        <v>108</v>
      </c>
      <c r="G462" s="567" t="s">
        <v>52</v>
      </c>
      <c r="H462" s="564" t="s">
        <v>76</v>
      </c>
      <c r="I462" s="564">
        <v>9.0399999999999991</v>
      </c>
      <c r="J462" s="564" t="s">
        <v>77</v>
      </c>
      <c r="K462" s="564">
        <v>1988</v>
      </c>
      <c r="L462" s="564" t="s">
        <v>386</v>
      </c>
      <c r="M462" s="564" t="s">
        <v>390</v>
      </c>
      <c r="N462" s="634" t="s">
        <v>38</v>
      </c>
      <c r="O462" s="634" t="s">
        <v>38</v>
      </c>
      <c r="P462" s="633" t="s">
        <v>38</v>
      </c>
      <c r="Q462" s="633" t="s">
        <v>38</v>
      </c>
      <c r="R462" s="634" t="s">
        <v>38</v>
      </c>
      <c r="S462" s="55"/>
      <c r="T462" s="576"/>
      <c r="U462" s="575"/>
      <c r="V462" s="575"/>
      <c r="W462" s="625"/>
      <c r="X462" s="626"/>
      <c r="Y462" s="626"/>
      <c r="Z462" s="626"/>
      <c r="AA462" s="626"/>
      <c r="AC462" s="579"/>
      <c r="AD462" s="579"/>
      <c r="AE462" s="579"/>
      <c r="AF462" s="579"/>
      <c r="AG462" s="579"/>
      <c r="AH462" s="579"/>
      <c r="AI462" s="579"/>
      <c r="AJ462" s="579"/>
      <c r="AK462" s="579"/>
      <c r="AL462" s="579"/>
    </row>
    <row r="463" spans="1:38" ht="13" customHeight="1">
      <c r="A463" s="564">
        <v>392</v>
      </c>
      <c r="B463" s="564" t="s">
        <v>387</v>
      </c>
      <c r="C463" s="564" t="s">
        <v>30</v>
      </c>
      <c r="D463" s="564" t="s">
        <v>815</v>
      </c>
      <c r="E463" s="564">
        <v>1083</v>
      </c>
      <c r="F463" s="564" t="s">
        <v>391</v>
      </c>
      <c r="G463" s="567" t="s">
        <v>52</v>
      </c>
      <c r="H463" s="564" t="s">
        <v>76</v>
      </c>
      <c r="I463" s="564">
        <v>2.2400000000000002</v>
      </c>
      <c r="J463" s="564" t="s">
        <v>77</v>
      </c>
      <c r="K463" s="564">
        <v>1988</v>
      </c>
      <c r="L463" s="564" t="s">
        <v>386</v>
      </c>
      <c r="M463" s="565" t="s">
        <v>840</v>
      </c>
      <c r="N463" s="634" t="s">
        <v>38</v>
      </c>
      <c r="O463" s="634" t="s">
        <v>38</v>
      </c>
      <c r="P463" s="633" t="s">
        <v>38</v>
      </c>
      <c r="Q463" s="633" t="s">
        <v>38</v>
      </c>
      <c r="R463" s="634" t="s">
        <v>38</v>
      </c>
      <c r="S463" s="55"/>
      <c r="T463" s="576"/>
      <c r="U463" s="575"/>
      <c r="V463" s="575"/>
      <c r="W463" s="625"/>
      <c r="X463" s="626"/>
      <c r="Y463" s="626"/>
      <c r="Z463" s="626"/>
      <c r="AA463" s="626"/>
      <c r="AC463" s="579"/>
      <c r="AD463" s="579"/>
      <c r="AE463" s="579"/>
      <c r="AF463" s="579"/>
      <c r="AG463" s="579"/>
      <c r="AH463" s="579"/>
      <c r="AI463" s="579"/>
      <c r="AJ463" s="579"/>
      <c r="AK463" s="579"/>
      <c r="AL463" s="579"/>
    </row>
    <row r="464" spans="1:38" ht="13" customHeight="1">
      <c r="A464" s="564">
        <v>393</v>
      </c>
      <c r="B464" s="564" t="s">
        <v>387</v>
      </c>
      <c r="C464" s="564" t="s">
        <v>30</v>
      </c>
      <c r="D464" s="564" t="s">
        <v>815</v>
      </c>
      <c r="E464" s="564">
        <v>1083</v>
      </c>
      <c r="F464" s="564" t="s">
        <v>63</v>
      </c>
      <c r="G464" s="567" t="s">
        <v>52</v>
      </c>
      <c r="H464" s="564" t="s">
        <v>76</v>
      </c>
      <c r="I464" s="564">
        <v>0.01</v>
      </c>
      <c r="J464" s="564" t="s">
        <v>77</v>
      </c>
      <c r="K464" s="564">
        <v>1988</v>
      </c>
      <c r="L464" s="564" t="s">
        <v>386</v>
      </c>
      <c r="M464" s="565" t="s">
        <v>841</v>
      </c>
      <c r="N464" s="634" t="s">
        <v>38</v>
      </c>
      <c r="O464" s="634" t="s">
        <v>38</v>
      </c>
      <c r="P464" s="633" t="s">
        <v>38</v>
      </c>
      <c r="Q464" s="633" t="s">
        <v>38</v>
      </c>
      <c r="R464" s="634" t="s">
        <v>38</v>
      </c>
      <c r="S464" s="55"/>
      <c r="T464" s="576"/>
      <c r="U464" s="575"/>
      <c r="V464" s="575"/>
      <c r="W464" s="625"/>
      <c r="X464" s="626"/>
      <c r="Y464" s="626"/>
      <c r="Z464" s="626"/>
      <c r="AA464" s="626"/>
      <c r="AC464" s="579"/>
      <c r="AD464" s="579"/>
      <c r="AE464" s="579"/>
      <c r="AF464" s="579"/>
      <c r="AG464" s="579"/>
      <c r="AH464" s="579"/>
      <c r="AI464" s="579"/>
      <c r="AJ464" s="579"/>
      <c r="AK464" s="579"/>
      <c r="AL464" s="579"/>
    </row>
    <row r="465" spans="1:38" ht="13" customHeight="1">
      <c r="A465" s="564">
        <v>394</v>
      </c>
      <c r="B465" s="567" t="s">
        <v>392</v>
      </c>
      <c r="C465" s="567" t="s">
        <v>81</v>
      </c>
      <c r="D465" s="567" t="s">
        <v>81</v>
      </c>
      <c r="E465" s="567" t="s">
        <v>81</v>
      </c>
      <c r="F465" s="567" t="s">
        <v>31</v>
      </c>
      <c r="G465" s="567" t="s">
        <v>57</v>
      </c>
      <c r="H465" s="567" t="s">
        <v>76</v>
      </c>
      <c r="I465" s="567">
        <v>5000</v>
      </c>
      <c r="J465" s="567" t="s">
        <v>82</v>
      </c>
      <c r="K465" s="567">
        <v>2018</v>
      </c>
      <c r="L465" s="567" t="s">
        <v>393</v>
      </c>
      <c r="M465" s="567" t="s">
        <v>394</v>
      </c>
      <c r="N465" s="646" t="s">
        <v>38</v>
      </c>
      <c r="O465" s="646" t="s">
        <v>38</v>
      </c>
      <c r="P465" s="646" t="s">
        <v>38</v>
      </c>
      <c r="Q465" s="633" t="s">
        <v>38</v>
      </c>
      <c r="R465" s="634" t="s">
        <v>38</v>
      </c>
      <c r="S465" s="55"/>
      <c r="T465" s="589"/>
      <c r="U465" s="589"/>
      <c r="V465" s="589"/>
      <c r="W465" s="589"/>
      <c r="X465" s="627"/>
      <c r="Y465" s="627"/>
      <c r="Z465" s="627"/>
      <c r="AA465" s="627"/>
      <c r="AC465" s="579"/>
      <c r="AD465" s="579"/>
      <c r="AE465" s="579"/>
      <c r="AF465" s="579"/>
      <c r="AG465" s="579"/>
      <c r="AH465" s="579"/>
      <c r="AI465" s="579"/>
      <c r="AJ465" s="579"/>
      <c r="AK465" s="579"/>
      <c r="AL465" s="579"/>
    </row>
    <row r="466" spans="1:38" ht="13" customHeight="1">
      <c r="A466" s="564">
        <v>395</v>
      </c>
      <c r="B466" s="567" t="s">
        <v>395</v>
      </c>
      <c r="C466" s="567" t="s">
        <v>81</v>
      </c>
      <c r="D466" s="567" t="s">
        <v>81</v>
      </c>
      <c r="E466" s="567" t="s">
        <v>81</v>
      </c>
      <c r="F466" s="567" t="s">
        <v>31</v>
      </c>
      <c r="G466" s="567" t="s">
        <v>57</v>
      </c>
      <c r="H466" s="567" t="s">
        <v>76</v>
      </c>
      <c r="I466" s="567">
        <v>7000</v>
      </c>
      <c r="J466" s="567" t="s">
        <v>82</v>
      </c>
      <c r="K466" s="567">
        <v>2018</v>
      </c>
      <c r="L466" s="567" t="s">
        <v>393</v>
      </c>
      <c r="M466" s="567" t="s">
        <v>394</v>
      </c>
      <c r="N466" s="646" t="s">
        <v>38</v>
      </c>
      <c r="O466" s="646" t="s">
        <v>38</v>
      </c>
      <c r="P466" s="646" t="s">
        <v>38</v>
      </c>
      <c r="Q466" s="633" t="s">
        <v>38</v>
      </c>
      <c r="R466" s="634" t="s">
        <v>38</v>
      </c>
      <c r="S466" s="55"/>
      <c r="T466" s="589"/>
      <c r="U466" s="589"/>
      <c r="V466" s="589"/>
      <c r="W466" s="589"/>
      <c r="X466" s="627"/>
      <c r="Y466" s="627"/>
      <c r="Z466" s="627"/>
      <c r="AA466" s="627"/>
      <c r="AC466" s="579"/>
      <c r="AD466" s="579"/>
      <c r="AE466" s="579"/>
      <c r="AF466" s="579"/>
      <c r="AG466" s="579"/>
      <c r="AH466" s="579"/>
      <c r="AI466" s="579"/>
      <c r="AJ466" s="579"/>
      <c r="AK466" s="579"/>
      <c r="AL466" s="579"/>
    </row>
    <row r="467" spans="1:38" ht="13" customHeight="1">
      <c r="A467" s="564">
        <v>396</v>
      </c>
      <c r="B467" s="567" t="s">
        <v>396</v>
      </c>
      <c r="C467" s="567" t="s">
        <v>81</v>
      </c>
      <c r="D467" s="567" t="s">
        <v>81</v>
      </c>
      <c r="E467" s="567" t="s">
        <v>81</v>
      </c>
      <c r="F467" s="567" t="s">
        <v>31</v>
      </c>
      <c r="G467" s="567" t="s">
        <v>57</v>
      </c>
      <c r="H467" s="567" t="s">
        <v>76</v>
      </c>
      <c r="I467" s="567">
        <v>10000</v>
      </c>
      <c r="J467" s="567" t="s">
        <v>82</v>
      </c>
      <c r="K467" s="567">
        <v>2018</v>
      </c>
      <c r="L467" s="567" t="s">
        <v>393</v>
      </c>
      <c r="M467" s="567" t="s">
        <v>394</v>
      </c>
      <c r="N467" s="646" t="s">
        <v>38</v>
      </c>
      <c r="O467" s="646" t="s">
        <v>38</v>
      </c>
      <c r="P467" s="646" t="s">
        <v>38</v>
      </c>
      <c r="Q467" s="633" t="s">
        <v>38</v>
      </c>
      <c r="R467" s="634" t="s">
        <v>38</v>
      </c>
      <c r="S467" s="55"/>
      <c r="T467" s="589"/>
      <c r="U467" s="589"/>
      <c r="V467" s="589"/>
      <c r="W467" s="589"/>
      <c r="X467" s="627"/>
      <c r="Y467" s="627"/>
      <c r="Z467" s="627"/>
      <c r="AA467" s="627"/>
      <c r="AC467" s="579"/>
      <c r="AD467" s="579"/>
      <c r="AE467" s="579"/>
      <c r="AF467" s="579"/>
      <c r="AG467" s="579"/>
      <c r="AH467" s="579"/>
      <c r="AI467" s="579"/>
      <c r="AJ467" s="579"/>
      <c r="AK467" s="579"/>
      <c r="AL467" s="579"/>
    </row>
    <row r="468" spans="1:38" ht="13" customHeight="1">
      <c r="A468" s="564">
        <v>36</v>
      </c>
      <c r="B468" s="564" t="s">
        <v>114</v>
      </c>
      <c r="C468" s="564" t="s">
        <v>61</v>
      </c>
      <c r="D468" s="564" t="s">
        <v>62</v>
      </c>
      <c r="E468" s="564">
        <v>1000</v>
      </c>
      <c r="F468" s="564" t="s">
        <v>493</v>
      </c>
      <c r="G468" s="564" t="s">
        <v>52</v>
      </c>
      <c r="H468" s="564" t="s">
        <v>76</v>
      </c>
      <c r="I468" s="564">
        <v>0.5</v>
      </c>
      <c r="J468" s="564" t="s">
        <v>77</v>
      </c>
      <c r="K468" s="564">
        <v>1988</v>
      </c>
      <c r="L468" s="564" t="s">
        <v>597</v>
      </c>
      <c r="M468" s="564"/>
      <c r="N468" s="634" t="s">
        <v>38</v>
      </c>
      <c r="O468" s="634" t="s">
        <v>38</v>
      </c>
      <c r="P468" s="633" t="s">
        <v>38</v>
      </c>
      <c r="Q468" s="633" t="s">
        <v>38</v>
      </c>
      <c r="R468" s="633" t="s">
        <v>38</v>
      </c>
      <c r="S468" s="55"/>
      <c r="T468" s="574"/>
      <c r="U468" s="575"/>
      <c r="V468" s="575"/>
      <c r="W468" s="575"/>
      <c r="X468" s="579"/>
      <c r="Y468" s="579"/>
      <c r="Z468" s="579"/>
      <c r="AA468" s="579"/>
      <c r="AC468" s="579"/>
      <c r="AD468" s="579"/>
      <c r="AE468" s="579"/>
      <c r="AF468" s="579"/>
      <c r="AG468" s="579"/>
      <c r="AH468" s="579"/>
      <c r="AI468" s="579"/>
      <c r="AJ468" s="579"/>
      <c r="AK468" s="579"/>
      <c r="AL468" s="579"/>
    </row>
    <row r="469" spans="1:38" ht="13" customHeight="1">
      <c r="A469" s="564">
        <v>37</v>
      </c>
      <c r="B469" s="564" t="s">
        <v>114</v>
      </c>
      <c r="C469" s="564" t="s">
        <v>61</v>
      </c>
      <c r="D469" s="564" t="s">
        <v>62</v>
      </c>
      <c r="E469" s="564">
        <v>1000</v>
      </c>
      <c r="F469" s="564" t="s">
        <v>63</v>
      </c>
      <c r="G469" s="564" t="s">
        <v>52</v>
      </c>
      <c r="H469" s="564" t="s">
        <v>76</v>
      </c>
      <c r="I469" s="564">
        <v>0.04</v>
      </c>
      <c r="J469" s="564" t="s">
        <v>77</v>
      </c>
      <c r="K469" s="564">
        <v>1988</v>
      </c>
      <c r="L469" s="564" t="s">
        <v>597</v>
      </c>
      <c r="M469" s="564"/>
      <c r="N469" s="634" t="s">
        <v>38</v>
      </c>
      <c r="O469" s="634" t="s">
        <v>38</v>
      </c>
      <c r="P469" s="633" t="s">
        <v>38</v>
      </c>
      <c r="Q469" s="633" t="s">
        <v>38</v>
      </c>
      <c r="R469" s="633" t="s">
        <v>38</v>
      </c>
      <c r="S469" s="55"/>
      <c r="T469" s="574"/>
      <c r="U469" s="575"/>
      <c r="V469" s="575"/>
      <c r="W469" s="575"/>
      <c r="X469" s="579"/>
      <c r="Y469" s="579"/>
      <c r="Z469" s="579"/>
      <c r="AA469" s="579"/>
      <c r="AC469" s="579"/>
      <c r="AD469" s="579"/>
      <c r="AE469" s="579"/>
      <c r="AF469" s="579"/>
      <c r="AG469" s="579"/>
      <c r="AH469" s="579"/>
      <c r="AI469" s="579"/>
      <c r="AJ469" s="579"/>
      <c r="AK469" s="579"/>
      <c r="AL469" s="579"/>
    </row>
    <row r="470" spans="1:38" ht="13" customHeight="1">
      <c r="A470" s="564">
        <v>38</v>
      </c>
      <c r="B470" s="564" t="s">
        <v>114</v>
      </c>
      <c r="C470" s="564" t="s">
        <v>61</v>
      </c>
      <c r="D470" s="564" t="s">
        <v>62</v>
      </c>
      <c r="E470" s="564">
        <v>1000</v>
      </c>
      <c r="F470" s="564" t="s">
        <v>115</v>
      </c>
      <c r="G470" s="564" t="s">
        <v>52</v>
      </c>
      <c r="H470" s="564" t="s">
        <v>76</v>
      </c>
      <c r="I470" s="564">
        <v>5.6</v>
      </c>
      <c r="J470" s="564" t="s">
        <v>77</v>
      </c>
      <c r="K470" s="564">
        <v>1988</v>
      </c>
      <c r="L470" s="564" t="s">
        <v>597</v>
      </c>
      <c r="M470" s="564"/>
      <c r="N470" s="634" t="s">
        <v>38</v>
      </c>
      <c r="O470" s="634" t="s">
        <v>38</v>
      </c>
      <c r="P470" s="633" t="s">
        <v>38</v>
      </c>
      <c r="Q470" s="633" t="s">
        <v>38</v>
      </c>
      <c r="R470" s="633" t="s">
        <v>38</v>
      </c>
      <c r="S470" s="55"/>
      <c r="T470" s="574"/>
      <c r="U470" s="575"/>
      <c r="V470" s="575"/>
      <c r="W470" s="575"/>
      <c r="X470" s="579"/>
      <c r="Y470" s="579"/>
      <c r="Z470" s="579"/>
      <c r="AA470" s="579"/>
      <c r="AC470" s="579"/>
      <c r="AD470" s="579"/>
      <c r="AE470" s="579"/>
      <c r="AF470" s="579"/>
      <c r="AG470" s="579"/>
      <c r="AH470" s="579"/>
      <c r="AI470" s="579"/>
      <c r="AJ470" s="579"/>
      <c r="AK470" s="579"/>
      <c r="AL470" s="579"/>
    </row>
    <row r="471" spans="1:38" ht="13" customHeight="1">
      <c r="A471" s="564">
        <v>39</v>
      </c>
      <c r="B471" s="564" t="s">
        <v>114</v>
      </c>
      <c r="C471" s="564" t="s">
        <v>61</v>
      </c>
      <c r="D471" s="564" t="s">
        <v>62</v>
      </c>
      <c r="E471" s="564">
        <v>1000</v>
      </c>
      <c r="F471" s="564" t="s">
        <v>116</v>
      </c>
      <c r="G471" s="564" t="s">
        <v>52</v>
      </c>
      <c r="H471" s="564" t="s">
        <v>76</v>
      </c>
      <c r="I471" s="564">
        <v>6.7</v>
      </c>
      <c r="J471" s="564" t="s">
        <v>77</v>
      </c>
      <c r="K471" s="564">
        <v>1988</v>
      </c>
      <c r="L471" s="564" t="s">
        <v>597</v>
      </c>
      <c r="M471" s="564"/>
      <c r="N471" s="634" t="s">
        <v>38</v>
      </c>
      <c r="O471" s="634" t="s">
        <v>38</v>
      </c>
      <c r="P471" s="633" t="s">
        <v>38</v>
      </c>
      <c r="Q471" s="633" t="s">
        <v>38</v>
      </c>
      <c r="R471" s="633" t="s">
        <v>38</v>
      </c>
      <c r="S471" s="55"/>
      <c r="T471" s="574"/>
      <c r="U471" s="575"/>
      <c r="V471" s="575"/>
      <c r="W471" s="575"/>
      <c r="X471" s="579"/>
      <c r="Y471" s="579"/>
      <c r="Z471" s="579"/>
      <c r="AA471" s="579"/>
      <c r="AC471" s="579"/>
      <c r="AD471" s="579"/>
      <c r="AE471" s="579"/>
      <c r="AF471" s="579"/>
      <c r="AG471" s="579"/>
      <c r="AH471" s="579"/>
      <c r="AI471" s="579"/>
      <c r="AJ471" s="579"/>
      <c r="AK471" s="579"/>
      <c r="AL471" s="579"/>
    </row>
    <row r="472" spans="1:38" ht="13" customHeight="1">
      <c r="A472" s="564">
        <v>40</v>
      </c>
      <c r="B472" s="564" t="s">
        <v>114</v>
      </c>
      <c r="C472" s="564" t="s">
        <v>61</v>
      </c>
      <c r="D472" s="564" t="s">
        <v>62</v>
      </c>
      <c r="E472" s="564">
        <v>1000</v>
      </c>
      <c r="F472" s="564" t="s">
        <v>31</v>
      </c>
      <c r="G472" s="564" t="s">
        <v>52</v>
      </c>
      <c r="H472" s="564" t="s">
        <v>33</v>
      </c>
      <c r="I472" s="564">
        <f>(3616.9-512.8-214.1)*1000000</f>
        <v>2890000000.0000005</v>
      </c>
      <c r="J472" s="564" t="s">
        <v>34</v>
      </c>
      <c r="K472" s="564">
        <v>1988</v>
      </c>
      <c r="L472" s="564" t="s">
        <v>597</v>
      </c>
      <c r="M472" s="564" t="s">
        <v>117</v>
      </c>
      <c r="N472" s="632">
        <v>0.76</v>
      </c>
      <c r="O472" s="564" t="s">
        <v>84</v>
      </c>
      <c r="P472" s="633" t="s">
        <v>38</v>
      </c>
      <c r="Q472" s="633">
        <f>214.1*1000000</f>
        <v>214100000</v>
      </c>
      <c r="R472" s="633" t="s">
        <v>38</v>
      </c>
      <c r="S472" s="55"/>
      <c r="T472" s="574"/>
      <c r="U472" s="575"/>
      <c r="V472" s="575"/>
      <c r="W472" s="575"/>
      <c r="X472" s="579"/>
      <c r="Y472" s="579"/>
      <c r="Z472" s="579"/>
      <c r="AA472" s="579"/>
      <c r="AC472" s="579"/>
      <c r="AD472" s="579"/>
      <c r="AE472" s="579"/>
      <c r="AF472" s="579"/>
      <c r="AG472" s="579"/>
      <c r="AH472" s="579"/>
      <c r="AI472" s="579"/>
      <c r="AJ472" s="579"/>
      <c r="AK472" s="579"/>
      <c r="AL472" s="579"/>
    </row>
    <row r="473" spans="1:38" ht="13" customHeight="1">
      <c r="A473" s="564">
        <v>41</v>
      </c>
      <c r="B473" s="564" t="s">
        <v>114</v>
      </c>
      <c r="C473" s="564" t="s">
        <v>61</v>
      </c>
      <c r="D473" s="564" t="s">
        <v>62</v>
      </c>
      <c r="E473" s="564">
        <v>1000</v>
      </c>
      <c r="F473" s="564" t="s">
        <v>75</v>
      </c>
      <c r="G473" s="564" t="s">
        <v>52</v>
      </c>
      <c r="H473" s="564" t="s">
        <v>76</v>
      </c>
      <c r="I473" s="564">
        <v>65.3</v>
      </c>
      <c r="J473" s="564" t="s">
        <v>77</v>
      </c>
      <c r="K473" s="564">
        <v>1988</v>
      </c>
      <c r="L473" s="564" t="s">
        <v>597</v>
      </c>
      <c r="M473" s="564" t="s">
        <v>700</v>
      </c>
      <c r="N473" s="632">
        <v>0.76</v>
      </c>
      <c r="O473" s="564" t="s">
        <v>84</v>
      </c>
      <c r="P473" s="633" t="s">
        <v>38</v>
      </c>
      <c r="Q473" s="633" t="s">
        <v>38</v>
      </c>
      <c r="R473" s="633" t="s">
        <v>38</v>
      </c>
      <c r="S473" s="55"/>
      <c r="T473" s="574"/>
      <c r="U473" s="575"/>
      <c r="V473" s="575"/>
      <c r="W473" s="575"/>
      <c r="X473" s="579"/>
      <c r="Y473" s="579"/>
      <c r="Z473" s="579"/>
      <c r="AA473" s="579"/>
      <c r="AC473" s="579"/>
      <c r="AD473" s="579"/>
      <c r="AE473" s="579"/>
      <c r="AF473" s="579"/>
      <c r="AG473" s="579"/>
      <c r="AH473" s="579"/>
      <c r="AI473" s="579"/>
      <c r="AJ473" s="579"/>
      <c r="AK473" s="579"/>
      <c r="AL473" s="579"/>
    </row>
    <row r="474" spans="1:38" ht="13" customHeight="1">
      <c r="A474" s="564">
        <v>42</v>
      </c>
      <c r="B474" s="564" t="s">
        <v>79</v>
      </c>
      <c r="C474" s="564" t="s">
        <v>61</v>
      </c>
      <c r="D474" s="564" t="s">
        <v>62</v>
      </c>
      <c r="E474" s="564">
        <v>1000</v>
      </c>
      <c r="F474" s="564" t="s">
        <v>75</v>
      </c>
      <c r="G474" s="564" t="s">
        <v>32</v>
      </c>
      <c r="H474" s="564" t="s">
        <v>76</v>
      </c>
      <c r="I474" s="564">
        <v>90</v>
      </c>
      <c r="J474" s="564" t="s">
        <v>77</v>
      </c>
      <c r="K474" s="564">
        <v>1989</v>
      </c>
      <c r="L474" s="564" t="s">
        <v>597</v>
      </c>
      <c r="M474" s="564" t="s">
        <v>701</v>
      </c>
      <c r="N474" s="634" t="s">
        <v>38</v>
      </c>
      <c r="O474" s="564" t="s">
        <v>104</v>
      </c>
      <c r="P474" s="633" t="s">
        <v>38</v>
      </c>
      <c r="Q474" s="633" t="s">
        <v>38</v>
      </c>
      <c r="R474" s="633" t="s">
        <v>38</v>
      </c>
      <c r="S474" s="55"/>
      <c r="T474" s="574"/>
      <c r="U474" s="575"/>
      <c r="V474" s="575"/>
      <c r="W474" s="575"/>
      <c r="X474" s="579"/>
      <c r="Y474" s="579"/>
      <c r="Z474" s="579"/>
      <c r="AA474" s="579"/>
      <c r="AC474" s="579"/>
      <c r="AD474" s="579"/>
      <c r="AE474" s="579"/>
      <c r="AF474" s="579"/>
      <c r="AG474" s="579"/>
      <c r="AH474" s="579"/>
      <c r="AI474" s="579"/>
      <c r="AJ474" s="579"/>
      <c r="AK474" s="579"/>
      <c r="AL474" s="579"/>
    </row>
    <row r="475" spans="1:38" ht="13" customHeight="1">
      <c r="A475" s="564">
        <v>397</v>
      </c>
      <c r="B475" s="564" t="s">
        <v>200</v>
      </c>
      <c r="C475" s="564" t="s">
        <v>61</v>
      </c>
      <c r="D475" s="564" t="s">
        <v>62</v>
      </c>
      <c r="E475" s="564">
        <v>1000</v>
      </c>
      <c r="F475" s="564" t="s">
        <v>108</v>
      </c>
      <c r="G475" s="564" t="s">
        <v>52</v>
      </c>
      <c r="H475" s="564" t="s">
        <v>76</v>
      </c>
      <c r="I475" s="564">
        <v>75.790000000000006</v>
      </c>
      <c r="J475" s="564" t="s">
        <v>77</v>
      </c>
      <c r="K475" s="564">
        <v>1992</v>
      </c>
      <c r="L475" s="564" t="s">
        <v>397</v>
      </c>
      <c r="M475" s="564"/>
      <c r="N475" s="632" t="s">
        <v>713</v>
      </c>
      <c r="O475" s="564" t="s">
        <v>84</v>
      </c>
      <c r="P475" s="633" t="s">
        <v>38</v>
      </c>
      <c r="Q475" s="633" t="s">
        <v>38</v>
      </c>
      <c r="R475" s="634" t="s">
        <v>38</v>
      </c>
      <c r="S475" s="55"/>
      <c r="T475" s="605"/>
      <c r="U475" s="579"/>
      <c r="V475" s="579"/>
      <c r="W475" s="592"/>
      <c r="AC475" s="579"/>
      <c r="AD475" s="579"/>
      <c r="AE475" s="579"/>
      <c r="AF475" s="579"/>
      <c r="AG475" s="579"/>
      <c r="AH475" s="579"/>
      <c r="AI475" s="579"/>
      <c r="AJ475" s="579"/>
      <c r="AK475" s="579"/>
      <c r="AL475" s="579"/>
    </row>
    <row r="476" spans="1:38" ht="13" customHeight="1">
      <c r="A476" s="564">
        <v>438</v>
      </c>
      <c r="B476" s="564" t="s">
        <v>232</v>
      </c>
      <c r="C476" s="564" t="s">
        <v>61</v>
      </c>
      <c r="D476" s="564" t="s">
        <v>62</v>
      </c>
      <c r="E476" s="564">
        <v>1000</v>
      </c>
      <c r="F476" s="564" t="s">
        <v>116</v>
      </c>
      <c r="G476" s="564" t="s">
        <v>52</v>
      </c>
      <c r="H476" s="564" t="s">
        <v>76</v>
      </c>
      <c r="I476" s="564">
        <v>6.87</v>
      </c>
      <c r="J476" s="564" t="s">
        <v>77</v>
      </c>
      <c r="K476" s="564">
        <v>1992</v>
      </c>
      <c r="L476" s="564" t="s">
        <v>420</v>
      </c>
      <c r="M476" s="564"/>
      <c r="N476" s="633" t="s">
        <v>122</v>
      </c>
      <c r="O476" s="633" t="s">
        <v>38</v>
      </c>
      <c r="P476" s="633" t="s">
        <v>38</v>
      </c>
      <c r="Q476" s="633" t="s">
        <v>38</v>
      </c>
      <c r="R476" s="634" t="s">
        <v>38</v>
      </c>
      <c r="S476" s="55"/>
      <c r="T476" s="576"/>
      <c r="U476" s="575"/>
      <c r="V476" s="575"/>
      <c r="W476" s="575"/>
      <c r="X476" s="608"/>
      <c r="Y476" s="608"/>
      <c r="Z476" s="608"/>
      <c r="AA476" s="608"/>
      <c r="AC476" s="579"/>
      <c r="AD476" s="579"/>
      <c r="AE476" s="579"/>
      <c r="AF476" s="579"/>
      <c r="AG476" s="579"/>
      <c r="AH476" s="579"/>
      <c r="AI476" s="579"/>
      <c r="AJ476" s="579"/>
      <c r="AK476" s="579"/>
      <c r="AL476" s="579"/>
    </row>
    <row r="477" spans="1:38" ht="13" customHeight="1">
      <c r="A477" s="564">
        <v>439</v>
      </c>
      <c r="B477" s="564" t="s">
        <v>232</v>
      </c>
      <c r="C477" s="564" t="s">
        <v>61</v>
      </c>
      <c r="D477" s="564" t="s">
        <v>62</v>
      </c>
      <c r="E477" s="564">
        <v>1000</v>
      </c>
      <c r="F477" s="564" t="s">
        <v>115</v>
      </c>
      <c r="G477" s="564" t="s">
        <v>52</v>
      </c>
      <c r="H477" s="564" t="s">
        <v>76</v>
      </c>
      <c r="I477" s="564">
        <v>3.51</v>
      </c>
      <c r="J477" s="564" t="s">
        <v>77</v>
      </c>
      <c r="K477" s="564">
        <v>1992</v>
      </c>
      <c r="L477" s="564" t="s">
        <v>420</v>
      </c>
      <c r="M477" s="564" t="s">
        <v>665</v>
      </c>
      <c r="N477" s="633" t="s">
        <v>122</v>
      </c>
      <c r="O477" s="633" t="s">
        <v>38</v>
      </c>
      <c r="P477" s="633" t="s">
        <v>38</v>
      </c>
      <c r="Q477" s="633" t="s">
        <v>38</v>
      </c>
      <c r="R477" s="634" t="s">
        <v>38</v>
      </c>
      <c r="S477" s="55"/>
      <c r="T477" s="576"/>
      <c r="U477" s="593"/>
      <c r="V477" s="575"/>
      <c r="W477" s="575"/>
      <c r="X477" s="608"/>
      <c r="Y477" s="608"/>
      <c r="Z477" s="608"/>
      <c r="AA477" s="608"/>
      <c r="AC477" s="579"/>
      <c r="AD477" s="579"/>
      <c r="AE477" s="579"/>
      <c r="AF477" s="579"/>
      <c r="AG477" s="579"/>
      <c r="AH477" s="579"/>
      <c r="AI477" s="579"/>
      <c r="AJ477" s="579"/>
      <c r="AK477" s="579"/>
      <c r="AL477" s="579"/>
    </row>
    <row r="478" spans="1:38" ht="13" customHeight="1">
      <c r="A478" s="564">
        <v>440</v>
      </c>
      <c r="B478" s="564" t="s">
        <v>232</v>
      </c>
      <c r="C478" s="564" t="s">
        <v>61</v>
      </c>
      <c r="D478" s="564" t="s">
        <v>62</v>
      </c>
      <c r="E478" s="564">
        <v>1000</v>
      </c>
      <c r="F478" s="564" t="s">
        <v>63</v>
      </c>
      <c r="G478" s="564" t="s">
        <v>52</v>
      </c>
      <c r="H478" s="564" t="s">
        <v>76</v>
      </c>
      <c r="I478" s="564">
        <v>0.03</v>
      </c>
      <c r="J478" s="564" t="s">
        <v>77</v>
      </c>
      <c r="K478" s="564">
        <v>1992</v>
      </c>
      <c r="L478" s="564" t="s">
        <v>420</v>
      </c>
      <c r="M478" s="564"/>
      <c r="N478" s="633" t="s">
        <v>122</v>
      </c>
      <c r="O478" s="633" t="s">
        <v>38</v>
      </c>
      <c r="P478" s="633" t="s">
        <v>38</v>
      </c>
      <c r="Q478" s="633" t="s">
        <v>38</v>
      </c>
      <c r="R478" s="634" t="s">
        <v>38</v>
      </c>
      <c r="S478" s="55"/>
      <c r="T478" s="576"/>
      <c r="U478" s="593"/>
      <c r="V478" s="575"/>
      <c r="W478" s="575"/>
      <c r="X478" s="608"/>
      <c r="Y478" s="608"/>
      <c r="Z478" s="608"/>
      <c r="AA478" s="608"/>
      <c r="AC478" s="579"/>
      <c r="AD478" s="579"/>
      <c r="AE478" s="579"/>
      <c r="AF478" s="579"/>
      <c r="AG478" s="579"/>
      <c r="AH478" s="579"/>
      <c r="AI478" s="579"/>
      <c r="AJ478" s="579"/>
      <c r="AK478" s="579"/>
      <c r="AL478" s="579"/>
    </row>
    <row r="479" spans="1:38" ht="13" customHeight="1">
      <c r="A479" s="564">
        <v>441</v>
      </c>
      <c r="B479" s="564" t="s">
        <v>232</v>
      </c>
      <c r="C479" s="564" t="s">
        <v>61</v>
      </c>
      <c r="D479" s="564" t="s">
        <v>62</v>
      </c>
      <c r="E479" s="564">
        <v>1000</v>
      </c>
      <c r="F479" s="564" t="s">
        <v>493</v>
      </c>
      <c r="G479" s="564" t="s">
        <v>52</v>
      </c>
      <c r="H479" s="564" t="s">
        <v>76</v>
      </c>
      <c r="I479" s="564">
        <v>0.25</v>
      </c>
      <c r="J479" s="564" t="s">
        <v>77</v>
      </c>
      <c r="K479" s="564">
        <v>1992</v>
      </c>
      <c r="L479" s="564" t="s">
        <v>420</v>
      </c>
      <c r="M479" s="564"/>
      <c r="N479" s="634" t="s">
        <v>38</v>
      </c>
      <c r="O479" s="634" t="s">
        <v>38</v>
      </c>
      <c r="P479" s="633" t="s">
        <v>38</v>
      </c>
      <c r="Q479" s="633" t="s">
        <v>38</v>
      </c>
      <c r="R479" s="634" t="s">
        <v>38</v>
      </c>
      <c r="S479" s="55"/>
      <c r="T479" s="576"/>
      <c r="U479" s="593"/>
      <c r="V479" s="575"/>
      <c r="W479" s="575"/>
      <c r="X479" s="608"/>
      <c r="Y479" s="608"/>
      <c r="Z479" s="608"/>
      <c r="AA479" s="608"/>
      <c r="AC479" s="579"/>
      <c r="AD479" s="579"/>
      <c r="AE479" s="579"/>
      <c r="AF479" s="579"/>
      <c r="AG479" s="579"/>
      <c r="AH479" s="579"/>
      <c r="AI479" s="579"/>
      <c r="AJ479" s="579"/>
      <c r="AK479" s="579"/>
      <c r="AL479" s="579"/>
    </row>
    <row r="480" spans="1:38" ht="14.5" customHeight="1">
      <c r="A480" s="564">
        <v>442</v>
      </c>
      <c r="B480" s="564" t="s">
        <v>232</v>
      </c>
      <c r="C480" s="564" t="s">
        <v>61</v>
      </c>
      <c r="D480" s="564" t="s">
        <v>62</v>
      </c>
      <c r="E480" s="564">
        <v>1000</v>
      </c>
      <c r="F480" s="564" t="s">
        <v>31</v>
      </c>
      <c r="G480" s="564" t="s">
        <v>52</v>
      </c>
      <c r="H480" s="564" t="s">
        <v>33</v>
      </c>
      <c r="I480" s="564">
        <f>(2844-403.2-311.8)*1000000</f>
        <v>2129000000</v>
      </c>
      <c r="J480" s="564" t="s">
        <v>34</v>
      </c>
      <c r="K480" s="564">
        <v>1992</v>
      </c>
      <c r="L480" s="564" t="s">
        <v>420</v>
      </c>
      <c r="M480" s="564" t="s">
        <v>705</v>
      </c>
      <c r="N480" s="632">
        <v>0.9</v>
      </c>
      <c r="O480" s="633" t="s">
        <v>38</v>
      </c>
      <c r="P480" s="633" t="s">
        <v>38</v>
      </c>
      <c r="Q480" s="564">
        <v>311800000</v>
      </c>
      <c r="R480" s="634" t="s">
        <v>38</v>
      </c>
      <c r="S480" s="55"/>
      <c r="T480" s="576"/>
      <c r="U480" s="593"/>
      <c r="V480" s="575"/>
      <c r="W480" s="575"/>
      <c r="X480" s="608"/>
      <c r="Y480" s="608"/>
      <c r="Z480" s="608"/>
      <c r="AA480" s="608"/>
      <c r="AC480" s="579"/>
      <c r="AD480" s="579"/>
      <c r="AE480" s="579"/>
      <c r="AF480" s="579"/>
      <c r="AG480" s="579"/>
      <c r="AH480" s="579"/>
      <c r="AI480" s="579"/>
      <c r="AJ480" s="579"/>
      <c r="AK480" s="579"/>
      <c r="AL480" s="579"/>
    </row>
    <row r="481" spans="1:38" ht="13" customHeight="1">
      <c r="A481" s="564">
        <v>443</v>
      </c>
      <c r="B481" s="639" t="s">
        <v>114</v>
      </c>
      <c r="C481" s="639" t="s">
        <v>61</v>
      </c>
      <c r="D481" s="639" t="s">
        <v>421</v>
      </c>
      <c r="E481" s="640">
        <v>1000</v>
      </c>
      <c r="F481" s="639" t="s">
        <v>108</v>
      </c>
      <c r="G481" s="564" t="s">
        <v>52</v>
      </c>
      <c r="H481" s="639" t="s">
        <v>76</v>
      </c>
      <c r="I481" s="640">
        <v>100</v>
      </c>
      <c r="J481" s="639" t="s">
        <v>77</v>
      </c>
      <c r="K481" s="640">
        <v>1992</v>
      </c>
      <c r="L481" s="639" t="s">
        <v>420</v>
      </c>
      <c r="M481" s="564"/>
      <c r="N481" s="634" t="s">
        <v>38</v>
      </c>
      <c r="O481" s="634" t="s">
        <v>38</v>
      </c>
      <c r="P481" s="633" t="s">
        <v>38</v>
      </c>
      <c r="Q481" s="633" t="s">
        <v>38</v>
      </c>
      <c r="R481" s="634" t="s">
        <v>38</v>
      </c>
      <c r="S481" s="55"/>
      <c r="T481" s="576"/>
      <c r="U481" s="593"/>
      <c r="V481" s="575"/>
      <c r="W481" s="575"/>
      <c r="X481" s="608"/>
      <c r="Y481" s="608"/>
      <c r="Z481" s="608"/>
      <c r="AA481" s="608"/>
      <c r="AC481" s="579"/>
      <c r="AD481" s="579"/>
      <c r="AE481" s="579"/>
      <c r="AF481" s="579"/>
      <c r="AG481" s="579"/>
      <c r="AH481" s="579"/>
      <c r="AI481" s="579"/>
      <c r="AJ481" s="579"/>
      <c r="AK481" s="579"/>
      <c r="AL481" s="579"/>
    </row>
    <row r="482" spans="1:38" ht="13" customHeight="1">
      <c r="A482" s="564">
        <v>444</v>
      </c>
      <c r="B482" s="639" t="s">
        <v>422</v>
      </c>
      <c r="C482" s="639" t="s">
        <v>61</v>
      </c>
      <c r="D482" s="639" t="s">
        <v>421</v>
      </c>
      <c r="E482" s="640">
        <v>1000</v>
      </c>
      <c r="F482" s="639" t="s">
        <v>108</v>
      </c>
      <c r="G482" s="564" t="s">
        <v>52</v>
      </c>
      <c r="H482" s="639" t="s">
        <v>76</v>
      </c>
      <c r="I482" s="640">
        <v>82</v>
      </c>
      <c r="J482" s="639" t="s">
        <v>77</v>
      </c>
      <c r="K482" s="640">
        <v>1992</v>
      </c>
      <c r="L482" s="639" t="s">
        <v>420</v>
      </c>
      <c r="M482" s="564"/>
      <c r="N482" s="634" t="s">
        <v>38</v>
      </c>
      <c r="O482" s="634" t="s">
        <v>38</v>
      </c>
      <c r="P482" s="633" t="s">
        <v>38</v>
      </c>
      <c r="Q482" s="633" t="s">
        <v>38</v>
      </c>
      <c r="R482" s="634" t="s">
        <v>38</v>
      </c>
      <c r="S482" s="55"/>
      <c r="T482" s="576"/>
      <c r="U482" s="593"/>
      <c r="V482" s="575"/>
      <c r="W482" s="575"/>
      <c r="X482" s="608"/>
      <c r="Y482" s="608"/>
      <c r="Z482" s="608"/>
      <c r="AA482" s="608"/>
      <c r="AC482" s="579"/>
      <c r="AD482" s="579"/>
      <c r="AE482" s="579"/>
      <c r="AF482" s="579"/>
      <c r="AG482" s="579"/>
      <c r="AH482" s="579"/>
      <c r="AI482" s="579"/>
      <c r="AJ482" s="579"/>
      <c r="AK482" s="579"/>
      <c r="AL482" s="579"/>
    </row>
    <row r="483" spans="1:38" ht="13" customHeight="1">
      <c r="A483" s="564">
        <v>445</v>
      </c>
      <c r="B483" s="639" t="s">
        <v>232</v>
      </c>
      <c r="C483" s="639" t="s">
        <v>61</v>
      </c>
      <c r="D483" s="639" t="s">
        <v>421</v>
      </c>
      <c r="E483" s="640">
        <v>1000</v>
      </c>
      <c r="F483" s="639" t="s">
        <v>108</v>
      </c>
      <c r="G483" s="564" t="s">
        <v>52</v>
      </c>
      <c r="H483" s="639" t="s">
        <v>76</v>
      </c>
      <c r="I483" s="640">
        <v>47.53</v>
      </c>
      <c r="J483" s="639" t="s">
        <v>77</v>
      </c>
      <c r="K483" s="640">
        <v>1992</v>
      </c>
      <c r="L483" s="639" t="s">
        <v>420</v>
      </c>
      <c r="M483" s="564"/>
      <c r="N483" s="632">
        <v>0.85</v>
      </c>
      <c r="O483" s="633" t="s">
        <v>38</v>
      </c>
      <c r="P483" s="633" t="s">
        <v>38</v>
      </c>
      <c r="Q483" s="633" t="s">
        <v>38</v>
      </c>
      <c r="R483" s="634" t="s">
        <v>38</v>
      </c>
      <c r="S483" s="55"/>
      <c r="T483" s="576"/>
      <c r="U483" s="593"/>
      <c r="V483" s="575"/>
      <c r="W483" s="575"/>
      <c r="X483" s="608"/>
      <c r="Y483" s="608"/>
      <c r="Z483" s="608"/>
      <c r="AA483" s="608"/>
      <c r="AC483" s="579"/>
      <c r="AD483" s="579"/>
      <c r="AE483" s="579"/>
      <c r="AF483" s="579"/>
      <c r="AG483" s="579"/>
      <c r="AH483" s="579"/>
      <c r="AI483" s="579"/>
      <c r="AJ483" s="579"/>
      <c r="AK483" s="579"/>
      <c r="AL483" s="579"/>
    </row>
    <row r="484" spans="1:38" ht="13" customHeight="1">
      <c r="A484" s="564">
        <v>446</v>
      </c>
      <c r="B484" s="566" t="s">
        <v>423</v>
      </c>
      <c r="C484" s="566" t="s">
        <v>61</v>
      </c>
      <c r="D484" s="566" t="s">
        <v>251</v>
      </c>
      <c r="E484" s="566">
        <v>1000</v>
      </c>
      <c r="F484" s="566" t="s">
        <v>667</v>
      </c>
      <c r="G484" s="566" t="s">
        <v>52</v>
      </c>
      <c r="H484" s="566" t="s">
        <v>33</v>
      </c>
      <c r="I484" s="564">
        <v>2620000000</v>
      </c>
      <c r="J484" s="566" t="s">
        <v>34</v>
      </c>
      <c r="K484" s="566">
        <v>2004</v>
      </c>
      <c r="L484" s="566" t="s">
        <v>424</v>
      </c>
      <c r="M484" s="566" t="s">
        <v>666</v>
      </c>
      <c r="N484" s="647">
        <v>0.85</v>
      </c>
      <c r="O484" s="566" t="s">
        <v>84</v>
      </c>
      <c r="P484" s="633" t="s">
        <v>38</v>
      </c>
      <c r="Q484" s="633" t="s">
        <v>38</v>
      </c>
      <c r="R484" s="634" t="s">
        <v>38</v>
      </c>
      <c r="S484" s="55"/>
      <c r="T484" s="576"/>
      <c r="U484" s="575"/>
      <c r="V484" s="575"/>
      <c r="W484" s="591"/>
      <c r="X484" s="628"/>
      <c r="Y484" s="628"/>
      <c r="Z484" s="628"/>
      <c r="AA484" s="628"/>
      <c r="AC484" s="579"/>
      <c r="AD484" s="579"/>
      <c r="AE484" s="579"/>
      <c r="AF484" s="579"/>
      <c r="AG484" s="579"/>
      <c r="AH484" s="579"/>
      <c r="AI484" s="579"/>
      <c r="AJ484" s="579"/>
      <c r="AK484" s="579"/>
      <c r="AL484" s="579"/>
    </row>
    <row r="485" spans="1:38" ht="13" customHeight="1">
      <c r="A485" s="564">
        <v>447</v>
      </c>
      <c r="B485" s="566" t="s">
        <v>423</v>
      </c>
      <c r="C485" s="566" t="s">
        <v>61</v>
      </c>
      <c r="D485" s="566" t="s">
        <v>251</v>
      </c>
      <c r="E485" s="566">
        <v>1000</v>
      </c>
      <c r="F485" s="566" t="s">
        <v>75</v>
      </c>
      <c r="G485" s="566" t="s">
        <v>52</v>
      </c>
      <c r="H485" s="566" t="s">
        <v>76</v>
      </c>
      <c r="I485" s="566">
        <v>77.599999999999994</v>
      </c>
      <c r="J485" s="566" t="s">
        <v>77</v>
      </c>
      <c r="K485" s="566">
        <v>2004</v>
      </c>
      <c r="L485" s="566" t="s">
        <v>424</v>
      </c>
      <c r="M485" s="566" t="s">
        <v>425</v>
      </c>
      <c r="N485" s="634" t="s">
        <v>38</v>
      </c>
      <c r="O485" s="566" t="s">
        <v>84</v>
      </c>
      <c r="P485" s="633" t="s">
        <v>38</v>
      </c>
      <c r="Q485" s="633" t="s">
        <v>38</v>
      </c>
      <c r="R485" s="634" t="s">
        <v>38</v>
      </c>
      <c r="S485" s="55"/>
      <c r="T485" s="576"/>
      <c r="U485" s="593"/>
      <c r="V485" s="575"/>
      <c r="W485" s="591"/>
      <c r="X485" s="628"/>
      <c r="Y485" s="628"/>
      <c r="Z485" s="628"/>
      <c r="AA485" s="628"/>
      <c r="AC485" s="579"/>
      <c r="AD485" s="579"/>
      <c r="AE485" s="579"/>
      <c r="AF485" s="579"/>
      <c r="AG485" s="579"/>
      <c r="AH485" s="579"/>
      <c r="AI485" s="579"/>
      <c r="AJ485" s="579"/>
      <c r="AK485" s="579"/>
      <c r="AL485" s="579"/>
    </row>
    <row r="486" spans="1:38" ht="13" customHeight="1">
      <c r="A486" s="564">
        <v>448</v>
      </c>
      <c r="B486" s="566" t="s">
        <v>426</v>
      </c>
      <c r="C486" s="566" t="s">
        <v>61</v>
      </c>
      <c r="D486" s="566" t="s">
        <v>62</v>
      </c>
      <c r="E486" s="566">
        <v>1080</v>
      </c>
      <c r="F486" s="566" t="s">
        <v>31</v>
      </c>
      <c r="G486" s="566" t="s">
        <v>32</v>
      </c>
      <c r="H486" s="566" t="s">
        <v>33</v>
      </c>
      <c r="I486" s="566">
        <f>(5779.7-731.6-819.4)*1000000</f>
        <v>4228700000</v>
      </c>
      <c r="J486" s="566" t="s">
        <v>34</v>
      </c>
      <c r="K486" s="566">
        <v>2003</v>
      </c>
      <c r="L486" s="566" t="s">
        <v>427</v>
      </c>
      <c r="M486" s="566" t="s">
        <v>957</v>
      </c>
      <c r="N486" s="647">
        <v>0.75</v>
      </c>
      <c r="O486" s="566" t="s">
        <v>84</v>
      </c>
      <c r="P486" s="633" t="s">
        <v>38</v>
      </c>
      <c r="Q486" s="566">
        <v>731600000</v>
      </c>
      <c r="R486" s="634" t="s">
        <v>38</v>
      </c>
      <c r="S486" s="55"/>
      <c r="T486" s="605"/>
      <c r="U486" s="579"/>
      <c r="V486" s="579"/>
      <c r="W486" s="579"/>
      <c r="X486" s="579"/>
      <c r="Y486" s="579"/>
      <c r="Z486" s="579"/>
      <c r="AA486" s="579"/>
      <c r="AC486" s="579"/>
      <c r="AD486" s="579"/>
      <c r="AE486" s="579"/>
      <c r="AF486" s="579"/>
      <c r="AG486" s="579"/>
      <c r="AH486" s="579"/>
      <c r="AI486" s="579"/>
      <c r="AJ486" s="579"/>
      <c r="AK486" s="579"/>
      <c r="AL486" s="579"/>
    </row>
    <row r="487" spans="1:38" ht="13" customHeight="1">
      <c r="A487" s="564">
        <v>504</v>
      </c>
      <c r="B487" s="564" t="s">
        <v>475</v>
      </c>
      <c r="C487" s="564" t="s">
        <v>61</v>
      </c>
      <c r="D487" s="564" t="s">
        <v>62</v>
      </c>
      <c r="E487" s="564" t="s">
        <v>476</v>
      </c>
      <c r="F487" s="564" t="s">
        <v>493</v>
      </c>
      <c r="G487" s="564" t="s">
        <v>32</v>
      </c>
      <c r="H487" s="564" t="s">
        <v>33</v>
      </c>
      <c r="I487" s="564">
        <f>3.6*1000000</f>
        <v>3600000</v>
      </c>
      <c r="J487" s="564" t="s">
        <v>34</v>
      </c>
      <c r="K487" s="564">
        <v>2002</v>
      </c>
      <c r="L487" s="564" t="s">
        <v>477</v>
      </c>
      <c r="M487" s="564" t="s">
        <v>478</v>
      </c>
      <c r="N487" s="634" t="s">
        <v>38</v>
      </c>
      <c r="O487" s="634" t="s">
        <v>38</v>
      </c>
      <c r="P487" s="633" t="s">
        <v>38</v>
      </c>
      <c r="Q487" s="633" t="s">
        <v>38</v>
      </c>
      <c r="R487" s="634" t="s">
        <v>38</v>
      </c>
      <c r="S487" s="55"/>
      <c r="T487" s="609"/>
      <c r="U487" s="609"/>
      <c r="V487" s="609"/>
      <c r="W487" s="609"/>
      <c r="X487" s="613"/>
      <c r="Y487" s="613"/>
      <c r="Z487" s="613"/>
      <c r="AA487" s="613"/>
      <c r="AC487" s="579"/>
      <c r="AD487" s="579"/>
      <c r="AE487" s="579"/>
      <c r="AF487" s="579"/>
      <c r="AG487" s="579"/>
      <c r="AH487" s="579"/>
      <c r="AI487" s="579"/>
      <c r="AJ487" s="579"/>
      <c r="AK487" s="579"/>
      <c r="AL487" s="579"/>
    </row>
    <row r="488" spans="1:38" ht="13" customHeight="1">
      <c r="A488" s="564"/>
      <c r="B488" s="564" t="s">
        <v>741</v>
      </c>
      <c r="C488" s="564" t="s">
        <v>61</v>
      </c>
      <c r="D488" s="564" t="s">
        <v>62</v>
      </c>
      <c r="E488" s="564">
        <v>1200</v>
      </c>
      <c r="F488" s="564" t="s">
        <v>116</v>
      </c>
      <c r="G488" s="564" t="s">
        <v>52</v>
      </c>
      <c r="H488" s="566" t="s">
        <v>33</v>
      </c>
      <c r="I488" s="566">
        <f>108*1000000</f>
        <v>108000000</v>
      </c>
      <c r="J488" s="566" t="s">
        <v>34</v>
      </c>
      <c r="K488" s="564">
        <v>2010</v>
      </c>
      <c r="L488" s="564" t="s">
        <v>732</v>
      </c>
      <c r="M488" s="566"/>
      <c r="N488" s="648"/>
      <c r="O488" s="566"/>
      <c r="P488" s="633"/>
      <c r="Q488" s="566"/>
      <c r="R488" s="634"/>
      <c r="S488" s="55"/>
      <c r="T488" s="576"/>
      <c r="U488" s="575"/>
      <c r="V488" s="575"/>
      <c r="W488" s="575"/>
      <c r="X488" s="579"/>
      <c r="Y488" s="579"/>
      <c r="Z488" s="579"/>
      <c r="AA488" s="579"/>
      <c r="AC488" s="579"/>
      <c r="AD488" s="579"/>
      <c r="AE488" s="579"/>
      <c r="AF488" s="579"/>
      <c r="AG488" s="579"/>
      <c r="AH488" s="579"/>
      <c r="AI488" s="579"/>
      <c r="AJ488" s="579"/>
      <c r="AK488" s="579"/>
      <c r="AL488" s="579"/>
    </row>
    <row r="489" spans="1:38" ht="16.899999999999999" customHeight="1">
      <c r="A489" s="564"/>
      <c r="B489" s="564" t="s">
        <v>741</v>
      </c>
      <c r="C489" s="564" t="s">
        <v>61</v>
      </c>
      <c r="D489" s="564" t="s">
        <v>62</v>
      </c>
      <c r="E489" s="564">
        <v>1500</v>
      </c>
      <c r="F489" s="564" t="s">
        <v>116</v>
      </c>
      <c r="G489" s="564" t="s">
        <v>52</v>
      </c>
      <c r="H489" s="566" t="s">
        <v>33</v>
      </c>
      <c r="I489" s="566">
        <f>121*1000000</f>
        <v>121000000</v>
      </c>
      <c r="J489" s="566" t="s">
        <v>34</v>
      </c>
      <c r="K489" s="564">
        <v>2010</v>
      </c>
      <c r="L489" s="564" t="s">
        <v>732</v>
      </c>
      <c r="M489" s="566"/>
      <c r="N489" s="648"/>
      <c r="O489" s="566"/>
      <c r="P489" s="633"/>
      <c r="Q489" s="566"/>
      <c r="R489" s="634"/>
      <c r="S489" s="55"/>
      <c r="T489" s="576"/>
      <c r="U489" s="593"/>
      <c r="V489" s="575"/>
      <c r="W489" s="575"/>
      <c r="X489" s="579"/>
      <c r="Y489" s="579"/>
      <c r="Z489" s="579"/>
      <c r="AA489" s="579"/>
      <c r="AC489" s="579"/>
      <c r="AD489" s="579"/>
      <c r="AE489" s="579"/>
      <c r="AF489" s="579"/>
      <c r="AG489" s="579"/>
      <c r="AH489" s="579"/>
      <c r="AI489" s="579"/>
      <c r="AJ489" s="579"/>
      <c r="AK489" s="579"/>
      <c r="AL489" s="579"/>
    </row>
    <row r="490" spans="1:38" ht="16.899999999999999" customHeight="1">
      <c r="A490" s="564"/>
      <c r="B490" s="564" t="s">
        <v>741</v>
      </c>
      <c r="C490" s="564" t="s">
        <v>61</v>
      </c>
      <c r="D490" s="564" t="s">
        <v>62</v>
      </c>
      <c r="E490" s="564">
        <v>2000</v>
      </c>
      <c r="F490" s="564" t="s">
        <v>116</v>
      </c>
      <c r="G490" s="564" t="s">
        <v>52</v>
      </c>
      <c r="H490" s="566" t="s">
        <v>33</v>
      </c>
      <c r="I490" s="566">
        <f>139*1000000</f>
        <v>139000000</v>
      </c>
      <c r="J490" s="566" t="s">
        <v>34</v>
      </c>
      <c r="K490" s="564">
        <v>2010</v>
      </c>
      <c r="L490" s="564" t="s">
        <v>732</v>
      </c>
      <c r="M490" s="566"/>
      <c r="N490" s="648"/>
      <c r="O490" s="566"/>
      <c r="P490" s="633"/>
      <c r="Q490" s="566"/>
      <c r="R490" s="634"/>
      <c r="S490" s="55"/>
      <c r="T490" s="576"/>
      <c r="U490" s="593"/>
      <c r="V490" s="575"/>
      <c r="W490" s="575"/>
      <c r="X490" s="579"/>
      <c r="Y490" s="579"/>
      <c r="Z490" s="579"/>
      <c r="AA490" s="579"/>
      <c r="AC490" s="579"/>
      <c r="AD490" s="579"/>
      <c r="AE490" s="579"/>
      <c r="AF490" s="579"/>
      <c r="AG490" s="579"/>
      <c r="AH490" s="579"/>
      <c r="AI490" s="579"/>
      <c r="AJ490" s="579"/>
      <c r="AK490" s="579"/>
      <c r="AL490" s="579"/>
    </row>
    <row r="491" spans="1:38" ht="16.899999999999999" customHeight="1">
      <c r="A491" s="564"/>
      <c r="B491" s="564" t="s">
        <v>741</v>
      </c>
      <c r="C491" s="564" t="s">
        <v>61</v>
      </c>
      <c r="D491" s="564" t="s">
        <v>62</v>
      </c>
      <c r="E491" s="564">
        <v>2500</v>
      </c>
      <c r="F491" s="564" t="s">
        <v>116</v>
      </c>
      <c r="G491" s="564" t="s">
        <v>52</v>
      </c>
      <c r="H491" s="566" t="s">
        <v>33</v>
      </c>
      <c r="I491" s="566">
        <f>156*1000000</f>
        <v>156000000</v>
      </c>
      <c r="J491" s="566" t="s">
        <v>34</v>
      </c>
      <c r="K491" s="564">
        <v>2010</v>
      </c>
      <c r="L491" s="564" t="s">
        <v>732</v>
      </c>
      <c r="M491" s="566"/>
      <c r="N491" s="648"/>
      <c r="O491" s="566"/>
      <c r="P491" s="633"/>
      <c r="Q491" s="566"/>
      <c r="R491" s="634"/>
      <c r="S491" s="55"/>
      <c r="T491" s="576"/>
      <c r="U491" s="593"/>
      <c r="V491" s="575"/>
      <c r="W491" s="575"/>
      <c r="X491" s="579"/>
      <c r="Y491" s="579"/>
      <c r="Z491" s="579"/>
      <c r="AA491" s="579"/>
      <c r="AC491" s="579"/>
      <c r="AD491" s="579"/>
      <c r="AE491" s="579"/>
      <c r="AF491" s="579"/>
      <c r="AG491" s="579"/>
      <c r="AH491" s="579"/>
      <c r="AI491" s="579"/>
      <c r="AJ491" s="579"/>
      <c r="AK491" s="579"/>
      <c r="AL491" s="579"/>
    </row>
    <row r="492" spans="1:38" ht="16.899999999999999" customHeight="1">
      <c r="A492" s="564"/>
      <c r="B492" s="564" t="s">
        <v>741</v>
      </c>
      <c r="C492" s="564" t="s">
        <v>61</v>
      </c>
      <c r="D492" s="564" t="s">
        <v>62</v>
      </c>
      <c r="E492" s="564">
        <v>1000</v>
      </c>
      <c r="F492" s="564" t="s">
        <v>493</v>
      </c>
      <c r="G492" s="564" t="s">
        <v>52</v>
      </c>
      <c r="H492" s="566" t="s">
        <v>76</v>
      </c>
      <c r="I492" s="566">
        <v>0.5</v>
      </c>
      <c r="J492" s="566" t="s">
        <v>77</v>
      </c>
      <c r="K492" s="564">
        <v>2010</v>
      </c>
      <c r="L492" s="564" t="s">
        <v>732</v>
      </c>
      <c r="M492" s="566"/>
      <c r="N492" s="648"/>
      <c r="O492" s="566"/>
      <c r="P492" s="633"/>
      <c r="Q492" s="566"/>
      <c r="R492" s="634"/>
      <c r="S492" s="55"/>
      <c r="T492" s="576"/>
      <c r="U492" s="593"/>
      <c r="V492" s="575"/>
      <c r="W492" s="575"/>
      <c r="X492" s="579"/>
      <c r="Y492" s="579"/>
      <c r="Z492" s="579"/>
      <c r="AA492" s="579"/>
      <c r="AC492" s="579"/>
      <c r="AD492" s="579"/>
      <c r="AE492" s="579"/>
      <c r="AF492" s="579"/>
      <c r="AG492" s="579"/>
      <c r="AH492" s="579"/>
      <c r="AI492" s="579"/>
      <c r="AJ492" s="579"/>
      <c r="AK492" s="579"/>
      <c r="AL492" s="579"/>
    </row>
    <row r="493" spans="1:38" ht="14.5" customHeight="1">
      <c r="A493" s="564"/>
      <c r="B493" s="564" t="s">
        <v>200</v>
      </c>
      <c r="C493" s="564" t="s">
        <v>61</v>
      </c>
      <c r="D493" s="564" t="s">
        <v>62</v>
      </c>
      <c r="E493" s="564">
        <v>1000</v>
      </c>
      <c r="F493" s="564" t="s">
        <v>493</v>
      </c>
      <c r="G493" s="564" t="s">
        <v>52</v>
      </c>
      <c r="H493" s="566" t="s">
        <v>76</v>
      </c>
      <c r="I493" s="566">
        <v>0.5</v>
      </c>
      <c r="J493" s="566" t="s">
        <v>77</v>
      </c>
      <c r="K493" s="564">
        <v>2010</v>
      </c>
      <c r="L493" s="564" t="s">
        <v>732</v>
      </c>
      <c r="M493" s="566"/>
      <c r="N493" s="648"/>
      <c r="O493" s="566"/>
      <c r="P493" s="633"/>
      <c r="Q493" s="566"/>
      <c r="R493" s="634"/>
      <c r="S493" s="55"/>
      <c r="T493" s="576"/>
      <c r="U493" s="593"/>
      <c r="V493" s="575"/>
      <c r="W493" s="575"/>
      <c r="X493" s="579"/>
      <c r="Y493" s="579"/>
      <c r="Z493" s="579"/>
      <c r="AA493" s="579"/>
      <c r="AC493" s="579"/>
      <c r="AD493" s="579"/>
      <c r="AE493" s="579"/>
      <c r="AF493" s="579"/>
      <c r="AG493" s="579"/>
      <c r="AH493" s="579"/>
      <c r="AI493" s="579"/>
      <c r="AJ493" s="579"/>
      <c r="AK493" s="579"/>
      <c r="AL493" s="579"/>
    </row>
    <row r="494" spans="1:38" ht="13" customHeight="1">
      <c r="A494" s="564"/>
      <c r="B494" s="564" t="s">
        <v>737</v>
      </c>
      <c r="C494" s="564" t="s">
        <v>61</v>
      </c>
      <c r="D494" s="564" t="s">
        <v>62</v>
      </c>
      <c r="E494" s="564">
        <v>1000</v>
      </c>
      <c r="F494" s="564" t="s">
        <v>493</v>
      </c>
      <c r="G494" s="564" t="s">
        <v>52</v>
      </c>
      <c r="H494" s="566" t="s">
        <v>76</v>
      </c>
      <c r="I494" s="566">
        <v>0.25</v>
      </c>
      <c r="J494" s="566" t="s">
        <v>77</v>
      </c>
      <c r="K494" s="564">
        <v>2010</v>
      </c>
      <c r="L494" s="564" t="s">
        <v>732</v>
      </c>
      <c r="M494" s="566"/>
      <c r="N494" s="648"/>
      <c r="O494" s="566"/>
      <c r="P494" s="633"/>
      <c r="Q494" s="566"/>
      <c r="R494" s="634"/>
      <c r="S494" s="55"/>
      <c r="T494" s="576"/>
      <c r="U494" s="593"/>
      <c r="V494" s="575"/>
      <c r="W494" s="575"/>
      <c r="X494" s="579"/>
      <c r="Y494" s="579"/>
      <c r="Z494" s="579"/>
      <c r="AA494" s="579"/>
      <c r="AC494" s="579"/>
      <c r="AD494" s="579"/>
      <c r="AE494" s="579"/>
      <c r="AF494" s="579"/>
      <c r="AG494" s="579"/>
      <c r="AH494" s="579"/>
      <c r="AI494" s="579"/>
      <c r="AJ494" s="579"/>
      <c r="AK494" s="579"/>
      <c r="AL494" s="579"/>
    </row>
    <row r="495" spans="1:38" ht="13" customHeight="1">
      <c r="A495" s="564"/>
      <c r="B495" s="564" t="s">
        <v>736</v>
      </c>
      <c r="C495" s="564" t="s">
        <v>61</v>
      </c>
      <c r="D495" s="564" t="s">
        <v>62</v>
      </c>
      <c r="E495" s="564">
        <v>1000</v>
      </c>
      <c r="F495" s="564" t="s">
        <v>493</v>
      </c>
      <c r="G495" s="564" t="s">
        <v>52</v>
      </c>
      <c r="H495" s="566" t="s">
        <v>76</v>
      </c>
      <c r="I495" s="566">
        <v>0.25</v>
      </c>
      <c r="J495" s="566" t="s">
        <v>77</v>
      </c>
      <c r="K495" s="564">
        <v>2010</v>
      </c>
      <c r="L495" s="564" t="s">
        <v>732</v>
      </c>
      <c r="M495" s="566"/>
      <c r="N495" s="648"/>
      <c r="O495" s="566"/>
      <c r="P495" s="633"/>
      <c r="Q495" s="566"/>
      <c r="R495" s="634"/>
      <c r="S495" s="55"/>
      <c r="T495" s="576"/>
      <c r="U495" s="593"/>
      <c r="V495" s="575"/>
      <c r="W495" s="575"/>
      <c r="X495" s="579"/>
      <c r="Y495" s="579"/>
      <c r="Z495" s="579"/>
      <c r="AA495" s="579"/>
      <c r="AC495" s="579"/>
      <c r="AD495" s="579"/>
      <c r="AE495" s="579"/>
      <c r="AF495" s="579"/>
      <c r="AG495" s="579"/>
      <c r="AH495" s="579"/>
      <c r="AI495" s="579"/>
      <c r="AJ495" s="579"/>
      <c r="AK495" s="579"/>
      <c r="AL495" s="579"/>
    </row>
    <row r="496" spans="1:38" ht="13" customHeight="1">
      <c r="A496" s="564"/>
      <c r="B496" s="564" t="s">
        <v>735</v>
      </c>
      <c r="C496" s="564" t="s">
        <v>61</v>
      </c>
      <c r="D496" s="564" t="s">
        <v>62</v>
      </c>
      <c r="E496" s="564">
        <v>1450</v>
      </c>
      <c r="F496" s="564" t="s">
        <v>493</v>
      </c>
      <c r="G496" s="564" t="s">
        <v>52</v>
      </c>
      <c r="H496" s="566" t="s">
        <v>76</v>
      </c>
      <c r="I496" s="566">
        <v>0.5</v>
      </c>
      <c r="J496" s="566" t="s">
        <v>77</v>
      </c>
      <c r="K496" s="564">
        <v>2010</v>
      </c>
      <c r="L496" s="564" t="s">
        <v>732</v>
      </c>
      <c r="M496" s="566"/>
      <c r="N496" s="648"/>
      <c r="O496" s="566"/>
      <c r="P496" s="633"/>
      <c r="Q496" s="566"/>
      <c r="R496" s="634"/>
      <c r="S496" s="55"/>
      <c r="T496" s="576"/>
      <c r="U496" s="593"/>
      <c r="V496" s="575"/>
      <c r="W496" s="575"/>
      <c r="X496" s="579"/>
      <c r="Y496" s="579"/>
      <c r="Z496" s="579"/>
      <c r="AA496" s="579"/>
      <c r="AC496" s="579"/>
      <c r="AD496" s="579"/>
      <c r="AE496" s="579"/>
      <c r="AF496" s="579"/>
      <c r="AG496" s="579"/>
      <c r="AH496" s="579"/>
      <c r="AI496" s="579"/>
      <c r="AJ496" s="579"/>
      <c r="AK496" s="579"/>
      <c r="AL496" s="579"/>
    </row>
    <row r="497" spans="1:38" ht="25.9" customHeight="1">
      <c r="A497" s="564"/>
      <c r="B497" s="564" t="s">
        <v>741</v>
      </c>
      <c r="C497" s="564" t="s">
        <v>61</v>
      </c>
      <c r="D497" s="564" t="s">
        <v>62</v>
      </c>
      <c r="E497" s="564">
        <v>3000</v>
      </c>
      <c r="F497" s="564" t="s">
        <v>116</v>
      </c>
      <c r="G497" s="564" t="s">
        <v>52</v>
      </c>
      <c r="H497" s="566" t="s">
        <v>33</v>
      </c>
      <c r="I497" s="566">
        <f>171*1000000</f>
        <v>171000000</v>
      </c>
      <c r="J497" s="566" t="s">
        <v>34</v>
      </c>
      <c r="K497" s="564">
        <v>2010</v>
      </c>
      <c r="L497" s="564" t="s">
        <v>732</v>
      </c>
      <c r="M497" s="566"/>
      <c r="N497" s="648"/>
      <c r="O497" s="566"/>
      <c r="P497" s="633"/>
      <c r="Q497" s="566"/>
      <c r="R497" s="634"/>
      <c r="S497" s="55"/>
      <c r="T497" s="576"/>
      <c r="U497" s="593"/>
      <c r="V497" s="575"/>
      <c r="W497" s="575"/>
      <c r="X497" s="579"/>
      <c r="Y497" s="579"/>
      <c r="Z497" s="579"/>
      <c r="AA497" s="579"/>
      <c r="AC497" s="579"/>
      <c r="AD497" s="579"/>
      <c r="AE497" s="579"/>
      <c r="AF497" s="579"/>
      <c r="AG497" s="579"/>
      <c r="AH497" s="579"/>
      <c r="AI497" s="579"/>
      <c r="AJ497" s="579"/>
      <c r="AK497" s="579"/>
      <c r="AL497" s="579"/>
    </row>
    <row r="498" spans="1:38" ht="25.9" customHeight="1">
      <c r="A498" s="564"/>
      <c r="B498" s="564" t="s">
        <v>741</v>
      </c>
      <c r="C498" s="564" t="s">
        <v>61</v>
      </c>
      <c r="D498" s="564" t="s">
        <v>62</v>
      </c>
      <c r="E498" s="564">
        <v>1000</v>
      </c>
      <c r="F498" s="564" t="s">
        <v>116</v>
      </c>
      <c r="G498" s="564" t="s">
        <v>52</v>
      </c>
      <c r="H498" s="566" t="s">
        <v>33</v>
      </c>
      <c r="I498" s="566">
        <f>99*1000000</f>
        <v>99000000</v>
      </c>
      <c r="J498" s="566" t="s">
        <v>34</v>
      </c>
      <c r="K498" s="564">
        <v>2010</v>
      </c>
      <c r="L498" s="564" t="s">
        <v>732</v>
      </c>
      <c r="M498" s="566"/>
      <c r="N498" s="648"/>
      <c r="O498" s="566"/>
      <c r="P498" s="633"/>
      <c r="Q498" s="566"/>
      <c r="R498" s="634"/>
      <c r="S498" s="55"/>
      <c r="T498" s="576"/>
      <c r="U498" s="593"/>
      <c r="V498" s="575"/>
      <c r="W498" s="575"/>
      <c r="X498" s="579"/>
      <c r="Y498" s="579"/>
      <c r="Z498" s="579"/>
      <c r="AA498" s="579"/>
      <c r="AC498" s="579"/>
      <c r="AD498" s="579"/>
      <c r="AE498" s="579"/>
      <c r="AF498" s="579"/>
      <c r="AG498" s="579"/>
      <c r="AH498" s="579"/>
      <c r="AI498" s="579"/>
      <c r="AJ498" s="579"/>
      <c r="AK498" s="579"/>
      <c r="AL498" s="579"/>
    </row>
    <row r="499" spans="1:38" ht="38.65" customHeight="1">
      <c r="A499" s="564"/>
      <c r="B499" s="564" t="s">
        <v>200</v>
      </c>
      <c r="C499" s="564" t="s">
        <v>61</v>
      </c>
      <c r="D499" s="564" t="s">
        <v>62</v>
      </c>
      <c r="E499" s="564">
        <v>1000</v>
      </c>
      <c r="F499" s="564" t="s">
        <v>116</v>
      </c>
      <c r="G499" s="564" t="s">
        <v>52</v>
      </c>
      <c r="H499" s="566" t="s">
        <v>33</v>
      </c>
      <c r="I499" s="566">
        <f>99*1000000</f>
        <v>99000000</v>
      </c>
      <c r="J499" s="566" t="s">
        <v>34</v>
      </c>
      <c r="K499" s="564">
        <v>2010</v>
      </c>
      <c r="L499" s="564" t="s">
        <v>732</v>
      </c>
      <c r="M499" s="566"/>
      <c r="N499" s="648"/>
      <c r="O499" s="566"/>
      <c r="P499" s="633"/>
      <c r="Q499" s="566"/>
      <c r="R499" s="634"/>
      <c r="S499" s="55"/>
      <c r="T499" s="576"/>
      <c r="U499" s="593"/>
      <c r="V499" s="575"/>
      <c r="W499" s="575"/>
      <c r="X499" s="579"/>
      <c r="Y499" s="579"/>
      <c r="Z499" s="579"/>
      <c r="AA499" s="579"/>
      <c r="AC499" s="579"/>
      <c r="AD499" s="579"/>
      <c r="AE499" s="579"/>
      <c r="AF499" s="579"/>
      <c r="AG499" s="579"/>
      <c r="AH499" s="579"/>
      <c r="AI499" s="579"/>
      <c r="AJ499" s="579"/>
      <c r="AK499" s="579"/>
      <c r="AL499" s="579"/>
    </row>
    <row r="500" spans="1:38" ht="38.65" customHeight="1">
      <c r="A500" s="564"/>
      <c r="B500" s="564" t="s">
        <v>737</v>
      </c>
      <c r="C500" s="564" t="s">
        <v>61</v>
      </c>
      <c r="D500" s="564" t="s">
        <v>62</v>
      </c>
      <c r="E500" s="564">
        <v>1000</v>
      </c>
      <c r="F500" s="564" t="s">
        <v>116</v>
      </c>
      <c r="G500" s="564" t="s">
        <v>52</v>
      </c>
      <c r="H500" s="566" t="s">
        <v>33</v>
      </c>
      <c r="I500" s="566">
        <f>99*1000000</f>
        <v>99000000</v>
      </c>
      <c r="J500" s="566" t="s">
        <v>34</v>
      </c>
      <c r="K500" s="564">
        <v>2010</v>
      </c>
      <c r="L500" s="564" t="s">
        <v>732</v>
      </c>
      <c r="M500" s="566"/>
      <c r="N500" s="648"/>
      <c r="O500" s="566"/>
      <c r="P500" s="633"/>
      <c r="Q500" s="566"/>
      <c r="R500" s="634"/>
      <c r="S500" s="55"/>
      <c r="T500" s="576"/>
      <c r="U500" s="593"/>
      <c r="V500" s="575"/>
      <c r="W500" s="575"/>
      <c r="X500" s="579"/>
      <c r="Y500" s="579"/>
      <c r="Z500" s="579"/>
      <c r="AA500" s="579"/>
      <c r="AC500" s="579"/>
      <c r="AD500" s="579"/>
      <c r="AE500" s="579"/>
      <c r="AF500" s="579"/>
      <c r="AG500" s="579"/>
      <c r="AH500" s="579"/>
      <c r="AI500" s="579"/>
      <c r="AJ500" s="579"/>
      <c r="AK500" s="579"/>
      <c r="AL500" s="579"/>
    </row>
    <row r="501" spans="1:38" ht="38.65" customHeight="1">
      <c r="A501" s="564"/>
      <c r="B501" s="564" t="s">
        <v>736</v>
      </c>
      <c r="C501" s="564" t="s">
        <v>61</v>
      </c>
      <c r="D501" s="564" t="s">
        <v>62</v>
      </c>
      <c r="E501" s="564">
        <v>1000</v>
      </c>
      <c r="F501" s="564" t="s">
        <v>116</v>
      </c>
      <c r="G501" s="564" t="s">
        <v>52</v>
      </c>
      <c r="H501" s="566" t="s">
        <v>33</v>
      </c>
      <c r="I501" s="566">
        <f>99*1000000</f>
        <v>99000000</v>
      </c>
      <c r="J501" s="566" t="s">
        <v>34</v>
      </c>
      <c r="K501" s="564">
        <v>2010</v>
      </c>
      <c r="L501" s="564" t="s">
        <v>732</v>
      </c>
      <c r="M501" s="566"/>
      <c r="N501" s="648"/>
      <c r="O501" s="566"/>
      <c r="P501" s="633"/>
      <c r="Q501" s="566"/>
      <c r="R501" s="634"/>
      <c r="S501" s="55"/>
      <c r="T501" s="576"/>
      <c r="U501" s="593"/>
      <c r="V501" s="575"/>
      <c r="W501" s="575"/>
      <c r="X501" s="579"/>
      <c r="Y501" s="579"/>
      <c r="Z501" s="579"/>
      <c r="AA501" s="579"/>
      <c r="AC501" s="579"/>
      <c r="AD501" s="579"/>
      <c r="AE501" s="579"/>
      <c r="AF501" s="579"/>
      <c r="AG501" s="579"/>
      <c r="AH501" s="579"/>
      <c r="AI501" s="579"/>
      <c r="AJ501" s="579"/>
      <c r="AK501" s="579"/>
      <c r="AL501" s="579"/>
    </row>
    <row r="502" spans="1:38" ht="38.65" customHeight="1">
      <c r="A502" s="564"/>
      <c r="B502" s="564" t="s">
        <v>735</v>
      </c>
      <c r="C502" s="564" t="s">
        <v>61</v>
      </c>
      <c r="D502" s="564" t="s">
        <v>62</v>
      </c>
      <c r="E502" s="564">
        <v>1450</v>
      </c>
      <c r="F502" s="564" t="s">
        <v>116</v>
      </c>
      <c r="G502" s="564" t="s">
        <v>52</v>
      </c>
      <c r="H502" s="566" t="s">
        <v>33</v>
      </c>
      <c r="I502" s="566">
        <f>119*1000000</f>
        <v>119000000</v>
      </c>
      <c r="J502" s="566" t="s">
        <v>34</v>
      </c>
      <c r="K502" s="564">
        <v>2010</v>
      </c>
      <c r="L502" s="564" t="s">
        <v>732</v>
      </c>
      <c r="M502" s="566"/>
      <c r="N502" s="648"/>
      <c r="O502" s="566"/>
      <c r="P502" s="633"/>
      <c r="Q502" s="566"/>
      <c r="R502" s="634"/>
      <c r="S502" s="55"/>
      <c r="T502" s="576"/>
      <c r="U502" s="593"/>
      <c r="V502" s="575"/>
      <c r="W502" s="575"/>
      <c r="X502" s="579"/>
      <c r="Y502" s="579"/>
      <c r="Z502" s="579"/>
      <c r="AA502" s="579"/>
      <c r="AC502" s="579"/>
      <c r="AD502" s="579"/>
      <c r="AE502" s="579"/>
      <c r="AF502" s="579"/>
      <c r="AG502" s="579"/>
      <c r="AH502" s="579"/>
      <c r="AI502" s="579"/>
      <c r="AJ502" s="579"/>
      <c r="AK502" s="579"/>
      <c r="AL502" s="579"/>
    </row>
    <row r="503" spans="1:38" ht="38.65" customHeight="1">
      <c r="A503" s="564"/>
      <c r="B503" s="564" t="s">
        <v>741</v>
      </c>
      <c r="C503" s="564" t="s">
        <v>61</v>
      </c>
      <c r="D503" s="564" t="s">
        <v>62</v>
      </c>
      <c r="E503" s="564">
        <v>1000</v>
      </c>
      <c r="F503" s="564" t="s">
        <v>63</v>
      </c>
      <c r="G503" s="564" t="s">
        <v>52</v>
      </c>
      <c r="H503" s="566" t="s">
        <v>76</v>
      </c>
      <c r="I503" s="566">
        <f>(0.4*1000000)/(8760*1000*0.8)</f>
        <v>5.7077625570776253E-2</v>
      </c>
      <c r="J503" s="566" t="s">
        <v>128</v>
      </c>
      <c r="K503" s="564">
        <v>2010</v>
      </c>
      <c r="L503" s="564" t="s">
        <v>732</v>
      </c>
      <c r="M503" s="566"/>
      <c r="N503" s="648"/>
      <c r="O503" s="566"/>
      <c r="P503" s="633"/>
      <c r="Q503" s="566"/>
      <c r="R503" s="634"/>
      <c r="S503" s="55"/>
      <c r="T503" s="576"/>
      <c r="U503" s="593"/>
      <c r="V503" s="575"/>
      <c r="W503" s="575"/>
      <c r="X503" s="579"/>
      <c r="Y503" s="579"/>
      <c r="Z503" s="579"/>
      <c r="AA503" s="579"/>
      <c r="AC503" s="579"/>
      <c r="AD503" s="579"/>
      <c r="AE503" s="579"/>
      <c r="AF503" s="579"/>
      <c r="AG503" s="579"/>
      <c r="AH503" s="579"/>
      <c r="AI503" s="579"/>
      <c r="AJ503" s="579"/>
      <c r="AK503" s="579"/>
      <c r="AL503" s="579"/>
    </row>
    <row r="504" spans="1:38" ht="38.65" customHeight="1">
      <c r="A504" s="564"/>
      <c r="B504" s="564" t="s">
        <v>738</v>
      </c>
      <c r="C504" s="564" t="s">
        <v>61</v>
      </c>
      <c r="D504" s="564" t="s">
        <v>62</v>
      </c>
      <c r="E504" s="564">
        <v>1000</v>
      </c>
      <c r="F504" s="564" t="s">
        <v>63</v>
      </c>
      <c r="G504" s="564" t="s">
        <v>32</v>
      </c>
      <c r="H504" s="566" t="s">
        <v>33</v>
      </c>
      <c r="I504" s="566">
        <f>0.4*1000000</f>
        <v>400000</v>
      </c>
      <c r="J504" s="566" t="s">
        <v>34</v>
      </c>
      <c r="K504" s="564">
        <v>2010</v>
      </c>
      <c r="L504" s="564" t="s">
        <v>732</v>
      </c>
      <c r="M504" s="566"/>
      <c r="N504" s="648"/>
      <c r="O504" s="566"/>
      <c r="P504" s="633"/>
      <c r="Q504" s="566"/>
      <c r="R504" s="634"/>
      <c r="S504" s="55"/>
      <c r="T504" s="576"/>
      <c r="U504" s="593"/>
      <c r="V504" s="575"/>
      <c r="W504" s="575"/>
      <c r="X504" s="579"/>
      <c r="Y504" s="579"/>
      <c r="Z504" s="579"/>
      <c r="AA504" s="579"/>
      <c r="AC504" s="579"/>
      <c r="AD504" s="579"/>
      <c r="AE504" s="579"/>
      <c r="AF504" s="579"/>
      <c r="AG504" s="579"/>
      <c r="AH504" s="579"/>
      <c r="AI504" s="579"/>
      <c r="AJ504" s="579"/>
      <c r="AK504" s="579"/>
      <c r="AL504" s="579"/>
    </row>
    <row r="505" spans="1:38" ht="38.65" customHeight="1">
      <c r="A505" s="564"/>
      <c r="B505" s="564" t="s">
        <v>200</v>
      </c>
      <c r="C505" s="564" t="s">
        <v>61</v>
      </c>
      <c r="D505" s="564" t="s">
        <v>62</v>
      </c>
      <c r="E505" s="564">
        <v>1000</v>
      </c>
      <c r="F505" s="564" t="s">
        <v>63</v>
      </c>
      <c r="G505" s="564" t="s">
        <v>52</v>
      </c>
      <c r="H505" s="566" t="s">
        <v>76</v>
      </c>
      <c r="I505" s="566">
        <f>(0.4*1000000)/(0.85*8760*1000)</f>
        <v>5.3720118184260007E-2</v>
      </c>
      <c r="J505" s="566" t="s">
        <v>128</v>
      </c>
      <c r="K505" s="564">
        <v>2010</v>
      </c>
      <c r="L505" s="564" t="s">
        <v>732</v>
      </c>
      <c r="M505" s="566"/>
      <c r="N505" s="648">
        <v>0.85</v>
      </c>
      <c r="O505" s="566"/>
      <c r="P505" s="633"/>
      <c r="Q505" s="566"/>
      <c r="R505" s="634"/>
      <c r="S505" s="55"/>
      <c r="T505" s="576"/>
      <c r="U505" s="593"/>
      <c r="V505" s="575"/>
      <c r="W505" s="575"/>
      <c r="X505" s="579"/>
      <c r="Y505" s="579"/>
      <c r="Z505" s="579"/>
      <c r="AA505" s="579"/>
      <c r="AC505" s="579"/>
      <c r="AD505" s="579"/>
      <c r="AE505" s="579"/>
      <c r="AF505" s="579"/>
      <c r="AG505" s="579"/>
      <c r="AH505" s="579"/>
      <c r="AI505" s="579"/>
      <c r="AJ505" s="579"/>
      <c r="AK505" s="579"/>
      <c r="AL505" s="579"/>
    </row>
    <row r="506" spans="1:38" ht="38.65" customHeight="1">
      <c r="A506" s="564"/>
      <c r="B506" s="564" t="s">
        <v>737</v>
      </c>
      <c r="C506" s="564" t="s">
        <v>61</v>
      </c>
      <c r="D506" s="564" t="s">
        <v>62</v>
      </c>
      <c r="E506" s="564">
        <v>1000</v>
      </c>
      <c r="F506" s="564" t="s">
        <v>63</v>
      </c>
      <c r="G506" s="564" t="s">
        <v>52</v>
      </c>
      <c r="H506" s="566" t="s">
        <v>76</v>
      </c>
      <c r="I506" s="566">
        <f>(0.4*1000000)/(0.85*8760*1000)</f>
        <v>5.3720118184260007E-2</v>
      </c>
      <c r="J506" s="566" t="s">
        <v>128</v>
      </c>
      <c r="K506" s="564">
        <v>2010</v>
      </c>
      <c r="L506" s="564" t="s">
        <v>732</v>
      </c>
      <c r="M506" s="566"/>
      <c r="N506" s="648">
        <v>0.85</v>
      </c>
      <c r="O506" s="566"/>
      <c r="P506" s="633"/>
      <c r="Q506" s="566"/>
      <c r="R506" s="634"/>
      <c r="S506" s="55"/>
      <c r="T506" s="576"/>
      <c r="U506" s="593"/>
      <c r="V506" s="575"/>
      <c r="W506" s="575"/>
      <c r="X506" s="579"/>
      <c r="Y506" s="579"/>
      <c r="Z506" s="579"/>
      <c r="AA506" s="579"/>
      <c r="AB506" s="598"/>
      <c r="AC506" s="579"/>
      <c r="AD506" s="579"/>
      <c r="AE506" s="579"/>
      <c r="AF506" s="579"/>
      <c r="AG506" s="579"/>
      <c r="AH506" s="579"/>
      <c r="AI506" s="579"/>
      <c r="AJ506" s="579"/>
      <c r="AK506" s="579"/>
      <c r="AL506" s="579"/>
    </row>
    <row r="507" spans="1:38" ht="38.65" customHeight="1">
      <c r="A507" s="564"/>
      <c r="B507" s="564" t="s">
        <v>736</v>
      </c>
      <c r="C507" s="564" t="s">
        <v>61</v>
      </c>
      <c r="D507" s="564" t="s">
        <v>62</v>
      </c>
      <c r="E507" s="564">
        <v>1000</v>
      </c>
      <c r="F507" s="564" t="s">
        <v>63</v>
      </c>
      <c r="G507" s="564" t="s">
        <v>52</v>
      </c>
      <c r="H507" s="566" t="s">
        <v>76</v>
      </c>
      <c r="I507" s="566">
        <f>(0.4*1000000)/(0.85*8760*1000)</f>
        <v>5.3720118184260007E-2</v>
      </c>
      <c r="J507" s="566" t="s">
        <v>128</v>
      </c>
      <c r="K507" s="564">
        <v>2010</v>
      </c>
      <c r="L507" s="564" t="s">
        <v>732</v>
      </c>
      <c r="M507" s="566"/>
      <c r="N507" s="648">
        <v>0.85</v>
      </c>
      <c r="O507" s="566"/>
      <c r="P507" s="633"/>
      <c r="Q507" s="566"/>
      <c r="R507" s="634"/>
      <c r="S507" s="55"/>
      <c r="T507" s="576"/>
      <c r="U507" s="593"/>
      <c r="V507" s="575"/>
      <c r="W507" s="575"/>
      <c r="X507" s="579"/>
      <c r="Y507" s="579"/>
      <c r="Z507" s="579"/>
      <c r="AA507" s="579"/>
      <c r="AB507" s="598"/>
      <c r="AC507" s="579"/>
      <c r="AD507" s="579"/>
      <c r="AE507" s="579"/>
      <c r="AF507" s="579"/>
      <c r="AG507" s="579"/>
      <c r="AH507" s="579"/>
      <c r="AI507" s="579"/>
      <c r="AJ507" s="579"/>
      <c r="AK507" s="579"/>
      <c r="AL507" s="579"/>
    </row>
    <row r="508" spans="1:38" ht="38.65" customHeight="1">
      <c r="A508" s="564"/>
      <c r="B508" s="564" t="s">
        <v>735</v>
      </c>
      <c r="C508" s="564" t="s">
        <v>61</v>
      </c>
      <c r="D508" s="564" t="s">
        <v>62</v>
      </c>
      <c r="E508" s="564">
        <v>1450</v>
      </c>
      <c r="F508" s="564" t="s">
        <v>63</v>
      </c>
      <c r="G508" s="564" t="s">
        <v>52</v>
      </c>
      <c r="H508" s="566" t="s">
        <v>76</v>
      </c>
      <c r="I508" s="566">
        <f>(0.4*1000000)/(0.75*8760*1450)</f>
        <v>4.1988138350915867E-2</v>
      </c>
      <c r="J508" s="566" t="s">
        <v>128</v>
      </c>
      <c r="K508" s="564">
        <v>2010</v>
      </c>
      <c r="L508" s="564" t="s">
        <v>732</v>
      </c>
      <c r="M508" s="566"/>
      <c r="N508" s="648"/>
      <c r="O508" s="566"/>
      <c r="P508" s="633"/>
      <c r="Q508" s="566"/>
      <c r="R508" s="634"/>
      <c r="S508" s="55"/>
      <c r="T508" s="576"/>
      <c r="U508" s="593"/>
      <c r="V508" s="575"/>
      <c r="W508" s="575"/>
      <c r="X508" s="579"/>
      <c r="Y508" s="579"/>
      <c r="Z508" s="579"/>
      <c r="AA508" s="579"/>
      <c r="AB508" s="598"/>
      <c r="AC508" s="579"/>
      <c r="AD508" s="579"/>
      <c r="AE508" s="579"/>
      <c r="AF508" s="579"/>
      <c r="AG508" s="579"/>
      <c r="AH508" s="579"/>
      <c r="AI508" s="579"/>
      <c r="AJ508" s="579"/>
      <c r="AK508" s="579"/>
      <c r="AL508" s="579"/>
    </row>
    <row r="509" spans="1:38" ht="38.65" customHeight="1">
      <c r="A509" s="564"/>
      <c r="B509" s="564" t="s">
        <v>741</v>
      </c>
      <c r="C509" s="564" t="s">
        <v>61</v>
      </c>
      <c r="D509" s="564" t="s">
        <v>62</v>
      </c>
      <c r="E509" s="564">
        <v>1000</v>
      </c>
      <c r="F509" s="564" t="s">
        <v>115</v>
      </c>
      <c r="G509" s="564" t="s">
        <v>52</v>
      </c>
      <c r="H509" s="566" t="s">
        <v>33</v>
      </c>
      <c r="I509" s="566">
        <f>(56+7+7.1)*1000000</f>
        <v>70100000</v>
      </c>
      <c r="J509" s="566" t="s">
        <v>34</v>
      </c>
      <c r="K509" s="564">
        <v>2010</v>
      </c>
      <c r="L509" s="564" t="s">
        <v>732</v>
      </c>
      <c r="M509" s="566"/>
      <c r="N509" s="648"/>
      <c r="O509" s="566"/>
      <c r="P509" s="633"/>
      <c r="Q509" s="566"/>
      <c r="R509" s="634"/>
      <c r="S509" s="55"/>
      <c r="T509" s="576"/>
      <c r="U509" s="593"/>
      <c r="V509" s="575"/>
      <c r="W509" s="575"/>
      <c r="X509" s="579"/>
      <c r="Y509" s="579"/>
      <c r="Z509" s="579"/>
      <c r="AA509" s="579"/>
      <c r="AB509" s="586"/>
      <c r="AC509" s="579"/>
      <c r="AD509" s="579"/>
      <c r="AE509" s="579"/>
      <c r="AF509" s="579"/>
      <c r="AG509" s="579"/>
      <c r="AH509" s="579"/>
      <c r="AI509" s="579"/>
      <c r="AJ509" s="579"/>
      <c r="AK509" s="579"/>
      <c r="AL509" s="579"/>
    </row>
    <row r="510" spans="1:38" ht="38.65" customHeight="1">
      <c r="A510" s="564"/>
      <c r="B510" s="564" t="s">
        <v>200</v>
      </c>
      <c r="C510" s="564" t="s">
        <v>61</v>
      </c>
      <c r="D510" s="564" t="s">
        <v>62</v>
      </c>
      <c r="E510" s="564">
        <v>1000</v>
      </c>
      <c r="F510" s="564" t="s">
        <v>115</v>
      </c>
      <c r="G510" s="564" t="s">
        <v>52</v>
      </c>
      <c r="H510" s="566" t="s">
        <v>33</v>
      </c>
      <c r="I510" s="566">
        <f>(56.8+7.1)*1000000</f>
        <v>63900000</v>
      </c>
      <c r="J510" s="566" t="s">
        <v>34</v>
      </c>
      <c r="K510" s="564">
        <v>2010</v>
      </c>
      <c r="L510" s="564" t="s">
        <v>732</v>
      </c>
      <c r="M510" s="566"/>
      <c r="N510" s="648"/>
      <c r="O510" s="566"/>
      <c r="P510" s="633"/>
      <c r="Q510" s="566"/>
      <c r="R510" s="634"/>
      <c r="S510" s="55"/>
      <c r="T510" s="576"/>
      <c r="U510" s="593"/>
      <c r="V510" s="575"/>
      <c r="W510" s="575"/>
      <c r="X510" s="579"/>
      <c r="Y510" s="579"/>
      <c r="Z510" s="579"/>
      <c r="AA510" s="579"/>
      <c r="AB510" s="586"/>
      <c r="AC510" s="579"/>
      <c r="AD510" s="579"/>
      <c r="AE510" s="579"/>
      <c r="AF510" s="579"/>
      <c r="AG510" s="579"/>
      <c r="AH510" s="579"/>
      <c r="AI510" s="579"/>
      <c r="AJ510" s="579"/>
      <c r="AK510" s="579"/>
      <c r="AL510" s="579"/>
    </row>
    <row r="511" spans="1:38" ht="38.65" customHeight="1">
      <c r="A511" s="564"/>
      <c r="B511" s="564" t="s">
        <v>737</v>
      </c>
      <c r="C511" s="564" t="s">
        <v>61</v>
      </c>
      <c r="D511" s="564" t="s">
        <v>62</v>
      </c>
      <c r="E511" s="564">
        <v>1000</v>
      </c>
      <c r="F511" s="564" t="s">
        <v>115</v>
      </c>
      <c r="G511" s="564" t="s">
        <v>52</v>
      </c>
      <c r="H511" s="566" t="s">
        <v>33</v>
      </c>
      <c r="I511" s="566">
        <f>(47.9+7.1)*1000000</f>
        <v>55000000</v>
      </c>
      <c r="J511" s="566" t="s">
        <v>34</v>
      </c>
      <c r="K511" s="564">
        <v>2010</v>
      </c>
      <c r="L511" s="564" t="s">
        <v>732</v>
      </c>
      <c r="M511" s="566"/>
      <c r="N511" s="648"/>
      <c r="O511" s="566"/>
      <c r="P511" s="633"/>
      <c r="Q511" s="566"/>
      <c r="R511" s="634"/>
      <c r="S511" s="55"/>
      <c r="T511" s="576"/>
      <c r="U511" s="593"/>
      <c r="V511" s="575"/>
      <c r="W511" s="575"/>
      <c r="X511" s="579"/>
      <c r="Y511" s="579"/>
      <c r="Z511" s="579"/>
      <c r="AA511" s="579"/>
      <c r="AB511" s="586"/>
      <c r="AC511" s="579"/>
      <c r="AD511" s="579"/>
      <c r="AE511" s="579"/>
      <c r="AF511" s="579"/>
      <c r="AG511" s="579"/>
      <c r="AH511" s="579"/>
      <c r="AI511" s="579"/>
      <c r="AJ511" s="579"/>
      <c r="AK511" s="579"/>
      <c r="AL511" s="579"/>
    </row>
    <row r="512" spans="1:38" ht="38.65" customHeight="1">
      <c r="A512" s="564"/>
      <c r="B512" s="564" t="s">
        <v>736</v>
      </c>
      <c r="C512" s="564" t="s">
        <v>61</v>
      </c>
      <c r="D512" s="564" t="s">
        <v>62</v>
      </c>
      <c r="E512" s="564">
        <v>1000</v>
      </c>
      <c r="F512" s="564" t="s">
        <v>115</v>
      </c>
      <c r="G512" s="564" t="s">
        <v>52</v>
      </c>
      <c r="H512" s="566" t="s">
        <v>33</v>
      </c>
      <c r="I512" s="566">
        <f>(47.9+7.1)*1000000</f>
        <v>55000000</v>
      </c>
      <c r="J512" s="566" t="s">
        <v>34</v>
      </c>
      <c r="K512" s="564">
        <v>2010</v>
      </c>
      <c r="L512" s="564" t="s">
        <v>732</v>
      </c>
      <c r="M512" s="566"/>
      <c r="N512" s="648"/>
      <c r="O512" s="566"/>
      <c r="P512" s="633"/>
      <c r="Q512" s="566"/>
      <c r="R512" s="634"/>
      <c r="S512" s="55"/>
      <c r="T512" s="576"/>
      <c r="U512" s="593"/>
      <c r="V512" s="575"/>
      <c r="W512" s="575"/>
      <c r="X512" s="579"/>
      <c r="Y512" s="579"/>
      <c r="Z512" s="579"/>
      <c r="AA512" s="579"/>
      <c r="AB512" s="586"/>
      <c r="AC512" s="579"/>
      <c r="AD512" s="579"/>
      <c r="AE512" s="579"/>
      <c r="AF512" s="579"/>
      <c r="AG512" s="579"/>
      <c r="AH512" s="579"/>
      <c r="AI512" s="579"/>
      <c r="AJ512" s="579"/>
      <c r="AK512" s="579"/>
      <c r="AL512" s="579"/>
    </row>
    <row r="513" spans="1:38" ht="38.65" customHeight="1">
      <c r="A513" s="564"/>
      <c r="B513" s="564" t="s">
        <v>735</v>
      </c>
      <c r="C513" s="564" t="s">
        <v>61</v>
      </c>
      <c r="D513" s="564" t="s">
        <v>62</v>
      </c>
      <c r="E513" s="564">
        <v>1450</v>
      </c>
      <c r="F513" s="564" t="s">
        <v>115</v>
      </c>
      <c r="G513" s="564" t="s">
        <v>52</v>
      </c>
      <c r="H513" s="566" t="s">
        <v>33</v>
      </c>
      <c r="I513" s="566">
        <f>(83.7+9+7.1)*1000000</f>
        <v>99800000</v>
      </c>
      <c r="J513" s="566" t="s">
        <v>34</v>
      </c>
      <c r="K513" s="564">
        <v>2010</v>
      </c>
      <c r="L513" s="564" t="s">
        <v>732</v>
      </c>
      <c r="M513" s="566"/>
      <c r="N513" s="648"/>
      <c r="O513" s="566"/>
      <c r="P513" s="633"/>
      <c r="Q513" s="566"/>
      <c r="R513" s="634"/>
      <c r="S513" s="55"/>
      <c r="T513" s="576"/>
      <c r="U513" s="593"/>
      <c r="V513" s="575"/>
      <c r="W513" s="575"/>
      <c r="X513" s="579"/>
      <c r="Y513" s="579"/>
      <c r="Z513" s="579"/>
      <c r="AA513" s="579"/>
      <c r="AB513" s="586"/>
      <c r="AC513" s="579"/>
      <c r="AD513" s="579"/>
      <c r="AE513" s="579"/>
      <c r="AF513" s="579"/>
      <c r="AG513" s="579"/>
      <c r="AH513" s="579"/>
      <c r="AI513" s="579"/>
      <c r="AJ513" s="579"/>
      <c r="AK513" s="579"/>
      <c r="AL513" s="579"/>
    </row>
    <row r="514" spans="1:38" ht="38.65" customHeight="1">
      <c r="A514" s="564"/>
      <c r="B514" s="564" t="s">
        <v>200</v>
      </c>
      <c r="C514" s="564" t="s">
        <v>61</v>
      </c>
      <c r="D514" s="564" t="s">
        <v>62</v>
      </c>
      <c r="E514" s="564">
        <v>1000</v>
      </c>
      <c r="F514" s="564" t="s">
        <v>75</v>
      </c>
      <c r="G514" s="564" t="s">
        <v>52</v>
      </c>
      <c r="H514" s="566" t="s">
        <v>76</v>
      </c>
      <c r="I514" s="566">
        <v>110</v>
      </c>
      <c r="J514" s="566" t="s">
        <v>77</v>
      </c>
      <c r="K514" s="564">
        <v>2010</v>
      </c>
      <c r="L514" s="564" t="s">
        <v>732</v>
      </c>
      <c r="M514" s="566" t="s">
        <v>742</v>
      </c>
      <c r="N514" s="648">
        <v>0.85</v>
      </c>
      <c r="O514" s="566" t="s">
        <v>84</v>
      </c>
      <c r="P514" s="633"/>
      <c r="Q514" s="566"/>
      <c r="R514" s="634"/>
      <c r="S514" s="55"/>
      <c r="T514" s="576"/>
      <c r="U514" s="593"/>
      <c r="V514" s="575"/>
      <c r="W514" s="575"/>
      <c r="X514" s="579"/>
      <c r="Y514" s="579"/>
      <c r="Z514" s="579"/>
      <c r="AA514" s="579"/>
      <c r="AB514" s="586"/>
      <c r="AC514" s="579"/>
      <c r="AD514" s="579"/>
      <c r="AE514" s="579"/>
      <c r="AF514" s="579"/>
      <c r="AG514" s="579"/>
      <c r="AH514" s="579"/>
      <c r="AI514" s="579"/>
      <c r="AJ514" s="579"/>
      <c r="AK514" s="579"/>
      <c r="AL514" s="579"/>
    </row>
    <row r="515" spans="1:38" ht="38.65" customHeight="1">
      <c r="A515" s="564"/>
      <c r="B515" s="564" t="s">
        <v>735</v>
      </c>
      <c r="C515" s="564" t="s">
        <v>61</v>
      </c>
      <c r="D515" s="564" t="s">
        <v>62</v>
      </c>
      <c r="E515" s="564">
        <v>1450</v>
      </c>
      <c r="F515" s="564" t="s">
        <v>75</v>
      </c>
      <c r="G515" s="564" t="s">
        <v>52</v>
      </c>
      <c r="H515" s="566" t="s">
        <v>76</v>
      </c>
      <c r="I515" s="566">
        <v>142</v>
      </c>
      <c r="J515" s="566" t="s">
        <v>77</v>
      </c>
      <c r="K515" s="564">
        <v>2010</v>
      </c>
      <c r="L515" s="564" t="s">
        <v>732</v>
      </c>
      <c r="M515" s="566" t="s">
        <v>744</v>
      </c>
      <c r="N515" s="648">
        <v>0.75</v>
      </c>
      <c r="O515" s="566" t="s">
        <v>84</v>
      </c>
      <c r="P515" s="633"/>
      <c r="Q515" s="566"/>
      <c r="R515" s="634"/>
      <c r="S515" s="55"/>
      <c r="T515" s="576"/>
      <c r="U515" s="593"/>
      <c r="V515" s="575"/>
      <c r="W515" s="575"/>
      <c r="X515" s="579"/>
      <c r="Y515" s="579"/>
      <c r="Z515" s="579"/>
      <c r="AA515" s="579"/>
      <c r="AB515" s="586"/>
      <c r="AC515" s="579"/>
      <c r="AD515" s="579"/>
      <c r="AE515" s="579"/>
      <c r="AF515" s="579"/>
      <c r="AG515" s="579"/>
      <c r="AH515" s="579"/>
      <c r="AI515" s="579"/>
      <c r="AJ515" s="579"/>
      <c r="AK515" s="579"/>
      <c r="AL515" s="579"/>
    </row>
    <row r="516" spans="1:38" ht="38.65" customHeight="1">
      <c r="A516" s="564"/>
      <c r="B516" s="564" t="s">
        <v>232</v>
      </c>
      <c r="C516" s="564" t="s">
        <v>61</v>
      </c>
      <c r="D516" s="564" t="s">
        <v>62</v>
      </c>
      <c r="E516" s="564">
        <v>1000</v>
      </c>
      <c r="F516" s="564" t="s">
        <v>75</v>
      </c>
      <c r="G516" s="564" t="s">
        <v>52</v>
      </c>
      <c r="H516" s="566" t="s">
        <v>76</v>
      </c>
      <c r="I516" s="566">
        <v>88.9</v>
      </c>
      <c r="J516" s="566" t="s">
        <v>77</v>
      </c>
      <c r="K516" s="564">
        <v>2010</v>
      </c>
      <c r="L516" s="564" t="s">
        <v>732</v>
      </c>
      <c r="M516" s="566" t="s">
        <v>743</v>
      </c>
      <c r="N516" s="648">
        <v>0.85</v>
      </c>
      <c r="O516" s="566" t="s">
        <v>84</v>
      </c>
      <c r="P516" s="633"/>
      <c r="Q516" s="566"/>
      <c r="R516" s="634"/>
      <c r="S516" s="55"/>
      <c r="T516" s="576"/>
      <c r="U516" s="593"/>
      <c r="V516" s="575"/>
      <c r="W516" s="575"/>
      <c r="X516" s="579"/>
      <c r="Y516" s="579"/>
      <c r="Z516" s="579"/>
      <c r="AA516" s="579"/>
      <c r="AB516" s="586"/>
      <c r="AC516" s="579"/>
      <c r="AD516" s="579"/>
      <c r="AE516" s="579"/>
      <c r="AF516" s="579"/>
      <c r="AG516" s="579"/>
      <c r="AH516" s="579"/>
      <c r="AI516" s="579"/>
      <c r="AJ516" s="579"/>
      <c r="AK516" s="579"/>
      <c r="AL516" s="579"/>
    </row>
    <row r="517" spans="1:38" ht="38.65" customHeight="1">
      <c r="A517" s="564"/>
      <c r="B517" s="564" t="s">
        <v>741</v>
      </c>
      <c r="C517" s="564" t="s">
        <v>61</v>
      </c>
      <c r="D517" s="564" t="s">
        <v>62</v>
      </c>
      <c r="E517" s="564">
        <v>1000</v>
      </c>
      <c r="F517" s="564" t="s">
        <v>31</v>
      </c>
      <c r="G517" s="564" t="s">
        <v>52</v>
      </c>
      <c r="H517" s="564" t="s">
        <v>76</v>
      </c>
      <c r="I517" s="644">
        <f>(5229/1.15)*(1.375)</f>
        <v>6252.0652173913049</v>
      </c>
      <c r="J517" s="564" t="s">
        <v>189</v>
      </c>
      <c r="K517" s="564">
        <v>2010</v>
      </c>
      <c r="L517" s="564" t="s">
        <v>732</v>
      </c>
      <c r="M517" s="564" t="s">
        <v>746</v>
      </c>
      <c r="N517" s="648">
        <v>0.85</v>
      </c>
      <c r="O517" s="566" t="s">
        <v>740</v>
      </c>
      <c r="P517" s="633"/>
      <c r="Q517" s="633">
        <f>(5229-4546.96)*1000000</f>
        <v>682040000</v>
      </c>
      <c r="R517" s="634"/>
      <c r="S517" s="55"/>
      <c r="T517" s="576"/>
      <c r="U517" s="593"/>
      <c r="V517" s="575"/>
      <c r="W517" s="575"/>
      <c r="X517" s="579"/>
      <c r="Y517" s="579"/>
      <c r="Z517" s="579"/>
      <c r="AA517" s="579"/>
      <c r="AB517" s="586"/>
      <c r="AC517" s="579"/>
      <c r="AD517" s="579"/>
      <c r="AE517" s="579"/>
      <c r="AF517" s="579"/>
      <c r="AG517" s="579"/>
      <c r="AH517" s="579"/>
      <c r="AI517" s="579"/>
      <c r="AJ517" s="579"/>
      <c r="AK517" s="579"/>
      <c r="AL517" s="579"/>
    </row>
    <row r="518" spans="1:38" ht="38.65" customHeight="1">
      <c r="A518" s="564"/>
      <c r="B518" s="564" t="s">
        <v>738</v>
      </c>
      <c r="C518" s="564" t="s">
        <v>61</v>
      </c>
      <c r="D518" s="564" t="s">
        <v>62</v>
      </c>
      <c r="E518" s="564">
        <v>1000</v>
      </c>
      <c r="F518" s="564" t="s">
        <v>31</v>
      </c>
      <c r="G518" s="564" t="s">
        <v>32</v>
      </c>
      <c r="H518" s="564" t="s">
        <v>76</v>
      </c>
      <c r="I518" s="644">
        <f>(3768/1.15)*(1.625)</f>
        <v>5324.347826086957</v>
      </c>
      <c r="J518" s="564" t="s">
        <v>189</v>
      </c>
      <c r="K518" s="564">
        <v>2010</v>
      </c>
      <c r="L518" s="564" t="s">
        <v>732</v>
      </c>
      <c r="M518" s="564" t="s">
        <v>739</v>
      </c>
      <c r="N518" s="634" t="s">
        <v>38</v>
      </c>
      <c r="O518" s="566" t="s">
        <v>104</v>
      </c>
      <c r="P518" s="633"/>
      <c r="Q518" s="633">
        <f>(3768-3276.52)*1000000</f>
        <v>491480000</v>
      </c>
      <c r="R518" s="634"/>
      <c r="S518" s="55"/>
      <c r="T518" s="576"/>
      <c r="U518" s="593"/>
      <c r="V518" s="575"/>
      <c r="W518" s="575"/>
      <c r="X518" s="579"/>
      <c r="Y518" s="579"/>
      <c r="Z518" s="579"/>
      <c r="AA518" s="579"/>
      <c r="AB518" s="586"/>
      <c r="AC518" s="579"/>
      <c r="AD518" s="579"/>
      <c r="AE518" s="579"/>
      <c r="AF518" s="579"/>
      <c r="AG518" s="579"/>
      <c r="AH518" s="579"/>
      <c r="AI518" s="579"/>
      <c r="AJ518" s="579"/>
      <c r="AK518" s="579"/>
      <c r="AL518" s="579"/>
    </row>
    <row r="519" spans="1:38" ht="38.65" customHeight="1">
      <c r="A519" s="564">
        <v>453</v>
      </c>
      <c r="B519" s="564" t="s">
        <v>200</v>
      </c>
      <c r="C519" s="564" t="s">
        <v>61</v>
      </c>
      <c r="D519" s="564" t="s">
        <v>62</v>
      </c>
      <c r="E519" s="564">
        <v>1000</v>
      </c>
      <c r="F519" s="564" t="s">
        <v>31</v>
      </c>
      <c r="G519" s="564" t="s">
        <v>52</v>
      </c>
      <c r="H519" s="564" t="s">
        <v>76</v>
      </c>
      <c r="I519" s="644">
        <f>(3911/1.15)*(1.44)</f>
        <v>4897.2521739130434</v>
      </c>
      <c r="J519" s="564" t="s">
        <v>189</v>
      </c>
      <c r="K519" s="564">
        <v>2010</v>
      </c>
      <c r="L519" s="564" t="s">
        <v>732</v>
      </c>
      <c r="M519" s="564" t="s">
        <v>733</v>
      </c>
      <c r="N519" s="648">
        <v>0.85</v>
      </c>
      <c r="O519" s="564" t="s">
        <v>84</v>
      </c>
      <c r="P519" s="633" t="s">
        <v>38</v>
      </c>
      <c r="Q519" s="633">
        <f>(3911-3400.87)*1000000</f>
        <v>510130000.00000012</v>
      </c>
      <c r="R519" s="634" t="s">
        <v>38</v>
      </c>
      <c r="S519" s="55"/>
      <c r="T519" s="576"/>
      <c r="U519" s="593"/>
      <c r="V519" s="575"/>
      <c r="W519" s="575"/>
      <c r="X519" s="579"/>
      <c r="Y519" s="579"/>
      <c r="Z519" s="579"/>
      <c r="AA519" s="579"/>
      <c r="AB519" s="586"/>
      <c r="AC519" s="579"/>
      <c r="AD519" s="579"/>
      <c r="AE519" s="579"/>
      <c r="AF519" s="579"/>
      <c r="AG519" s="579"/>
      <c r="AH519" s="579"/>
      <c r="AI519" s="579"/>
      <c r="AJ519" s="579"/>
      <c r="AK519" s="579"/>
      <c r="AL519" s="579"/>
    </row>
    <row r="520" spans="1:38" ht="38.65" customHeight="1">
      <c r="A520" s="564"/>
      <c r="B520" s="564" t="s">
        <v>737</v>
      </c>
      <c r="C520" s="564" t="s">
        <v>61</v>
      </c>
      <c r="D520" s="564" t="s">
        <v>62</v>
      </c>
      <c r="E520" s="564">
        <v>1000</v>
      </c>
      <c r="F520" s="564" t="s">
        <v>31</v>
      </c>
      <c r="G520" s="564" t="s">
        <v>52</v>
      </c>
      <c r="H520" s="564" t="s">
        <v>76</v>
      </c>
      <c r="I520" s="644">
        <f>(2547/1.15)*(1.375)</f>
        <v>3045.326086956522</v>
      </c>
      <c r="J520" s="564" t="s">
        <v>189</v>
      </c>
      <c r="K520" s="564">
        <v>2010</v>
      </c>
      <c r="L520" s="564" t="s">
        <v>732</v>
      </c>
      <c r="M520" s="564" t="s">
        <v>734</v>
      </c>
      <c r="N520" s="648">
        <v>0.85</v>
      </c>
      <c r="O520" s="564" t="s">
        <v>84</v>
      </c>
      <c r="P520" s="633"/>
      <c r="Q520" s="633">
        <f>(3303-2872.17)*1000000</f>
        <v>430829999.99999994</v>
      </c>
      <c r="R520" s="634"/>
      <c r="S520" s="55"/>
      <c r="T520" s="576"/>
      <c r="U520" s="593"/>
      <c r="V520" s="575"/>
      <c r="W520" s="575"/>
      <c r="X520" s="579"/>
      <c r="Y520" s="579"/>
      <c r="Z520" s="579"/>
      <c r="AA520" s="579"/>
      <c r="AB520" s="586"/>
      <c r="AC520" s="579"/>
      <c r="AD520" s="579"/>
      <c r="AE520" s="579"/>
      <c r="AF520" s="579"/>
      <c r="AG520" s="579"/>
      <c r="AH520" s="579"/>
      <c r="AI520" s="579"/>
      <c r="AJ520" s="579"/>
      <c r="AK520" s="579"/>
      <c r="AL520" s="579"/>
    </row>
    <row r="521" spans="1:38" ht="38.65" customHeight="1">
      <c r="A521" s="564">
        <v>454</v>
      </c>
      <c r="B521" s="564" t="s">
        <v>736</v>
      </c>
      <c r="C521" s="564" t="s">
        <v>61</v>
      </c>
      <c r="D521" s="564" t="s">
        <v>62</v>
      </c>
      <c r="E521" s="564">
        <v>1000</v>
      </c>
      <c r="F521" s="564" t="s">
        <v>31</v>
      </c>
      <c r="G521" s="564" t="s">
        <v>52</v>
      </c>
      <c r="H521" s="564" t="s">
        <v>76</v>
      </c>
      <c r="I521" s="644">
        <f>(3303/1.15)*(1.375)</f>
        <v>3949.239130434783</v>
      </c>
      <c r="J521" s="564" t="s">
        <v>189</v>
      </c>
      <c r="K521" s="564">
        <v>2010</v>
      </c>
      <c r="L521" s="564" t="s">
        <v>732</v>
      </c>
      <c r="M521" s="564" t="s">
        <v>734</v>
      </c>
      <c r="N521" s="648">
        <v>0.85</v>
      </c>
      <c r="O521" s="564" t="s">
        <v>84</v>
      </c>
      <c r="P521" s="633" t="s">
        <v>38</v>
      </c>
      <c r="Q521" s="633">
        <f>(2547-2214.78)*1000000</f>
        <v>332219999.99999982</v>
      </c>
      <c r="R521" s="634" t="s">
        <v>38</v>
      </c>
      <c r="S521" s="55"/>
      <c r="T521" s="576"/>
      <c r="U521" s="593"/>
      <c r="V521" s="575"/>
      <c r="W521" s="575"/>
      <c r="X521" s="579"/>
      <c r="Y521" s="579"/>
      <c r="Z521" s="579"/>
      <c r="AA521" s="579"/>
      <c r="AB521" s="586"/>
      <c r="AC521" s="579"/>
      <c r="AD521" s="579"/>
      <c r="AE521" s="579"/>
      <c r="AF521" s="579"/>
      <c r="AG521" s="579"/>
      <c r="AH521" s="579"/>
      <c r="AI521" s="579"/>
      <c r="AJ521" s="579"/>
      <c r="AK521" s="579"/>
      <c r="AL521" s="579"/>
    </row>
    <row r="522" spans="1:38" ht="38.65" customHeight="1">
      <c r="A522" s="564">
        <v>455</v>
      </c>
      <c r="B522" s="564" t="s">
        <v>735</v>
      </c>
      <c r="C522" s="564" t="s">
        <v>61</v>
      </c>
      <c r="D522" s="564" t="s">
        <v>62</v>
      </c>
      <c r="E522" s="564">
        <v>1450</v>
      </c>
      <c r="F522" s="564" t="s">
        <v>31</v>
      </c>
      <c r="G522" s="564" t="s">
        <v>52</v>
      </c>
      <c r="H522" s="564" t="s">
        <v>76</v>
      </c>
      <c r="I522" s="644">
        <f>(5096/1.15)*(1.375)</f>
        <v>6093.04347826087</v>
      </c>
      <c r="J522" s="564" t="s">
        <v>189</v>
      </c>
      <c r="K522" s="564">
        <v>2010</v>
      </c>
      <c r="L522" s="564" t="s">
        <v>732</v>
      </c>
      <c r="M522" s="564" t="s">
        <v>745</v>
      </c>
      <c r="N522" s="634">
        <v>0.75</v>
      </c>
      <c r="O522" s="564" t="s">
        <v>84</v>
      </c>
      <c r="P522" s="633" t="s">
        <v>38</v>
      </c>
      <c r="Q522" s="633">
        <f>(7385-6421.74)*1000000</f>
        <v>963260000.00000024</v>
      </c>
      <c r="R522" s="634" t="s">
        <v>38</v>
      </c>
      <c r="S522" s="55"/>
      <c r="T522" s="576"/>
      <c r="U522" s="593"/>
      <c r="V522" s="575"/>
      <c r="W522" s="575"/>
      <c r="X522" s="579"/>
      <c r="Y522" s="579"/>
      <c r="Z522" s="579"/>
      <c r="AA522" s="579"/>
      <c r="AB522" s="586"/>
      <c r="AC522" s="579"/>
      <c r="AD522" s="579"/>
      <c r="AE522" s="579"/>
      <c r="AF522" s="579"/>
      <c r="AG522" s="579"/>
      <c r="AH522" s="579"/>
      <c r="AI522" s="579"/>
      <c r="AJ522" s="579"/>
      <c r="AK522" s="579"/>
      <c r="AL522" s="579"/>
    </row>
    <row r="523" spans="1:38" ht="38.65" customHeight="1">
      <c r="A523" s="564">
        <v>449</v>
      </c>
      <c r="B523" s="566" t="s">
        <v>60</v>
      </c>
      <c r="C523" s="566" t="s">
        <v>61</v>
      </c>
      <c r="D523" s="566" t="s">
        <v>62</v>
      </c>
      <c r="E523" s="566">
        <v>1200</v>
      </c>
      <c r="F523" s="566" t="s">
        <v>493</v>
      </c>
      <c r="G523" s="566" t="s">
        <v>52</v>
      </c>
      <c r="H523" s="566" t="s">
        <v>76</v>
      </c>
      <c r="I523" s="566">
        <v>0.5</v>
      </c>
      <c r="J523" s="566" t="s">
        <v>77</v>
      </c>
      <c r="K523" s="566">
        <v>1983</v>
      </c>
      <c r="L523" s="566" t="s">
        <v>428</v>
      </c>
      <c r="M523" s="566"/>
      <c r="N523" s="648" t="s">
        <v>38</v>
      </c>
      <c r="O523" s="634" t="s">
        <v>38</v>
      </c>
      <c r="P523" s="633" t="s">
        <v>38</v>
      </c>
      <c r="Q523" s="633" t="s">
        <v>38</v>
      </c>
      <c r="R523" s="634" t="s">
        <v>38</v>
      </c>
      <c r="S523" s="55"/>
      <c r="T523" s="576"/>
      <c r="U523" s="575"/>
      <c r="V523" s="575"/>
      <c r="W523" s="575"/>
      <c r="X523" s="613"/>
      <c r="Y523" s="613"/>
      <c r="Z523" s="613"/>
      <c r="AA523" s="613"/>
      <c r="AB523" s="586"/>
      <c r="AC523" s="579"/>
      <c r="AD523" s="579"/>
      <c r="AE523" s="579"/>
      <c r="AF523" s="579"/>
      <c r="AG523" s="579"/>
      <c r="AH523" s="579"/>
      <c r="AI523" s="579"/>
      <c r="AJ523" s="579"/>
      <c r="AK523" s="579"/>
      <c r="AL523" s="579"/>
    </row>
    <row r="524" spans="1:38" ht="38.65" customHeight="1">
      <c r="A524" s="564">
        <v>450</v>
      </c>
      <c r="B524" s="566" t="s">
        <v>60</v>
      </c>
      <c r="C524" s="566" t="s">
        <v>61</v>
      </c>
      <c r="D524" s="566" t="s">
        <v>62</v>
      </c>
      <c r="E524" s="566">
        <v>1200</v>
      </c>
      <c r="F524" s="566" t="s">
        <v>63</v>
      </c>
      <c r="G524" s="566" t="s">
        <v>52</v>
      </c>
      <c r="H524" s="566" t="s">
        <v>76</v>
      </c>
      <c r="I524" s="566">
        <f>(0.4*1000000)/(0.65*1200*8760)</f>
        <v>5.8541154431565393E-2</v>
      </c>
      <c r="J524" s="566" t="s">
        <v>128</v>
      </c>
      <c r="K524" s="566">
        <v>1983</v>
      </c>
      <c r="L524" s="566" t="s">
        <v>428</v>
      </c>
      <c r="M524" s="566" t="s">
        <v>429</v>
      </c>
      <c r="N524" s="648">
        <v>0.65</v>
      </c>
      <c r="O524" s="634" t="s">
        <v>38</v>
      </c>
      <c r="P524" s="633" t="s">
        <v>38</v>
      </c>
      <c r="Q524" s="633" t="s">
        <v>38</v>
      </c>
      <c r="R524" s="634" t="s">
        <v>38</v>
      </c>
      <c r="S524" s="55"/>
      <c r="T524" s="576"/>
      <c r="U524" s="593"/>
      <c r="V524" s="593"/>
      <c r="W524" s="593"/>
      <c r="X524" s="613"/>
      <c r="Y524" s="613"/>
      <c r="Z524" s="613"/>
      <c r="AA524" s="613"/>
      <c r="AB524" s="586"/>
      <c r="AC524" s="579"/>
      <c r="AD524" s="579"/>
      <c r="AE524" s="579"/>
      <c r="AF524" s="579"/>
      <c r="AG524" s="579"/>
      <c r="AH524" s="579"/>
      <c r="AI524" s="579"/>
      <c r="AJ524" s="579"/>
      <c r="AK524" s="579"/>
      <c r="AL524" s="579"/>
    </row>
    <row r="525" spans="1:38" ht="38.65" customHeight="1">
      <c r="A525" s="564">
        <v>451</v>
      </c>
      <c r="B525" s="566" t="s">
        <v>60</v>
      </c>
      <c r="C525" s="566" t="s">
        <v>61</v>
      </c>
      <c r="D525" s="566" t="s">
        <v>62</v>
      </c>
      <c r="E525" s="566">
        <v>1200</v>
      </c>
      <c r="F525" s="566" t="s">
        <v>75</v>
      </c>
      <c r="G525" s="566" t="s">
        <v>52</v>
      </c>
      <c r="H525" s="566" t="s">
        <v>76</v>
      </c>
      <c r="I525" s="566">
        <v>75</v>
      </c>
      <c r="J525" s="566" t="s">
        <v>77</v>
      </c>
      <c r="K525" s="566">
        <v>1983</v>
      </c>
      <c r="L525" s="566" t="s">
        <v>428</v>
      </c>
      <c r="M525" s="566" t="s">
        <v>431</v>
      </c>
      <c r="N525" s="648">
        <v>0.65</v>
      </c>
      <c r="O525" s="566" t="s">
        <v>430</v>
      </c>
      <c r="P525" s="633" t="s">
        <v>38</v>
      </c>
      <c r="Q525" s="633" t="s">
        <v>38</v>
      </c>
      <c r="R525" s="634" t="s">
        <v>38</v>
      </c>
      <c r="S525" s="55"/>
      <c r="T525" s="576"/>
      <c r="U525" s="593"/>
      <c r="V525" s="593"/>
      <c r="W525" s="593"/>
      <c r="X525" s="613"/>
      <c r="Y525" s="613"/>
      <c r="Z525" s="613"/>
      <c r="AA525" s="613"/>
      <c r="AB525" s="586"/>
      <c r="AC525" s="579"/>
      <c r="AD525" s="579"/>
      <c r="AE525" s="579"/>
      <c r="AF525" s="579"/>
      <c r="AG525" s="579"/>
      <c r="AH525" s="579"/>
      <c r="AI525" s="579"/>
      <c r="AJ525" s="579"/>
      <c r="AK525" s="579"/>
      <c r="AL525" s="579"/>
    </row>
    <row r="526" spans="1:38" ht="38.65" customHeight="1">
      <c r="A526" s="564">
        <v>452</v>
      </c>
      <c r="B526" s="566" t="s">
        <v>60</v>
      </c>
      <c r="C526" s="566" t="s">
        <v>61</v>
      </c>
      <c r="D526" s="566" t="s">
        <v>62</v>
      </c>
      <c r="E526" s="566">
        <v>1200</v>
      </c>
      <c r="F526" s="566" t="s">
        <v>31</v>
      </c>
      <c r="G526" s="566" t="s">
        <v>52</v>
      </c>
      <c r="H526" s="566" t="s">
        <v>33</v>
      </c>
      <c r="I526" s="566">
        <f>(2581*1000000)-(274*1000000)</f>
        <v>2307000000</v>
      </c>
      <c r="J526" s="566" t="s">
        <v>34</v>
      </c>
      <c r="K526" s="566">
        <v>1983</v>
      </c>
      <c r="L526" s="566" t="s">
        <v>428</v>
      </c>
      <c r="M526" s="566" t="s">
        <v>432</v>
      </c>
      <c r="N526" s="648" t="s">
        <v>38</v>
      </c>
      <c r="O526" s="566" t="s">
        <v>430</v>
      </c>
      <c r="P526" s="633" t="s">
        <v>38</v>
      </c>
      <c r="Q526" s="566">
        <f>274*1000000</f>
        <v>274000000</v>
      </c>
      <c r="R526" s="634" t="s">
        <v>38</v>
      </c>
      <c r="S526" s="55"/>
      <c r="T526" s="576"/>
      <c r="U526" s="593"/>
      <c r="V526" s="593"/>
      <c r="W526" s="593"/>
      <c r="X526" s="613"/>
      <c r="Y526" s="613"/>
      <c r="Z526" s="613"/>
      <c r="AA526" s="613"/>
      <c r="AB526" s="586"/>
      <c r="AC526" s="579"/>
      <c r="AD526" s="579"/>
      <c r="AE526" s="579"/>
      <c r="AF526" s="579"/>
      <c r="AG526" s="579"/>
      <c r="AH526" s="579"/>
      <c r="AI526" s="579"/>
      <c r="AJ526" s="579"/>
      <c r="AK526" s="579"/>
      <c r="AL526" s="579"/>
    </row>
    <row r="527" spans="1:38" ht="38.65" customHeight="1">
      <c r="A527" s="564"/>
      <c r="B527" s="564" t="s">
        <v>940</v>
      </c>
      <c r="C527" s="564" t="s">
        <v>61</v>
      </c>
      <c r="D527" s="564" t="s">
        <v>62</v>
      </c>
      <c r="E527" s="564">
        <v>1203</v>
      </c>
      <c r="F527" s="564" t="s">
        <v>31</v>
      </c>
      <c r="G527" s="564" t="s">
        <v>32</v>
      </c>
      <c r="H527" s="564" t="s">
        <v>33</v>
      </c>
      <c r="I527" s="564">
        <f>(7929-576)*1000000*0.789</f>
        <v>5801517000</v>
      </c>
      <c r="J527" s="564" t="s">
        <v>34</v>
      </c>
      <c r="K527" s="564">
        <v>1984</v>
      </c>
      <c r="L527" s="566" t="s">
        <v>938</v>
      </c>
      <c r="M527" s="564" t="s">
        <v>935</v>
      </c>
      <c r="N527" s="634">
        <v>0.75</v>
      </c>
      <c r="O527" s="634" t="s">
        <v>84</v>
      </c>
      <c r="P527" s="633"/>
      <c r="Q527" s="633">
        <f>576*1000000</f>
        <v>576000000</v>
      </c>
      <c r="R527" s="633" t="s">
        <v>122</v>
      </c>
      <c r="S527" s="55"/>
      <c r="T527" s="576"/>
      <c r="U527" s="575"/>
      <c r="V527" s="575"/>
      <c r="W527" s="575"/>
      <c r="X527" s="579"/>
      <c r="Y527" s="579"/>
      <c r="Z527" s="579"/>
      <c r="AA527" s="579"/>
      <c r="AB527" s="586"/>
      <c r="AC527" s="579"/>
      <c r="AD527" s="579"/>
      <c r="AE527" s="579"/>
      <c r="AF527" s="579"/>
      <c r="AG527" s="579"/>
      <c r="AH527" s="579"/>
      <c r="AI527" s="579"/>
      <c r="AJ527" s="579"/>
      <c r="AK527" s="579"/>
      <c r="AL527" s="579"/>
    </row>
    <row r="528" spans="1:38" ht="38.65" customHeight="1">
      <c r="A528" s="564"/>
      <c r="B528" s="564" t="s">
        <v>941</v>
      </c>
      <c r="C528" s="564" t="s">
        <v>61</v>
      </c>
      <c r="D528" s="564" t="s">
        <v>62</v>
      </c>
      <c r="E528" s="564">
        <v>1209</v>
      </c>
      <c r="F528" s="564" t="s">
        <v>31</v>
      </c>
      <c r="G528" s="564" t="s">
        <v>32</v>
      </c>
      <c r="H528" s="564" t="s">
        <v>33</v>
      </c>
      <c r="I528" s="564">
        <f>(5788-399)*1000000*0.789</f>
        <v>4251921000</v>
      </c>
      <c r="J528" s="564" t="s">
        <v>34</v>
      </c>
      <c r="K528" s="564">
        <v>1984</v>
      </c>
      <c r="L528" s="566" t="s">
        <v>938</v>
      </c>
      <c r="M528" s="564" t="s">
        <v>935</v>
      </c>
      <c r="N528" s="634">
        <v>0.75</v>
      </c>
      <c r="O528" s="634" t="s">
        <v>84</v>
      </c>
      <c r="P528" s="633"/>
      <c r="Q528" s="633">
        <f>399*1000000</f>
        <v>399000000</v>
      </c>
      <c r="R528" s="633" t="s">
        <v>122</v>
      </c>
      <c r="S528" s="55"/>
      <c r="T528" s="591"/>
      <c r="U528" s="575"/>
      <c r="V528" s="575"/>
      <c r="W528" s="575"/>
      <c r="X528" s="579"/>
      <c r="Y528" s="579"/>
      <c r="Z528" s="579"/>
      <c r="AA528" s="579"/>
      <c r="AB528" s="586"/>
      <c r="AC528" s="579"/>
      <c r="AD528" s="579"/>
      <c r="AE528" s="579"/>
      <c r="AF528" s="579"/>
      <c r="AG528" s="579"/>
      <c r="AH528" s="579"/>
      <c r="AI528" s="579"/>
      <c r="AJ528" s="579"/>
      <c r="AK528" s="579"/>
      <c r="AL528" s="579"/>
    </row>
    <row r="529" spans="1:38" ht="38.65" customHeight="1">
      <c r="A529" s="564"/>
      <c r="B529" s="564" t="s">
        <v>187</v>
      </c>
      <c r="C529" s="564" t="s">
        <v>61</v>
      </c>
      <c r="D529" s="564" t="s">
        <v>62</v>
      </c>
      <c r="E529" s="564">
        <v>1200</v>
      </c>
      <c r="F529" s="564" t="s">
        <v>116</v>
      </c>
      <c r="G529" s="564" t="s">
        <v>52</v>
      </c>
      <c r="H529" s="564" t="s">
        <v>76</v>
      </c>
      <c r="I529" s="564">
        <v>18.100000000000001</v>
      </c>
      <c r="J529" s="564" t="s">
        <v>77</v>
      </c>
      <c r="K529" s="564">
        <v>1986</v>
      </c>
      <c r="L529" s="566" t="s">
        <v>1105</v>
      </c>
      <c r="M529" s="564" t="s">
        <v>1099</v>
      </c>
      <c r="N529" s="634"/>
      <c r="O529" s="634"/>
      <c r="P529" s="633"/>
      <c r="Q529" s="633"/>
      <c r="R529" s="633"/>
      <c r="S529" s="55"/>
      <c r="T529" s="591"/>
      <c r="U529" s="575"/>
      <c r="V529" s="575"/>
      <c r="W529" s="575"/>
      <c r="X529" s="579"/>
      <c r="Y529" s="579"/>
      <c r="Z529" s="579"/>
      <c r="AA529" s="579"/>
      <c r="AB529" s="586"/>
      <c r="AC529" s="579"/>
      <c r="AD529" s="579"/>
      <c r="AE529" s="579"/>
      <c r="AF529" s="579"/>
      <c r="AG529" s="579"/>
      <c r="AH529" s="579"/>
      <c r="AI529" s="579"/>
      <c r="AJ529" s="579"/>
      <c r="AK529" s="579"/>
      <c r="AL529" s="579"/>
    </row>
    <row r="530" spans="1:38" ht="38.65" customHeight="1">
      <c r="A530" s="564"/>
      <c r="B530" s="564" t="s">
        <v>165</v>
      </c>
      <c r="C530" s="564" t="s">
        <v>61</v>
      </c>
      <c r="D530" s="564" t="s">
        <v>62</v>
      </c>
      <c r="E530" s="564">
        <v>1200</v>
      </c>
      <c r="F530" s="564" t="s">
        <v>116</v>
      </c>
      <c r="G530" s="564" t="s">
        <v>52</v>
      </c>
      <c r="H530" s="564" t="s">
        <v>76</v>
      </c>
      <c r="I530" s="564">
        <v>13.2</v>
      </c>
      <c r="J530" s="564" t="s">
        <v>77</v>
      </c>
      <c r="K530" s="564">
        <v>1986</v>
      </c>
      <c r="L530" s="566" t="s">
        <v>1105</v>
      </c>
      <c r="M530" s="564" t="s">
        <v>1099</v>
      </c>
      <c r="N530" s="634"/>
      <c r="O530" s="634"/>
      <c r="P530" s="633"/>
      <c r="Q530" s="633"/>
      <c r="R530" s="633"/>
      <c r="S530" s="55"/>
      <c r="T530" s="591"/>
      <c r="U530" s="575"/>
      <c r="V530" s="575"/>
      <c r="W530" s="575"/>
      <c r="X530" s="579"/>
      <c r="Y530" s="579"/>
      <c r="Z530" s="579"/>
      <c r="AA530" s="579"/>
      <c r="AB530" s="586"/>
      <c r="AC530" s="579"/>
      <c r="AD530" s="579"/>
      <c r="AE530" s="579"/>
      <c r="AF530" s="579"/>
      <c r="AG530" s="579"/>
      <c r="AH530" s="579"/>
      <c r="AI530" s="579"/>
      <c r="AJ530" s="579"/>
      <c r="AK530" s="579"/>
      <c r="AL530" s="579"/>
    </row>
    <row r="531" spans="1:38" ht="38.65" customHeight="1">
      <c r="A531" s="564"/>
      <c r="B531" s="564" t="s">
        <v>170</v>
      </c>
      <c r="C531" s="564" t="s">
        <v>61</v>
      </c>
      <c r="D531" s="564" t="s">
        <v>113</v>
      </c>
      <c r="E531" s="564">
        <v>970</v>
      </c>
      <c r="F531" s="564" t="s">
        <v>116</v>
      </c>
      <c r="G531" s="564" t="s">
        <v>52</v>
      </c>
      <c r="H531" s="564" t="s">
        <v>76</v>
      </c>
      <c r="I531" s="564">
        <v>13.5</v>
      </c>
      <c r="J531" s="564" t="s">
        <v>77</v>
      </c>
      <c r="K531" s="564">
        <v>1986</v>
      </c>
      <c r="L531" s="566" t="s">
        <v>1105</v>
      </c>
      <c r="M531" s="564" t="s">
        <v>1099</v>
      </c>
      <c r="N531" s="634"/>
      <c r="O531" s="634"/>
      <c r="P531" s="633"/>
      <c r="Q531" s="633"/>
      <c r="R531" s="633"/>
      <c r="S531" s="55"/>
      <c r="T531" s="591"/>
      <c r="U531" s="575"/>
      <c r="V531" s="575"/>
      <c r="W531" s="575"/>
      <c r="X531" s="579"/>
      <c r="Y531" s="579"/>
      <c r="Z531" s="579"/>
      <c r="AA531" s="579"/>
      <c r="AB531" s="586"/>
      <c r="AC531" s="579"/>
      <c r="AD531" s="579"/>
      <c r="AE531" s="579"/>
      <c r="AF531" s="579"/>
      <c r="AG531" s="579"/>
      <c r="AH531" s="579"/>
      <c r="AI531" s="579"/>
      <c r="AJ531" s="579"/>
      <c r="AK531" s="579"/>
      <c r="AL531" s="579"/>
    </row>
    <row r="532" spans="1:38" ht="38.65" customHeight="1">
      <c r="A532" s="564"/>
      <c r="B532" s="564" t="s">
        <v>172</v>
      </c>
      <c r="C532" s="564" t="s">
        <v>61</v>
      </c>
      <c r="D532" s="564" t="s">
        <v>113</v>
      </c>
      <c r="E532" s="564">
        <v>970</v>
      </c>
      <c r="F532" s="564" t="s">
        <v>116</v>
      </c>
      <c r="G532" s="564" t="s">
        <v>52</v>
      </c>
      <c r="H532" s="564" t="s">
        <v>76</v>
      </c>
      <c r="I532" s="564">
        <v>12.8</v>
      </c>
      <c r="J532" s="564" t="s">
        <v>77</v>
      </c>
      <c r="K532" s="564">
        <v>1986</v>
      </c>
      <c r="L532" s="566" t="s">
        <v>1105</v>
      </c>
      <c r="M532" s="564" t="s">
        <v>1099</v>
      </c>
      <c r="N532" s="634"/>
      <c r="O532" s="634"/>
      <c r="P532" s="633"/>
      <c r="Q532" s="633"/>
      <c r="R532" s="633"/>
      <c r="S532" s="55"/>
      <c r="T532" s="591"/>
      <c r="U532" s="575"/>
      <c r="V532" s="575"/>
      <c r="W532" s="575"/>
      <c r="X532" s="579"/>
      <c r="Y532" s="579"/>
      <c r="Z532" s="579"/>
      <c r="AA532" s="579"/>
      <c r="AB532" s="586"/>
      <c r="AC532" s="579"/>
      <c r="AD532" s="579"/>
      <c r="AE532" s="579"/>
      <c r="AF532" s="579"/>
      <c r="AG532" s="579"/>
      <c r="AH532" s="579"/>
      <c r="AI532" s="579"/>
      <c r="AJ532" s="579"/>
      <c r="AK532" s="579"/>
      <c r="AL532" s="579"/>
    </row>
    <row r="533" spans="1:38" ht="38.65" customHeight="1">
      <c r="A533" s="564"/>
      <c r="B533" s="564" t="s">
        <v>174</v>
      </c>
      <c r="C533" s="564" t="s">
        <v>61</v>
      </c>
      <c r="D533" s="564" t="s">
        <v>62</v>
      </c>
      <c r="E533" s="564">
        <v>1200</v>
      </c>
      <c r="F533" s="564" t="s">
        <v>116</v>
      </c>
      <c r="G533" s="564" t="s">
        <v>52</v>
      </c>
      <c r="H533" s="564" t="s">
        <v>76</v>
      </c>
      <c r="I533" s="564">
        <v>13.4</v>
      </c>
      <c r="J533" s="564" t="s">
        <v>77</v>
      </c>
      <c r="K533" s="564">
        <v>1986</v>
      </c>
      <c r="L533" s="566" t="s">
        <v>1105</v>
      </c>
      <c r="M533" s="564" t="s">
        <v>1099</v>
      </c>
      <c r="N533" s="634"/>
      <c r="O533" s="634"/>
      <c r="P533" s="633"/>
      <c r="Q533" s="633"/>
      <c r="R533" s="633"/>
      <c r="S533" s="55"/>
      <c r="T533" s="591"/>
      <c r="U533" s="575"/>
      <c r="V533" s="575"/>
      <c r="W533" s="575"/>
      <c r="X533" s="579"/>
      <c r="Y533" s="579"/>
      <c r="Z533" s="579"/>
      <c r="AA533" s="579"/>
      <c r="AB533" s="586"/>
      <c r="AC533" s="579"/>
      <c r="AD533" s="579"/>
      <c r="AE533" s="579"/>
      <c r="AF533" s="579"/>
      <c r="AG533" s="579"/>
      <c r="AH533" s="579"/>
      <c r="AI533" s="579"/>
      <c r="AJ533" s="579"/>
      <c r="AK533" s="579"/>
      <c r="AL533" s="579"/>
    </row>
    <row r="534" spans="1:38" ht="38.65" customHeight="1">
      <c r="A534" s="564"/>
      <c r="B534" s="564" t="s">
        <v>176</v>
      </c>
      <c r="C534" s="564" t="s">
        <v>61</v>
      </c>
      <c r="D534" s="564" t="s">
        <v>62</v>
      </c>
      <c r="E534" s="564">
        <v>1200</v>
      </c>
      <c r="F534" s="564" t="s">
        <v>116</v>
      </c>
      <c r="G534" s="564" t="s">
        <v>52</v>
      </c>
      <c r="H534" s="564" t="s">
        <v>76</v>
      </c>
      <c r="I534" s="564">
        <v>17.8</v>
      </c>
      <c r="J534" s="564" t="s">
        <v>77</v>
      </c>
      <c r="K534" s="564">
        <v>1986</v>
      </c>
      <c r="L534" s="566" t="s">
        <v>1105</v>
      </c>
      <c r="M534" s="564" t="s">
        <v>1099</v>
      </c>
      <c r="N534" s="634"/>
      <c r="O534" s="634"/>
      <c r="P534" s="633"/>
      <c r="Q534" s="633"/>
      <c r="R534" s="633"/>
      <c r="S534" s="55"/>
      <c r="T534" s="591"/>
      <c r="U534" s="575"/>
      <c r="V534" s="575"/>
      <c r="W534" s="575"/>
      <c r="X534" s="579"/>
      <c r="Y534" s="579"/>
      <c r="Z534" s="579"/>
      <c r="AA534" s="579"/>
      <c r="AB534" s="586"/>
      <c r="AC534" s="579"/>
      <c r="AD534" s="579"/>
      <c r="AE534" s="579"/>
      <c r="AF534" s="579"/>
      <c r="AG534" s="579"/>
      <c r="AH534" s="579"/>
      <c r="AI534" s="579"/>
      <c r="AJ534" s="579"/>
      <c r="AK534" s="579"/>
      <c r="AL534" s="579"/>
    </row>
    <row r="535" spans="1:38" ht="38.65" customHeight="1">
      <c r="A535" s="564"/>
      <c r="B535" s="564" t="s">
        <v>182</v>
      </c>
      <c r="C535" s="564" t="s">
        <v>61</v>
      </c>
      <c r="D535" s="564" t="s">
        <v>62</v>
      </c>
      <c r="E535" s="564">
        <v>1200</v>
      </c>
      <c r="F535" s="564" t="s">
        <v>116</v>
      </c>
      <c r="G535" s="564" t="s">
        <v>52</v>
      </c>
      <c r="H535" s="564" t="s">
        <v>76</v>
      </c>
      <c r="I535" s="564">
        <v>16.100000000000001</v>
      </c>
      <c r="J535" s="564" t="s">
        <v>77</v>
      </c>
      <c r="K535" s="564">
        <v>1986</v>
      </c>
      <c r="L535" s="566" t="s">
        <v>1105</v>
      </c>
      <c r="M535" s="564" t="s">
        <v>1099</v>
      </c>
      <c r="N535" s="634"/>
      <c r="O535" s="634"/>
      <c r="P535" s="633"/>
      <c r="Q535" s="633"/>
      <c r="R535" s="633"/>
      <c r="S535" s="55"/>
      <c r="T535" s="591"/>
      <c r="U535" s="575"/>
      <c r="V535" s="575"/>
      <c r="W535" s="575"/>
      <c r="X535" s="579"/>
      <c r="Y535" s="579"/>
      <c r="Z535" s="579"/>
      <c r="AA535" s="579"/>
      <c r="AB535" s="586"/>
      <c r="AC535" s="579"/>
      <c r="AD535" s="579"/>
      <c r="AE535" s="579"/>
      <c r="AF535" s="579"/>
      <c r="AG535" s="579"/>
      <c r="AH535" s="579"/>
      <c r="AI535" s="579"/>
      <c r="AJ535" s="579"/>
      <c r="AK535" s="579"/>
      <c r="AL535" s="579"/>
    </row>
    <row r="536" spans="1:38" ht="38.65" customHeight="1">
      <c r="A536" s="564"/>
      <c r="B536" s="564" t="s">
        <v>1100</v>
      </c>
      <c r="C536" s="564" t="s">
        <v>61</v>
      </c>
      <c r="D536" s="564" t="s">
        <v>62</v>
      </c>
      <c r="E536" s="564">
        <v>1200</v>
      </c>
      <c r="F536" s="564" t="s">
        <v>116</v>
      </c>
      <c r="G536" s="564" t="s">
        <v>52</v>
      </c>
      <c r="H536" s="564" t="s">
        <v>76</v>
      </c>
      <c r="I536" s="564">
        <v>8.9</v>
      </c>
      <c r="J536" s="564" t="s">
        <v>77</v>
      </c>
      <c r="K536" s="564">
        <v>1986</v>
      </c>
      <c r="L536" s="566" t="s">
        <v>1105</v>
      </c>
      <c r="M536" s="564" t="s">
        <v>1099</v>
      </c>
      <c r="N536" s="634"/>
      <c r="O536" s="634"/>
      <c r="P536" s="633"/>
      <c r="Q536" s="633"/>
      <c r="R536" s="633"/>
      <c r="S536" s="55"/>
      <c r="T536" s="591"/>
      <c r="U536" s="575"/>
      <c r="V536" s="575"/>
      <c r="W536" s="575"/>
      <c r="X536" s="579"/>
      <c r="Y536" s="579"/>
      <c r="Z536" s="579"/>
      <c r="AA536" s="579"/>
      <c r="AB536" s="586"/>
      <c r="AC536" s="579"/>
      <c r="AD536" s="579"/>
      <c r="AE536" s="579"/>
      <c r="AF536" s="579"/>
      <c r="AG536" s="579"/>
      <c r="AH536" s="579"/>
      <c r="AI536" s="579"/>
      <c r="AJ536" s="579"/>
      <c r="AK536" s="579"/>
      <c r="AL536" s="579"/>
    </row>
    <row r="537" spans="1:38" ht="38.65" customHeight="1">
      <c r="A537" s="564"/>
      <c r="B537" s="564" t="s">
        <v>187</v>
      </c>
      <c r="C537" s="564" t="s">
        <v>61</v>
      </c>
      <c r="D537" s="564" t="s">
        <v>62</v>
      </c>
      <c r="E537" s="564">
        <v>1200</v>
      </c>
      <c r="F537" s="564" t="s">
        <v>75</v>
      </c>
      <c r="G537" s="564" t="s">
        <v>52</v>
      </c>
      <c r="H537" s="564" t="s">
        <v>76</v>
      </c>
      <c r="I537" s="564"/>
      <c r="J537" s="564" t="s">
        <v>77</v>
      </c>
      <c r="K537" s="564">
        <v>1986</v>
      </c>
      <c r="L537" s="566" t="s">
        <v>1105</v>
      </c>
      <c r="M537" s="564" t="s">
        <v>1099</v>
      </c>
      <c r="N537" s="634"/>
      <c r="O537" s="634"/>
      <c r="P537" s="633"/>
      <c r="Q537" s="633"/>
      <c r="R537" s="633"/>
      <c r="S537" s="55"/>
      <c r="T537" s="591"/>
      <c r="U537" s="575"/>
      <c r="V537" s="575"/>
      <c r="W537" s="575"/>
      <c r="X537" s="579"/>
      <c r="Y537" s="579"/>
      <c r="Z537" s="579"/>
      <c r="AA537" s="579"/>
      <c r="AB537" s="586"/>
      <c r="AC537" s="579"/>
      <c r="AD537" s="579"/>
      <c r="AE537" s="579"/>
      <c r="AF537" s="579"/>
      <c r="AG537" s="579"/>
      <c r="AH537" s="579"/>
      <c r="AI537" s="579"/>
      <c r="AJ537" s="579"/>
      <c r="AK537" s="579"/>
      <c r="AL537" s="579"/>
    </row>
    <row r="538" spans="1:38" ht="38.65" customHeight="1">
      <c r="A538" s="564"/>
      <c r="B538" s="564" t="s">
        <v>165</v>
      </c>
      <c r="C538" s="564" t="s">
        <v>61</v>
      </c>
      <c r="D538" s="564" t="s">
        <v>62</v>
      </c>
      <c r="E538" s="564">
        <v>1200</v>
      </c>
      <c r="F538" s="564" t="s">
        <v>75</v>
      </c>
      <c r="G538" s="564" t="s">
        <v>52</v>
      </c>
      <c r="H538" s="564" t="s">
        <v>76</v>
      </c>
      <c r="I538" s="564"/>
      <c r="J538" s="564" t="s">
        <v>77</v>
      </c>
      <c r="K538" s="564">
        <v>1986</v>
      </c>
      <c r="L538" s="566" t="s">
        <v>1105</v>
      </c>
      <c r="M538" s="564" t="s">
        <v>1099</v>
      </c>
      <c r="N538" s="634"/>
      <c r="O538" s="634"/>
      <c r="P538" s="633"/>
      <c r="Q538" s="633"/>
      <c r="R538" s="633"/>
      <c r="S538" s="55"/>
      <c r="T538" s="591"/>
      <c r="U538" s="575"/>
      <c r="V538" s="575"/>
      <c r="W538" s="575"/>
      <c r="X538" s="579"/>
      <c r="Y538" s="579"/>
      <c r="Z538" s="579"/>
      <c r="AA538" s="579"/>
      <c r="AB538" s="586"/>
      <c r="AC538" s="579"/>
      <c r="AD538" s="579"/>
      <c r="AE538" s="579"/>
      <c r="AF538" s="579"/>
      <c r="AG538" s="579"/>
      <c r="AH538" s="579"/>
      <c r="AI538" s="579"/>
      <c r="AJ538" s="579"/>
      <c r="AK538" s="579"/>
      <c r="AL538" s="579"/>
    </row>
    <row r="539" spans="1:38" ht="38.65" customHeight="1">
      <c r="A539" s="564"/>
      <c r="B539" s="564" t="s">
        <v>170</v>
      </c>
      <c r="C539" s="564" t="s">
        <v>61</v>
      </c>
      <c r="D539" s="564" t="s">
        <v>113</v>
      </c>
      <c r="E539" s="564">
        <v>970</v>
      </c>
      <c r="F539" s="564" t="s">
        <v>75</v>
      </c>
      <c r="G539" s="564" t="s">
        <v>52</v>
      </c>
      <c r="H539" s="564" t="s">
        <v>76</v>
      </c>
      <c r="I539" s="564"/>
      <c r="J539" s="564" t="s">
        <v>77</v>
      </c>
      <c r="K539" s="564">
        <v>1986</v>
      </c>
      <c r="L539" s="566" t="s">
        <v>1105</v>
      </c>
      <c r="M539" s="564" t="s">
        <v>1099</v>
      </c>
      <c r="N539" s="634"/>
      <c r="O539" s="634"/>
      <c r="P539" s="633"/>
      <c r="Q539" s="633"/>
      <c r="R539" s="633"/>
      <c r="S539" s="55"/>
      <c r="T539" s="591"/>
      <c r="U539" s="575"/>
      <c r="V539" s="575"/>
      <c r="W539" s="575"/>
      <c r="X539" s="579"/>
      <c r="Y539" s="579"/>
      <c r="Z539" s="579"/>
      <c r="AA539" s="579"/>
      <c r="AB539" s="586"/>
      <c r="AC539" s="579"/>
      <c r="AD539" s="579"/>
      <c r="AE539" s="579"/>
      <c r="AF539" s="579"/>
      <c r="AG539" s="579"/>
      <c r="AH539" s="579"/>
      <c r="AI539" s="579"/>
      <c r="AJ539" s="579"/>
      <c r="AK539" s="579"/>
      <c r="AL539" s="579"/>
    </row>
    <row r="540" spans="1:38" ht="38.65" customHeight="1">
      <c r="A540" s="564"/>
      <c r="B540" s="564" t="s">
        <v>172</v>
      </c>
      <c r="C540" s="564" t="s">
        <v>61</v>
      </c>
      <c r="D540" s="564" t="s">
        <v>113</v>
      </c>
      <c r="E540" s="564">
        <v>970</v>
      </c>
      <c r="F540" s="564" t="s">
        <v>75</v>
      </c>
      <c r="G540" s="564" t="s">
        <v>52</v>
      </c>
      <c r="H540" s="564" t="s">
        <v>76</v>
      </c>
      <c r="I540" s="564"/>
      <c r="J540" s="564" t="s">
        <v>77</v>
      </c>
      <c r="K540" s="564">
        <v>1986</v>
      </c>
      <c r="L540" s="566" t="s">
        <v>1105</v>
      </c>
      <c r="M540" s="564" t="s">
        <v>1099</v>
      </c>
      <c r="N540" s="634"/>
      <c r="O540" s="634"/>
      <c r="P540" s="633"/>
      <c r="Q540" s="633"/>
      <c r="R540" s="633"/>
      <c r="S540" s="55"/>
      <c r="T540" s="591"/>
      <c r="U540" s="575"/>
      <c r="V540" s="575"/>
      <c r="W540" s="575"/>
      <c r="X540" s="579"/>
      <c r="Y540" s="579"/>
      <c r="Z540" s="579"/>
      <c r="AA540" s="579"/>
      <c r="AB540" s="586"/>
      <c r="AC540" s="579"/>
      <c r="AD540" s="579"/>
      <c r="AE540" s="579"/>
      <c r="AF540" s="579"/>
      <c r="AG540" s="579"/>
      <c r="AH540" s="579"/>
      <c r="AI540" s="579"/>
      <c r="AJ540" s="579"/>
      <c r="AK540" s="579"/>
      <c r="AL540" s="579"/>
    </row>
    <row r="541" spans="1:38" ht="38.65" customHeight="1">
      <c r="A541" s="564"/>
      <c r="B541" s="564" t="s">
        <v>174</v>
      </c>
      <c r="C541" s="564" t="s">
        <v>61</v>
      </c>
      <c r="D541" s="564" t="s">
        <v>62</v>
      </c>
      <c r="E541" s="564">
        <v>1200</v>
      </c>
      <c r="F541" s="564" t="s">
        <v>75</v>
      </c>
      <c r="G541" s="564" t="s">
        <v>52</v>
      </c>
      <c r="H541" s="564" t="s">
        <v>76</v>
      </c>
      <c r="I541" s="564"/>
      <c r="J541" s="564" t="s">
        <v>77</v>
      </c>
      <c r="K541" s="564">
        <v>1986</v>
      </c>
      <c r="L541" s="566" t="s">
        <v>1105</v>
      </c>
      <c r="M541" s="564" t="s">
        <v>1099</v>
      </c>
      <c r="N541" s="634"/>
      <c r="O541" s="634"/>
      <c r="P541" s="633"/>
      <c r="Q541" s="633"/>
      <c r="R541" s="633"/>
      <c r="S541" s="55"/>
      <c r="T541" s="591"/>
      <c r="U541" s="575"/>
      <c r="V541" s="575"/>
      <c r="W541" s="575"/>
      <c r="X541" s="579"/>
      <c r="Y541" s="579"/>
      <c r="Z541" s="579"/>
      <c r="AA541" s="579"/>
      <c r="AB541" s="586"/>
      <c r="AC541" s="579"/>
      <c r="AD541" s="579"/>
      <c r="AE541" s="579"/>
      <c r="AF541" s="579"/>
      <c r="AG541" s="579"/>
      <c r="AH541" s="579"/>
      <c r="AI541" s="579"/>
      <c r="AJ541" s="579"/>
      <c r="AK541" s="579"/>
      <c r="AL541" s="579"/>
    </row>
    <row r="542" spans="1:38" ht="38.65" customHeight="1">
      <c r="A542" s="564"/>
      <c r="B542" s="564" t="s">
        <v>176</v>
      </c>
      <c r="C542" s="564" t="s">
        <v>61</v>
      </c>
      <c r="D542" s="564" t="s">
        <v>62</v>
      </c>
      <c r="E542" s="564">
        <v>1200</v>
      </c>
      <c r="F542" s="564" t="s">
        <v>75</v>
      </c>
      <c r="G542" s="564" t="s">
        <v>52</v>
      </c>
      <c r="H542" s="564" t="s">
        <v>76</v>
      </c>
      <c r="I542" s="564"/>
      <c r="J542" s="564" t="s">
        <v>77</v>
      </c>
      <c r="K542" s="564">
        <v>1986</v>
      </c>
      <c r="L542" s="566" t="s">
        <v>1105</v>
      </c>
      <c r="M542" s="564" t="s">
        <v>1099</v>
      </c>
      <c r="N542" s="634"/>
      <c r="O542" s="634"/>
      <c r="P542" s="633"/>
      <c r="Q542" s="633"/>
      <c r="R542" s="633"/>
      <c r="S542" s="55"/>
      <c r="T542" s="591"/>
      <c r="U542" s="575"/>
      <c r="V542" s="575"/>
      <c r="W542" s="575"/>
      <c r="X542" s="579"/>
      <c r="Y542" s="579"/>
      <c r="Z542" s="579"/>
      <c r="AA542" s="579"/>
      <c r="AB542" s="586"/>
      <c r="AC542" s="579"/>
      <c r="AD542" s="579"/>
      <c r="AE542" s="579"/>
      <c r="AF542" s="579"/>
      <c r="AG542" s="579"/>
      <c r="AH542" s="579"/>
      <c r="AI542" s="579"/>
      <c r="AJ542" s="579"/>
      <c r="AK542" s="579"/>
      <c r="AL542" s="579"/>
    </row>
    <row r="543" spans="1:38" ht="38.65" customHeight="1">
      <c r="A543" s="564"/>
      <c r="B543" s="564" t="s">
        <v>182</v>
      </c>
      <c r="C543" s="564" t="s">
        <v>61</v>
      </c>
      <c r="D543" s="564" t="s">
        <v>62</v>
      </c>
      <c r="E543" s="564">
        <v>1200</v>
      </c>
      <c r="F543" s="564" t="s">
        <v>75</v>
      </c>
      <c r="G543" s="564" t="s">
        <v>52</v>
      </c>
      <c r="H543" s="564" t="s">
        <v>76</v>
      </c>
      <c r="I543" s="564"/>
      <c r="J543" s="564" t="s">
        <v>77</v>
      </c>
      <c r="K543" s="564">
        <v>1986</v>
      </c>
      <c r="L543" s="566" t="s">
        <v>1105</v>
      </c>
      <c r="M543" s="564" t="s">
        <v>1099</v>
      </c>
      <c r="N543" s="634"/>
      <c r="O543" s="634"/>
      <c r="P543" s="633"/>
      <c r="Q543" s="633"/>
      <c r="R543" s="633"/>
      <c r="S543" s="55"/>
      <c r="T543" s="591"/>
      <c r="U543" s="575"/>
      <c r="V543" s="575"/>
      <c r="W543" s="575"/>
      <c r="X543" s="579"/>
      <c r="Y543" s="579"/>
      <c r="Z543" s="579"/>
      <c r="AA543" s="579"/>
      <c r="AB543" s="586"/>
      <c r="AC543" s="579"/>
      <c r="AD543" s="579"/>
      <c r="AE543" s="579"/>
      <c r="AF543" s="579"/>
      <c r="AG543" s="579"/>
      <c r="AH543" s="579"/>
      <c r="AI543" s="579"/>
      <c r="AJ543" s="579"/>
      <c r="AK543" s="579"/>
      <c r="AL543" s="579"/>
    </row>
    <row r="544" spans="1:38" ht="38.65" customHeight="1">
      <c r="A544" s="564"/>
      <c r="B544" s="564" t="s">
        <v>1100</v>
      </c>
      <c r="C544" s="564" t="s">
        <v>61</v>
      </c>
      <c r="D544" s="564" t="s">
        <v>62</v>
      </c>
      <c r="E544" s="564">
        <v>1200</v>
      </c>
      <c r="F544" s="564" t="s">
        <v>75</v>
      </c>
      <c r="G544" s="564" t="s">
        <v>52</v>
      </c>
      <c r="H544" s="564" t="s">
        <v>76</v>
      </c>
      <c r="I544" s="564"/>
      <c r="J544" s="564" t="s">
        <v>77</v>
      </c>
      <c r="K544" s="564">
        <v>1986</v>
      </c>
      <c r="L544" s="566" t="s">
        <v>1105</v>
      </c>
      <c r="M544" s="564" t="s">
        <v>1099</v>
      </c>
      <c r="N544" s="634"/>
      <c r="O544" s="634"/>
      <c r="P544" s="633"/>
      <c r="Q544" s="633"/>
      <c r="R544" s="633"/>
      <c r="S544" s="55"/>
      <c r="T544" s="591"/>
      <c r="U544" s="575"/>
      <c r="V544" s="575"/>
      <c r="W544" s="575"/>
      <c r="X544" s="579"/>
      <c r="Y544" s="579"/>
      <c r="Z544" s="579"/>
      <c r="AA544" s="579"/>
      <c r="AB544" s="586"/>
      <c r="AC544" s="579"/>
      <c r="AD544" s="579"/>
      <c r="AE544" s="579"/>
      <c r="AF544" s="579"/>
      <c r="AG544" s="579"/>
      <c r="AH544" s="579"/>
      <c r="AI544" s="579"/>
      <c r="AJ544" s="579"/>
      <c r="AK544" s="579"/>
      <c r="AL544" s="579"/>
    </row>
    <row r="545" spans="1:38" ht="38.65" customHeight="1">
      <c r="A545" s="564"/>
      <c r="B545" s="564" t="s">
        <v>187</v>
      </c>
      <c r="C545" s="564" t="s">
        <v>61</v>
      </c>
      <c r="D545" s="564" t="s">
        <v>62</v>
      </c>
      <c r="E545" s="564">
        <v>1200</v>
      </c>
      <c r="F545" s="564" t="s">
        <v>31</v>
      </c>
      <c r="G545" s="564" t="s">
        <v>52</v>
      </c>
      <c r="H545" s="564" t="s">
        <v>76</v>
      </c>
      <c r="I545" s="564">
        <v>2178</v>
      </c>
      <c r="J545" s="564" t="s">
        <v>189</v>
      </c>
      <c r="K545" s="564">
        <v>1986</v>
      </c>
      <c r="L545" s="566" t="s">
        <v>1105</v>
      </c>
      <c r="M545" s="564" t="s">
        <v>1099</v>
      </c>
      <c r="N545" s="634"/>
      <c r="O545" s="634"/>
      <c r="P545" s="633"/>
      <c r="Q545" s="633"/>
      <c r="R545" s="633"/>
      <c r="S545" s="55"/>
      <c r="T545" s="591"/>
      <c r="U545" s="575"/>
      <c r="V545" s="575"/>
      <c r="W545" s="575"/>
      <c r="X545" s="579"/>
      <c r="Y545" s="579"/>
      <c r="Z545" s="579"/>
      <c r="AA545" s="579"/>
      <c r="AB545" s="586"/>
      <c r="AC545" s="579"/>
      <c r="AD545" s="579"/>
      <c r="AE545" s="579"/>
      <c r="AF545" s="579"/>
      <c r="AG545" s="579"/>
      <c r="AH545" s="579"/>
      <c r="AI545" s="579"/>
      <c r="AJ545" s="579"/>
      <c r="AK545" s="579"/>
      <c r="AL545" s="579"/>
    </row>
    <row r="546" spans="1:38" ht="38.65" customHeight="1">
      <c r="A546" s="564"/>
      <c r="B546" s="564" t="s">
        <v>165</v>
      </c>
      <c r="C546" s="564" t="s">
        <v>61</v>
      </c>
      <c r="D546" s="564" t="s">
        <v>62</v>
      </c>
      <c r="E546" s="564">
        <v>1200</v>
      </c>
      <c r="F546" s="564" t="s">
        <v>31</v>
      </c>
      <c r="G546" s="564" t="s">
        <v>52</v>
      </c>
      <c r="H546" s="564" t="s">
        <v>76</v>
      </c>
      <c r="I546" s="564">
        <v>2193</v>
      </c>
      <c r="J546" s="564" t="s">
        <v>189</v>
      </c>
      <c r="K546" s="564">
        <v>1986</v>
      </c>
      <c r="L546" s="566" t="s">
        <v>1105</v>
      </c>
      <c r="M546" s="564" t="s">
        <v>1099</v>
      </c>
      <c r="N546" s="634"/>
      <c r="O546" s="634"/>
      <c r="P546" s="633"/>
      <c r="Q546" s="633"/>
      <c r="R546" s="633"/>
      <c r="S546" s="55"/>
      <c r="T546" s="591"/>
      <c r="U546" s="575"/>
      <c r="V546" s="575"/>
      <c r="W546" s="575"/>
      <c r="X546" s="579"/>
      <c r="Y546" s="579"/>
      <c r="Z546" s="579"/>
      <c r="AA546" s="579"/>
      <c r="AB546" s="586"/>
      <c r="AC546" s="579"/>
      <c r="AD546" s="579"/>
      <c r="AE546" s="579"/>
      <c r="AF546" s="579"/>
      <c r="AG546" s="579"/>
      <c r="AH546" s="579"/>
      <c r="AI546" s="579"/>
      <c r="AJ546" s="579"/>
      <c r="AK546" s="579"/>
      <c r="AL546" s="579"/>
    </row>
    <row r="547" spans="1:38" ht="38.65" customHeight="1">
      <c r="A547" s="564"/>
      <c r="B547" s="564" t="s">
        <v>170</v>
      </c>
      <c r="C547" s="564" t="s">
        <v>61</v>
      </c>
      <c r="D547" s="564" t="s">
        <v>113</v>
      </c>
      <c r="E547" s="564">
        <v>970</v>
      </c>
      <c r="F547" s="564" t="s">
        <v>31</v>
      </c>
      <c r="G547" s="564" t="s">
        <v>52</v>
      </c>
      <c r="H547" s="564" t="s">
        <v>76</v>
      </c>
      <c r="I547" s="564">
        <v>1501</v>
      </c>
      <c r="J547" s="564" t="s">
        <v>189</v>
      </c>
      <c r="K547" s="564">
        <v>1986</v>
      </c>
      <c r="L547" s="566" t="s">
        <v>1105</v>
      </c>
      <c r="M547" s="564" t="s">
        <v>1099</v>
      </c>
      <c r="N547" s="634"/>
      <c r="O547" s="634"/>
      <c r="P547" s="633"/>
      <c r="Q547" s="633"/>
      <c r="R547" s="633"/>
      <c r="S547" s="55"/>
      <c r="T547" s="591"/>
      <c r="U547" s="575"/>
      <c r="V547" s="575"/>
      <c r="W547" s="575"/>
      <c r="X547" s="579"/>
      <c r="Y547" s="579"/>
      <c r="Z547" s="579"/>
      <c r="AA547" s="579"/>
      <c r="AB547" s="586"/>
      <c r="AC547" s="579"/>
      <c r="AD547" s="579"/>
      <c r="AE547" s="579"/>
      <c r="AF547" s="579"/>
      <c r="AG547" s="579"/>
      <c r="AH547" s="579"/>
      <c r="AI547" s="579"/>
      <c r="AJ547" s="579"/>
      <c r="AK547" s="579"/>
      <c r="AL547" s="579"/>
    </row>
    <row r="548" spans="1:38" ht="38.65" customHeight="1">
      <c r="A548" s="564"/>
      <c r="B548" s="564" t="s">
        <v>172</v>
      </c>
      <c r="C548" s="564" t="s">
        <v>61</v>
      </c>
      <c r="D548" s="564" t="s">
        <v>113</v>
      </c>
      <c r="E548" s="564">
        <v>970</v>
      </c>
      <c r="F548" s="564" t="s">
        <v>31</v>
      </c>
      <c r="G548" s="564" t="s">
        <v>52</v>
      </c>
      <c r="H548" s="564" t="s">
        <v>76</v>
      </c>
      <c r="I548" s="564">
        <v>1523</v>
      </c>
      <c r="J548" s="564" t="s">
        <v>189</v>
      </c>
      <c r="K548" s="564">
        <v>1986</v>
      </c>
      <c r="L548" s="566" t="s">
        <v>1105</v>
      </c>
      <c r="M548" s="564" t="s">
        <v>1099</v>
      </c>
      <c r="N548" s="634"/>
      <c r="O548" s="634"/>
      <c r="P548" s="633"/>
      <c r="Q548" s="633"/>
      <c r="R548" s="633"/>
      <c r="S548" s="55"/>
      <c r="T548" s="591"/>
      <c r="U548" s="575"/>
      <c r="V548" s="575"/>
      <c r="W548" s="575"/>
      <c r="X548" s="579"/>
      <c r="Y548" s="579"/>
      <c r="Z548" s="579"/>
      <c r="AA548" s="579"/>
      <c r="AB548" s="586"/>
      <c r="AC548" s="579"/>
      <c r="AD548" s="579"/>
      <c r="AE548" s="579"/>
      <c r="AF548" s="579"/>
      <c r="AG548" s="579"/>
      <c r="AH548" s="579"/>
      <c r="AI548" s="579"/>
      <c r="AJ548" s="579"/>
      <c r="AK548" s="579"/>
      <c r="AL548" s="579"/>
    </row>
    <row r="549" spans="1:38" ht="38.65" customHeight="1">
      <c r="A549" s="564"/>
      <c r="B549" s="564" t="s">
        <v>174</v>
      </c>
      <c r="C549" s="564" t="s">
        <v>61</v>
      </c>
      <c r="D549" s="564" t="s">
        <v>62</v>
      </c>
      <c r="E549" s="564">
        <v>1200</v>
      </c>
      <c r="F549" s="564" t="s">
        <v>31</v>
      </c>
      <c r="G549" s="564" t="s">
        <v>52</v>
      </c>
      <c r="H549" s="564" t="s">
        <v>76</v>
      </c>
      <c r="I549" s="564">
        <v>2563</v>
      </c>
      <c r="J549" s="564" t="s">
        <v>189</v>
      </c>
      <c r="K549" s="564">
        <v>1986</v>
      </c>
      <c r="L549" s="566" t="s">
        <v>1105</v>
      </c>
      <c r="M549" s="564" t="s">
        <v>1099</v>
      </c>
      <c r="N549" s="634"/>
      <c r="O549" s="634"/>
      <c r="P549" s="633"/>
      <c r="Q549" s="633"/>
      <c r="R549" s="633"/>
      <c r="S549" s="55"/>
      <c r="T549" s="591"/>
      <c r="U549" s="575"/>
      <c r="V549" s="575"/>
      <c r="W549" s="575"/>
      <c r="X549" s="579"/>
      <c r="Y549" s="579"/>
      <c r="Z549" s="579"/>
      <c r="AA549" s="579"/>
      <c r="AB549" s="586"/>
      <c r="AC549" s="579"/>
      <c r="AD549" s="579"/>
      <c r="AE549" s="579"/>
      <c r="AF549" s="579"/>
      <c r="AG549" s="579"/>
      <c r="AH549" s="579"/>
      <c r="AI549" s="579"/>
      <c r="AJ549" s="579"/>
      <c r="AK549" s="579"/>
      <c r="AL549" s="579"/>
    </row>
    <row r="550" spans="1:38" ht="38.65" customHeight="1">
      <c r="A550" s="564"/>
      <c r="B550" s="564" t="s">
        <v>176</v>
      </c>
      <c r="C550" s="564" t="s">
        <v>61</v>
      </c>
      <c r="D550" s="564" t="s">
        <v>62</v>
      </c>
      <c r="E550" s="564">
        <v>1200</v>
      </c>
      <c r="F550" s="564" t="s">
        <v>31</v>
      </c>
      <c r="G550" s="564" t="s">
        <v>52</v>
      </c>
      <c r="H550" s="564" t="s">
        <v>76</v>
      </c>
      <c r="I550" s="564">
        <v>1873</v>
      </c>
      <c r="J550" s="564" t="s">
        <v>189</v>
      </c>
      <c r="K550" s="564">
        <v>1986</v>
      </c>
      <c r="L550" s="566" t="s">
        <v>1105</v>
      </c>
      <c r="M550" s="564" t="s">
        <v>1099</v>
      </c>
      <c r="N550" s="634"/>
      <c r="O550" s="634"/>
      <c r="P550" s="633"/>
      <c r="Q550" s="633"/>
      <c r="R550" s="633"/>
      <c r="S550" s="55"/>
      <c r="T550" s="591"/>
      <c r="U550" s="575"/>
      <c r="V550" s="575"/>
      <c r="W550" s="575"/>
      <c r="X550" s="579"/>
      <c r="Y550" s="579"/>
      <c r="Z550" s="579"/>
      <c r="AA550" s="579"/>
      <c r="AB550" s="586"/>
      <c r="AC550" s="579"/>
      <c r="AD550" s="579"/>
      <c r="AE550" s="579"/>
      <c r="AF550" s="579"/>
      <c r="AG550" s="579"/>
      <c r="AH550" s="579"/>
      <c r="AI550" s="579"/>
      <c r="AJ550" s="579"/>
      <c r="AK550" s="579"/>
      <c r="AL550" s="579"/>
    </row>
    <row r="551" spans="1:38" ht="38.65" customHeight="1">
      <c r="A551" s="564"/>
      <c r="B551" s="564" t="s">
        <v>182</v>
      </c>
      <c r="C551" s="564" t="s">
        <v>61</v>
      </c>
      <c r="D551" s="564" t="s">
        <v>62</v>
      </c>
      <c r="E551" s="564">
        <v>1200</v>
      </c>
      <c r="F551" s="564" t="s">
        <v>31</v>
      </c>
      <c r="G551" s="564" t="s">
        <v>52</v>
      </c>
      <c r="H551" s="564" t="s">
        <v>76</v>
      </c>
      <c r="I551" s="564">
        <v>1380</v>
      </c>
      <c r="J551" s="564" t="s">
        <v>189</v>
      </c>
      <c r="K551" s="564">
        <v>1986</v>
      </c>
      <c r="L551" s="566" t="s">
        <v>1105</v>
      </c>
      <c r="M551" s="564" t="s">
        <v>1099</v>
      </c>
      <c r="N551" s="634"/>
      <c r="O551" s="634"/>
      <c r="P551" s="633"/>
      <c r="Q551" s="633"/>
      <c r="R551" s="633"/>
      <c r="S551" s="55"/>
      <c r="T551" s="591"/>
      <c r="U551" s="575"/>
      <c r="V551" s="575"/>
      <c r="W551" s="575"/>
      <c r="X551" s="579"/>
      <c r="Y551" s="579"/>
      <c r="Z551" s="579"/>
      <c r="AA551" s="579"/>
      <c r="AB551" s="586"/>
      <c r="AC551" s="579"/>
      <c r="AD551" s="579"/>
      <c r="AE551" s="579"/>
      <c r="AF551" s="579"/>
      <c r="AG551" s="579"/>
      <c r="AH551" s="579"/>
      <c r="AI551" s="579"/>
      <c r="AJ551" s="579"/>
      <c r="AK551" s="579"/>
      <c r="AL551" s="579"/>
    </row>
    <row r="552" spans="1:38" ht="38.65" customHeight="1">
      <c r="A552" s="564"/>
      <c r="B552" s="564" t="s">
        <v>1100</v>
      </c>
      <c r="C552" s="564" t="s">
        <v>61</v>
      </c>
      <c r="D552" s="564" t="s">
        <v>62</v>
      </c>
      <c r="E552" s="564">
        <v>1200</v>
      </c>
      <c r="F552" s="564" t="s">
        <v>31</v>
      </c>
      <c r="G552" s="564" t="s">
        <v>52</v>
      </c>
      <c r="H552" s="564" t="s">
        <v>76</v>
      </c>
      <c r="I552" s="564">
        <v>2787</v>
      </c>
      <c r="J552" s="564" t="s">
        <v>189</v>
      </c>
      <c r="K552" s="564">
        <v>1986</v>
      </c>
      <c r="L552" s="566" t="s">
        <v>1105</v>
      </c>
      <c r="M552" s="564" t="s">
        <v>1099</v>
      </c>
      <c r="N552" s="634"/>
      <c r="O552" s="634"/>
      <c r="P552" s="633"/>
      <c r="Q552" s="633"/>
      <c r="R552" s="633"/>
      <c r="S552" s="55"/>
      <c r="T552" s="591"/>
      <c r="U552" s="575"/>
      <c r="V552" s="575"/>
      <c r="W552" s="575"/>
      <c r="X552" s="579"/>
      <c r="Y552" s="579"/>
      <c r="Z552" s="579"/>
      <c r="AA552" s="579"/>
      <c r="AB552" s="586"/>
      <c r="AC552" s="579"/>
      <c r="AD552" s="579"/>
      <c r="AE552" s="579"/>
      <c r="AF552" s="579"/>
      <c r="AG552" s="579"/>
      <c r="AH552" s="579"/>
      <c r="AI552" s="579"/>
      <c r="AJ552" s="579"/>
      <c r="AK552" s="579"/>
      <c r="AL552" s="579"/>
    </row>
    <row r="553" spans="1:38" ht="38.65" customHeight="1">
      <c r="A553" s="564"/>
      <c r="B553" s="564" t="s">
        <v>1102</v>
      </c>
      <c r="C553" s="564" t="s">
        <v>61</v>
      </c>
      <c r="D553" s="564" t="s">
        <v>62</v>
      </c>
      <c r="E553" s="564">
        <v>1164</v>
      </c>
      <c r="F553" s="564" t="s">
        <v>31</v>
      </c>
      <c r="G553" s="564" t="s">
        <v>32</v>
      </c>
      <c r="H553" s="564" t="s">
        <v>33</v>
      </c>
      <c r="I553" s="564">
        <f>((5375-371)*1000000)*0.789</f>
        <v>3948156000</v>
      </c>
      <c r="J553" s="564" t="s">
        <v>34</v>
      </c>
      <c r="K553" s="564">
        <v>1984</v>
      </c>
      <c r="L553" s="566" t="s">
        <v>938</v>
      </c>
      <c r="M553" s="564" t="s">
        <v>1103</v>
      </c>
      <c r="N553" s="634"/>
      <c r="O553" s="634"/>
      <c r="P553" s="633"/>
      <c r="Q553" s="633"/>
      <c r="R553" s="633"/>
      <c r="S553" s="55"/>
      <c r="T553" s="591"/>
      <c r="U553" s="575"/>
      <c r="V553" s="575"/>
      <c r="W553" s="575"/>
      <c r="X553" s="579"/>
      <c r="Y553" s="579"/>
      <c r="Z553" s="579"/>
      <c r="AA553" s="579"/>
      <c r="AB553" s="586"/>
      <c r="AC553" s="579"/>
      <c r="AD553" s="579"/>
      <c r="AE553" s="579"/>
      <c r="AF553" s="579"/>
      <c r="AG553" s="579"/>
      <c r="AH553" s="579"/>
      <c r="AI553" s="579"/>
      <c r="AJ553" s="579"/>
      <c r="AK553" s="579"/>
      <c r="AL553" s="579"/>
    </row>
    <row r="554" spans="1:38" ht="38.65" customHeight="1">
      <c r="A554" s="564"/>
      <c r="B554" s="564" t="s">
        <v>1102</v>
      </c>
      <c r="C554" s="564" t="s">
        <v>61</v>
      </c>
      <c r="D554" s="564" t="s">
        <v>62</v>
      </c>
      <c r="E554" s="564">
        <v>1164</v>
      </c>
      <c r="F554" s="564" t="s">
        <v>75</v>
      </c>
      <c r="G554" s="564" t="s">
        <v>32</v>
      </c>
      <c r="H554" s="564" t="s">
        <v>76</v>
      </c>
      <c r="I554" s="564">
        <f>(88)*0.789</f>
        <v>69.432000000000002</v>
      </c>
      <c r="J554" s="564" t="s">
        <v>128</v>
      </c>
      <c r="K554" s="564">
        <v>1984</v>
      </c>
      <c r="L554" s="566" t="s">
        <v>938</v>
      </c>
      <c r="M554" s="564" t="s">
        <v>1103</v>
      </c>
      <c r="N554" s="634"/>
      <c r="O554" s="634"/>
      <c r="P554" s="633"/>
      <c r="Q554" s="633"/>
      <c r="R554" s="633"/>
      <c r="S554" s="55"/>
      <c r="T554" s="591"/>
      <c r="U554" s="575"/>
      <c r="V554" s="575"/>
      <c r="W554" s="575"/>
      <c r="X554" s="579"/>
      <c r="Y554" s="579"/>
      <c r="Z554" s="579"/>
      <c r="AA554" s="579"/>
      <c r="AB554" s="586"/>
      <c r="AC554" s="579"/>
      <c r="AD554" s="579"/>
      <c r="AE554" s="579"/>
      <c r="AF554" s="579"/>
      <c r="AG554" s="579"/>
      <c r="AH554" s="579"/>
      <c r="AI554" s="579"/>
      <c r="AJ554" s="579"/>
      <c r="AK554" s="579"/>
      <c r="AL554" s="579"/>
    </row>
    <row r="555" spans="1:38" ht="38.65" customHeight="1">
      <c r="A555" s="564"/>
      <c r="B555" s="564" t="s">
        <v>1102</v>
      </c>
      <c r="C555" s="564" t="s">
        <v>61</v>
      </c>
      <c r="D555" s="564" t="s">
        <v>62</v>
      </c>
      <c r="E555" s="564">
        <v>1164</v>
      </c>
      <c r="F555" s="564" t="s">
        <v>116</v>
      </c>
      <c r="G555" s="564" t="s">
        <v>32</v>
      </c>
      <c r="H555" s="564" t="s">
        <v>33</v>
      </c>
      <c r="I555" s="564">
        <f>((1730*1000000)/25)*0.789</f>
        <v>54598800</v>
      </c>
      <c r="J555" s="564" t="s">
        <v>34</v>
      </c>
      <c r="K555" s="564">
        <v>1984</v>
      </c>
      <c r="L555" s="566" t="s">
        <v>938</v>
      </c>
      <c r="M555" s="564" t="s">
        <v>1103</v>
      </c>
      <c r="N555" s="634"/>
      <c r="O555" s="634"/>
      <c r="P555" s="633"/>
      <c r="Q555" s="633"/>
      <c r="R555" s="633"/>
      <c r="S555" s="55"/>
      <c r="T555" s="591"/>
      <c r="U555" s="575"/>
      <c r="V555" s="575"/>
      <c r="W555" s="575"/>
      <c r="X555" s="579"/>
      <c r="Y555" s="579"/>
      <c r="Z555" s="579"/>
      <c r="AA555" s="579"/>
      <c r="AB555" s="586"/>
      <c r="AC555" s="579"/>
      <c r="AD555" s="579"/>
      <c r="AE555" s="579"/>
      <c r="AF555" s="579"/>
      <c r="AG555" s="579"/>
      <c r="AH555" s="579"/>
      <c r="AI555" s="579"/>
      <c r="AJ555" s="579"/>
      <c r="AK555" s="579"/>
      <c r="AL555" s="579"/>
    </row>
    <row r="556" spans="1:38" ht="38.65" customHeight="1">
      <c r="A556" s="564"/>
      <c r="B556" s="564" t="s">
        <v>1102</v>
      </c>
      <c r="C556" s="564" t="s">
        <v>61</v>
      </c>
      <c r="D556" s="564" t="s">
        <v>62</v>
      </c>
      <c r="E556" s="564">
        <v>1164</v>
      </c>
      <c r="F556" s="564" t="s">
        <v>63</v>
      </c>
      <c r="G556" s="564" t="s">
        <v>32</v>
      </c>
      <c r="H556" s="564" t="s">
        <v>33</v>
      </c>
      <c r="I556" s="564">
        <f>((102*1000000)/25)*0.789</f>
        <v>3219120</v>
      </c>
      <c r="J556" s="564" t="s">
        <v>34</v>
      </c>
      <c r="K556" s="564">
        <v>1984</v>
      </c>
      <c r="L556" s="566" t="s">
        <v>938</v>
      </c>
      <c r="M556" s="564" t="s">
        <v>1103</v>
      </c>
      <c r="N556" s="634"/>
      <c r="O556" s="634"/>
      <c r="P556" s="633"/>
      <c r="Q556" s="633"/>
      <c r="R556" s="633"/>
      <c r="S556" s="55"/>
      <c r="T556" s="591"/>
      <c r="U556" s="575"/>
      <c r="V556" s="575"/>
      <c r="W556" s="575"/>
      <c r="X556" s="579"/>
      <c r="Y556" s="579"/>
      <c r="Z556" s="579"/>
      <c r="AA556" s="579"/>
      <c r="AB556" s="586"/>
      <c r="AC556" s="579"/>
      <c r="AD556" s="579"/>
      <c r="AE556" s="579"/>
      <c r="AF556" s="579"/>
      <c r="AG556" s="579"/>
      <c r="AH556" s="579"/>
      <c r="AI556" s="579"/>
      <c r="AJ556" s="579"/>
      <c r="AK556" s="579"/>
      <c r="AL556" s="579"/>
    </row>
    <row r="557" spans="1:38" ht="38.65" customHeight="1">
      <c r="A557" s="564"/>
      <c r="B557" s="564" t="s">
        <v>1102</v>
      </c>
      <c r="C557" s="564" t="s">
        <v>61</v>
      </c>
      <c r="D557" s="564" t="s">
        <v>62</v>
      </c>
      <c r="E557" s="564">
        <v>1164</v>
      </c>
      <c r="F557" s="564" t="s">
        <v>493</v>
      </c>
      <c r="G557" s="564" t="s">
        <v>32</v>
      </c>
      <c r="H557" s="564" t="s">
        <v>33</v>
      </c>
      <c r="I557" s="564">
        <f>((246*1000000)/25)*0.789</f>
        <v>7763760</v>
      </c>
      <c r="J557" s="564" t="s">
        <v>34</v>
      </c>
      <c r="K557" s="564">
        <v>1984</v>
      </c>
      <c r="L557" s="566" t="s">
        <v>938</v>
      </c>
      <c r="M557" s="564" t="s">
        <v>1104</v>
      </c>
      <c r="N557" s="634"/>
      <c r="O557" s="634"/>
      <c r="P557" s="633"/>
      <c r="Q557" s="633"/>
      <c r="R557" s="633"/>
      <c r="S557" s="55"/>
      <c r="T557" s="591"/>
      <c r="U557" s="575"/>
      <c r="V557" s="575"/>
      <c r="W557" s="575"/>
      <c r="X557" s="579"/>
      <c r="Y557" s="579"/>
      <c r="Z557" s="579"/>
      <c r="AA557" s="579"/>
      <c r="AB557" s="586"/>
      <c r="AC557" s="579"/>
      <c r="AD557" s="579"/>
      <c r="AE557" s="579"/>
      <c r="AF557" s="579"/>
      <c r="AG557" s="579"/>
      <c r="AH557" s="579"/>
      <c r="AI557" s="579"/>
      <c r="AJ557" s="579"/>
      <c r="AK557" s="579"/>
      <c r="AL557" s="579"/>
    </row>
    <row r="558" spans="1:38" ht="38.65" customHeight="1">
      <c r="A558" s="564"/>
      <c r="B558" s="564" t="s">
        <v>939</v>
      </c>
      <c r="C558" s="564" t="s">
        <v>61</v>
      </c>
      <c r="D558" s="564" t="s">
        <v>62</v>
      </c>
      <c r="E558" s="564">
        <v>1247</v>
      </c>
      <c r="F558" s="564" t="s">
        <v>75</v>
      </c>
      <c r="G558" s="564" t="s">
        <v>32</v>
      </c>
      <c r="H558" s="564" t="s">
        <v>76</v>
      </c>
      <c r="I558" s="564">
        <f>(109)*0.789</f>
        <v>86.001000000000005</v>
      </c>
      <c r="J558" s="564" t="s">
        <v>128</v>
      </c>
      <c r="K558" s="564">
        <v>1984</v>
      </c>
      <c r="L558" s="566" t="s">
        <v>938</v>
      </c>
      <c r="M558" s="564" t="s">
        <v>1101</v>
      </c>
      <c r="N558" s="634"/>
      <c r="O558" s="634"/>
      <c r="P558" s="633"/>
      <c r="Q558" s="633"/>
      <c r="R558" s="633"/>
      <c r="S558" s="55"/>
      <c r="T558" s="591"/>
      <c r="U558" s="575"/>
      <c r="V558" s="575"/>
      <c r="W558" s="575"/>
      <c r="X558" s="579"/>
      <c r="Y558" s="579"/>
      <c r="Z558" s="579"/>
      <c r="AA558" s="579"/>
      <c r="AB558" s="586"/>
      <c r="AC558" s="579"/>
      <c r="AD558" s="579"/>
      <c r="AE558" s="579"/>
      <c r="AF558" s="579"/>
      <c r="AG558" s="579"/>
      <c r="AH558" s="579"/>
      <c r="AI558" s="579"/>
      <c r="AJ558" s="579"/>
      <c r="AK558" s="579"/>
      <c r="AL558" s="579"/>
    </row>
    <row r="559" spans="1:38" ht="38.65" customHeight="1">
      <c r="A559" s="564"/>
      <c r="B559" s="564" t="s">
        <v>940</v>
      </c>
      <c r="C559" s="564" t="s">
        <v>61</v>
      </c>
      <c r="D559" s="564" t="s">
        <v>62</v>
      </c>
      <c r="E559" s="564">
        <v>1203</v>
      </c>
      <c r="F559" s="564" t="s">
        <v>75</v>
      </c>
      <c r="G559" s="564" t="s">
        <v>32</v>
      </c>
      <c r="H559" s="564" t="s">
        <v>76</v>
      </c>
      <c r="I559" s="564">
        <f>(105)*0.789</f>
        <v>82.844999999999999</v>
      </c>
      <c r="J559" s="564" t="s">
        <v>128</v>
      </c>
      <c r="K559" s="564">
        <v>1984</v>
      </c>
      <c r="L559" s="566" t="s">
        <v>938</v>
      </c>
      <c r="M559" s="564" t="s">
        <v>1101</v>
      </c>
      <c r="N559" s="634"/>
      <c r="O559" s="634"/>
      <c r="P559" s="633"/>
      <c r="Q559" s="633"/>
      <c r="R559" s="633"/>
      <c r="S559" s="55"/>
      <c r="T559" s="591"/>
      <c r="U559" s="575"/>
      <c r="V559" s="575"/>
      <c r="W559" s="575"/>
      <c r="X559" s="579"/>
      <c r="Y559" s="579"/>
      <c r="Z559" s="579"/>
      <c r="AA559" s="579"/>
      <c r="AB559" s="586"/>
      <c r="AC559" s="579"/>
      <c r="AD559" s="579"/>
      <c r="AE559" s="579"/>
      <c r="AF559" s="579"/>
      <c r="AG559" s="579"/>
      <c r="AH559" s="579"/>
      <c r="AI559" s="579"/>
      <c r="AJ559" s="579"/>
      <c r="AK559" s="579"/>
      <c r="AL559" s="579"/>
    </row>
    <row r="560" spans="1:38" ht="38.65" customHeight="1">
      <c r="A560" s="564"/>
      <c r="B560" s="564" t="s">
        <v>941</v>
      </c>
      <c r="C560" s="564" t="s">
        <v>61</v>
      </c>
      <c r="D560" s="564" t="s">
        <v>62</v>
      </c>
      <c r="E560" s="564">
        <v>1209</v>
      </c>
      <c r="F560" s="564" t="s">
        <v>75</v>
      </c>
      <c r="G560" s="564" t="s">
        <v>32</v>
      </c>
      <c r="H560" s="564" t="s">
        <v>76</v>
      </c>
      <c r="I560" s="564">
        <f>(78)*0.789</f>
        <v>61.542000000000002</v>
      </c>
      <c r="J560" s="564" t="s">
        <v>128</v>
      </c>
      <c r="K560" s="564">
        <v>1984</v>
      </c>
      <c r="L560" s="566" t="s">
        <v>938</v>
      </c>
      <c r="M560" s="564" t="s">
        <v>1101</v>
      </c>
      <c r="N560" s="634"/>
      <c r="O560" s="634"/>
      <c r="P560" s="633"/>
      <c r="Q560" s="633"/>
      <c r="R560" s="633"/>
      <c r="S560" s="55"/>
      <c r="T560" s="591"/>
      <c r="U560" s="575"/>
      <c r="V560" s="575"/>
      <c r="W560" s="575"/>
      <c r="X560" s="579"/>
      <c r="Y560" s="579"/>
      <c r="Z560" s="579"/>
      <c r="AA560" s="579"/>
      <c r="AB560" s="586"/>
      <c r="AC560" s="579"/>
      <c r="AD560" s="579"/>
      <c r="AE560" s="579"/>
      <c r="AF560" s="579"/>
      <c r="AG560" s="579"/>
      <c r="AH560" s="579"/>
      <c r="AI560" s="579"/>
      <c r="AJ560" s="579"/>
      <c r="AK560" s="579"/>
      <c r="AL560" s="579"/>
    </row>
    <row r="561" spans="1:38" ht="38.65" customHeight="1">
      <c r="A561" s="564"/>
      <c r="B561" s="564" t="s">
        <v>939</v>
      </c>
      <c r="C561" s="564" t="s">
        <v>61</v>
      </c>
      <c r="D561" s="564" t="s">
        <v>62</v>
      </c>
      <c r="E561" s="564">
        <v>1247</v>
      </c>
      <c r="F561" s="564" t="s">
        <v>116</v>
      </c>
      <c r="G561" s="564" t="s">
        <v>32</v>
      </c>
      <c r="H561" s="564" t="s">
        <v>33</v>
      </c>
      <c r="I561" s="564">
        <f>((2071*1000000)/25)*0.789</f>
        <v>65360760</v>
      </c>
      <c r="J561" s="564" t="s">
        <v>34</v>
      </c>
      <c r="K561" s="564">
        <v>1984</v>
      </c>
      <c r="L561" s="566" t="s">
        <v>938</v>
      </c>
      <c r="M561" s="564" t="s">
        <v>1101</v>
      </c>
      <c r="N561" s="633" t="s">
        <v>122</v>
      </c>
      <c r="O561" s="634" t="s">
        <v>38</v>
      </c>
      <c r="P561" s="633"/>
      <c r="Q561" s="633"/>
      <c r="R561" s="633" t="s">
        <v>122</v>
      </c>
      <c r="S561" s="55"/>
      <c r="T561" s="591"/>
      <c r="U561" s="575"/>
      <c r="V561" s="575"/>
      <c r="W561" s="575"/>
      <c r="X561" s="579"/>
      <c r="Y561" s="579"/>
      <c r="Z561" s="579"/>
      <c r="AA561" s="579"/>
      <c r="AB561" s="586"/>
      <c r="AC561" s="579"/>
      <c r="AD561" s="579"/>
      <c r="AE561" s="579"/>
      <c r="AF561" s="579"/>
      <c r="AG561" s="579"/>
      <c r="AH561" s="579"/>
      <c r="AI561" s="579"/>
      <c r="AJ561" s="579"/>
      <c r="AK561" s="579"/>
      <c r="AL561" s="579"/>
    </row>
    <row r="562" spans="1:38" ht="38.65" customHeight="1">
      <c r="A562" s="564"/>
      <c r="B562" s="564" t="s">
        <v>940</v>
      </c>
      <c r="C562" s="564" t="s">
        <v>61</v>
      </c>
      <c r="D562" s="564" t="s">
        <v>62</v>
      </c>
      <c r="E562" s="564">
        <v>1203</v>
      </c>
      <c r="F562" s="564" t="s">
        <v>116</v>
      </c>
      <c r="G562" s="564" t="s">
        <v>32</v>
      </c>
      <c r="H562" s="564" t="s">
        <v>33</v>
      </c>
      <c r="I562" s="564">
        <f>((2174*1000000)/25)*0.789</f>
        <v>68611440</v>
      </c>
      <c r="J562" s="564" t="s">
        <v>34</v>
      </c>
      <c r="K562" s="564">
        <v>1984</v>
      </c>
      <c r="L562" s="566" t="s">
        <v>938</v>
      </c>
      <c r="M562" s="564" t="s">
        <v>1101</v>
      </c>
      <c r="N562" s="633" t="s">
        <v>122</v>
      </c>
      <c r="O562" s="634" t="s">
        <v>38</v>
      </c>
      <c r="P562" s="633"/>
      <c r="Q562" s="633"/>
      <c r="R562" s="633" t="s">
        <v>122</v>
      </c>
      <c r="S562" s="55"/>
      <c r="T562" s="591"/>
      <c r="U562" s="575"/>
      <c r="V562" s="575"/>
      <c r="W562" s="575"/>
      <c r="X562" s="579"/>
      <c r="Y562" s="579"/>
      <c r="Z562" s="579"/>
      <c r="AA562" s="579"/>
      <c r="AB562" s="586"/>
      <c r="AC562" s="579"/>
      <c r="AD562" s="579"/>
      <c r="AE562" s="579"/>
      <c r="AF562" s="579"/>
      <c r="AG562" s="579"/>
      <c r="AH562" s="579"/>
      <c r="AI562" s="579"/>
      <c r="AJ562" s="579"/>
      <c r="AK562" s="579"/>
      <c r="AL562" s="579"/>
    </row>
    <row r="563" spans="1:38" ht="38.65" customHeight="1">
      <c r="A563" s="564"/>
      <c r="B563" s="564" t="s">
        <v>941</v>
      </c>
      <c r="C563" s="564" t="s">
        <v>61</v>
      </c>
      <c r="D563" s="564" t="s">
        <v>62</v>
      </c>
      <c r="E563" s="564">
        <v>1209</v>
      </c>
      <c r="F563" s="564" t="s">
        <v>116</v>
      </c>
      <c r="G563" s="564" t="s">
        <v>32</v>
      </c>
      <c r="H563" s="564" t="s">
        <v>33</v>
      </c>
      <c r="I563" s="564">
        <f>((1806*1000000)/25)*0.789</f>
        <v>56997360</v>
      </c>
      <c r="J563" s="564" t="s">
        <v>34</v>
      </c>
      <c r="K563" s="564">
        <v>1984</v>
      </c>
      <c r="L563" s="566" t="s">
        <v>938</v>
      </c>
      <c r="M563" s="564" t="s">
        <v>1101</v>
      </c>
      <c r="N563" s="633" t="s">
        <v>122</v>
      </c>
      <c r="O563" s="634" t="s">
        <v>38</v>
      </c>
      <c r="P563" s="633"/>
      <c r="Q563" s="633"/>
      <c r="R563" s="633" t="s">
        <v>122</v>
      </c>
      <c r="S563" s="55"/>
      <c r="T563" s="591"/>
      <c r="U563" s="575"/>
      <c r="V563" s="575"/>
      <c r="W563" s="575"/>
      <c r="X563" s="579"/>
      <c r="Y563" s="579"/>
      <c r="Z563" s="579"/>
      <c r="AA563" s="579"/>
      <c r="AB563" s="586"/>
      <c r="AC563" s="579"/>
      <c r="AD563" s="579"/>
      <c r="AE563" s="579"/>
      <c r="AF563" s="579"/>
      <c r="AG563" s="579"/>
      <c r="AH563" s="579"/>
      <c r="AI563" s="579"/>
      <c r="AJ563" s="579"/>
      <c r="AK563" s="579"/>
      <c r="AL563" s="579"/>
    </row>
    <row r="564" spans="1:38" ht="38.65" customHeight="1">
      <c r="A564" s="564"/>
      <c r="B564" s="564" t="s">
        <v>939</v>
      </c>
      <c r="C564" s="564" t="s">
        <v>61</v>
      </c>
      <c r="D564" s="564" t="s">
        <v>62</v>
      </c>
      <c r="E564" s="564">
        <v>1247</v>
      </c>
      <c r="F564" s="564" t="s">
        <v>63</v>
      </c>
      <c r="G564" s="564" t="s">
        <v>32</v>
      </c>
      <c r="H564" s="564" t="s">
        <v>33</v>
      </c>
      <c r="I564" s="564">
        <f>((105*1000000)/25)*0.789</f>
        <v>3313800</v>
      </c>
      <c r="J564" s="564" t="s">
        <v>34</v>
      </c>
      <c r="K564" s="564">
        <v>1984</v>
      </c>
      <c r="L564" s="566" t="s">
        <v>938</v>
      </c>
      <c r="M564" s="564" t="s">
        <v>1101</v>
      </c>
      <c r="N564" s="633" t="s">
        <v>122</v>
      </c>
      <c r="O564" s="634" t="s">
        <v>38</v>
      </c>
      <c r="P564" s="633"/>
      <c r="Q564" s="633"/>
      <c r="R564" s="633" t="s">
        <v>122</v>
      </c>
      <c r="S564" s="55"/>
      <c r="T564" s="591"/>
      <c r="U564" s="575"/>
      <c r="V564" s="575"/>
      <c r="W564" s="575"/>
      <c r="X564" s="579"/>
      <c r="Y564" s="579"/>
      <c r="Z564" s="579"/>
      <c r="AA564" s="579"/>
      <c r="AB564" s="586"/>
      <c r="AC564" s="579"/>
      <c r="AD564" s="579"/>
      <c r="AE564" s="579"/>
      <c r="AF564" s="579"/>
      <c r="AG564" s="579"/>
      <c r="AH564" s="579"/>
      <c r="AI564" s="579"/>
      <c r="AJ564" s="579"/>
      <c r="AK564" s="579"/>
      <c r="AL564" s="579"/>
    </row>
    <row r="565" spans="1:38" ht="38.65" customHeight="1">
      <c r="A565" s="564"/>
      <c r="B565" s="564" t="s">
        <v>940</v>
      </c>
      <c r="C565" s="564" t="s">
        <v>61</v>
      </c>
      <c r="D565" s="564" t="s">
        <v>62</v>
      </c>
      <c r="E565" s="564">
        <v>1203</v>
      </c>
      <c r="F565" s="564" t="s">
        <v>63</v>
      </c>
      <c r="G565" s="564" t="s">
        <v>32</v>
      </c>
      <c r="H565" s="564" t="s">
        <v>33</v>
      </c>
      <c r="I565" s="564">
        <f>((107*1000000)/25)*0.789</f>
        <v>3376920</v>
      </c>
      <c r="J565" s="564" t="s">
        <v>34</v>
      </c>
      <c r="K565" s="564">
        <v>1984</v>
      </c>
      <c r="L565" s="566" t="s">
        <v>938</v>
      </c>
      <c r="M565" s="564" t="s">
        <v>1101</v>
      </c>
      <c r="N565" s="633" t="s">
        <v>122</v>
      </c>
      <c r="O565" s="634" t="s">
        <v>38</v>
      </c>
      <c r="P565" s="633"/>
      <c r="Q565" s="633"/>
      <c r="R565" s="633" t="s">
        <v>122</v>
      </c>
      <c r="S565" s="55"/>
      <c r="T565" s="591"/>
      <c r="U565" s="575"/>
      <c r="V565" s="575"/>
      <c r="W565" s="575"/>
      <c r="X565" s="579"/>
      <c r="Y565" s="579"/>
      <c r="Z565" s="579"/>
      <c r="AA565" s="579"/>
      <c r="AB565" s="586"/>
      <c r="AC565" s="579"/>
      <c r="AD565" s="579"/>
      <c r="AE565" s="579"/>
      <c r="AF565" s="579"/>
      <c r="AG565" s="579"/>
      <c r="AH565" s="579"/>
      <c r="AI565" s="579"/>
      <c r="AJ565" s="579"/>
      <c r="AK565" s="579"/>
      <c r="AL565" s="579"/>
    </row>
    <row r="566" spans="1:38" ht="38.65" customHeight="1">
      <c r="A566" s="564"/>
      <c r="B566" s="564" t="s">
        <v>941</v>
      </c>
      <c r="C566" s="564" t="s">
        <v>61</v>
      </c>
      <c r="D566" s="564" t="s">
        <v>62</v>
      </c>
      <c r="E566" s="564">
        <v>1209</v>
      </c>
      <c r="F566" s="564" t="s">
        <v>63</v>
      </c>
      <c r="G566" s="564" t="s">
        <v>32</v>
      </c>
      <c r="H566" s="564" t="s">
        <v>33</v>
      </c>
      <c r="I566" s="564">
        <f>((104*1000000)/25)*0.789</f>
        <v>3282240</v>
      </c>
      <c r="J566" s="564" t="s">
        <v>34</v>
      </c>
      <c r="K566" s="564">
        <v>1984</v>
      </c>
      <c r="L566" s="566" t="s">
        <v>938</v>
      </c>
      <c r="M566" s="564" t="s">
        <v>1101</v>
      </c>
      <c r="N566" s="633" t="s">
        <v>122</v>
      </c>
      <c r="O566" s="634" t="s">
        <v>38</v>
      </c>
      <c r="P566" s="633"/>
      <c r="Q566" s="633"/>
      <c r="R566" s="633" t="s">
        <v>122</v>
      </c>
      <c r="S566" s="55"/>
      <c r="T566" s="591"/>
      <c r="U566" s="575"/>
      <c r="V566" s="575"/>
      <c r="W566" s="575"/>
      <c r="X566" s="579"/>
      <c r="Y566" s="579"/>
      <c r="Z566" s="579"/>
      <c r="AA566" s="579"/>
      <c r="AB566" s="586"/>
      <c r="AC566" s="579"/>
      <c r="AD566" s="579"/>
      <c r="AE566" s="579"/>
      <c r="AF566" s="579"/>
      <c r="AG566" s="579"/>
      <c r="AH566" s="579"/>
      <c r="AI566" s="579"/>
      <c r="AJ566" s="579"/>
      <c r="AK566" s="579"/>
      <c r="AL566" s="579"/>
    </row>
    <row r="567" spans="1:38" ht="13" customHeight="1">
      <c r="A567" s="564"/>
      <c r="B567" s="564" t="s">
        <v>939</v>
      </c>
      <c r="C567" s="564" t="s">
        <v>61</v>
      </c>
      <c r="D567" s="564" t="s">
        <v>62</v>
      </c>
      <c r="E567" s="564">
        <v>1247</v>
      </c>
      <c r="F567" s="564" t="s">
        <v>493</v>
      </c>
      <c r="G567" s="564" t="s">
        <v>32</v>
      </c>
      <c r="H567" s="564" t="s">
        <v>33</v>
      </c>
      <c r="I567" s="564">
        <f>((381*1000000)/25)*0.789</f>
        <v>12024360</v>
      </c>
      <c r="J567" s="564" t="s">
        <v>34</v>
      </c>
      <c r="K567" s="564">
        <v>1984</v>
      </c>
      <c r="L567" s="566" t="s">
        <v>938</v>
      </c>
      <c r="M567" s="564" t="s">
        <v>1098</v>
      </c>
      <c r="N567" s="633" t="s">
        <v>122</v>
      </c>
      <c r="O567" s="634" t="s">
        <v>38</v>
      </c>
      <c r="P567" s="633"/>
      <c r="Q567" s="633"/>
      <c r="R567" s="633" t="s">
        <v>122</v>
      </c>
      <c r="S567" s="55"/>
      <c r="T567" s="591"/>
      <c r="U567" s="575"/>
      <c r="V567" s="575"/>
      <c r="W567" s="575"/>
      <c r="X567" s="579"/>
      <c r="Y567" s="579"/>
      <c r="Z567" s="579"/>
      <c r="AA567" s="579"/>
      <c r="AB567" s="586"/>
      <c r="AC567" s="579"/>
      <c r="AD567" s="579"/>
      <c r="AE567" s="579"/>
      <c r="AF567" s="579"/>
      <c r="AG567" s="579"/>
      <c r="AH567" s="579"/>
      <c r="AI567" s="579"/>
      <c r="AJ567" s="579"/>
      <c r="AK567" s="579"/>
      <c r="AL567" s="579"/>
    </row>
    <row r="568" spans="1:38" ht="13" customHeight="1">
      <c r="A568" s="564"/>
      <c r="B568" s="564" t="s">
        <v>940</v>
      </c>
      <c r="C568" s="564" t="s">
        <v>61</v>
      </c>
      <c r="D568" s="564" t="s">
        <v>62</v>
      </c>
      <c r="E568" s="564">
        <v>1203</v>
      </c>
      <c r="F568" s="564" t="s">
        <v>493</v>
      </c>
      <c r="G568" s="564" t="s">
        <v>32</v>
      </c>
      <c r="H568" s="564" t="s">
        <v>33</v>
      </c>
      <c r="I568" s="564">
        <f>((363*1000000)/25)*0.789</f>
        <v>11456280</v>
      </c>
      <c r="J568" s="564" t="s">
        <v>34</v>
      </c>
      <c r="K568" s="564">
        <v>1984</v>
      </c>
      <c r="L568" s="566" t="s">
        <v>938</v>
      </c>
      <c r="M568" s="564" t="s">
        <v>1098</v>
      </c>
      <c r="N568" s="633" t="s">
        <v>122</v>
      </c>
      <c r="O568" s="634" t="s">
        <v>38</v>
      </c>
      <c r="P568" s="633"/>
      <c r="Q568" s="633"/>
      <c r="R568" s="633" t="s">
        <v>122</v>
      </c>
      <c r="S568" s="55"/>
      <c r="T568" s="591"/>
      <c r="U568" s="575"/>
      <c r="V568" s="575"/>
      <c r="W568" s="575"/>
      <c r="X568" s="579"/>
      <c r="Y568" s="579"/>
      <c r="Z568" s="579"/>
      <c r="AA568" s="579"/>
      <c r="AB568" s="586"/>
      <c r="AC568" s="579"/>
      <c r="AD568" s="579"/>
      <c r="AE568" s="579"/>
      <c r="AF568" s="579"/>
      <c r="AG568" s="579"/>
      <c r="AH568" s="579"/>
      <c r="AI568" s="579"/>
      <c r="AJ568" s="579"/>
      <c r="AK568" s="579"/>
      <c r="AL568" s="579"/>
    </row>
    <row r="569" spans="1:38" ht="13" customHeight="1">
      <c r="A569" s="564"/>
      <c r="B569" s="564" t="s">
        <v>941</v>
      </c>
      <c r="C569" s="564" t="s">
        <v>61</v>
      </c>
      <c r="D569" s="564" t="s">
        <v>62</v>
      </c>
      <c r="E569" s="564">
        <v>1209</v>
      </c>
      <c r="F569" s="564" t="s">
        <v>493</v>
      </c>
      <c r="G569" s="564" t="s">
        <v>32</v>
      </c>
      <c r="H569" s="564" t="s">
        <v>33</v>
      </c>
      <c r="I569" s="564">
        <f>((265*1000000)/25)*0.789</f>
        <v>8363400</v>
      </c>
      <c r="J569" s="564" t="s">
        <v>34</v>
      </c>
      <c r="K569" s="564">
        <v>1984</v>
      </c>
      <c r="L569" s="566" t="s">
        <v>938</v>
      </c>
      <c r="M569" s="564" t="s">
        <v>1098</v>
      </c>
      <c r="N569" s="633" t="s">
        <v>122</v>
      </c>
      <c r="O569" s="634" t="s">
        <v>38</v>
      </c>
      <c r="P569" s="633"/>
      <c r="Q569" s="633"/>
      <c r="R569" s="633" t="s">
        <v>122</v>
      </c>
      <c r="S569" s="55"/>
      <c r="T569" s="591"/>
      <c r="U569" s="575"/>
      <c r="V569" s="575"/>
      <c r="W569" s="575"/>
      <c r="X569" s="579"/>
      <c r="Y569" s="579"/>
      <c r="Z569" s="579"/>
      <c r="AA569" s="579"/>
      <c r="AB569" s="586"/>
      <c r="AC569" s="579"/>
      <c r="AD569" s="579"/>
      <c r="AE569" s="579"/>
      <c r="AF569" s="579"/>
      <c r="AG569" s="579"/>
      <c r="AH569" s="579"/>
      <c r="AI569" s="579"/>
      <c r="AJ569" s="579"/>
      <c r="AK569" s="579"/>
      <c r="AL569" s="579"/>
    </row>
    <row r="570" spans="1:38" ht="13" customHeight="1">
      <c r="A570" s="564"/>
      <c r="B570" s="564" t="s">
        <v>939</v>
      </c>
      <c r="C570" s="564" t="s">
        <v>61</v>
      </c>
      <c r="D570" s="564" t="s">
        <v>62</v>
      </c>
      <c r="E570" s="564">
        <v>1247</v>
      </c>
      <c r="F570" s="564" t="s">
        <v>31</v>
      </c>
      <c r="G570" s="564" t="s">
        <v>32</v>
      </c>
      <c r="H570" s="564" t="s">
        <v>33</v>
      </c>
      <c r="I570" s="564">
        <f>((8332-574)*1000000)*0.789</f>
        <v>6121062000</v>
      </c>
      <c r="J570" s="564" t="s">
        <v>34</v>
      </c>
      <c r="K570" s="564">
        <v>1984</v>
      </c>
      <c r="L570" s="566" t="s">
        <v>938</v>
      </c>
      <c r="M570" s="564" t="s">
        <v>936</v>
      </c>
      <c r="N570" s="634">
        <v>0.73</v>
      </c>
      <c r="O570" s="634" t="s">
        <v>934</v>
      </c>
      <c r="P570" s="633"/>
      <c r="Q570" s="633">
        <f>574*1000000</f>
        <v>574000000</v>
      </c>
      <c r="R570" s="633" t="s">
        <v>122</v>
      </c>
      <c r="S570" s="55"/>
      <c r="T570" s="591"/>
      <c r="U570" s="575"/>
      <c r="V570" s="575"/>
      <c r="W570" s="575"/>
      <c r="X570" s="579"/>
      <c r="Y570" s="579"/>
      <c r="Z570" s="579"/>
      <c r="AA570" s="579"/>
      <c r="AB570" s="586"/>
      <c r="AC570" s="579"/>
      <c r="AD570" s="579"/>
      <c r="AE570" s="579"/>
      <c r="AF570" s="579"/>
      <c r="AG570" s="579"/>
      <c r="AH570" s="579"/>
      <c r="AI570" s="579"/>
      <c r="AJ570" s="579"/>
      <c r="AK570" s="579"/>
      <c r="AL570" s="579"/>
    </row>
    <row r="571" spans="1:38" ht="13" customHeight="1">
      <c r="A571" s="564">
        <v>456</v>
      </c>
      <c r="B571" s="564" t="s">
        <v>674</v>
      </c>
      <c r="C571" s="564" t="s">
        <v>61</v>
      </c>
      <c r="D571" s="564" t="s">
        <v>62</v>
      </c>
      <c r="E571" s="564">
        <v>1200</v>
      </c>
      <c r="F571" s="564" t="s">
        <v>63</v>
      </c>
      <c r="G571" s="564" t="s">
        <v>57</v>
      </c>
      <c r="H571" s="564" t="s">
        <v>33</v>
      </c>
      <c r="I571" s="564">
        <f>0.22*1000000</f>
        <v>220000</v>
      </c>
      <c r="J571" s="564" t="s">
        <v>34</v>
      </c>
      <c r="K571" s="564">
        <v>2020</v>
      </c>
      <c r="L571" s="564" t="s">
        <v>433</v>
      </c>
      <c r="M571" s="564"/>
      <c r="N571" s="634" t="s">
        <v>38</v>
      </c>
      <c r="O571" s="634" t="s">
        <v>38</v>
      </c>
      <c r="P571" s="633" t="s">
        <v>38</v>
      </c>
      <c r="Q571" s="633" t="s">
        <v>38</v>
      </c>
      <c r="R571" s="634" t="s">
        <v>38</v>
      </c>
      <c r="S571" s="55"/>
      <c r="T571" s="609"/>
      <c r="U571" s="575"/>
      <c r="V571" s="575"/>
      <c r="W571" s="575"/>
      <c r="X571" s="579"/>
      <c r="Y571" s="579"/>
      <c r="Z571" s="579"/>
      <c r="AA571" s="579"/>
      <c r="AB571" s="586"/>
      <c r="AC571" s="579"/>
      <c r="AD571" s="579"/>
      <c r="AE571" s="579"/>
      <c r="AF571" s="579"/>
      <c r="AG571" s="579"/>
      <c r="AH571" s="579"/>
      <c r="AI571" s="579"/>
      <c r="AJ571" s="579"/>
      <c r="AK571" s="579"/>
      <c r="AL571" s="579"/>
    </row>
    <row r="572" spans="1:38" ht="13" customHeight="1">
      <c r="A572" s="564">
        <v>457</v>
      </c>
      <c r="B572" s="564" t="s">
        <v>674</v>
      </c>
      <c r="C572" s="564" t="s">
        <v>61</v>
      </c>
      <c r="D572" s="564" t="s">
        <v>62</v>
      </c>
      <c r="E572" s="564">
        <v>1200</v>
      </c>
      <c r="F572" s="564" t="s">
        <v>116</v>
      </c>
      <c r="G572" s="564" t="s">
        <v>57</v>
      </c>
      <c r="H572" s="564" t="s">
        <v>33</v>
      </c>
      <c r="I572" s="564">
        <f>236*1000000</f>
        <v>236000000</v>
      </c>
      <c r="J572" s="564" t="s">
        <v>34</v>
      </c>
      <c r="K572" s="564">
        <v>2020</v>
      </c>
      <c r="L572" s="564" t="s">
        <v>433</v>
      </c>
      <c r="M572" s="565" t="s">
        <v>640</v>
      </c>
      <c r="N572" s="634" t="s">
        <v>38</v>
      </c>
      <c r="O572" s="634" t="s">
        <v>38</v>
      </c>
      <c r="P572" s="633" t="s">
        <v>38</v>
      </c>
      <c r="Q572" s="633" t="s">
        <v>38</v>
      </c>
      <c r="R572" s="634" t="s">
        <v>38</v>
      </c>
      <c r="S572" s="55"/>
      <c r="T572" s="609"/>
      <c r="U572" s="593"/>
      <c r="V572" s="593"/>
      <c r="W572" s="593"/>
      <c r="X572" s="622"/>
      <c r="Y572" s="622"/>
      <c r="Z572" s="622"/>
      <c r="AA572" s="622"/>
      <c r="AB572" s="586"/>
      <c r="AC572" s="579"/>
      <c r="AD572" s="579"/>
      <c r="AE572" s="579"/>
      <c r="AF572" s="579"/>
      <c r="AG572" s="579"/>
      <c r="AH572" s="579"/>
      <c r="AI572" s="579"/>
      <c r="AJ572" s="579"/>
      <c r="AK572" s="579"/>
      <c r="AL572" s="579"/>
    </row>
    <row r="573" spans="1:38" ht="13" customHeight="1">
      <c r="A573" s="564">
        <v>458</v>
      </c>
      <c r="B573" s="564" t="s">
        <v>674</v>
      </c>
      <c r="C573" s="564" t="s">
        <v>61</v>
      </c>
      <c r="D573" s="564" t="s">
        <v>62</v>
      </c>
      <c r="E573" s="564">
        <v>1200</v>
      </c>
      <c r="F573" s="564" t="s">
        <v>31</v>
      </c>
      <c r="G573" s="564" t="s">
        <v>57</v>
      </c>
      <c r="H573" s="564" t="s">
        <v>33</v>
      </c>
      <c r="I573" s="564">
        <f>3428000000-(312*1000000)</f>
        <v>3116000000</v>
      </c>
      <c r="J573" s="564" t="s">
        <v>34</v>
      </c>
      <c r="K573" s="564">
        <v>2020</v>
      </c>
      <c r="L573" s="564" t="s">
        <v>433</v>
      </c>
      <c r="M573" s="564" t="s">
        <v>668</v>
      </c>
      <c r="N573" s="634" t="s">
        <v>38</v>
      </c>
      <c r="O573" s="564" t="s">
        <v>84</v>
      </c>
      <c r="P573" s="633" t="s">
        <v>38</v>
      </c>
      <c r="Q573" s="633" t="s">
        <v>38</v>
      </c>
      <c r="R573" s="634" t="s">
        <v>38</v>
      </c>
      <c r="S573" s="55"/>
      <c r="T573" s="609"/>
      <c r="U573" s="593"/>
      <c r="V573" s="593"/>
      <c r="W573" s="593"/>
      <c r="X573" s="622"/>
      <c r="Y573" s="622"/>
      <c r="Z573" s="622"/>
      <c r="AA573" s="622"/>
      <c r="AB573" s="586"/>
      <c r="AC573" s="579"/>
      <c r="AD573" s="579"/>
      <c r="AE573" s="579"/>
      <c r="AF573" s="579"/>
      <c r="AG573" s="579"/>
      <c r="AH573" s="579"/>
      <c r="AI573" s="579"/>
      <c r="AJ573" s="579"/>
      <c r="AK573" s="579"/>
      <c r="AL573" s="579"/>
    </row>
    <row r="574" spans="1:38" ht="13" customHeight="1">
      <c r="A574" s="564">
        <v>459</v>
      </c>
      <c r="B574" s="564" t="s">
        <v>434</v>
      </c>
      <c r="C574" s="564" t="s">
        <v>61</v>
      </c>
      <c r="D574" s="564" t="s">
        <v>62</v>
      </c>
      <c r="E574" s="564">
        <v>1000</v>
      </c>
      <c r="F574" s="564" t="s">
        <v>75</v>
      </c>
      <c r="G574" s="564" t="s">
        <v>57</v>
      </c>
      <c r="H574" s="564" t="s">
        <v>76</v>
      </c>
      <c r="I574" s="564">
        <v>52.35</v>
      </c>
      <c r="J574" s="564" t="s">
        <v>77</v>
      </c>
      <c r="K574" s="564">
        <v>2002</v>
      </c>
      <c r="L574" s="564" t="s">
        <v>435</v>
      </c>
      <c r="M574" s="564" t="s">
        <v>436</v>
      </c>
      <c r="N574" s="632">
        <v>0.83</v>
      </c>
      <c r="O574" s="633" t="s">
        <v>38</v>
      </c>
      <c r="P574" s="633" t="s">
        <v>38</v>
      </c>
      <c r="Q574" s="633" t="s">
        <v>38</v>
      </c>
      <c r="R574" s="634" t="s">
        <v>38</v>
      </c>
      <c r="S574" s="55"/>
      <c r="T574" s="576"/>
      <c r="U574" s="575"/>
      <c r="V574" s="575"/>
      <c r="W574" s="591"/>
      <c r="X574" s="613"/>
      <c r="Y574" s="613"/>
      <c r="Z574" s="613"/>
      <c r="AA574" s="613"/>
      <c r="AB574" s="586"/>
      <c r="AC574" s="579"/>
      <c r="AD574" s="579"/>
      <c r="AE574" s="579"/>
      <c r="AF574" s="579"/>
      <c r="AG574" s="579"/>
      <c r="AH574" s="579"/>
      <c r="AI574" s="579"/>
      <c r="AJ574" s="579"/>
      <c r="AK574" s="579"/>
      <c r="AL574" s="579"/>
    </row>
    <row r="575" spans="1:38" ht="13" customHeight="1">
      <c r="A575" s="564">
        <v>460</v>
      </c>
      <c r="B575" s="564" t="s">
        <v>437</v>
      </c>
      <c r="C575" s="564" t="s">
        <v>61</v>
      </c>
      <c r="D575" s="564" t="s">
        <v>62</v>
      </c>
      <c r="E575" s="564">
        <v>1000</v>
      </c>
      <c r="F575" s="564" t="s">
        <v>75</v>
      </c>
      <c r="G575" s="564" t="s">
        <v>57</v>
      </c>
      <c r="H575" s="564" t="s">
        <v>76</v>
      </c>
      <c r="I575" s="564">
        <v>55.73</v>
      </c>
      <c r="J575" s="564" t="s">
        <v>77</v>
      </c>
      <c r="K575" s="564">
        <v>2002</v>
      </c>
      <c r="L575" s="564" t="s">
        <v>435</v>
      </c>
      <c r="M575" s="564" t="s">
        <v>436</v>
      </c>
      <c r="N575" s="632">
        <v>0.78</v>
      </c>
      <c r="O575" s="633" t="s">
        <v>38</v>
      </c>
      <c r="P575" s="633" t="s">
        <v>38</v>
      </c>
      <c r="Q575" s="633" t="s">
        <v>38</v>
      </c>
      <c r="R575" s="634" t="s">
        <v>38</v>
      </c>
      <c r="S575" s="55"/>
      <c r="T575" s="576"/>
      <c r="U575" s="593"/>
      <c r="V575" s="593"/>
      <c r="W575" s="591"/>
      <c r="X575" s="613"/>
      <c r="Y575" s="613"/>
      <c r="Z575" s="613"/>
      <c r="AA575" s="613"/>
      <c r="AB575" s="586"/>
      <c r="AC575" s="579"/>
      <c r="AD575" s="579"/>
      <c r="AE575" s="579"/>
      <c r="AF575" s="579"/>
      <c r="AG575" s="579"/>
      <c r="AH575" s="579"/>
      <c r="AI575" s="579"/>
      <c r="AJ575" s="579"/>
      <c r="AK575" s="579"/>
      <c r="AL575" s="579"/>
    </row>
    <row r="576" spans="1:38" ht="13" customHeight="1">
      <c r="A576" s="564">
        <v>461</v>
      </c>
      <c r="B576" s="564" t="s">
        <v>438</v>
      </c>
      <c r="C576" s="564" t="s">
        <v>61</v>
      </c>
      <c r="D576" s="564" t="s">
        <v>62</v>
      </c>
      <c r="E576" s="564">
        <v>1000</v>
      </c>
      <c r="F576" s="564" t="s">
        <v>75</v>
      </c>
      <c r="G576" s="564" t="s">
        <v>32</v>
      </c>
      <c r="H576" s="564" t="s">
        <v>76</v>
      </c>
      <c r="I576" s="564">
        <v>101</v>
      </c>
      <c r="J576" s="564" t="s">
        <v>77</v>
      </c>
      <c r="K576" s="564">
        <v>2002</v>
      </c>
      <c r="L576" s="564" t="s">
        <v>435</v>
      </c>
      <c r="M576" s="565" t="s">
        <v>439</v>
      </c>
      <c r="N576" s="632">
        <v>0.6</v>
      </c>
      <c r="O576" s="633" t="s">
        <v>38</v>
      </c>
      <c r="P576" s="633" t="s">
        <v>38</v>
      </c>
      <c r="Q576" s="633" t="s">
        <v>38</v>
      </c>
      <c r="R576" s="634" t="s">
        <v>38</v>
      </c>
      <c r="S576" s="55"/>
      <c r="T576" s="576"/>
      <c r="U576" s="593"/>
      <c r="V576" s="593"/>
      <c r="W576" s="591"/>
      <c r="X576" s="613"/>
      <c r="Y576" s="613"/>
      <c r="Z576" s="613"/>
      <c r="AA576" s="613"/>
      <c r="AB576" s="586"/>
      <c r="AC576" s="579"/>
      <c r="AD576" s="579"/>
      <c r="AE576" s="579"/>
      <c r="AF576" s="579"/>
      <c r="AG576" s="579"/>
      <c r="AH576" s="579"/>
      <c r="AI576" s="579"/>
      <c r="AJ576" s="579"/>
      <c r="AK576" s="579"/>
      <c r="AL576" s="579"/>
    </row>
    <row r="577" spans="1:50" ht="13" customHeight="1">
      <c r="A577" s="564">
        <v>464</v>
      </c>
      <c r="B577" s="564" t="s">
        <v>81</v>
      </c>
      <c r="C577" s="564" t="s">
        <v>61</v>
      </c>
      <c r="D577" s="564" t="s">
        <v>62</v>
      </c>
      <c r="E577" s="564">
        <v>1000</v>
      </c>
      <c r="F577" s="564" t="s">
        <v>116</v>
      </c>
      <c r="G577" s="564" t="s">
        <v>57</v>
      </c>
      <c r="H577" s="564" t="s">
        <v>76</v>
      </c>
      <c r="I577" s="564">
        <v>14</v>
      </c>
      <c r="J577" s="564" t="s">
        <v>77</v>
      </c>
      <c r="K577" s="564">
        <v>2003</v>
      </c>
      <c r="L577" s="564" t="s">
        <v>440</v>
      </c>
      <c r="M577" s="564" t="s">
        <v>441</v>
      </c>
      <c r="N577" s="634" t="s">
        <v>38</v>
      </c>
      <c r="O577" s="634" t="s">
        <v>38</v>
      </c>
      <c r="P577" s="633" t="s">
        <v>38</v>
      </c>
      <c r="Q577" s="633" t="s">
        <v>38</v>
      </c>
      <c r="R577" s="634" t="s">
        <v>38</v>
      </c>
      <c r="S577" s="55"/>
      <c r="T577" s="591"/>
      <c r="U577" s="575"/>
      <c r="V577" s="575"/>
      <c r="W577" s="629"/>
      <c r="X577" s="613"/>
      <c r="Y577" s="613"/>
      <c r="Z577" s="613"/>
      <c r="AA577" s="613"/>
      <c r="AB577" s="586"/>
      <c r="AC577" s="579"/>
      <c r="AD577" s="579"/>
      <c r="AE577" s="579"/>
      <c r="AF577" s="579"/>
      <c r="AG577" s="579"/>
      <c r="AH577" s="579"/>
      <c r="AI577" s="579"/>
      <c r="AJ577" s="579"/>
      <c r="AK577" s="579"/>
      <c r="AL577" s="579"/>
    </row>
    <row r="578" spans="1:50" ht="13" customHeight="1">
      <c r="A578" s="564">
        <v>465</v>
      </c>
      <c r="B578" s="564" t="s">
        <v>81</v>
      </c>
      <c r="C578" s="564" t="s">
        <v>61</v>
      </c>
      <c r="D578" s="564" t="s">
        <v>62</v>
      </c>
      <c r="E578" s="564">
        <v>1000</v>
      </c>
      <c r="F578" s="564" t="s">
        <v>116</v>
      </c>
      <c r="G578" s="564" t="s">
        <v>32</v>
      </c>
      <c r="H578" s="564" t="s">
        <v>76</v>
      </c>
      <c r="I578" s="564">
        <v>38</v>
      </c>
      <c r="J578" s="564" t="s">
        <v>77</v>
      </c>
      <c r="K578" s="564">
        <v>2003</v>
      </c>
      <c r="L578" s="564" t="s">
        <v>440</v>
      </c>
      <c r="M578" s="564" t="s">
        <v>442</v>
      </c>
      <c r="N578" s="634" t="s">
        <v>38</v>
      </c>
      <c r="O578" s="634" t="s">
        <v>38</v>
      </c>
      <c r="P578" s="633" t="s">
        <v>38</v>
      </c>
      <c r="Q578" s="633" t="s">
        <v>38</v>
      </c>
      <c r="R578" s="634" t="s">
        <v>38</v>
      </c>
      <c r="S578" s="55"/>
      <c r="T578" s="591"/>
      <c r="U578" s="593"/>
      <c r="V578" s="593"/>
      <c r="W578" s="629"/>
      <c r="X578" s="613"/>
      <c r="Y578" s="613"/>
      <c r="Z578" s="613"/>
      <c r="AA578" s="613"/>
      <c r="AB578" s="586"/>
      <c r="AC578" s="579"/>
      <c r="AD578" s="579"/>
      <c r="AE578" s="579"/>
      <c r="AF578" s="579"/>
      <c r="AG578" s="579"/>
      <c r="AH578" s="579"/>
      <c r="AI578" s="579"/>
      <c r="AJ578" s="579"/>
      <c r="AK578" s="579"/>
      <c r="AL578" s="579"/>
    </row>
    <row r="579" spans="1:50" ht="13" customHeight="1">
      <c r="A579" s="564">
        <v>466</v>
      </c>
      <c r="B579" s="564" t="s">
        <v>81</v>
      </c>
      <c r="C579" s="564" t="s">
        <v>61</v>
      </c>
      <c r="D579" s="564" t="s">
        <v>62</v>
      </c>
      <c r="E579" s="564">
        <v>1000</v>
      </c>
      <c r="F579" s="564" t="s">
        <v>31</v>
      </c>
      <c r="G579" s="564" t="s">
        <v>57</v>
      </c>
      <c r="H579" s="564" t="s">
        <v>76</v>
      </c>
      <c r="I579" s="564">
        <v>2400</v>
      </c>
      <c r="J579" s="564" t="s">
        <v>189</v>
      </c>
      <c r="K579" s="564">
        <v>2003</v>
      </c>
      <c r="L579" s="564" t="s">
        <v>440</v>
      </c>
      <c r="M579" s="564" t="s">
        <v>632</v>
      </c>
      <c r="N579" s="634" t="s">
        <v>38</v>
      </c>
      <c r="O579" s="634" t="s">
        <v>38</v>
      </c>
      <c r="P579" s="633" t="s">
        <v>38</v>
      </c>
      <c r="Q579" s="633" t="s">
        <v>38</v>
      </c>
      <c r="R579" s="634" t="s">
        <v>38</v>
      </c>
      <c r="S579" s="55"/>
      <c r="T579" s="591"/>
      <c r="U579" s="593"/>
      <c r="V579" s="593"/>
      <c r="W579" s="629"/>
      <c r="X579" s="613"/>
      <c r="Y579" s="613"/>
      <c r="Z579" s="613"/>
      <c r="AA579" s="613"/>
      <c r="AC579" s="579"/>
      <c r="AD579" s="579"/>
      <c r="AE579" s="579"/>
      <c r="AF579" s="579"/>
      <c r="AG579" s="579"/>
      <c r="AH579" s="579"/>
      <c r="AI579" s="579"/>
      <c r="AJ579" s="579"/>
      <c r="AK579" s="579"/>
      <c r="AL579" s="579"/>
    </row>
    <row r="580" spans="1:50" ht="13" customHeight="1">
      <c r="A580" s="564">
        <v>467</v>
      </c>
      <c r="B580" s="564" t="s">
        <v>81</v>
      </c>
      <c r="C580" s="564" t="s">
        <v>61</v>
      </c>
      <c r="D580" s="564" t="s">
        <v>62</v>
      </c>
      <c r="E580" s="564">
        <v>1000</v>
      </c>
      <c r="F580" s="564" t="s">
        <v>31</v>
      </c>
      <c r="G580" s="564" t="s">
        <v>32</v>
      </c>
      <c r="H580" s="564" t="s">
        <v>76</v>
      </c>
      <c r="I580" s="564">
        <v>4480</v>
      </c>
      <c r="J580" s="564" t="s">
        <v>189</v>
      </c>
      <c r="K580" s="564">
        <v>2003</v>
      </c>
      <c r="L580" s="564" t="s">
        <v>440</v>
      </c>
      <c r="M580" s="564" t="s">
        <v>631</v>
      </c>
      <c r="N580" s="634" t="s">
        <v>38</v>
      </c>
      <c r="O580" s="634" t="s">
        <v>38</v>
      </c>
      <c r="P580" s="633" t="s">
        <v>38</v>
      </c>
      <c r="Q580" s="633" t="s">
        <v>38</v>
      </c>
      <c r="R580" s="634" t="s">
        <v>38</v>
      </c>
      <c r="S580" s="55"/>
      <c r="T580" s="591"/>
      <c r="U580" s="593"/>
      <c r="V580" s="593"/>
      <c r="W580" s="629"/>
      <c r="X580" s="613"/>
      <c r="Y580" s="613"/>
      <c r="Z580" s="613"/>
      <c r="AA580" s="613"/>
      <c r="AC580" s="579"/>
      <c r="AD580" s="579"/>
      <c r="AE580" s="579"/>
      <c r="AF580" s="579"/>
      <c r="AG580" s="579"/>
      <c r="AH580" s="579"/>
      <c r="AI580" s="579"/>
      <c r="AJ580" s="579"/>
      <c r="AK580" s="579"/>
      <c r="AL580" s="579"/>
    </row>
    <row r="581" spans="1:50" ht="13" customHeight="1">
      <c r="A581" s="564">
        <v>468</v>
      </c>
      <c r="B581" s="564" t="s">
        <v>81</v>
      </c>
      <c r="C581" s="564" t="s">
        <v>61</v>
      </c>
      <c r="D581" s="564" t="s">
        <v>62</v>
      </c>
      <c r="E581" s="564">
        <v>1000</v>
      </c>
      <c r="F581" s="564" t="s">
        <v>75</v>
      </c>
      <c r="G581" s="564" t="s">
        <v>57</v>
      </c>
      <c r="H581" s="564" t="s">
        <v>76</v>
      </c>
      <c r="I581" s="564">
        <v>70</v>
      </c>
      <c r="J581" s="564" t="s">
        <v>77</v>
      </c>
      <c r="K581" s="564">
        <v>2003</v>
      </c>
      <c r="L581" s="564" t="s">
        <v>440</v>
      </c>
      <c r="M581" s="565" t="s">
        <v>638</v>
      </c>
      <c r="N581" s="634" t="s">
        <v>38</v>
      </c>
      <c r="O581" s="634" t="s">
        <v>38</v>
      </c>
      <c r="P581" s="633" t="s">
        <v>38</v>
      </c>
      <c r="Q581" s="633" t="s">
        <v>38</v>
      </c>
      <c r="R581" s="634" t="s">
        <v>38</v>
      </c>
      <c r="S581" s="55"/>
      <c r="T581" s="591"/>
      <c r="U581" s="593"/>
      <c r="V581" s="593"/>
      <c r="W581" s="629"/>
      <c r="X581" s="613"/>
      <c r="Y581" s="613"/>
      <c r="Z581" s="613"/>
      <c r="AA581" s="613"/>
      <c r="AC581" s="579"/>
      <c r="AD581" s="579"/>
      <c r="AE581" s="579"/>
      <c r="AF581" s="579"/>
      <c r="AG581" s="579"/>
      <c r="AH581" s="579"/>
      <c r="AI581" s="579"/>
      <c r="AJ581" s="579"/>
      <c r="AK581" s="579"/>
      <c r="AL581" s="579"/>
    </row>
    <row r="582" spans="1:50" ht="13" customHeight="1" thickBot="1">
      <c r="A582" s="564">
        <v>469</v>
      </c>
      <c r="B582" s="564" t="s">
        <v>81</v>
      </c>
      <c r="C582" s="564" t="s">
        <v>61</v>
      </c>
      <c r="D582" s="564" t="s">
        <v>62</v>
      </c>
      <c r="E582" s="564">
        <v>1000</v>
      </c>
      <c r="F582" s="564" t="s">
        <v>75</v>
      </c>
      <c r="G582" s="564" t="s">
        <v>32</v>
      </c>
      <c r="H582" s="564" t="s">
        <v>76</v>
      </c>
      <c r="I582" s="564">
        <v>130</v>
      </c>
      <c r="J582" s="564" t="s">
        <v>77</v>
      </c>
      <c r="K582" s="564">
        <v>2003</v>
      </c>
      <c r="L582" s="564" t="s">
        <v>440</v>
      </c>
      <c r="M582" s="565" t="s">
        <v>639</v>
      </c>
      <c r="N582" s="634" t="s">
        <v>38</v>
      </c>
      <c r="O582" s="634" t="s">
        <v>38</v>
      </c>
      <c r="P582" s="633" t="s">
        <v>38</v>
      </c>
      <c r="Q582" s="633" t="s">
        <v>38</v>
      </c>
      <c r="R582" s="634" t="s">
        <v>38</v>
      </c>
      <c r="S582" s="55"/>
      <c r="T582" s="591"/>
      <c r="U582" s="593"/>
      <c r="V582" s="593"/>
      <c r="W582" s="629"/>
      <c r="X582" s="613"/>
      <c r="Y582" s="613"/>
      <c r="Z582" s="613"/>
      <c r="AA582" s="613"/>
      <c r="AC582" s="579"/>
      <c r="AD582" s="579"/>
      <c r="AE582" s="579"/>
      <c r="AF582" s="579"/>
      <c r="AG582" s="579"/>
      <c r="AH582" s="579"/>
      <c r="AI582" s="579"/>
      <c r="AJ582" s="579"/>
      <c r="AK582" s="579"/>
      <c r="AL582" s="579"/>
    </row>
    <row r="583" spans="1:50" ht="13.15" customHeight="1" thickBot="1">
      <c r="A583" s="564">
        <v>470</v>
      </c>
      <c r="B583" s="649" t="s">
        <v>443</v>
      </c>
      <c r="C583" s="649" t="s">
        <v>61</v>
      </c>
      <c r="D583" s="649" t="s">
        <v>62</v>
      </c>
      <c r="E583" s="649">
        <v>1185</v>
      </c>
      <c r="F583" s="649" t="s">
        <v>31</v>
      </c>
      <c r="G583" s="567" t="s">
        <v>52</v>
      </c>
      <c r="H583" s="649" t="s">
        <v>33</v>
      </c>
      <c r="I583" s="649">
        <v>3609000000</v>
      </c>
      <c r="J583" s="649" t="s">
        <v>34</v>
      </c>
      <c r="K583" s="649">
        <v>1976</v>
      </c>
      <c r="L583" s="649" t="s">
        <v>444</v>
      </c>
      <c r="M583" s="650" t="s">
        <v>389</v>
      </c>
      <c r="N583" s="632" t="s">
        <v>709</v>
      </c>
      <c r="O583" s="651" t="s">
        <v>38</v>
      </c>
      <c r="P583" s="651" t="s">
        <v>38</v>
      </c>
      <c r="Q583" s="633" t="s">
        <v>38</v>
      </c>
      <c r="R583" s="634" t="s">
        <v>38</v>
      </c>
      <c r="S583" s="55"/>
      <c r="T583" s="591"/>
      <c r="U583" s="575"/>
      <c r="V583" s="575"/>
      <c r="W583" s="575"/>
      <c r="X583" s="613"/>
      <c r="Y583" s="613"/>
      <c r="Z583" s="613"/>
      <c r="AA583" s="613"/>
      <c r="AC583" s="579"/>
      <c r="AD583" s="579"/>
      <c r="AE583" s="579"/>
      <c r="AF583" s="579"/>
      <c r="AG583" s="579"/>
      <c r="AH583" s="579"/>
      <c r="AI583" s="579"/>
      <c r="AJ583" s="579"/>
      <c r="AK583" s="579"/>
      <c r="AL583" s="579"/>
    </row>
    <row r="584" spans="1:50" ht="13.15" customHeight="1" thickBot="1">
      <c r="A584" s="564">
        <v>592</v>
      </c>
      <c r="B584" s="652" t="s">
        <v>443</v>
      </c>
      <c r="C584" s="652" t="s">
        <v>61</v>
      </c>
      <c r="D584" s="652" t="s">
        <v>62</v>
      </c>
      <c r="E584" s="652">
        <v>1185</v>
      </c>
      <c r="F584" s="652" t="s">
        <v>116</v>
      </c>
      <c r="G584" s="567" t="s">
        <v>52</v>
      </c>
      <c r="H584" s="652" t="s">
        <v>33</v>
      </c>
      <c r="I584" s="653">
        <f>(96.8*1000000)/30</f>
        <v>3226666.6666666665</v>
      </c>
      <c r="J584" s="652" t="s">
        <v>34</v>
      </c>
      <c r="K584" s="652">
        <v>1967</v>
      </c>
      <c r="L584" s="652" t="s">
        <v>444</v>
      </c>
      <c r="M584" s="654" t="s">
        <v>1109</v>
      </c>
      <c r="N584" s="641" t="s">
        <v>709</v>
      </c>
      <c r="O584" s="651" t="s">
        <v>38</v>
      </c>
      <c r="P584" s="651" t="s">
        <v>38</v>
      </c>
      <c r="Q584" s="633" t="s">
        <v>38</v>
      </c>
      <c r="R584" s="651" t="s">
        <v>38</v>
      </c>
      <c r="S584" s="55"/>
      <c r="T584" s="591"/>
      <c r="U584" s="593"/>
      <c r="V584" s="593"/>
      <c r="W584" s="593"/>
      <c r="X584" s="613"/>
      <c r="Y584" s="613"/>
      <c r="Z584" s="613"/>
      <c r="AA584" s="613"/>
      <c r="AC584" s="579"/>
      <c r="AD584" s="579"/>
      <c r="AE584" s="579"/>
      <c r="AF584" s="579"/>
      <c r="AG584" s="579"/>
      <c r="AH584" s="579"/>
      <c r="AI584" s="579"/>
      <c r="AJ584" s="579"/>
      <c r="AK584" s="579"/>
      <c r="AL584" s="579"/>
    </row>
    <row r="585" spans="1:50" s="6" customFormat="1" ht="13.15" customHeight="1" thickBot="1">
      <c r="A585" s="564">
        <v>471</v>
      </c>
      <c r="B585" s="655" t="s">
        <v>445</v>
      </c>
      <c r="C585" s="655" t="s">
        <v>61</v>
      </c>
      <c r="D585" s="655" t="s">
        <v>62</v>
      </c>
      <c r="E585" s="656" t="s">
        <v>81</v>
      </c>
      <c r="F585" s="656" t="s">
        <v>670</v>
      </c>
      <c r="G585" s="655" t="s">
        <v>57</v>
      </c>
      <c r="H585" s="655" t="s">
        <v>76</v>
      </c>
      <c r="I585" s="657">
        <v>0.1</v>
      </c>
      <c r="J585" s="655" t="s">
        <v>671</v>
      </c>
      <c r="K585" s="657">
        <v>2000</v>
      </c>
      <c r="L585" s="655" t="s">
        <v>446</v>
      </c>
      <c r="M585" s="567" t="s">
        <v>672</v>
      </c>
      <c r="N585" s="634" t="s">
        <v>38</v>
      </c>
      <c r="O585" s="634" t="s">
        <v>38</v>
      </c>
      <c r="P585" s="633" t="s">
        <v>38</v>
      </c>
      <c r="Q585" s="633" t="s">
        <v>38</v>
      </c>
      <c r="R585" s="634" t="s">
        <v>38</v>
      </c>
      <c r="S585" s="55"/>
      <c r="T585" s="630"/>
      <c r="U585" s="621"/>
      <c r="V585" s="621"/>
      <c r="W585" s="629"/>
      <c r="X585" s="631"/>
      <c r="Y585" s="631"/>
      <c r="Z585" s="631"/>
      <c r="AA585" s="631"/>
      <c r="AB585" s="570"/>
      <c r="AC585" s="619"/>
      <c r="AD585" s="579"/>
      <c r="AE585" s="579"/>
      <c r="AF585" s="579"/>
      <c r="AG585" s="619"/>
      <c r="AH585" s="579"/>
      <c r="AI585" s="619"/>
      <c r="AJ585" s="579"/>
      <c r="AK585" s="619"/>
      <c r="AL585" s="619"/>
      <c r="AM585" s="620"/>
      <c r="AN585" s="620"/>
      <c r="AO585" s="620"/>
      <c r="AP585" s="620"/>
      <c r="AQ585" s="620"/>
      <c r="AR585" s="620"/>
      <c r="AS585" s="620"/>
      <c r="AT585" s="620"/>
      <c r="AU585" s="620"/>
      <c r="AV585" s="620"/>
      <c r="AW585" s="620"/>
      <c r="AX585" s="620"/>
    </row>
    <row r="586" spans="1:50" s="6" customFormat="1" ht="13.15" customHeight="1" thickBot="1">
      <c r="A586" s="564">
        <v>472</v>
      </c>
      <c r="B586" s="655" t="s">
        <v>445</v>
      </c>
      <c r="C586" s="655" t="s">
        <v>61</v>
      </c>
      <c r="D586" s="655" t="s">
        <v>62</v>
      </c>
      <c r="E586" s="658" t="s">
        <v>81</v>
      </c>
      <c r="F586" s="564" t="s">
        <v>670</v>
      </c>
      <c r="G586" s="655" t="s">
        <v>57</v>
      </c>
      <c r="H586" s="655" t="s">
        <v>76</v>
      </c>
      <c r="I586" s="657">
        <v>0.36</v>
      </c>
      <c r="J586" s="655" t="s">
        <v>671</v>
      </c>
      <c r="K586" s="657">
        <v>2000</v>
      </c>
      <c r="L586" s="655" t="s">
        <v>446</v>
      </c>
      <c r="M586" s="567" t="s">
        <v>673</v>
      </c>
      <c r="N586" s="634" t="s">
        <v>38</v>
      </c>
      <c r="O586" s="634" t="s">
        <v>38</v>
      </c>
      <c r="P586" s="633" t="s">
        <v>38</v>
      </c>
      <c r="Q586" s="633" t="s">
        <v>38</v>
      </c>
      <c r="R586" s="634" t="s">
        <v>38</v>
      </c>
      <c r="S586" s="55"/>
      <c r="T586" s="630"/>
      <c r="U586" s="621"/>
      <c r="V586" s="621"/>
      <c r="W586" s="629"/>
      <c r="X586" s="631"/>
      <c r="Y586" s="631"/>
      <c r="Z586" s="631"/>
      <c r="AA586" s="631"/>
      <c r="AB586" s="570"/>
      <c r="AC586" s="619"/>
      <c r="AD586" s="579"/>
      <c r="AE586" s="579"/>
      <c r="AF586" s="579"/>
      <c r="AG586" s="619"/>
      <c r="AH586" s="579"/>
      <c r="AI586" s="619"/>
      <c r="AJ586" s="579"/>
      <c r="AK586" s="619"/>
      <c r="AL586" s="619"/>
      <c r="AM586" s="620"/>
      <c r="AN586" s="620"/>
      <c r="AO586" s="620"/>
      <c r="AP586" s="620"/>
      <c r="AQ586" s="620"/>
      <c r="AR586" s="620"/>
      <c r="AS586" s="620"/>
      <c r="AT586" s="620"/>
      <c r="AU586" s="620"/>
      <c r="AV586" s="620"/>
      <c r="AW586" s="620"/>
      <c r="AX586" s="620"/>
    </row>
    <row r="587" spans="1:50" s="6" customFormat="1" ht="13.15" customHeight="1" thickBot="1">
      <c r="A587" s="564">
        <v>473</v>
      </c>
      <c r="B587" s="655" t="s">
        <v>445</v>
      </c>
      <c r="C587" s="655" t="s">
        <v>61</v>
      </c>
      <c r="D587" s="655" t="s">
        <v>62</v>
      </c>
      <c r="E587" s="658" t="s">
        <v>81</v>
      </c>
      <c r="F587" s="564" t="s">
        <v>669</v>
      </c>
      <c r="G587" s="655" t="s">
        <v>57</v>
      </c>
      <c r="H587" s="655" t="s">
        <v>76</v>
      </c>
      <c r="I587" s="657">
        <v>51</v>
      </c>
      <c r="J587" s="655" t="s">
        <v>189</v>
      </c>
      <c r="K587" s="657">
        <v>2000</v>
      </c>
      <c r="L587" s="655" t="s">
        <v>446</v>
      </c>
      <c r="M587" s="567" t="s">
        <v>672</v>
      </c>
      <c r="N587" s="634" t="s">
        <v>38</v>
      </c>
      <c r="O587" s="634" t="s">
        <v>38</v>
      </c>
      <c r="P587" s="633" t="s">
        <v>38</v>
      </c>
      <c r="Q587" s="633" t="s">
        <v>38</v>
      </c>
      <c r="R587" s="634" t="s">
        <v>38</v>
      </c>
      <c r="S587" s="55"/>
      <c r="T587" s="630"/>
      <c r="U587" s="621"/>
      <c r="V587" s="621"/>
      <c r="W587" s="629"/>
      <c r="X587" s="631"/>
      <c r="Y587" s="631"/>
      <c r="Z587" s="631"/>
      <c r="AA587" s="631"/>
      <c r="AB587" s="570"/>
      <c r="AC587" s="619"/>
      <c r="AD587" s="579"/>
      <c r="AE587" s="579"/>
      <c r="AF587" s="579"/>
      <c r="AG587" s="619"/>
      <c r="AH587" s="579"/>
      <c r="AI587" s="619"/>
      <c r="AJ587" s="579"/>
      <c r="AK587" s="619"/>
      <c r="AL587" s="619"/>
      <c r="AM587" s="620"/>
      <c r="AN587" s="620"/>
      <c r="AO587" s="620"/>
      <c r="AP587" s="620"/>
      <c r="AQ587" s="620"/>
      <c r="AR587" s="620"/>
      <c r="AS587" s="620"/>
      <c r="AT587" s="620"/>
      <c r="AU587" s="620"/>
      <c r="AV587" s="620"/>
      <c r="AW587" s="620"/>
      <c r="AX587" s="620"/>
    </row>
    <row r="588" spans="1:50" s="6" customFormat="1" ht="13.15" customHeight="1" thickBot="1">
      <c r="A588" s="564">
        <v>474</v>
      </c>
      <c r="B588" s="655" t="s">
        <v>445</v>
      </c>
      <c r="C588" s="655" t="s">
        <v>61</v>
      </c>
      <c r="D588" s="655" t="s">
        <v>62</v>
      </c>
      <c r="E588" s="658" t="s">
        <v>81</v>
      </c>
      <c r="F588" s="564" t="s">
        <v>669</v>
      </c>
      <c r="G588" s="655" t="s">
        <v>57</v>
      </c>
      <c r="H588" s="655" t="s">
        <v>76</v>
      </c>
      <c r="I588" s="657">
        <v>77</v>
      </c>
      <c r="J588" s="655" t="s">
        <v>189</v>
      </c>
      <c r="K588" s="657">
        <v>2000</v>
      </c>
      <c r="L588" s="655" t="s">
        <v>446</v>
      </c>
      <c r="M588" s="567" t="s">
        <v>673</v>
      </c>
      <c r="N588" s="634" t="s">
        <v>38</v>
      </c>
      <c r="O588" s="634" t="s">
        <v>38</v>
      </c>
      <c r="P588" s="633" t="s">
        <v>38</v>
      </c>
      <c r="Q588" s="633" t="s">
        <v>38</v>
      </c>
      <c r="R588" s="634" t="s">
        <v>38</v>
      </c>
      <c r="S588" s="55"/>
      <c r="T588" s="630"/>
      <c r="U588" s="621"/>
      <c r="V588" s="621"/>
      <c r="W588" s="629"/>
      <c r="X588" s="631"/>
      <c r="Y588" s="631"/>
      <c r="Z588" s="631"/>
      <c r="AA588" s="631"/>
      <c r="AB588" s="570"/>
      <c r="AC588" s="619"/>
      <c r="AD588" s="579"/>
      <c r="AE588" s="579"/>
      <c r="AF588" s="579"/>
      <c r="AG588" s="619"/>
      <c r="AH588" s="579"/>
      <c r="AI588" s="619"/>
      <c r="AJ588" s="579"/>
      <c r="AK588" s="619"/>
      <c r="AL588" s="619"/>
      <c r="AM588" s="620"/>
      <c r="AN588" s="620"/>
      <c r="AO588" s="620"/>
      <c r="AP588" s="620"/>
      <c r="AQ588" s="620"/>
      <c r="AR588" s="620"/>
      <c r="AS588" s="620"/>
      <c r="AT588" s="620"/>
      <c r="AU588" s="620"/>
      <c r="AV588" s="620"/>
      <c r="AW588" s="620"/>
      <c r="AX588" s="620"/>
    </row>
    <row r="589" spans="1:50" s="6" customFormat="1" ht="13.15" customHeight="1" thickBot="1">
      <c r="A589" s="564">
        <v>475</v>
      </c>
      <c r="B589" s="655" t="s">
        <v>445</v>
      </c>
      <c r="C589" s="655" t="s">
        <v>61</v>
      </c>
      <c r="D589" s="655" t="s">
        <v>62</v>
      </c>
      <c r="E589" s="658" t="s">
        <v>81</v>
      </c>
      <c r="F589" s="639" t="s">
        <v>230</v>
      </c>
      <c r="G589" s="655" t="s">
        <v>57</v>
      </c>
      <c r="H589" s="655" t="s">
        <v>76</v>
      </c>
      <c r="I589" s="657">
        <v>5670</v>
      </c>
      <c r="J589" s="655" t="s">
        <v>189</v>
      </c>
      <c r="K589" s="657">
        <v>2000</v>
      </c>
      <c r="L589" s="655" t="s">
        <v>446</v>
      </c>
      <c r="M589" s="564" t="s">
        <v>1129</v>
      </c>
      <c r="N589" s="634" t="s">
        <v>38</v>
      </c>
      <c r="O589" s="564" t="s">
        <v>84</v>
      </c>
      <c r="P589" s="633" t="s">
        <v>38</v>
      </c>
      <c r="Q589" s="633" t="s">
        <v>38</v>
      </c>
      <c r="R589" s="634" t="s">
        <v>38</v>
      </c>
      <c r="S589" s="55"/>
      <c r="T589" s="630"/>
      <c r="U589" s="621"/>
      <c r="V589" s="621"/>
      <c r="W589" s="629"/>
      <c r="X589" s="631"/>
      <c r="Y589" s="631"/>
      <c r="Z589" s="631"/>
      <c r="AA589" s="631"/>
      <c r="AB589" s="570"/>
      <c r="AC589" s="619"/>
      <c r="AD589" s="579"/>
      <c r="AE589" s="579"/>
      <c r="AF589" s="579"/>
      <c r="AG589" s="619"/>
      <c r="AH589" s="579"/>
      <c r="AI589" s="619"/>
      <c r="AJ589" s="579"/>
      <c r="AK589" s="619"/>
      <c r="AL589" s="619"/>
      <c r="AM589" s="620"/>
      <c r="AN589" s="620"/>
      <c r="AO589" s="620"/>
      <c r="AP589" s="620"/>
      <c r="AQ589" s="620"/>
      <c r="AR589" s="620"/>
      <c r="AS589" s="620"/>
      <c r="AT589" s="620"/>
      <c r="AU589" s="620"/>
      <c r="AV589" s="620"/>
      <c r="AW589" s="620"/>
      <c r="AX589" s="620"/>
    </row>
    <row r="590" spans="1:50" ht="13.15" customHeight="1" thickBot="1">
      <c r="A590" s="564">
        <v>476</v>
      </c>
      <c r="B590" s="655" t="s">
        <v>445</v>
      </c>
      <c r="C590" s="655" t="s">
        <v>61</v>
      </c>
      <c r="D590" s="655" t="s">
        <v>62</v>
      </c>
      <c r="E590" s="658" t="s">
        <v>81</v>
      </c>
      <c r="F590" s="655" t="s">
        <v>230</v>
      </c>
      <c r="G590" s="655" t="s">
        <v>57</v>
      </c>
      <c r="H590" s="655" t="s">
        <v>76</v>
      </c>
      <c r="I590" s="657">
        <v>8820</v>
      </c>
      <c r="J590" s="655" t="s">
        <v>189</v>
      </c>
      <c r="K590" s="657">
        <v>2000</v>
      </c>
      <c r="L590" s="655" t="s">
        <v>446</v>
      </c>
      <c r="M590" s="659" t="s">
        <v>1130</v>
      </c>
      <c r="N590" s="634" t="s">
        <v>38</v>
      </c>
      <c r="O590" s="564" t="s">
        <v>84</v>
      </c>
      <c r="P590" s="633" t="s">
        <v>38</v>
      </c>
      <c r="Q590" s="633" t="s">
        <v>38</v>
      </c>
      <c r="R590" s="634" t="s">
        <v>38</v>
      </c>
      <c r="S590" s="55"/>
      <c r="T590" s="630"/>
      <c r="U590" s="621"/>
      <c r="V590" s="621"/>
      <c r="W590" s="629"/>
      <c r="X590" s="631"/>
      <c r="Y590" s="631"/>
      <c r="Z590" s="631"/>
      <c r="AA590" s="631"/>
      <c r="AC590" s="579"/>
      <c r="AD590" s="579"/>
      <c r="AE590" s="579"/>
      <c r="AF590" s="579"/>
      <c r="AG590" s="579"/>
      <c r="AH590" s="579"/>
      <c r="AI590" s="579"/>
      <c r="AJ590" s="579"/>
      <c r="AK590" s="579"/>
      <c r="AL590" s="579"/>
    </row>
    <row r="591" spans="1:50" ht="13.15" customHeight="1" thickBot="1">
      <c r="A591" s="564">
        <v>479</v>
      </c>
      <c r="B591" s="660" t="s">
        <v>448</v>
      </c>
      <c r="C591" s="660" t="s">
        <v>61</v>
      </c>
      <c r="D591" s="660" t="s">
        <v>62</v>
      </c>
      <c r="E591" s="661">
        <v>2000</v>
      </c>
      <c r="F591" s="660" t="s">
        <v>31</v>
      </c>
      <c r="G591" s="660" t="s">
        <v>52</v>
      </c>
      <c r="H591" s="656" t="s">
        <v>76</v>
      </c>
      <c r="I591" s="660">
        <v>9000</v>
      </c>
      <c r="J591" s="660" t="s">
        <v>189</v>
      </c>
      <c r="K591" s="660">
        <v>2020</v>
      </c>
      <c r="L591" s="656" t="s">
        <v>730</v>
      </c>
      <c r="M591" s="659" t="s">
        <v>317</v>
      </c>
      <c r="N591" s="634" t="s">
        <v>38</v>
      </c>
      <c r="O591" s="634" t="s">
        <v>38</v>
      </c>
      <c r="P591" s="633" t="s">
        <v>38</v>
      </c>
      <c r="Q591" s="633" t="s">
        <v>38</v>
      </c>
      <c r="R591" s="634" t="s">
        <v>38</v>
      </c>
      <c r="S591" s="55"/>
      <c r="T591" s="630"/>
      <c r="U591" s="609"/>
      <c r="V591" s="609"/>
      <c r="W591" s="591"/>
      <c r="X591" s="613"/>
      <c r="Y591" s="613"/>
      <c r="Z591" s="613"/>
      <c r="AA591" s="613"/>
      <c r="AC591" s="579"/>
      <c r="AD591" s="579"/>
      <c r="AE591" s="579"/>
      <c r="AF591" s="579"/>
      <c r="AG591" s="579"/>
      <c r="AH591" s="579"/>
      <c r="AI591" s="579"/>
      <c r="AJ591" s="579"/>
      <c r="AK591" s="579"/>
      <c r="AL591" s="579"/>
    </row>
    <row r="592" spans="1:50" ht="13.15" customHeight="1" thickBot="1">
      <c r="A592" s="564">
        <v>477</v>
      </c>
      <c r="B592" s="660" t="s">
        <v>211</v>
      </c>
      <c r="C592" s="660" t="s">
        <v>61</v>
      </c>
      <c r="D592" s="660" t="s">
        <v>62</v>
      </c>
      <c r="E592" s="660">
        <v>500</v>
      </c>
      <c r="F592" s="660" t="s">
        <v>31</v>
      </c>
      <c r="G592" s="660" t="s">
        <v>32</v>
      </c>
      <c r="H592" s="656" t="s">
        <v>76</v>
      </c>
      <c r="I592" s="660">
        <v>30000</v>
      </c>
      <c r="J592" s="660" t="s">
        <v>189</v>
      </c>
      <c r="K592" s="660">
        <v>2020</v>
      </c>
      <c r="L592" s="656" t="s">
        <v>731</v>
      </c>
      <c r="M592" s="659"/>
      <c r="N592" s="634" t="s">
        <v>38</v>
      </c>
      <c r="O592" s="634" t="s">
        <v>38</v>
      </c>
      <c r="P592" s="633" t="s">
        <v>38</v>
      </c>
      <c r="Q592" s="633" t="s">
        <v>38</v>
      </c>
      <c r="R592" s="634" t="s">
        <v>38</v>
      </c>
      <c r="S592" s="55"/>
      <c r="T592" s="630"/>
      <c r="U592" s="609"/>
      <c r="V592" s="609"/>
      <c r="W592" s="591"/>
      <c r="X592" s="613"/>
      <c r="Y592" s="613"/>
      <c r="Z592" s="613"/>
      <c r="AA592" s="613"/>
      <c r="AC592" s="579"/>
      <c r="AD592" s="579"/>
      <c r="AE592" s="579"/>
      <c r="AF592" s="579"/>
      <c r="AG592" s="579"/>
      <c r="AH592" s="579"/>
      <c r="AI592" s="579"/>
      <c r="AJ592" s="579"/>
      <c r="AK592" s="579"/>
      <c r="AL592" s="579"/>
    </row>
    <row r="593" spans="1:50" s="169" customFormat="1" ht="13.15" customHeight="1" thickBot="1">
      <c r="A593" s="564">
        <v>478</v>
      </c>
      <c r="B593" s="660" t="s">
        <v>447</v>
      </c>
      <c r="C593" s="660" t="s">
        <v>61</v>
      </c>
      <c r="D593" s="660" t="s">
        <v>62</v>
      </c>
      <c r="E593" s="660">
        <v>2000</v>
      </c>
      <c r="F593" s="660" t="s">
        <v>31</v>
      </c>
      <c r="G593" s="660" t="s">
        <v>32</v>
      </c>
      <c r="H593" s="656" t="s">
        <v>76</v>
      </c>
      <c r="I593" s="660">
        <v>12000</v>
      </c>
      <c r="J593" s="660" t="s">
        <v>189</v>
      </c>
      <c r="K593" s="660">
        <v>2020</v>
      </c>
      <c r="L593" s="656" t="s">
        <v>731</v>
      </c>
      <c r="M593" s="659"/>
      <c r="N593" s="634" t="s">
        <v>38</v>
      </c>
      <c r="O593" s="634" t="s">
        <v>38</v>
      </c>
      <c r="P593" s="633" t="s">
        <v>38</v>
      </c>
      <c r="Q593" s="633" t="s">
        <v>38</v>
      </c>
      <c r="R593" s="634" t="s">
        <v>38</v>
      </c>
      <c r="S593" s="55"/>
      <c r="T593" s="630"/>
      <c r="U593" s="609"/>
      <c r="V593" s="609"/>
      <c r="W593" s="591"/>
      <c r="X593" s="613"/>
      <c r="Y593" s="613"/>
      <c r="Z593" s="613"/>
      <c r="AA593" s="613"/>
      <c r="AB593" s="570"/>
      <c r="AC593" s="579"/>
      <c r="AD593" s="579"/>
      <c r="AE593" s="579"/>
      <c r="AF593" s="579"/>
      <c r="AG593" s="579"/>
      <c r="AH593" s="579"/>
      <c r="AI593" s="579"/>
      <c r="AJ593" s="579"/>
      <c r="AK593" s="579"/>
      <c r="AL593" s="579"/>
      <c r="AM593" s="570"/>
      <c r="AN593" s="570"/>
      <c r="AO593" s="570"/>
      <c r="AP593" s="570"/>
      <c r="AQ593" s="570"/>
      <c r="AR593" s="570"/>
      <c r="AS593" s="570"/>
      <c r="AT593" s="570"/>
      <c r="AU593" s="570"/>
      <c r="AV593" s="570"/>
      <c r="AW593" s="570"/>
      <c r="AX593" s="570"/>
    </row>
    <row r="594" spans="1:50" s="169" customFormat="1" ht="13.15" customHeight="1" thickBot="1">
      <c r="A594" s="564"/>
      <c r="B594" s="656" t="s">
        <v>795</v>
      </c>
      <c r="C594" s="656" t="s">
        <v>30</v>
      </c>
      <c r="D594" s="656" t="s">
        <v>796</v>
      </c>
      <c r="E594" s="656">
        <v>972</v>
      </c>
      <c r="F594" s="656" t="s">
        <v>31</v>
      </c>
      <c r="G594" s="656" t="s">
        <v>52</v>
      </c>
      <c r="H594" s="656" t="s">
        <v>33</v>
      </c>
      <c r="I594" s="656">
        <f>(4060.29-575.66+445.27)*1000000</f>
        <v>3929900000</v>
      </c>
      <c r="J594" s="656" t="s">
        <v>34</v>
      </c>
      <c r="K594" s="656">
        <v>1991</v>
      </c>
      <c r="L594" s="656" t="s">
        <v>799</v>
      </c>
      <c r="M594" s="662" t="s">
        <v>804</v>
      </c>
      <c r="N594" s="632">
        <v>0.79400000000000004</v>
      </c>
      <c r="O594" s="564" t="s">
        <v>37</v>
      </c>
      <c r="P594" s="564"/>
      <c r="Q594" s="564">
        <f>445.27*1000000</f>
        <v>445270000</v>
      </c>
      <c r="R594" s="633" t="s">
        <v>38</v>
      </c>
      <c r="S594" s="55"/>
      <c r="T594" s="576"/>
      <c r="U594" s="575"/>
      <c r="V594" s="575"/>
      <c r="W594" s="575"/>
      <c r="X594" s="579"/>
      <c r="Y594" s="579"/>
      <c r="Z594" s="579"/>
      <c r="AA594" s="579"/>
      <c r="AB594" s="570"/>
      <c r="AC594" s="579"/>
      <c r="AD594" s="579"/>
      <c r="AE594" s="579"/>
      <c r="AF594" s="579"/>
      <c r="AG594" s="579"/>
      <c r="AH594" s="579"/>
      <c r="AI594" s="579"/>
      <c r="AJ594" s="579"/>
      <c r="AK594" s="579"/>
      <c r="AL594" s="579"/>
      <c r="AM594" s="570"/>
      <c r="AN594" s="570"/>
      <c r="AO594" s="570"/>
      <c r="AP594" s="570"/>
      <c r="AQ594" s="570"/>
      <c r="AR594" s="570"/>
      <c r="AS594" s="570"/>
      <c r="AT594" s="570"/>
      <c r="AU594" s="570"/>
      <c r="AV594" s="570"/>
      <c r="AW594" s="570"/>
      <c r="AX594" s="570"/>
    </row>
    <row r="595" spans="1:50" s="169" customFormat="1" ht="13.15" customHeight="1" thickBot="1">
      <c r="A595" s="564"/>
      <c r="B595" s="656" t="s">
        <v>797</v>
      </c>
      <c r="C595" s="656" t="s">
        <v>30</v>
      </c>
      <c r="D595" s="656" t="s">
        <v>798</v>
      </c>
      <c r="E595" s="656">
        <v>999</v>
      </c>
      <c r="F595" s="656" t="s">
        <v>31</v>
      </c>
      <c r="G595" s="656" t="s">
        <v>52</v>
      </c>
      <c r="H595" s="656" t="s">
        <v>33</v>
      </c>
      <c r="I595" s="656">
        <f>(3628.34-397.9-514.42)*1000000</f>
        <v>2716020000</v>
      </c>
      <c r="J595" s="656" t="s">
        <v>34</v>
      </c>
      <c r="K595" s="656">
        <v>1991</v>
      </c>
      <c r="L595" s="656" t="s">
        <v>799</v>
      </c>
      <c r="M595" s="662" t="s">
        <v>805</v>
      </c>
      <c r="N595" s="632">
        <v>0.80800000000000005</v>
      </c>
      <c r="O595" s="564" t="s">
        <v>37</v>
      </c>
      <c r="P595" s="564"/>
      <c r="Q595" s="564">
        <f>397.9*1000000</f>
        <v>397900000</v>
      </c>
      <c r="R595" s="633" t="s">
        <v>38</v>
      </c>
      <c r="S595" s="55"/>
      <c r="T595" s="576"/>
      <c r="U595" s="575"/>
      <c r="V595" s="575"/>
      <c r="W595" s="575"/>
      <c r="X595" s="579"/>
      <c r="Y595" s="579"/>
      <c r="Z595" s="579"/>
      <c r="AA595" s="579"/>
      <c r="AB595" s="570"/>
      <c r="AC595" s="579"/>
      <c r="AD595" s="579"/>
      <c r="AE595" s="579"/>
      <c r="AF595" s="579"/>
      <c r="AG595" s="579"/>
      <c r="AH595" s="579"/>
      <c r="AI595" s="579"/>
      <c r="AJ595" s="579"/>
      <c r="AK595" s="579"/>
      <c r="AL595" s="579"/>
      <c r="AM595" s="570"/>
      <c r="AN595" s="570"/>
      <c r="AO595" s="570"/>
      <c r="AP595" s="570"/>
      <c r="AQ595" s="570"/>
      <c r="AR595" s="570"/>
      <c r="AS595" s="570"/>
      <c r="AT595" s="570"/>
      <c r="AU595" s="570"/>
      <c r="AV595" s="570"/>
      <c r="AW595" s="570"/>
      <c r="AX595" s="570"/>
    </row>
    <row r="596" spans="1:50" s="169" customFormat="1" ht="26.1" customHeight="1" thickBot="1">
      <c r="A596" s="564"/>
      <c r="B596" s="656" t="s">
        <v>795</v>
      </c>
      <c r="C596" s="656" t="s">
        <v>30</v>
      </c>
      <c r="D596" s="656" t="s">
        <v>796</v>
      </c>
      <c r="E596" s="656">
        <v>972</v>
      </c>
      <c r="F596" s="656" t="s">
        <v>116</v>
      </c>
      <c r="G596" s="656" t="s">
        <v>52</v>
      </c>
      <c r="H596" s="656" t="s">
        <v>33</v>
      </c>
      <c r="I596" s="656">
        <f>(49.71+12.32)*1000000</f>
        <v>62030000</v>
      </c>
      <c r="J596" s="656" t="s">
        <v>34</v>
      </c>
      <c r="K596" s="656">
        <v>1991</v>
      </c>
      <c r="L596" s="656" t="s">
        <v>799</v>
      </c>
      <c r="M596" s="659" t="s">
        <v>807</v>
      </c>
      <c r="N596" s="633" t="s">
        <v>38</v>
      </c>
      <c r="O596" s="633" t="s">
        <v>38</v>
      </c>
      <c r="P596" s="633" t="s">
        <v>38</v>
      </c>
      <c r="Q596" s="633" t="s">
        <v>38</v>
      </c>
      <c r="R596" s="633" t="s">
        <v>38</v>
      </c>
      <c r="S596" s="55"/>
      <c r="T596" s="576"/>
      <c r="U596" s="575"/>
      <c r="V596" s="575"/>
      <c r="W596" s="575"/>
      <c r="X596" s="579"/>
      <c r="Y596" s="579"/>
      <c r="Z596" s="579"/>
      <c r="AA596" s="579"/>
      <c r="AB596" s="570"/>
      <c r="AC596" s="579"/>
      <c r="AD596" s="579"/>
      <c r="AE596" s="579"/>
      <c r="AF596" s="579"/>
      <c r="AG596" s="579"/>
      <c r="AH596" s="579"/>
      <c r="AI596" s="579"/>
      <c r="AJ596" s="579"/>
      <c r="AK596" s="579"/>
      <c r="AL596" s="579"/>
      <c r="AM596" s="570"/>
      <c r="AN596" s="570"/>
      <c r="AO596" s="570"/>
      <c r="AP596" s="570"/>
      <c r="AQ596" s="570"/>
      <c r="AR596" s="570"/>
      <c r="AS596" s="570"/>
      <c r="AT596" s="570"/>
      <c r="AU596" s="570"/>
      <c r="AV596" s="570"/>
      <c r="AW596" s="570"/>
      <c r="AX596" s="570"/>
    </row>
    <row r="597" spans="1:50" ht="26.1" customHeight="1" thickBot="1">
      <c r="A597" s="564"/>
      <c r="B597" s="656" t="s">
        <v>797</v>
      </c>
      <c r="C597" s="656" t="s">
        <v>30</v>
      </c>
      <c r="D597" s="656" t="s">
        <v>798</v>
      </c>
      <c r="E597" s="656">
        <v>999</v>
      </c>
      <c r="F597" s="656" t="s">
        <v>116</v>
      </c>
      <c r="G597" s="656" t="s">
        <v>52</v>
      </c>
      <c r="H597" s="656" t="s">
        <v>33</v>
      </c>
      <c r="I597" s="656">
        <f>(50.39+11.8)*1000000</f>
        <v>62190000</v>
      </c>
      <c r="J597" s="656" t="s">
        <v>34</v>
      </c>
      <c r="K597" s="656">
        <v>1991</v>
      </c>
      <c r="L597" s="656" t="s">
        <v>799</v>
      </c>
      <c r="M597" s="659" t="s">
        <v>807</v>
      </c>
      <c r="N597" s="633" t="s">
        <v>38</v>
      </c>
      <c r="O597" s="633" t="s">
        <v>38</v>
      </c>
      <c r="P597" s="633" t="s">
        <v>38</v>
      </c>
      <c r="Q597" s="633" t="s">
        <v>38</v>
      </c>
      <c r="R597" s="633" t="s">
        <v>38</v>
      </c>
      <c r="S597" s="55"/>
      <c r="T597" s="576"/>
      <c r="U597" s="575"/>
      <c r="V597" s="575"/>
      <c r="W597" s="575"/>
      <c r="X597" s="579"/>
      <c r="Y597" s="579"/>
      <c r="Z597" s="579"/>
      <c r="AA597" s="579"/>
      <c r="AB597" s="620"/>
      <c r="AC597" s="579"/>
      <c r="AD597" s="579"/>
      <c r="AE597" s="579"/>
      <c r="AF597" s="579"/>
      <c r="AG597" s="579"/>
      <c r="AH597" s="579"/>
      <c r="AI597" s="579"/>
      <c r="AJ597" s="579"/>
      <c r="AK597" s="579"/>
      <c r="AL597" s="579"/>
    </row>
    <row r="598" spans="1:50" ht="26.1" customHeight="1" thickBot="1">
      <c r="A598" s="564"/>
      <c r="B598" s="656" t="s">
        <v>795</v>
      </c>
      <c r="C598" s="656" t="s">
        <v>30</v>
      </c>
      <c r="D598" s="656" t="s">
        <v>796</v>
      </c>
      <c r="E598" s="656">
        <v>972</v>
      </c>
      <c r="F598" s="656" t="s">
        <v>115</v>
      </c>
      <c r="G598" s="656" t="s">
        <v>52</v>
      </c>
      <c r="H598" s="656" t="s">
        <v>33</v>
      </c>
      <c r="I598" s="656">
        <f>24.29*1000000</f>
        <v>24290000</v>
      </c>
      <c r="J598" s="656" t="s">
        <v>34</v>
      </c>
      <c r="K598" s="656">
        <v>1991</v>
      </c>
      <c r="L598" s="656" t="s">
        <v>799</v>
      </c>
      <c r="M598" s="659" t="s">
        <v>801</v>
      </c>
      <c r="N598" s="633" t="s">
        <v>38</v>
      </c>
      <c r="O598" s="633" t="s">
        <v>38</v>
      </c>
      <c r="P598" s="633" t="s">
        <v>38</v>
      </c>
      <c r="Q598" s="633" t="s">
        <v>38</v>
      </c>
      <c r="R598" s="633" t="s">
        <v>38</v>
      </c>
      <c r="S598" s="55"/>
      <c r="T598" s="576"/>
      <c r="U598" s="575"/>
      <c r="V598" s="575"/>
      <c r="W598" s="575"/>
      <c r="X598" s="579"/>
      <c r="Y598" s="579"/>
      <c r="Z598" s="579"/>
      <c r="AA598" s="579"/>
      <c r="AB598" s="620"/>
      <c r="AC598" s="579"/>
      <c r="AD598" s="579"/>
      <c r="AE598" s="579"/>
      <c r="AF598" s="579"/>
      <c r="AG598" s="579"/>
      <c r="AH598" s="579"/>
      <c r="AI598" s="579"/>
      <c r="AJ598" s="579"/>
      <c r="AK598" s="579"/>
      <c r="AL598" s="579"/>
    </row>
    <row r="599" spans="1:50" ht="52" customHeight="1" thickBot="1">
      <c r="A599" s="564"/>
      <c r="B599" s="656" t="s">
        <v>797</v>
      </c>
      <c r="C599" s="656" t="s">
        <v>30</v>
      </c>
      <c r="D599" s="656" t="s">
        <v>798</v>
      </c>
      <c r="E599" s="656">
        <v>999</v>
      </c>
      <c r="F599" s="656" t="s">
        <v>115</v>
      </c>
      <c r="G599" s="656" t="s">
        <v>52</v>
      </c>
      <c r="H599" s="656" t="s">
        <v>33</v>
      </c>
      <c r="I599" s="656">
        <f>20.17*1000000</f>
        <v>20170000</v>
      </c>
      <c r="J599" s="656" t="s">
        <v>34</v>
      </c>
      <c r="K599" s="656">
        <v>1991</v>
      </c>
      <c r="L599" s="656" t="s">
        <v>799</v>
      </c>
      <c r="M599" s="659" t="s">
        <v>801</v>
      </c>
      <c r="N599" s="633" t="s">
        <v>38</v>
      </c>
      <c r="O599" s="633" t="s">
        <v>38</v>
      </c>
      <c r="P599" s="633" t="s">
        <v>38</v>
      </c>
      <c r="Q599" s="633" t="s">
        <v>38</v>
      </c>
      <c r="R599" s="633" t="s">
        <v>38</v>
      </c>
      <c r="S599" s="55"/>
      <c r="T599" s="576"/>
      <c r="U599" s="575"/>
      <c r="V599" s="575"/>
      <c r="W599" s="575"/>
      <c r="X599" s="579"/>
      <c r="Y599" s="579"/>
      <c r="Z599" s="579"/>
      <c r="AA599" s="579"/>
      <c r="AB599" s="620"/>
      <c r="AC599" s="579"/>
      <c r="AD599" s="579"/>
      <c r="AE599" s="579"/>
      <c r="AF599" s="579"/>
      <c r="AG599" s="579"/>
      <c r="AH599" s="579"/>
      <c r="AI599" s="579"/>
      <c r="AJ599" s="579"/>
      <c r="AK599" s="579"/>
      <c r="AL599" s="579"/>
    </row>
    <row r="600" spans="1:50" ht="13.15" customHeight="1" thickBot="1">
      <c r="A600" s="564"/>
      <c r="B600" s="656" t="s">
        <v>795</v>
      </c>
      <c r="C600" s="656" t="s">
        <v>30</v>
      </c>
      <c r="D600" s="656" t="s">
        <v>796</v>
      </c>
      <c r="E600" s="656">
        <v>972</v>
      </c>
      <c r="F600" s="656" t="s">
        <v>63</v>
      </c>
      <c r="G600" s="656" t="s">
        <v>52</v>
      </c>
      <c r="H600" s="564" t="s">
        <v>76</v>
      </c>
      <c r="I600" s="656">
        <f>(4.08*1000000)/(0.794*972*8760)</f>
        <v>0.60348890425300639</v>
      </c>
      <c r="J600" s="656" t="s">
        <v>128</v>
      </c>
      <c r="K600" s="656">
        <v>1991</v>
      </c>
      <c r="L600" s="656" t="s">
        <v>799</v>
      </c>
      <c r="M600" s="662" t="s">
        <v>806</v>
      </c>
      <c r="N600" s="632">
        <v>0.79400000000000004</v>
      </c>
      <c r="O600" s="564" t="s">
        <v>37</v>
      </c>
      <c r="P600" s="633" t="s">
        <v>38</v>
      </c>
      <c r="Q600" s="633" t="s">
        <v>38</v>
      </c>
      <c r="R600" s="633" t="s">
        <v>38</v>
      </c>
      <c r="S600" s="55"/>
      <c r="T600" s="576"/>
      <c r="U600" s="575"/>
      <c r="V600" s="575"/>
      <c r="W600" s="575"/>
      <c r="X600" s="579"/>
      <c r="Y600" s="579"/>
      <c r="Z600" s="579"/>
      <c r="AA600" s="579"/>
      <c r="AB600" s="620"/>
      <c r="AC600" s="579"/>
      <c r="AD600" s="579"/>
      <c r="AE600" s="579"/>
      <c r="AF600" s="579"/>
      <c r="AG600" s="579"/>
      <c r="AH600" s="579"/>
      <c r="AI600" s="579"/>
      <c r="AJ600" s="579"/>
      <c r="AK600" s="579"/>
      <c r="AL600" s="579"/>
    </row>
    <row r="601" spans="1:50" ht="13.15" customHeight="1" thickBot="1">
      <c r="A601" s="564"/>
      <c r="B601" s="656" t="s">
        <v>797</v>
      </c>
      <c r="C601" s="656" t="s">
        <v>30</v>
      </c>
      <c r="D601" s="656" t="s">
        <v>798</v>
      </c>
      <c r="E601" s="656">
        <v>999</v>
      </c>
      <c r="F601" s="656" t="s">
        <v>63</v>
      </c>
      <c r="G601" s="656" t="s">
        <v>52</v>
      </c>
      <c r="H601" s="564" t="s">
        <v>76</v>
      </c>
      <c r="I601" s="656">
        <f>(5.6*1000000)/(0.794*972*8760)</f>
        <v>0.82831810387667537</v>
      </c>
      <c r="J601" s="656" t="s">
        <v>128</v>
      </c>
      <c r="K601" s="656">
        <v>1991</v>
      </c>
      <c r="L601" s="656" t="s">
        <v>799</v>
      </c>
      <c r="M601" s="662" t="s">
        <v>806</v>
      </c>
      <c r="N601" s="632">
        <v>0.80800000000000005</v>
      </c>
      <c r="O601" s="564" t="s">
        <v>37</v>
      </c>
      <c r="P601" s="633" t="s">
        <v>38</v>
      </c>
      <c r="Q601" s="633" t="s">
        <v>38</v>
      </c>
      <c r="R601" s="633" t="s">
        <v>38</v>
      </c>
      <c r="S601" s="55"/>
      <c r="T601" s="576"/>
      <c r="U601" s="575"/>
      <c r="V601" s="575"/>
      <c r="W601" s="575"/>
      <c r="X601" s="579"/>
      <c r="Y601" s="579"/>
      <c r="Z601" s="579"/>
      <c r="AA601" s="579"/>
      <c r="AB601" s="620"/>
      <c r="AC601" s="579"/>
      <c r="AD601" s="579"/>
      <c r="AE601" s="579"/>
      <c r="AF601" s="579"/>
      <c r="AG601" s="579"/>
      <c r="AH601" s="579"/>
      <c r="AI601" s="579"/>
      <c r="AJ601" s="579"/>
      <c r="AK601" s="579"/>
      <c r="AL601" s="579"/>
    </row>
    <row r="602" spans="1:50" ht="13" customHeight="1" thickBot="1">
      <c r="A602" s="564"/>
      <c r="B602" s="656" t="s">
        <v>795</v>
      </c>
      <c r="C602" s="656" t="s">
        <v>30</v>
      </c>
      <c r="D602" s="656" t="s">
        <v>796</v>
      </c>
      <c r="E602" s="656">
        <v>972</v>
      </c>
      <c r="F602" s="656" t="s">
        <v>493</v>
      </c>
      <c r="G602" s="656" t="s">
        <v>52</v>
      </c>
      <c r="H602" s="656" t="s">
        <v>33</v>
      </c>
      <c r="I602" s="656">
        <f>4.56*1000000</f>
        <v>4560000</v>
      </c>
      <c r="J602" s="656" t="s">
        <v>34</v>
      </c>
      <c r="K602" s="656">
        <v>1991</v>
      </c>
      <c r="L602" s="656" t="s">
        <v>799</v>
      </c>
      <c r="M602" s="659" t="s">
        <v>802</v>
      </c>
      <c r="N602" s="632"/>
      <c r="O602" s="564"/>
      <c r="P602" s="633" t="s">
        <v>38</v>
      </c>
      <c r="Q602" s="633" t="s">
        <v>38</v>
      </c>
      <c r="R602" s="633" t="s">
        <v>38</v>
      </c>
      <c r="S602" s="55"/>
      <c r="T602" s="576"/>
      <c r="U602" s="575"/>
      <c r="V602" s="575"/>
      <c r="W602" s="575"/>
      <c r="X602" s="579"/>
      <c r="Y602" s="579"/>
      <c r="Z602" s="579"/>
      <c r="AA602" s="579"/>
      <c r="AB602" s="598"/>
      <c r="AC602" s="579"/>
      <c r="AD602" s="579"/>
      <c r="AE602" s="579"/>
      <c r="AF602" s="579"/>
      <c r="AG602" s="579"/>
      <c r="AH602" s="579"/>
      <c r="AI602" s="579"/>
      <c r="AJ602" s="579"/>
      <c r="AK602" s="579"/>
      <c r="AL602" s="579"/>
    </row>
    <row r="603" spans="1:50" ht="13.15" customHeight="1" thickBot="1">
      <c r="A603" s="564"/>
      <c r="B603" s="656" t="s">
        <v>797</v>
      </c>
      <c r="C603" s="656" t="s">
        <v>30</v>
      </c>
      <c r="D603" s="656" t="s">
        <v>798</v>
      </c>
      <c r="E603" s="656">
        <v>999</v>
      </c>
      <c r="F603" s="656" t="s">
        <v>493</v>
      </c>
      <c r="G603" s="656" t="s">
        <v>52</v>
      </c>
      <c r="H603" s="656" t="s">
        <v>33</v>
      </c>
      <c r="I603" s="656">
        <f>4.56*1000000</f>
        <v>4560000</v>
      </c>
      <c r="J603" s="656" t="s">
        <v>34</v>
      </c>
      <c r="K603" s="656">
        <v>1991</v>
      </c>
      <c r="L603" s="656" t="s">
        <v>799</v>
      </c>
      <c r="M603" s="659" t="s">
        <v>802</v>
      </c>
      <c r="N603" s="632"/>
      <c r="O603" s="564"/>
      <c r="P603" s="633" t="s">
        <v>38</v>
      </c>
      <c r="Q603" s="633" t="s">
        <v>38</v>
      </c>
      <c r="R603" s="633" t="s">
        <v>38</v>
      </c>
      <c r="S603" s="55"/>
      <c r="T603" s="576"/>
      <c r="U603" s="575"/>
      <c r="V603" s="575"/>
      <c r="W603" s="575"/>
      <c r="X603" s="579"/>
      <c r="Y603" s="579"/>
      <c r="Z603" s="579"/>
      <c r="AA603" s="579"/>
      <c r="AB603" s="598"/>
      <c r="AC603" s="579"/>
      <c r="AD603" s="579"/>
      <c r="AE603" s="579"/>
      <c r="AF603" s="579"/>
      <c r="AG603" s="579"/>
      <c r="AH603" s="579"/>
      <c r="AI603" s="579"/>
      <c r="AJ603" s="579"/>
      <c r="AK603" s="579"/>
      <c r="AL603" s="579"/>
    </row>
    <row r="604" spans="1:50" ht="13.15" customHeight="1" thickBot="1">
      <c r="A604" s="564">
        <v>480</v>
      </c>
      <c r="B604" s="660" t="s">
        <v>449</v>
      </c>
      <c r="C604" s="660" t="s">
        <v>61</v>
      </c>
      <c r="D604" s="660" t="s">
        <v>62</v>
      </c>
      <c r="E604" s="660" t="s">
        <v>81</v>
      </c>
      <c r="F604" s="660" t="s">
        <v>75</v>
      </c>
      <c r="G604" s="660" t="s">
        <v>32</v>
      </c>
      <c r="H604" s="656" t="s">
        <v>76</v>
      </c>
      <c r="I604" s="660">
        <v>100</v>
      </c>
      <c r="J604" s="660" t="s">
        <v>450</v>
      </c>
      <c r="K604" s="660">
        <v>2005</v>
      </c>
      <c r="L604" s="660" t="s">
        <v>451</v>
      </c>
      <c r="M604" s="663" t="s">
        <v>648</v>
      </c>
      <c r="N604" s="634" t="s">
        <v>38</v>
      </c>
      <c r="O604" s="634" t="s">
        <v>38</v>
      </c>
      <c r="P604" s="633" t="s">
        <v>38</v>
      </c>
      <c r="Q604" s="633" t="s">
        <v>38</v>
      </c>
      <c r="R604" s="634" t="s">
        <v>38</v>
      </c>
      <c r="S604" s="55"/>
      <c r="T604" s="576"/>
      <c r="U604" s="575"/>
      <c r="V604" s="575"/>
      <c r="W604" s="591"/>
      <c r="AC604" s="579"/>
      <c r="AD604" s="579"/>
      <c r="AE604" s="579"/>
      <c r="AF604" s="579"/>
      <c r="AG604" s="579"/>
      <c r="AH604" s="579"/>
      <c r="AI604" s="579"/>
      <c r="AJ604" s="579"/>
      <c r="AK604" s="579"/>
      <c r="AL604" s="579"/>
    </row>
    <row r="605" spans="1:50" ht="13.15" customHeight="1" thickBot="1">
      <c r="A605" s="564">
        <v>481</v>
      </c>
      <c r="B605" s="660" t="s">
        <v>452</v>
      </c>
      <c r="C605" s="660" t="s">
        <v>61</v>
      </c>
      <c r="D605" s="660" t="s">
        <v>62</v>
      </c>
      <c r="E605" s="660" t="s">
        <v>81</v>
      </c>
      <c r="F605" s="660" t="s">
        <v>75</v>
      </c>
      <c r="G605" s="660" t="s">
        <v>57</v>
      </c>
      <c r="H605" s="656" t="s">
        <v>76</v>
      </c>
      <c r="I605" s="660">
        <v>50</v>
      </c>
      <c r="J605" s="660" t="s">
        <v>450</v>
      </c>
      <c r="K605" s="660">
        <v>2005</v>
      </c>
      <c r="L605" s="660" t="s">
        <v>451</v>
      </c>
      <c r="M605" s="663" t="s">
        <v>648</v>
      </c>
      <c r="N605" s="634" t="s">
        <v>38</v>
      </c>
      <c r="O605" s="634" t="s">
        <v>38</v>
      </c>
      <c r="P605" s="633" t="s">
        <v>38</v>
      </c>
      <c r="Q605" s="633" t="s">
        <v>38</v>
      </c>
      <c r="R605" s="634" t="s">
        <v>38</v>
      </c>
      <c r="S605" s="55"/>
      <c r="T605" s="591"/>
      <c r="U605" s="593"/>
      <c r="V605" s="593"/>
      <c r="W605" s="591"/>
      <c r="AC605" s="579"/>
      <c r="AD605" s="579"/>
      <c r="AE605" s="579"/>
      <c r="AF605" s="579"/>
      <c r="AG605" s="579"/>
      <c r="AH605" s="579"/>
      <c r="AI605" s="579"/>
      <c r="AJ605" s="579"/>
      <c r="AK605" s="579"/>
      <c r="AL605" s="579"/>
    </row>
    <row r="606" spans="1:50" ht="13.15" customHeight="1" thickBot="1">
      <c r="A606" s="564">
        <v>164</v>
      </c>
      <c r="B606" s="664" t="s">
        <v>211</v>
      </c>
      <c r="C606" s="656" t="s">
        <v>61</v>
      </c>
      <c r="D606" s="664" t="s">
        <v>62</v>
      </c>
      <c r="E606" s="664">
        <v>1546</v>
      </c>
      <c r="F606" s="664" t="s">
        <v>493</v>
      </c>
      <c r="G606" s="664" t="s">
        <v>52</v>
      </c>
      <c r="H606" s="656" t="s">
        <v>76</v>
      </c>
      <c r="I606" s="664">
        <f>(0.005*9)/100</f>
        <v>4.4999999999999999E-4</v>
      </c>
      <c r="J606" s="664" t="s">
        <v>1111</v>
      </c>
      <c r="K606" s="664">
        <v>2005</v>
      </c>
      <c r="L606" s="665" t="s">
        <v>1288</v>
      </c>
      <c r="M606" s="659"/>
      <c r="N606" s="634" t="s">
        <v>38</v>
      </c>
      <c r="O606" s="634" t="s">
        <v>38</v>
      </c>
      <c r="P606" s="633" t="s">
        <v>38</v>
      </c>
      <c r="Q606" s="633" t="s">
        <v>38</v>
      </c>
      <c r="R606" s="633" t="s">
        <v>122</v>
      </c>
      <c r="S606" s="55"/>
      <c r="T606" s="609"/>
      <c r="U606" s="575"/>
      <c r="V606" s="575"/>
      <c r="W606" s="591"/>
      <c r="X606" s="613"/>
      <c r="Y606" s="613"/>
      <c r="Z606" s="613"/>
      <c r="AA606" s="613"/>
      <c r="AC606" s="579"/>
      <c r="AD606" s="579"/>
      <c r="AE606" s="579"/>
      <c r="AF606" s="579"/>
      <c r="AG606" s="579"/>
      <c r="AH606" s="579"/>
      <c r="AI606" s="579"/>
      <c r="AJ606" s="579"/>
      <c r="AK606" s="579"/>
      <c r="AL606" s="579"/>
    </row>
    <row r="607" spans="1:50" ht="13.15" customHeight="1" thickBot="1">
      <c r="A607" s="564">
        <v>165</v>
      </c>
      <c r="B607" s="664" t="s">
        <v>213</v>
      </c>
      <c r="C607" s="656" t="s">
        <v>61</v>
      </c>
      <c r="D607" s="664" t="s">
        <v>62</v>
      </c>
      <c r="E607" s="664">
        <v>1332</v>
      </c>
      <c r="F607" s="664" t="s">
        <v>493</v>
      </c>
      <c r="G607" s="664" t="s">
        <v>52</v>
      </c>
      <c r="H607" s="656" t="s">
        <v>76</v>
      </c>
      <c r="I607" s="664">
        <f>(0.005*8)/100</f>
        <v>4.0000000000000002E-4</v>
      </c>
      <c r="J607" s="664" t="s">
        <v>1111</v>
      </c>
      <c r="K607" s="664">
        <v>2005</v>
      </c>
      <c r="L607" s="665" t="s">
        <v>1288</v>
      </c>
      <c r="M607" s="659"/>
      <c r="N607" s="634" t="s">
        <v>38</v>
      </c>
      <c r="O607" s="634" t="s">
        <v>38</v>
      </c>
      <c r="P607" s="633" t="s">
        <v>38</v>
      </c>
      <c r="Q607" s="633" t="s">
        <v>38</v>
      </c>
      <c r="R607" s="633" t="s">
        <v>122</v>
      </c>
      <c r="S607" s="55"/>
      <c r="T607" s="609"/>
      <c r="U607" s="593"/>
      <c r="V607" s="593"/>
      <c r="W607" s="591"/>
      <c r="X607" s="613"/>
      <c r="Y607" s="613"/>
      <c r="Z607" s="613"/>
      <c r="AA607" s="613"/>
      <c r="AC607" s="579"/>
      <c r="AD607" s="579"/>
      <c r="AE607" s="579"/>
      <c r="AF607" s="579"/>
      <c r="AG607" s="579"/>
      <c r="AH607" s="579"/>
      <c r="AI607" s="579"/>
      <c r="AJ607" s="579"/>
      <c r="AK607" s="579"/>
      <c r="AL607" s="579"/>
    </row>
    <row r="608" spans="1:50" ht="13.15" customHeight="1" thickBot="1">
      <c r="A608" s="564">
        <v>166</v>
      </c>
      <c r="B608" s="664" t="s">
        <v>214</v>
      </c>
      <c r="C608" s="656" t="s">
        <v>61</v>
      </c>
      <c r="D608" s="664" t="s">
        <v>62</v>
      </c>
      <c r="E608" s="664">
        <v>1449</v>
      </c>
      <c r="F608" s="664" t="s">
        <v>493</v>
      </c>
      <c r="G608" s="664" t="s">
        <v>52</v>
      </c>
      <c r="H608" s="656" t="s">
        <v>76</v>
      </c>
      <c r="I608" s="664">
        <f>(0.005*7)/100</f>
        <v>3.5000000000000005E-4</v>
      </c>
      <c r="J608" s="664" t="s">
        <v>1111</v>
      </c>
      <c r="K608" s="664">
        <v>2005</v>
      </c>
      <c r="L608" s="665" t="s">
        <v>1288</v>
      </c>
      <c r="M608" s="659"/>
      <c r="N608" s="634" t="s">
        <v>38</v>
      </c>
      <c r="O608" s="634" t="s">
        <v>38</v>
      </c>
      <c r="P608" s="633" t="s">
        <v>38</v>
      </c>
      <c r="Q608" s="633" t="s">
        <v>38</v>
      </c>
      <c r="R608" s="633" t="s">
        <v>122</v>
      </c>
      <c r="S608" s="55"/>
      <c r="T608" s="609"/>
      <c r="U608" s="593"/>
      <c r="V608" s="593"/>
      <c r="W608" s="591"/>
      <c r="X608" s="613"/>
      <c r="Y608" s="613"/>
      <c r="Z608" s="613"/>
      <c r="AA608" s="613"/>
      <c r="AC608" s="579"/>
      <c r="AD608" s="579"/>
      <c r="AE608" s="579"/>
      <c r="AF608" s="579"/>
      <c r="AG608" s="579"/>
      <c r="AH608" s="579"/>
      <c r="AI608" s="579"/>
      <c r="AJ608" s="579"/>
      <c r="AK608" s="579"/>
      <c r="AL608" s="579"/>
    </row>
    <row r="609" spans="1:50" ht="13.15" customHeight="1" thickBot="1">
      <c r="A609" s="564">
        <v>167</v>
      </c>
      <c r="B609" s="664" t="s">
        <v>215</v>
      </c>
      <c r="C609" s="656" t="s">
        <v>61</v>
      </c>
      <c r="D609" s="664" t="s">
        <v>62</v>
      </c>
      <c r="E609" s="664">
        <v>1527</v>
      </c>
      <c r="F609" s="664" t="s">
        <v>493</v>
      </c>
      <c r="G609" s="664" t="s">
        <v>52</v>
      </c>
      <c r="H609" s="656" t="s">
        <v>76</v>
      </c>
      <c r="I609" s="664">
        <f>(0.005*5)/100</f>
        <v>2.5000000000000001E-4</v>
      </c>
      <c r="J609" s="664" t="s">
        <v>1111</v>
      </c>
      <c r="K609" s="664">
        <v>2005</v>
      </c>
      <c r="L609" s="665" t="s">
        <v>1288</v>
      </c>
      <c r="M609" s="659"/>
      <c r="N609" s="634" t="s">
        <v>38</v>
      </c>
      <c r="O609" s="634" t="s">
        <v>38</v>
      </c>
      <c r="P609" s="633" t="s">
        <v>38</v>
      </c>
      <c r="Q609" s="633" t="s">
        <v>38</v>
      </c>
      <c r="R609" s="633" t="s">
        <v>122</v>
      </c>
      <c r="S609" s="55"/>
      <c r="T609" s="609"/>
      <c r="U609" s="593"/>
      <c r="V609" s="593"/>
      <c r="W609" s="591"/>
      <c r="X609" s="613"/>
      <c r="Y609" s="613"/>
      <c r="Z609" s="613"/>
      <c r="AA609" s="613"/>
      <c r="AB609" s="586"/>
      <c r="AC609" s="579"/>
      <c r="AD609" s="579"/>
      <c r="AE609" s="579"/>
      <c r="AF609" s="579"/>
      <c r="AG609" s="579"/>
      <c r="AH609" s="579"/>
      <c r="AI609" s="579"/>
      <c r="AJ609" s="579"/>
      <c r="AK609" s="579"/>
      <c r="AL609" s="579"/>
    </row>
    <row r="610" spans="1:50" ht="13.15" customHeight="1" thickBot="1">
      <c r="A610" s="564">
        <v>168</v>
      </c>
      <c r="B610" s="664" t="s">
        <v>211</v>
      </c>
      <c r="C610" s="656" t="s">
        <v>61</v>
      </c>
      <c r="D610" s="664" t="s">
        <v>62</v>
      </c>
      <c r="E610" s="664">
        <v>1546</v>
      </c>
      <c r="F610" s="664" t="s">
        <v>116</v>
      </c>
      <c r="G610" s="664" t="s">
        <v>52</v>
      </c>
      <c r="H610" s="656" t="s">
        <v>76</v>
      </c>
      <c r="I610" s="664">
        <f>(0.095*9)/100</f>
        <v>8.5500000000000003E-3</v>
      </c>
      <c r="J610" s="664" t="s">
        <v>1111</v>
      </c>
      <c r="K610" s="664">
        <v>2005</v>
      </c>
      <c r="L610" s="665" t="s">
        <v>1288</v>
      </c>
      <c r="M610" s="659"/>
      <c r="N610" s="633" t="s">
        <v>122</v>
      </c>
      <c r="O610" s="634" t="s">
        <v>38</v>
      </c>
      <c r="P610" s="633" t="s">
        <v>38</v>
      </c>
      <c r="Q610" s="633" t="s">
        <v>38</v>
      </c>
      <c r="R610" s="633" t="s">
        <v>122</v>
      </c>
      <c r="S610" s="55"/>
      <c r="T610" s="609"/>
      <c r="U610" s="593"/>
      <c r="V610" s="593"/>
      <c r="W610" s="591"/>
      <c r="X610" s="613"/>
      <c r="Y610" s="613"/>
      <c r="Z610" s="613"/>
      <c r="AA610" s="613"/>
      <c r="AB610" s="586"/>
      <c r="AC610" s="579"/>
      <c r="AD610" s="579"/>
      <c r="AE610" s="579"/>
      <c r="AF610" s="579"/>
      <c r="AG610" s="579"/>
      <c r="AH610" s="579"/>
      <c r="AI610" s="579"/>
      <c r="AJ610" s="579"/>
      <c r="AK610" s="579"/>
      <c r="AL610" s="579"/>
    </row>
    <row r="611" spans="1:50" ht="13.15" customHeight="1" thickBot="1">
      <c r="A611" s="564">
        <v>169</v>
      </c>
      <c r="B611" s="664" t="s">
        <v>213</v>
      </c>
      <c r="C611" s="656" t="s">
        <v>61</v>
      </c>
      <c r="D611" s="664" t="s">
        <v>62</v>
      </c>
      <c r="E611" s="664">
        <v>1332</v>
      </c>
      <c r="F611" s="665" t="s">
        <v>116</v>
      </c>
      <c r="G611" s="664" t="s">
        <v>52</v>
      </c>
      <c r="H611" s="656" t="s">
        <v>76</v>
      </c>
      <c r="I611" s="664">
        <f>(0.1*8)/100</f>
        <v>8.0000000000000002E-3</v>
      </c>
      <c r="J611" s="664" t="s">
        <v>1111</v>
      </c>
      <c r="K611" s="664">
        <v>2005</v>
      </c>
      <c r="L611" s="665" t="s">
        <v>1288</v>
      </c>
      <c r="M611" s="659"/>
      <c r="N611" s="633" t="s">
        <v>122</v>
      </c>
      <c r="O611" s="634" t="s">
        <v>38</v>
      </c>
      <c r="P611" s="633" t="s">
        <v>38</v>
      </c>
      <c r="Q611" s="633" t="s">
        <v>38</v>
      </c>
      <c r="R611" s="633" t="s">
        <v>122</v>
      </c>
      <c r="S611" s="55"/>
      <c r="T611" s="609"/>
      <c r="U611" s="593"/>
      <c r="V611" s="593"/>
      <c r="W611" s="591"/>
      <c r="X611" s="613"/>
      <c r="Y611" s="613"/>
      <c r="Z611" s="613"/>
      <c r="AA611" s="613"/>
      <c r="AC611" s="579"/>
      <c r="AD611" s="579"/>
      <c r="AE611" s="579"/>
      <c r="AF611" s="579"/>
      <c r="AG611" s="579"/>
      <c r="AH611" s="579"/>
      <c r="AI611" s="579"/>
      <c r="AJ611" s="579"/>
      <c r="AK611" s="579"/>
      <c r="AL611" s="579"/>
    </row>
    <row r="612" spans="1:50" ht="13.15" customHeight="1" thickBot="1">
      <c r="A612" s="564">
        <v>170</v>
      </c>
      <c r="B612" s="664" t="s">
        <v>214</v>
      </c>
      <c r="C612" s="656" t="s">
        <v>61</v>
      </c>
      <c r="D612" s="664" t="s">
        <v>62</v>
      </c>
      <c r="E612" s="664">
        <v>1449</v>
      </c>
      <c r="F612" s="665" t="s">
        <v>116</v>
      </c>
      <c r="G612" s="664" t="s">
        <v>52</v>
      </c>
      <c r="H612" s="656" t="s">
        <v>76</v>
      </c>
      <c r="I612" s="664">
        <f>(0.12*7)/100</f>
        <v>8.3999999999999995E-3</v>
      </c>
      <c r="J612" s="664" t="s">
        <v>1111</v>
      </c>
      <c r="K612" s="664">
        <v>2005</v>
      </c>
      <c r="L612" s="665" t="s">
        <v>1288</v>
      </c>
      <c r="M612" s="659"/>
      <c r="N612" s="633" t="s">
        <v>122</v>
      </c>
      <c r="O612" s="634" t="s">
        <v>38</v>
      </c>
      <c r="P612" s="633" t="s">
        <v>38</v>
      </c>
      <c r="Q612" s="633" t="s">
        <v>38</v>
      </c>
      <c r="R612" s="633" t="s">
        <v>122</v>
      </c>
      <c r="S612" s="55"/>
      <c r="T612" s="609"/>
      <c r="U612" s="593"/>
      <c r="V612" s="593"/>
      <c r="W612" s="591"/>
      <c r="X612" s="613"/>
      <c r="Y612" s="613"/>
      <c r="Z612" s="613"/>
      <c r="AA612" s="613"/>
      <c r="AC612" s="579"/>
      <c r="AD612" s="579"/>
      <c r="AE612" s="579"/>
      <c r="AF612" s="579"/>
      <c r="AG612" s="579"/>
      <c r="AH612" s="579"/>
      <c r="AI612" s="579"/>
      <c r="AJ612" s="579"/>
      <c r="AK612" s="579"/>
      <c r="AL612" s="579"/>
    </row>
    <row r="613" spans="1:50" ht="92.1" customHeight="1" thickBot="1">
      <c r="A613" s="564">
        <v>171</v>
      </c>
      <c r="B613" s="664" t="s">
        <v>215</v>
      </c>
      <c r="C613" s="656" t="s">
        <v>61</v>
      </c>
      <c r="D613" s="664" t="s">
        <v>62</v>
      </c>
      <c r="E613" s="664">
        <v>1527</v>
      </c>
      <c r="F613" s="665" t="s">
        <v>116</v>
      </c>
      <c r="G613" s="664" t="s">
        <v>52</v>
      </c>
      <c r="H613" s="656" t="s">
        <v>76</v>
      </c>
      <c r="I613" s="664">
        <f>(0.17*5)/100</f>
        <v>8.5000000000000006E-3</v>
      </c>
      <c r="J613" s="664" t="s">
        <v>1111</v>
      </c>
      <c r="K613" s="664">
        <v>2005</v>
      </c>
      <c r="L613" s="665" t="s">
        <v>1288</v>
      </c>
      <c r="M613" s="659"/>
      <c r="N613" s="633" t="s">
        <v>122</v>
      </c>
      <c r="O613" s="634" t="s">
        <v>38</v>
      </c>
      <c r="P613" s="633" t="s">
        <v>38</v>
      </c>
      <c r="Q613" s="633" t="s">
        <v>38</v>
      </c>
      <c r="R613" s="633" t="s">
        <v>122</v>
      </c>
      <c r="S613" s="55"/>
      <c r="T613" s="609"/>
      <c r="U613" s="593"/>
      <c r="V613" s="593"/>
      <c r="W613" s="591"/>
      <c r="X613" s="613"/>
      <c r="Y613" s="613"/>
      <c r="Z613" s="613"/>
      <c r="AA613" s="613"/>
      <c r="AC613" s="579"/>
      <c r="AD613" s="579"/>
      <c r="AE613" s="579"/>
      <c r="AF613" s="579"/>
      <c r="AG613" s="579"/>
      <c r="AH613" s="579"/>
      <c r="AI613" s="579"/>
      <c r="AJ613" s="579"/>
      <c r="AK613" s="579"/>
      <c r="AL613" s="579"/>
    </row>
    <row r="614" spans="1:50" ht="74.099999999999994" customHeight="1" thickBot="1">
      <c r="A614" s="564">
        <v>172</v>
      </c>
      <c r="B614" s="664" t="s">
        <v>211</v>
      </c>
      <c r="C614" s="656" t="s">
        <v>61</v>
      </c>
      <c r="D614" s="664" t="s">
        <v>62</v>
      </c>
      <c r="E614" s="664">
        <v>1546</v>
      </c>
      <c r="F614" s="664" t="s">
        <v>115</v>
      </c>
      <c r="G614" s="664" t="s">
        <v>52</v>
      </c>
      <c r="H614" s="656" t="s">
        <v>76</v>
      </c>
      <c r="I614" s="664">
        <f>(9*0.025)/100</f>
        <v>2.2500000000000003E-3</v>
      </c>
      <c r="J614" s="664" t="s">
        <v>1111</v>
      </c>
      <c r="K614" s="664">
        <v>2005</v>
      </c>
      <c r="L614" s="665" t="s">
        <v>1288</v>
      </c>
      <c r="M614" s="659"/>
      <c r="N614" s="633" t="s">
        <v>122</v>
      </c>
      <c r="O614" s="634" t="s">
        <v>38</v>
      </c>
      <c r="P614" s="633" t="s">
        <v>38</v>
      </c>
      <c r="Q614" s="633" t="s">
        <v>38</v>
      </c>
      <c r="R614" s="633" t="s">
        <v>122</v>
      </c>
      <c r="S614" s="55"/>
      <c r="T614" s="609"/>
      <c r="U614" s="593"/>
      <c r="V614" s="593"/>
      <c r="W614" s="591"/>
      <c r="X614" s="613"/>
      <c r="Y614" s="613"/>
      <c r="Z614" s="613"/>
      <c r="AA614" s="613"/>
      <c r="AC614" s="579"/>
      <c r="AD614" s="579"/>
      <c r="AE614" s="579"/>
      <c r="AF614" s="579"/>
      <c r="AG614" s="579"/>
      <c r="AH614" s="579"/>
      <c r="AI614" s="579"/>
      <c r="AJ614" s="579"/>
      <c r="AK614" s="579"/>
      <c r="AL614" s="579"/>
    </row>
    <row r="615" spans="1:50" ht="53.1" customHeight="1" thickBot="1">
      <c r="A615" s="564">
        <v>173</v>
      </c>
      <c r="B615" s="664" t="s">
        <v>213</v>
      </c>
      <c r="C615" s="656" t="s">
        <v>61</v>
      </c>
      <c r="D615" s="664" t="s">
        <v>62</v>
      </c>
      <c r="E615" s="664">
        <v>1332</v>
      </c>
      <c r="F615" s="664" t="s">
        <v>115</v>
      </c>
      <c r="G615" s="664" t="s">
        <v>52</v>
      </c>
      <c r="H615" s="656" t="s">
        <v>76</v>
      </c>
      <c r="I615" s="664">
        <f>(8*0.04)/100</f>
        <v>3.2000000000000002E-3</v>
      </c>
      <c r="J615" s="664" t="s">
        <v>1111</v>
      </c>
      <c r="K615" s="664">
        <v>2005</v>
      </c>
      <c r="L615" s="665" t="s">
        <v>1288</v>
      </c>
      <c r="M615" s="659" t="s">
        <v>216</v>
      </c>
      <c r="N615" s="633" t="s">
        <v>122</v>
      </c>
      <c r="O615" s="634" t="s">
        <v>38</v>
      </c>
      <c r="P615" s="633" t="s">
        <v>38</v>
      </c>
      <c r="Q615" s="633" t="s">
        <v>38</v>
      </c>
      <c r="R615" s="633" t="s">
        <v>122</v>
      </c>
      <c r="S615" s="55"/>
      <c r="T615" s="609"/>
      <c r="U615" s="593"/>
      <c r="V615" s="593"/>
      <c r="W615" s="591"/>
      <c r="X615" s="613"/>
      <c r="Y615" s="613"/>
      <c r="Z615" s="613"/>
      <c r="AA615" s="613"/>
      <c r="AC615" s="579"/>
      <c r="AD615" s="579"/>
      <c r="AE615" s="579"/>
      <c r="AF615" s="579"/>
      <c r="AG615" s="579"/>
      <c r="AH615" s="579"/>
      <c r="AI615" s="579"/>
      <c r="AJ615" s="579"/>
      <c r="AK615" s="579"/>
      <c r="AL615" s="579"/>
    </row>
    <row r="616" spans="1:50" ht="46" customHeight="1" thickBot="1">
      <c r="A616" s="564">
        <v>174</v>
      </c>
      <c r="B616" s="664" t="s">
        <v>214</v>
      </c>
      <c r="C616" s="656" t="s">
        <v>61</v>
      </c>
      <c r="D616" s="664" t="s">
        <v>62</v>
      </c>
      <c r="E616" s="664">
        <v>1449</v>
      </c>
      <c r="F616" s="664" t="s">
        <v>115</v>
      </c>
      <c r="G616" s="664" t="s">
        <v>52</v>
      </c>
      <c r="H616" s="656" t="s">
        <v>76</v>
      </c>
      <c r="I616" s="664">
        <f>(0.025*7)/100</f>
        <v>1.7500000000000003E-3</v>
      </c>
      <c r="J616" s="664" t="s">
        <v>1111</v>
      </c>
      <c r="K616" s="664">
        <v>2005</v>
      </c>
      <c r="L616" s="665" t="s">
        <v>1288</v>
      </c>
      <c r="M616" s="659" t="s">
        <v>216</v>
      </c>
      <c r="N616" s="633" t="s">
        <v>122</v>
      </c>
      <c r="O616" s="634" t="s">
        <v>38</v>
      </c>
      <c r="P616" s="633" t="s">
        <v>38</v>
      </c>
      <c r="Q616" s="633" t="s">
        <v>38</v>
      </c>
      <c r="R616" s="633" t="s">
        <v>122</v>
      </c>
      <c r="S616" s="55"/>
      <c r="T616" s="609"/>
      <c r="U616" s="593"/>
      <c r="V616" s="593"/>
      <c r="W616" s="591"/>
      <c r="X616" s="613"/>
      <c r="Y616" s="613"/>
      <c r="Z616" s="613"/>
      <c r="AA616" s="613"/>
      <c r="AC616" s="579"/>
      <c r="AD616" s="579"/>
      <c r="AE616" s="579"/>
      <c r="AF616" s="579"/>
      <c r="AG616" s="579"/>
      <c r="AH616" s="579"/>
      <c r="AI616" s="579"/>
      <c r="AJ616" s="579"/>
      <c r="AK616" s="579"/>
      <c r="AL616" s="579"/>
    </row>
    <row r="617" spans="1:50" ht="30.6" customHeight="1" thickBot="1">
      <c r="A617" s="564">
        <v>175</v>
      </c>
      <c r="B617" s="664" t="s">
        <v>215</v>
      </c>
      <c r="C617" s="656" t="s">
        <v>61</v>
      </c>
      <c r="D617" s="664" t="s">
        <v>62</v>
      </c>
      <c r="E617" s="664">
        <v>1527</v>
      </c>
      <c r="F617" s="664" t="s">
        <v>115</v>
      </c>
      <c r="G617" s="664" t="s">
        <v>52</v>
      </c>
      <c r="H617" s="656" t="s">
        <v>76</v>
      </c>
      <c r="I617" s="664">
        <f>(5*0.025)/100</f>
        <v>1.25E-3</v>
      </c>
      <c r="J617" s="664" t="s">
        <v>1111</v>
      </c>
      <c r="K617" s="664">
        <v>2005</v>
      </c>
      <c r="L617" s="665" t="s">
        <v>1288</v>
      </c>
      <c r="M617" s="659" t="s">
        <v>216</v>
      </c>
      <c r="N617" s="633" t="s">
        <v>122</v>
      </c>
      <c r="O617" s="634" t="s">
        <v>38</v>
      </c>
      <c r="P617" s="633" t="s">
        <v>38</v>
      </c>
      <c r="Q617" s="633" t="s">
        <v>38</v>
      </c>
      <c r="R617" s="633" t="s">
        <v>122</v>
      </c>
      <c r="S617" s="55"/>
      <c r="T617" s="609"/>
      <c r="U617" s="593"/>
      <c r="V617" s="593"/>
      <c r="W617" s="591"/>
      <c r="X617" s="613"/>
      <c r="Y617" s="613"/>
      <c r="Z617" s="613"/>
      <c r="AA617" s="613"/>
      <c r="AC617" s="579"/>
      <c r="AD617" s="579"/>
      <c r="AE617" s="579"/>
      <c r="AF617" s="579"/>
      <c r="AG617" s="579"/>
      <c r="AH617" s="579"/>
      <c r="AI617" s="579"/>
      <c r="AJ617" s="579"/>
      <c r="AK617" s="579"/>
      <c r="AL617" s="579"/>
    </row>
    <row r="618" spans="1:50" ht="37" customHeight="1" thickBot="1">
      <c r="A618" s="564">
        <v>176</v>
      </c>
      <c r="B618" s="665" t="s">
        <v>211</v>
      </c>
      <c r="C618" s="564" t="s">
        <v>61</v>
      </c>
      <c r="D618" s="665" t="s">
        <v>62</v>
      </c>
      <c r="E618" s="665">
        <v>1546</v>
      </c>
      <c r="F618" s="664" t="s">
        <v>217</v>
      </c>
      <c r="G618" s="664" t="s">
        <v>52</v>
      </c>
      <c r="H618" s="564" t="s">
        <v>76</v>
      </c>
      <c r="I618" s="665">
        <v>6400</v>
      </c>
      <c r="J618" s="665" t="s">
        <v>82</v>
      </c>
      <c r="K618" s="665">
        <v>2005</v>
      </c>
      <c r="L618" s="665" t="s">
        <v>1288</v>
      </c>
      <c r="M618" s="666" t="s">
        <v>218</v>
      </c>
      <c r="N618" s="632">
        <v>0.75</v>
      </c>
      <c r="O618" s="564" t="s">
        <v>212</v>
      </c>
      <c r="P618" s="633" t="s">
        <v>38</v>
      </c>
      <c r="Q618" s="633" t="s">
        <v>38</v>
      </c>
      <c r="R618" s="633" t="s">
        <v>122</v>
      </c>
      <c r="S618" s="55"/>
      <c r="T618" s="609"/>
      <c r="U618" s="593"/>
      <c r="V618" s="593"/>
      <c r="W618" s="591"/>
      <c r="X618" s="613"/>
      <c r="Y618" s="613"/>
      <c r="Z618" s="613"/>
      <c r="AA618" s="613"/>
      <c r="AC618" s="579"/>
      <c r="AD618" s="579"/>
      <c r="AE618" s="579"/>
      <c r="AF618" s="579"/>
      <c r="AG618" s="579"/>
      <c r="AH618" s="579"/>
      <c r="AI618" s="579"/>
      <c r="AJ618" s="579"/>
      <c r="AK618" s="579"/>
      <c r="AL618" s="579"/>
    </row>
    <row r="619" spans="1:50" ht="38.5" customHeight="1" thickBot="1">
      <c r="A619" s="564">
        <v>177</v>
      </c>
      <c r="B619" s="665" t="s">
        <v>213</v>
      </c>
      <c r="C619" s="564" t="s">
        <v>61</v>
      </c>
      <c r="D619" s="665" t="s">
        <v>62</v>
      </c>
      <c r="E619" s="665">
        <v>1332</v>
      </c>
      <c r="F619" s="664" t="s">
        <v>217</v>
      </c>
      <c r="G619" s="664" t="s">
        <v>52</v>
      </c>
      <c r="H619" s="564" t="s">
        <v>76</v>
      </c>
      <c r="I619" s="665">
        <v>5500</v>
      </c>
      <c r="J619" s="665" t="s">
        <v>82</v>
      </c>
      <c r="K619" s="665">
        <v>2005</v>
      </c>
      <c r="L619" s="665" t="s">
        <v>1288</v>
      </c>
      <c r="M619" s="666" t="s">
        <v>219</v>
      </c>
      <c r="N619" s="632">
        <v>0.75</v>
      </c>
      <c r="O619" s="564" t="s">
        <v>212</v>
      </c>
      <c r="P619" s="633" t="s">
        <v>38</v>
      </c>
      <c r="Q619" s="633" t="s">
        <v>38</v>
      </c>
      <c r="R619" s="633" t="s">
        <v>122</v>
      </c>
      <c r="S619" s="55"/>
      <c r="T619" s="609"/>
      <c r="U619" s="593"/>
      <c r="V619" s="593"/>
      <c r="W619" s="591"/>
      <c r="X619" s="613"/>
      <c r="Y619" s="613"/>
      <c r="Z619" s="613"/>
      <c r="AA619" s="613"/>
      <c r="AC619" s="579"/>
      <c r="AD619" s="579"/>
      <c r="AE619" s="579"/>
      <c r="AF619" s="579"/>
      <c r="AG619" s="579"/>
      <c r="AH619" s="579"/>
      <c r="AI619" s="579"/>
      <c r="AJ619" s="579"/>
      <c r="AK619" s="579"/>
      <c r="AL619" s="579"/>
    </row>
    <row r="620" spans="1:50" ht="13" customHeight="1">
      <c r="A620" s="564">
        <v>178</v>
      </c>
      <c r="B620" s="665" t="s">
        <v>214</v>
      </c>
      <c r="C620" s="564" t="s">
        <v>61</v>
      </c>
      <c r="D620" s="665" t="s">
        <v>62</v>
      </c>
      <c r="E620" s="665">
        <v>1449</v>
      </c>
      <c r="F620" s="665" t="s">
        <v>217</v>
      </c>
      <c r="G620" s="665" t="s">
        <v>52</v>
      </c>
      <c r="H620" s="564" t="s">
        <v>76</v>
      </c>
      <c r="I620" s="665">
        <v>4400</v>
      </c>
      <c r="J620" s="665" t="s">
        <v>82</v>
      </c>
      <c r="K620" s="665">
        <v>2005</v>
      </c>
      <c r="L620" s="665" t="s">
        <v>1288</v>
      </c>
      <c r="M620" s="666" t="s">
        <v>220</v>
      </c>
      <c r="N620" s="632">
        <v>0.75</v>
      </c>
      <c r="O620" s="564" t="s">
        <v>212</v>
      </c>
      <c r="P620" s="633" t="s">
        <v>38</v>
      </c>
      <c r="Q620" s="633" t="s">
        <v>38</v>
      </c>
      <c r="R620" s="633" t="s">
        <v>122</v>
      </c>
      <c r="S620" s="55"/>
      <c r="T620" s="609"/>
      <c r="U620" s="593"/>
      <c r="V620" s="593"/>
      <c r="W620" s="591"/>
      <c r="X620" s="613"/>
      <c r="Y620" s="613"/>
      <c r="Z620" s="613"/>
      <c r="AA620" s="613"/>
      <c r="AC620" s="585"/>
      <c r="AD620" s="585"/>
      <c r="AE620" s="585"/>
      <c r="AF620" s="585"/>
      <c r="AG620" s="585"/>
      <c r="AH620" s="585"/>
      <c r="AI620" s="585"/>
      <c r="AJ620" s="585"/>
      <c r="AK620" s="585"/>
      <c r="AL620" s="585"/>
    </row>
    <row r="621" spans="1:50" s="81" customFormat="1" ht="13" customHeight="1">
      <c r="A621" s="564">
        <v>179</v>
      </c>
      <c r="B621" s="665" t="s">
        <v>215</v>
      </c>
      <c r="C621" s="564" t="s">
        <v>61</v>
      </c>
      <c r="D621" s="665" t="s">
        <v>62</v>
      </c>
      <c r="E621" s="665">
        <v>1527</v>
      </c>
      <c r="F621" s="665" t="s">
        <v>217</v>
      </c>
      <c r="G621" s="665" t="s">
        <v>52</v>
      </c>
      <c r="H621" s="564" t="s">
        <v>76</v>
      </c>
      <c r="I621" s="665">
        <v>3100</v>
      </c>
      <c r="J621" s="665" t="s">
        <v>82</v>
      </c>
      <c r="K621" s="665">
        <v>2005</v>
      </c>
      <c r="L621" s="665" t="s">
        <v>1288</v>
      </c>
      <c r="M621" s="666" t="s">
        <v>221</v>
      </c>
      <c r="N621" s="632">
        <v>0.75</v>
      </c>
      <c r="O621" s="564" t="s">
        <v>212</v>
      </c>
      <c r="P621" s="633" t="s">
        <v>38</v>
      </c>
      <c r="Q621" s="633" t="s">
        <v>38</v>
      </c>
      <c r="R621" s="633" t="s">
        <v>122</v>
      </c>
      <c r="S621" s="55"/>
      <c r="T621" s="609"/>
      <c r="U621" s="593"/>
      <c r="V621" s="593"/>
      <c r="W621" s="591"/>
      <c r="X621" s="613"/>
      <c r="Y621" s="613"/>
      <c r="Z621" s="613"/>
      <c r="AA621" s="613"/>
      <c r="AB621" s="570"/>
      <c r="AC621" s="585"/>
      <c r="AD621" s="585"/>
      <c r="AE621" s="585"/>
      <c r="AF621" s="585"/>
      <c r="AG621" s="585"/>
      <c r="AH621" s="585"/>
      <c r="AI621" s="585"/>
      <c r="AJ621" s="585"/>
      <c r="AK621" s="585"/>
      <c r="AL621" s="585"/>
      <c r="AM621" s="570"/>
      <c r="AN621" s="570"/>
      <c r="AO621" s="570"/>
      <c r="AP621" s="570"/>
      <c r="AQ621" s="570"/>
      <c r="AR621" s="570"/>
      <c r="AS621" s="570"/>
      <c r="AT621" s="570"/>
      <c r="AU621" s="570"/>
      <c r="AV621" s="570"/>
      <c r="AW621" s="570"/>
      <c r="AX621" s="570"/>
    </row>
    <row r="622" spans="1:50" ht="13" customHeight="1">
      <c r="A622" s="564">
        <v>482</v>
      </c>
      <c r="B622" s="564" t="s">
        <v>453</v>
      </c>
      <c r="C622" s="564" t="s">
        <v>61</v>
      </c>
      <c r="D622" s="564" t="s">
        <v>62</v>
      </c>
      <c r="E622" s="564">
        <v>1000</v>
      </c>
      <c r="F622" s="564" t="s">
        <v>1144</v>
      </c>
      <c r="G622" s="566" t="s">
        <v>52</v>
      </c>
      <c r="H622" s="564" t="s">
        <v>33</v>
      </c>
      <c r="I622" s="564">
        <f>543000000+190000000</f>
        <v>733000000</v>
      </c>
      <c r="J622" s="564" t="s">
        <v>34</v>
      </c>
      <c r="K622" s="564">
        <v>1990</v>
      </c>
      <c r="L622" s="564" t="s">
        <v>55</v>
      </c>
      <c r="M622" s="667" t="s">
        <v>645</v>
      </c>
      <c r="N622" s="632" t="s">
        <v>714</v>
      </c>
      <c r="O622" s="564" t="s">
        <v>84</v>
      </c>
      <c r="P622" s="633" t="s">
        <v>38</v>
      </c>
      <c r="Q622" s="564">
        <v>54000000</v>
      </c>
      <c r="R622" s="634" t="s">
        <v>38</v>
      </c>
      <c r="S622" s="55"/>
      <c r="T622" s="576"/>
      <c r="U622" s="575"/>
      <c r="V622" s="575"/>
      <c r="W622" s="575"/>
      <c r="X622" s="579"/>
      <c r="Y622" s="579"/>
      <c r="Z622" s="579"/>
      <c r="AA622" s="579"/>
      <c r="AC622" s="585"/>
      <c r="AD622" s="585"/>
      <c r="AE622" s="585"/>
      <c r="AF622" s="585"/>
      <c r="AG622" s="585"/>
      <c r="AH622" s="585"/>
      <c r="AI622" s="585"/>
      <c r="AJ622" s="585"/>
      <c r="AK622" s="585"/>
      <c r="AL622" s="585"/>
    </row>
    <row r="623" spans="1:50" ht="40" customHeight="1">
      <c r="A623" s="564">
        <v>483</v>
      </c>
      <c r="B623" s="564" t="s">
        <v>454</v>
      </c>
      <c r="C623" s="564" t="s">
        <v>61</v>
      </c>
      <c r="D623" s="564" t="s">
        <v>62</v>
      </c>
      <c r="E623" s="564">
        <v>1148</v>
      </c>
      <c r="F623" s="564" t="s">
        <v>1144</v>
      </c>
      <c r="G623" s="566" t="s">
        <v>52</v>
      </c>
      <c r="H623" s="564" t="s">
        <v>33</v>
      </c>
      <c r="I623" s="564">
        <f>208000000+73000000</f>
        <v>281000000</v>
      </c>
      <c r="J623" s="564" t="s">
        <v>34</v>
      </c>
      <c r="K623" s="564">
        <v>1990</v>
      </c>
      <c r="L623" s="564" t="s">
        <v>55</v>
      </c>
      <c r="M623" s="666" t="s">
        <v>641</v>
      </c>
      <c r="N623" s="632" t="s">
        <v>714</v>
      </c>
      <c r="O623" s="564" t="s">
        <v>84</v>
      </c>
      <c r="P623" s="633" t="s">
        <v>38</v>
      </c>
      <c r="Q623" s="564">
        <v>21000000</v>
      </c>
      <c r="R623" s="634" t="s">
        <v>38</v>
      </c>
      <c r="S623" s="55"/>
      <c r="T623" s="576"/>
      <c r="U623" s="575"/>
      <c r="V623" s="575"/>
      <c r="W623" s="575"/>
      <c r="X623" s="579"/>
      <c r="Y623" s="579"/>
      <c r="Z623" s="579"/>
      <c r="AA623" s="579"/>
      <c r="AC623" s="585"/>
      <c r="AD623" s="585"/>
      <c r="AE623" s="585"/>
      <c r="AF623" s="585"/>
      <c r="AG623" s="585"/>
      <c r="AH623" s="585"/>
      <c r="AI623" s="585"/>
      <c r="AJ623" s="585"/>
      <c r="AK623" s="585"/>
      <c r="AL623" s="585"/>
    </row>
    <row r="624" spans="1:50" ht="13" customHeight="1">
      <c r="A624" s="564">
        <v>484</v>
      </c>
      <c r="B624" s="564" t="s">
        <v>455</v>
      </c>
      <c r="C624" s="564" t="s">
        <v>61</v>
      </c>
      <c r="D624" s="564" t="s">
        <v>62</v>
      </c>
      <c r="E624" s="564">
        <v>1200</v>
      </c>
      <c r="F624" s="564" t="s">
        <v>1144</v>
      </c>
      <c r="G624" s="566" t="s">
        <v>52</v>
      </c>
      <c r="H624" s="564" t="s">
        <v>33</v>
      </c>
      <c r="I624" s="564">
        <f>114000000+43000000</f>
        <v>157000000</v>
      </c>
      <c r="J624" s="564" t="s">
        <v>34</v>
      </c>
      <c r="K624" s="564">
        <v>1990</v>
      </c>
      <c r="L624" s="564" t="s">
        <v>55</v>
      </c>
      <c r="M624" s="666" t="s">
        <v>642</v>
      </c>
      <c r="N624" s="632" t="s">
        <v>709</v>
      </c>
      <c r="O624" s="564" t="s">
        <v>84</v>
      </c>
      <c r="P624" s="633" t="s">
        <v>38</v>
      </c>
      <c r="Q624" s="564">
        <v>17000000</v>
      </c>
      <c r="R624" s="634" t="s">
        <v>38</v>
      </c>
      <c r="S624" s="55"/>
      <c r="T624" s="576"/>
      <c r="U624" s="575"/>
      <c r="V624" s="575"/>
      <c r="W624" s="575"/>
      <c r="X624" s="579"/>
      <c r="Y624" s="579"/>
      <c r="Z624" s="579"/>
      <c r="AA624" s="579"/>
      <c r="AC624" s="585"/>
      <c r="AD624" s="585"/>
      <c r="AE624" s="585"/>
      <c r="AF624" s="585"/>
      <c r="AG624" s="585"/>
      <c r="AH624" s="585"/>
      <c r="AI624" s="585"/>
      <c r="AJ624" s="585"/>
      <c r="AK624" s="585"/>
      <c r="AL624" s="585"/>
    </row>
    <row r="625" spans="1:38" ht="13" customHeight="1">
      <c r="A625" s="564">
        <v>485</v>
      </c>
      <c r="B625" s="564" t="s">
        <v>456</v>
      </c>
      <c r="C625" s="564" t="s">
        <v>61</v>
      </c>
      <c r="D625" s="564" t="s">
        <v>62</v>
      </c>
      <c r="E625" s="564">
        <v>1424</v>
      </c>
      <c r="F625" s="564" t="s">
        <v>1144</v>
      </c>
      <c r="G625" s="566" t="s">
        <v>52</v>
      </c>
      <c r="H625" s="564" t="s">
        <v>33</v>
      </c>
      <c r="I625" s="564">
        <f>242000000+91000000</f>
        <v>333000000</v>
      </c>
      <c r="J625" s="564" t="s">
        <v>34</v>
      </c>
      <c r="K625" s="564">
        <v>1990</v>
      </c>
      <c r="L625" s="564" t="s">
        <v>55</v>
      </c>
      <c r="M625" s="666" t="s">
        <v>643</v>
      </c>
      <c r="N625" s="632" t="s">
        <v>709</v>
      </c>
      <c r="O625" s="564" t="s">
        <v>84</v>
      </c>
      <c r="P625" s="633" t="s">
        <v>38</v>
      </c>
      <c r="Q625" s="564">
        <v>36000000</v>
      </c>
      <c r="R625" s="634" t="s">
        <v>38</v>
      </c>
      <c r="S625" s="55"/>
      <c r="T625" s="576"/>
      <c r="U625" s="575"/>
      <c r="V625" s="575"/>
      <c r="W625" s="575"/>
      <c r="X625" s="579"/>
      <c r="Y625" s="579"/>
      <c r="Z625" s="579"/>
      <c r="AA625" s="579"/>
      <c r="AC625" s="585"/>
      <c r="AD625" s="585"/>
      <c r="AE625" s="585"/>
      <c r="AF625" s="585"/>
      <c r="AG625" s="585"/>
      <c r="AH625" s="585"/>
      <c r="AI625" s="585"/>
      <c r="AJ625" s="585"/>
      <c r="AK625" s="585"/>
      <c r="AL625" s="585"/>
    </row>
    <row r="626" spans="1:38" ht="13" customHeight="1">
      <c r="A626" s="564">
        <v>486</v>
      </c>
      <c r="B626" s="564" t="s">
        <v>457</v>
      </c>
      <c r="C626" s="564" t="s">
        <v>61</v>
      </c>
      <c r="D626" s="564" t="s">
        <v>62</v>
      </c>
      <c r="E626" s="564">
        <v>1200</v>
      </c>
      <c r="F626" s="564" t="s">
        <v>1144</v>
      </c>
      <c r="G626" s="566" t="s">
        <v>52</v>
      </c>
      <c r="H626" s="564" t="s">
        <v>33</v>
      </c>
      <c r="I626" s="564">
        <f>126000000+47000000</f>
        <v>173000000</v>
      </c>
      <c r="J626" s="564" t="s">
        <v>34</v>
      </c>
      <c r="K626" s="564">
        <v>1990</v>
      </c>
      <c r="L626" s="564" t="s">
        <v>55</v>
      </c>
      <c r="M626" s="666" t="s">
        <v>644</v>
      </c>
      <c r="N626" s="632" t="s">
        <v>709</v>
      </c>
      <c r="O626" s="564" t="s">
        <v>84</v>
      </c>
      <c r="P626" s="633" t="s">
        <v>38</v>
      </c>
      <c r="Q626" s="564">
        <v>19000000</v>
      </c>
      <c r="R626" s="634" t="s">
        <v>38</v>
      </c>
      <c r="S626" s="55"/>
      <c r="T626" s="576"/>
      <c r="U626" s="575"/>
      <c r="V626" s="575"/>
      <c r="W626" s="575"/>
      <c r="X626" s="579"/>
      <c r="Y626" s="579"/>
      <c r="Z626" s="579"/>
      <c r="AA626" s="579"/>
      <c r="AC626" s="585"/>
      <c r="AD626" s="585"/>
      <c r="AE626" s="585"/>
      <c r="AF626" s="585"/>
      <c r="AG626" s="585"/>
      <c r="AH626" s="585"/>
      <c r="AI626" s="585"/>
      <c r="AJ626" s="585"/>
      <c r="AK626" s="585"/>
      <c r="AL626" s="585"/>
    </row>
    <row r="627" spans="1:38" ht="13" customHeight="1">
      <c r="A627" s="564">
        <v>487</v>
      </c>
      <c r="B627" s="564" t="s">
        <v>458</v>
      </c>
      <c r="C627" s="564" t="s">
        <v>61</v>
      </c>
      <c r="D627" s="564" t="s">
        <v>62</v>
      </c>
      <c r="E627" s="564">
        <v>1378</v>
      </c>
      <c r="F627" s="564" t="s">
        <v>1144</v>
      </c>
      <c r="G627" s="566" t="s">
        <v>52</v>
      </c>
      <c r="H627" s="564" t="s">
        <v>33</v>
      </c>
      <c r="I627" s="564">
        <v>174000000</v>
      </c>
      <c r="J627" s="564" t="s">
        <v>34</v>
      </c>
      <c r="K627" s="564">
        <v>1990</v>
      </c>
      <c r="L627" s="564" t="s">
        <v>55</v>
      </c>
      <c r="M627" s="666" t="s">
        <v>643</v>
      </c>
      <c r="N627" s="632" t="s">
        <v>709</v>
      </c>
      <c r="O627" s="564" t="s">
        <v>84</v>
      </c>
      <c r="P627" s="633" t="s">
        <v>38</v>
      </c>
      <c r="Q627" s="564">
        <v>26000000</v>
      </c>
      <c r="R627" s="634" t="s">
        <v>38</v>
      </c>
      <c r="S627" s="55"/>
      <c r="T627" s="576"/>
      <c r="U627" s="575"/>
      <c r="V627" s="575"/>
      <c r="W627" s="575"/>
      <c r="X627" s="579"/>
      <c r="Y627" s="579"/>
      <c r="Z627" s="579"/>
      <c r="AA627" s="579"/>
      <c r="AC627" s="585"/>
      <c r="AD627" s="585"/>
      <c r="AE627" s="585"/>
      <c r="AF627" s="585"/>
      <c r="AG627" s="585"/>
      <c r="AH627" s="585"/>
      <c r="AI627" s="585"/>
      <c r="AJ627" s="585"/>
      <c r="AK627" s="585"/>
      <c r="AL627" s="585"/>
    </row>
    <row r="628" spans="1:38" ht="13" customHeight="1">
      <c r="A628" s="564">
        <v>488</v>
      </c>
      <c r="B628" s="564" t="s">
        <v>114</v>
      </c>
      <c r="C628" s="564" t="s">
        <v>61</v>
      </c>
      <c r="D628" s="564" t="s">
        <v>62</v>
      </c>
      <c r="E628" s="564">
        <v>1000</v>
      </c>
      <c r="F628" s="564" t="s">
        <v>115</v>
      </c>
      <c r="G628" s="566" t="s">
        <v>52</v>
      </c>
      <c r="H628" s="564" t="s">
        <v>33</v>
      </c>
      <c r="I628" s="564">
        <v>42000000</v>
      </c>
      <c r="J628" s="564" t="s">
        <v>34</v>
      </c>
      <c r="K628" s="564">
        <v>1990</v>
      </c>
      <c r="L628" s="564" t="s">
        <v>55</v>
      </c>
      <c r="M628" s="666" t="s">
        <v>459</v>
      </c>
      <c r="N628" s="633" t="s">
        <v>122</v>
      </c>
      <c r="O628" s="634" t="s">
        <v>38</v>
      </c>
      <c r="P628" s="633" t="s">
        <v>38</v>
      </c>
      <c r="Q628" s="633" t="s">
        <v>38</v>
      </c>
      <c r="R628" s="634" t="s">
        <v>38</v>
      </c>
      <c r="S628" s="55"/>
      <c r="T628" s="576"/>
      <c r="U628" s="575"/>
      <c r="V628" s="575"/>
      <c r="W628" s="575"/>
      <c r="X628" s="579"/>
      <c r="Y628" s="579"/>
      <c r="Z628" s="579"/>
      <c r="AA628" s="579"/>
      <c r="AC628" s="585"/>
      <c r="AD628" s="585"/>
      <c r="AE628" s="585"/>
      <c r="AF628" s="585"/>
      <c r="AG628" s="585"/>
      <c r="AH628" s="585"/>
      <c r="AI628" s="585"/>
      <c r="AJ628" s="585"/>
      <c r="AK628" s="585"/>
      <c r="AL628" s="585"/>
    </row>
    <row r="629" spans="1:38" ht="13" customHeight="1">
      <c r="A629" s="564">
        <v>489</v>
      </c>
      <c r="B629" s="564" t="s">
        <v>460</v>
      </c>
      <c r="C629" s="564" t="s">
        <v>61</v>
      </c>
      <c r="D629" s="564" t="s">
        <v>62</v>
      </c>
      <c r="E629" s="564">
        <v>1200</v>
      </c>
      <c r="F629" s="564" t="s">
        <v>115</v>
      </c>
      <c r="G629" s="566" t="s">
        <v>52</v>
      </c>
      <c r="H629" s="564" t="s">
        <v>33</v>
      </c>
      <c r="I629" s="564">
        <v>9000000</v>
      </c>
      <c r="J629" s="564" t="s">
        <v>34</v>
      </c>
      <c r="K629" s="564">
        <v>1990</v>
      </c>
      <c r="L629" s="564" t="s">
        <v>55</v>
      </c>
      <c r="M629" s="666" t="s">
        <v>461</v>
      </c>
      <c r="N629" s="633" t="s">
        <v>122</v>
      </c>
      <c r="O629" s="634" t="s">
        <v>38</v>
      </c>
      <c r="P629" s="633" t="s">
        <v>38</v>
      </c>
      <c r="Q629" s="633" t="s">
        <v>38</v>
      </c>
      <c r="R629" s="634" t="s">
        <v>38</v>
      </c>
      <c r="S629" s="55"/>
      <c r="T629" s="576"/>
      <c r="U629" s="575"/>
      <c r="V629" s="575"/>
      <c r="W629" s="575"/>
      <c r="X629" s="579"/>
      <c r="Y629" s="579"/>
      <c r="Z629" s="579"/>
      <c r="AA629" s="579"/>
      <c r="AC629" s="585"/>
      <c r="AD629" s="585"/>
      <c r="AE629" s="585"/>
      <c r="AF629" s="585"/>
      <c r="AG629" s="585"/>
      <c r="AH629" s="585"/>
      <c r="AI629" s="585"/>
      <c r="AJ629" s="585"/>
      <c r="AK629" s="585"/>
      <c r="AL629" s="585"/>
    </row>
    <row r="630" spans="1:38" ht="13" customHeight="1">
      <c r="A630" s="564">
        <v>490</v>
      </c>
      <c r="B630" s="564" t="s">
        <v>462</v>
      </c>
      <c r="C630" s="564" t="s">
        <v>61</v>
      </c>
      <c r="D630" s="564" t="s">
        <v>62</v>
      </c>
      <c r="E630" s="564">
        <v>1200</v>
      </c>
      <c r="F630" s="564" t="s">
        <v>115</v>
      </c>
      <c r="G630" s="566" t="s">
        <v>52</v>
      </c>
      <c r="H630" s="564" t="s">
        <v>33</v>
      </c>
      <c r="I630" s="564">
        <v>2000000</v>
      </c>
      <c r="J630" s="564" t="s">
        <v>34</v>
      </c>
      <c r="K630" s="564">
        <v>1990</v>
      </c>
      <c r="L630" s="564" t="s">
        <v>55</v>
      </c>
      <c r="M630" s="666" t="s">
        <v>461</v>
      </c>
      <c r="N630" s="633" t="s">
        <v>122</v>
      </c>
      <c r="O630" s="634" t="s">
        <v>38</v>
      </c>
      <c r="P630" s="633" t="s">
        <v>38</v>
      </c>
      <c r="Q630" s="633" t="s">
        <v>38</v>
      </c>
      <c r="R630" s="634" t="s">
        <v>38</v>
      </c>
      <c r="S630" s="55"/>
      <c r="T630" s="576"/>
      <c r="U630" s="575"/>
      <c r="V630" s="575"/>
      <c r="W630" s="575"/>
      <c r="X630" s="579"/>
      <c r="Y630" s="579"/>
      <c r="Z630" s="579"/>
      <c r="AA630" s="579"/>
      <c r="AC630" s="585"/>
      <c r="AD630" s="585"/>
      <c r="AE630" s="585"/>
      <c r="AF630" s="585"/>
      <c r="AG630" s="585"/>
      <c r="AH630" s="585"/>
      <c r="AI630" s="585"/>
      <c r="AJ630" s="585"/>
      <c r="AK630" s="585"/>
      <c r="AL630" s="585"/>
    </row>
    <row r="631" spans="1:38" ht="13" customHeight="1">
      <c r="A631" s="564"/>
      <c r="B631" s="564"/>
      <c r="C631" s="564"/>
      <c r="D631" s="564"/>
      <c r="E631" s="564"/>
      <c r="F631" s="564"/>
      <c r="G631" s="566"/>
      <c r="H631" s="564"/>
      <c r="I631" s="564"/>
      <c r="J631" s="564"/>
      <c r="K631" s="564"/>
      <c r="L631" s="564"/>
      <c r="M631" s="668" t="s">
        <v>463</v>
      </c>
      <c r="N631" s="633" t="s">
        <v>122</v>
      </c>
      <c r="O631" s="634" t="s">
        <v>38</v>
      </c>
      <c r="P631" s="633" t="s">
        <v>38</v>
      </c>
      <c r="Q631" s="633" t="s">
        <v>38</v>
      </c>
      <c r="R631" s="634" t="s">
        <v>38</v>
      </c>
      <c r="S631" s="55"/>
      <c r="T631" s="576"/>
      <c r="U631" s="575"/>
      <c r="V631" s="575"/>
      <c r="W631" s="575"/>
      <c r="X631" s="579"/>
      <c r="Y631" s="579"/>
      <c r="Z631" s="579"/>
      <c r="AA631" s="579"/>
      <c r="AC631" s="585"/>
      <c r="AD631" s="585"/>
      <c r="AE631" s="585"/>
      <c r="AF631" s="585"/>
      <c r="AG631" s="585"/>
      <c r="AH631" s="585"/>
      <c r="AI631" s="585"/>
      <c r="AJ631" s="585"/>
      <c r="AK631" s="585"/>
      <c r="AL631" s="585"/>
    </row>
    <row r="632" spans="1:38" ht="13" customHeight="1">
      <c r="A632" s="564"/>
      <c r="B632" s="564"/>
      <c r="C632" s="564"/>
      <c r="D632" s="564"/>
      <c r="E632" s="564"/>
      <c r="F632" s="564"/>
      <c r="G632" s="566"/>
      <c r="H632" s="564"/>
      <c r="I632" s="564"/>
      <c r="J632" s="564"/>
      <c r="K632" s="564"/>
      <c r="L632" s="564"/>
      <c r="M632" s="668" t="s">
        <v>464</v>
      </c>
      <c r="N632" s="633" t="s">
        <v>122</v>
      </c>
      <c r="O632" s="634" t="s">
        <v>38</v>
      </c>
      <c r="P632" s="633" t="s">
        <v>38</v>
      </c>
      <c r="Q632" s="633" t="s">
        <v>38</v>
      </c>
      <c r="R632" s="634" t="s">
        <v>38</v>
      </c>
      <c r="S632" s="55"/>
      <c r="T632" s="576"/>
      <c r="U632" s="575"/>
      <c r="V632" s="575"/>
      <c r="W632" s="575"/>
      <c r="X632" s="579"/>
      <c r="Y632" s="579"/>
      <c r="Z632" s="579"/>
      <c r="AA632" s="579"/>
      <c r="AC632" s="585"/>
      <c r="AD632" s="585"/>
      <c r="AE632" s="585"/>
      <c r="AF632" s="585"/>
      <c r="AG632" s="585"/>
      <c r="AH632" s="585"/>
      <c r="AI632" s="585"/>
      <c r="AJ632" s="585"/>
      <c r="AK632" s="585"/>
      <c r="AL632" s="585"/>
    </row>
    <row r="633" spans="1:38" ht="13" customHeight="1">
      <c r="A633" s="564"/>
      <c r="B633" s="564"/>
      <c r="C633" s="564"/>
      <c r="D633" s="564"/>
      <c r="E633" s="564"/>
      <c r="F633" s="564"/>
      <c r="G633" s="566"/>
      <c r="H633" s="564"/>
      <c r="I633" s="564"/>
      <c r="J633" s="564"/>
      <c r="K633" s="564"/>
      <c r="L633" s="564"/>
      <c r="M633" s="668" t="s">
        <v>464</v>
      </c>
      <c r="N633" s="633" t="s">
        <v>122</v>
      </c>
      <c r="O633" s="634" t="s">
        <v>38</v>
      </c>
      <c r="P633" s="633" t="s">
        <v>38</v>
      </c>
      <c r="Q633" s="633" t="s">
        <v>38</v>
      </c>
      <c r="R633" s="634" t="s">
        <v>38</v>
      </c>
      <c r="S633" s="55"/>
      <c r="T633" s="576"/>
      <c r="U633" s="575"/>
      <c r="V633" s="575"/>
      <c r="W633" s="575"/>
      <c r="X633" s="579"/>
      <c r="Y633" s="579"/>
      <c r="Z633" s="579"/>
      <c r="AA633" s="579"/>
      <c r="AC633" s="585"/>
      <c r="AD633" s="585"/>
      <c r="AE633" s="585"/>
      <c r="AF633" s="585"/>
      <c r="AG633" s="585"/>
      <c r="AH633" s="585"/>
      <c r="AI633" s="585"/>
      <c r="AJ633" s="585"/>
      <c r="AK633" s="585"/>
      <c r="AL633" s="585"/>
    </row>
    <row r="634" spans="1:38" ht="13" customHeight="1">
      <c r="A634" s="564">
        <v>494</v>
      </c>
      <c r="B634" s="564" t="s">
        <v>114</v>
      </c>
      <c r="C634" s="564" t="s">
        <v>61</v>
      </c>
      <c r="D634" s="564" t="s">
        <v>62</v>
      </c>
      <c r="E634" s="564">
        <v>1000</v>
      </c>
      <c r="F634" s="564" t="s">
        <v>116</v>
      </c>
      <c r="G634" s="566" t="s">
        <v>52</v>
      </c>
      <c r="H634" s="564" t="s">
        <v>33</v>
      </c>
      <c r="I634" s="564" t="s">
        <v>1187</v>
      </c>
      <c r="J634" s="564" t="s">
        <v>34</v>
      </c>
      <c r="K634" s="564">
        <v>1990</v>
      </c>
      <c r="L634" s="564" t="s">
        <v>55</v>
      </c>
      <c r="M634" s="668"/>
      <c r="N634" s="633" t="s">
        <v>122</v>
      </c>
      <c r="O634" s="634" t="s">
        <v>38</v>
      </c>
      <c r="P634" s="633" t="s">
        <v>38</v>
      </c>
      <c r="Q634" s="633" t="s">
        <v>38</v>
      </c>
      <c r="R634" s="634" t="s">
        <v>38</v>
      </c>
      <c r="S634" s="55"/>
      <c r="T634" s="576"/>
      <c r="U634" s="575"/>
      <c r="V634" s="575"/>
      <c r="W634" s="575"/>
      <c r="X634" s="579"/>
      <c r="Y634" s="579"/>
      <c r="Z634" s="579"/>
      <c r="AA634" s="579"/>
      <c r="AC634" s="585"/>
      <c r="AD634" s="585"/>
      <c r="AE634" s="585"/>
      <c r="AF634" s="585"/>
      <c r="AG634" s="585"/>
      <c r="AH634" s="585"/>
      <c r="AI634" s="585"/>
      <c r="AJ634" s="585"/>
      <c r="AK634" s="585"/>
      <c r="AL634" s="585"/>
    </row>
    <row r="635" spans="1:38" ht="13" customHeight="1">
      <c r="A635" s="564">
        <v>495</v>
      </c>
      <c r="B635" s="564" t="s">
        <v>460</v>
      </c>
      <c r="C635" s="564" t="s">
        <v>61</v>
      </c>
      <c r="D635" s="564" t="s">
        <v>62</v>
      </c>
      <c r="E635" s="564">
        <v>1200</v>
      </c>
      <c r="F635" s="564" t="s">
        <v>116</v>
      </c>
      <c r="G635" s="566" t="s">
        <v>52</v>
      </c>
      <c r="H635" s="564" t="s">
        <v>33</v>
      </c>
      <c r="I635" s="564" t="s">
        <v>1188</v>
      </c>
      <c r="J635" s="564" t="s">
        <v>34</v>
      </c>
      <c r="K635" s="564">
        <v>1990</v>
      </c>
      <c r="L635" s="564" t="s">
        <v>55</v>
      </c>
      <c r="M635" s="668" t="s">
        <v>1186</v>
      </c>
      <c r="N635" s="633" t="s">
        <v>122</v>
      </c>
      <c r="O635" s="634" t="s">
        <v>38</v>
      </c>
      <c r="P635" s="633" t="s">
        <v>38</v>
      </c>
      <c r="Q635" s="633" t="s">
        <v>38</v>
      </c>
      <c r="R635" s="634" t="s">
        <v>38</v>
      </c>
      <c r="S635" s="55"/>
      <c r="T635" s="576"/>
      <c r="U635" s="575"/>
      <c r="V635" s="575"/>
      <c r="W635" s="575"/>
      <c r="X635" s="579"/>
      <c r="Y635" s="579"/>
      <c r="Z635" s="579"/>
      <c r="AA635" s="579"/>
      <c r="AC635" s="585"/>
      <c r="AD635" s="585"/>
      <c r="AE635" s="585"/>
      <c r="AF635" s="585"/>
      <c r="AG635" s="585"/>
      <c r="AH635" s="585"/>
      <c r="AI635" s="585"/>
      <c r="AJ635" s="585"/>
      <c r="AK635" s="585"/>
      <c r="AL635" s="585"/>
    </row>
    <row r="636" spans="1:38" ht="13" customHeight="1">
      <c r="A636" s="564">
        <v>496</v>
      </c>
      <c r="B636" s="564" t="s">
        <v>462</v>
      </c>
      <c r="C636" s="564" t="s">
        <v>61</v>
      </c>
      <c r="D636" s="564" t="s">
        <v>62</v>
      </c>
      <c r="E636" s="564">
        <v>1200</v>
      </c>
      <c r="F636" s="564" t="s">
        <v>116</v>
      </c>
      <c r="G636" s="566" t="s">
        <v>52</v>
      </c>
      <c r="H636" s="564" t="s">
        <v>33</v>
      </c>
      <c r="I636" s="564" t="s">
        <v>1189</v>
      </c>
      <c r="J636" s="564" t="s">
        <v>34</v>
      </c>
      <c r="K636" s="564">
        <v>1990</v>
      </c>
      <c r="L636" s="564" t="s">
        <v>55</v>
      </c>
      <c r="M636" s="668"/>
      <c r="N636" s="633" t="s">
        <v>122</v>
      </c>
      <c r="O636" s="634" t="s">
        <v>38</v>
      </c>
      <c r="P636" s="633" t="s">
        <v>38</v>
      </c>
      <c r="Q636" s="633" t="s">
        <v>38</v>
      </c>
      <c r="R636" s="634" t="s">
        <v>38</v>
      </c>
      <c r="S636" s="55"/>
      <c r="T636" s="576"/>
      <c r="U636" s="575"/>
      <c r="V636" s="575"/>
      <c r="W636" s="575"/>
      <c r="X636" s="579"/>
      <c r="Y636" s="579"/>
      <c r="Z636" s="579"/>
      <c r="AA636" s="579"/>
      <c r="AC636" s="585"/>
      <c r="AD636" s="585"/>
      <c r="AE636" s="585"/>
      <c r="AF636" s="585"/>
      <c r="AG636" s="585"/>
      <c r="AH636" s="585"/>
      <c r="AI636" s="585"/>
      <c r="AJ636" s="585"/>
      <c r="AK636" s="585"/>
      <c r="AL636" s="585"/>
    </row>
    <row r="637" spans="1:38" ht="13" customHeight="1">
      <c r="A637" s="564">
        <v>497</v>
      </c>
      <c r="B637" s="564" t="s">
        <v>465</v>
      </c>
      <c r="C637" s="564" t="s">
        <v>61</v>
      </c>
      <c r="D637" s="564" t="s">
        <v>62</v>
      </c>
      <c r="E637" s="564">
        <v>1148</v>
      </c>
      <c r="F637" s="564" t="s">
        <v>108</v>
      </c>
      <c r="G637" s="566" t="s">
        <v>52</v>
      </c>
      <c r="H637" s="564" t="s">
        <v>76</v>
      </c>
      <c r="I637" s="564">
        <v>72</v>
      </c>
      <c r="J637" s="564" t="s">
        <v>77</v>
      </c>
      <c r="K637" s="564">
        <v>1990</v>
      </c>
      <c r="L637" s="564" t="s">
        <v>55</v>
      </c>
      <c r="M637" s="668" t="s">
        <v>466</v>
      </c>
      <c r="N637" s="632" t="s">
        <v>714</v>
      </c>
      <c r="O637" s="564" t="s">
        <v>84</v>
      </c>
      <c r="P637" s="633" t="s">
        <v>38</v>
      </c>
      <c r="Q637" s="633" t="s">
        <v>38</v>
      </c>
      <c r="R637" s="634" t="s">
        <v>38</v>
      </c>
      <c r="S637" s="55"/>
      <c r="T637" s="576"/>
      <c r="U637" s="575"/>
      <c r="V637" s="575"/>
      <c r="W637" s="575"/>
      <c r="X637" s="579"/>
      <c r="Y637" s="579"/>
      <c r="Z637" s="579"/>
      <c r="AA637" s="579"/>
      <c r="AC637" s="585"/>
      <c r="AD637" s="585"/>
      <c r="AE637" s="585"/>
      <c r="AF637" s="585"/>
      <c r="AG637" s="585"/>
      <c r="AH637" s="585"/>
      <c r="AI637" s="585"/>
      <c r="AJ637" s="585"/>
      <c r="AK637" s="585"/>
      <c r="AL637" s="585"/>
    </row>
    <row r="638" spans="1:38" ht="13" customHeight="1">
      <c r="A638" s="564">
        <v>498</v>
      </c>
      <c r="B638" s="564" t="s">
        <v>455</v>
      </c>
      <c r="C638" s="564" t="s">
        <v>61</v>
      </c>
      <c r="D638" s="564" t="s">
        <v>62</v>
      </c>
      <c r="E638" s="564">
        <v>1200</v>
      </c>
      <c r="F638" s="564" t="s">
        <v>108</v>
      </c>
      <c r="G638" s="566" t="s">
        <v>52</v>
      </c>
      <c r="H638" s="564" t="s">
        <v>76</v>
      </c>
      <c r="I638" s="564">
        <v>72</v>
      </c>
      <c r="J638" s="564" t="s">
        <v>77</v>
      </c>
      <c r="K638" s="564">
        <v>1990</v>
      </c>
      <c r="L638" s="564" t="s">
        <v>55</v>
      </c>
      <c r="M638" s="668" t="s">
        <v>467</v>
      </c>
      <c r="N638" s="632" t="s">
        <v>709</v>
      </c>
      <c r="O638" s="564" t="s">
        <v>84</v>
      </c>
      <c r="P638" s="633" t="s">
        <v>38</v>
      </c>
      <c r="Q638" s="633" t="s">
        <v>38</v>
      </c>
      <c r="R638" s="634" t="s">
        <v>38</v>
      </c>
      <c r="S638" s="55"/>
      <c r="T638" s="576"/>
      <c r="U638" s="575"/>
      <c r="V638" s="575"/>
      <c r="W638" s="575"/>
      <c r="X638" s="579"/>
      <c r="Y638" s="579"/>
      <c r="Z638" s="579"/>
      <c r="AA638" s="579"/>
      <c r="AC638" s="585"/>
      <c r="AD638" s="585"/>
      <c r="AE638" s="585"/>
      <c r="AF638" s="585"/>
      <c r="AG638" s="585"/>
      <c r="AH638" s="585"/>
      <c r="AI638" s="585"/>
      <c r="AJ638" s="585"/>
      <c r="AK638" s="585"/>
      <c r="AL638" s="585"/>
    </row>
    <row r="639" spans="1:38" ht="13" customHeight="1">
      <c r="A639" s="564">
        <v>499</v>
      </c>
      <c r="B639" s="564" t="s">
        <v>456</v>
      </c>
      <c r="C639" s="564" t="s">
        <v>61</v>
      </c>
      <c r="D639" s="564" t="s">
        <v>62</v>
      </c>
      <c r="E639" s="564">
        <v>1424</v>
      </c>
      <c r="F639" s="564" t="s">
        <v>108</v>
      </c>
      <c r="G639" s="566" t="s">
        <v>52</v>
      </c>
      <c r="H639" s="564" t="s">
        <v>76</v>
      </c>
      <c r="I639" s="564">
        <v>57</v>
      </c>
      <c r="J639" s="564" t="s">
        <v>77</v>
      </c>
      <c r="K639" s="564">
        <v>1990</v>
      </c>
      <c r="L639" s="564" t="s">
        <v>55</v>
      </c>
      <c r="M639" s="668" t="s">
        <v>466</v>
      </c>
      <c r="N639" s="632" t="s">
        <v>709</v>
      </c>
      <c r="O639" s="564" t="s">
        <v>84</v>
      </c>
      <c r="P639" s="633" t="s">
        <v>38</v>
      </c>
      <c r="Q639" s="633" t="s">
        <v>38</v>
      </c>
      <c r="R639" s="634" t="s">
        <v>38</v>
      </c>
      <c r="S639" s="55"/>
      <c r="T639" s="576"/>
      <c r="U639" s="575"/>
      <c r="V639" s="575"/>
      <c r="W639" s="575"/>
      <c r="X639" s="579"/>
      <c r="Y639" s="579"/>
      <c r="Z639" s="579"/>
      <c r="AA639" s="579"/>
      <c r="AC639" s="585"/>
      <c r="AD639" s="585"/>
      <c r="AE639" s="585"/>
      <c r="AF639" s="585"/>
      <c r="AG639" s="585"/>
      <c r="AH639" s="585"/>
      <c r="AI639" s="585"/>
      <c r="AJ639" s="585"/>
      <c r="AK639" s="585"/>
      <c r="AL639" s="585"/>
    </row>
    <row r="640" spans="1:38" ht="13" customHeight="1">
      <c r="A640" s="564">
        <v>500</v>
      </c>
      <c r="B640" s="564" t="s">
        <v>468</v>
      </c>
      <c r="C640" s="564" t="s">
        <v>61</v>
      </c>
      <c r="D640" s="564" t="s">
        <v>62</v>
      </c>
      <c r="E640" s="564">
        <v>1200</v>
      </c>
      <c r="F640" s="564" t="s">
        <v>108</v>
      </c>
      <c r="G640" s="566" t="s">
        <v>52</v>
      </c>
      <c r="H640" s="564" t="s">
        <v>76</v>
      </c>
      <c r="I640" s="564">
        <v>72</v>
      </c>
      <c r="J640" s="564" t="s">
        <v>77</v>
      </c>
      <c r="K640" s="564">
        <v>1990</v>
      </c>
      <c r="L640" s="564" t="s">
        <v>55</v>
      </c>
      <c r="M640" s="668" t="s">
        <v>467</v>
      </c>
      <c r="N640" s="632" t="s">
        <v>714</v>
      </c>
      <c r="O640" s="564" t="s">
        <v>84</v>
      </c>
      <c r="P640" s="633" t="s">
        <v>38</v>
      </c>
      <c r="Q640" s="633" t="s">
        <v>38</v>
      </c>
      <c r="R640" s="634" t="s">
        <v>38</v>
      </c>
      <c r="S640" s="55"/>
      <c r="T640" s="576"/>
      <c r="U640" s="575"/>
      <c r="V640" s="575"/>
      <c r="W640" s="575"/>
      <c r="X640" s="579"/>
      <c r="Y640" s="579"/>
      <c r="Z640" s="579"/>
      <c r="AA640" s="579"/>
      <c r="AC640" s="585"/>
      <c r="AD640" s="585"/>
      <c r="AE640" s="585"/>
      <c r="AF640" s="585"/>
      <c r="AG640" s="585"/>
      <c r="AH640" s="585"/>
      <c r="AI640" s="585"/>
      <c r="AJ640" s="585"/>
      <c r="AK640" s="585"/>
      <c r="AL640" s="585"/>
    </row>
    <row r="641" spans="1:38" ht="13" customHeight="1">
      <c r="A641" s="564">
        <v>501</v>
      </c>
      <c r="B641" s="564" t="s">
        <v>457</v>
      </c>
      <c r="C641" s="564" t="s">
        <v>61</v>
      </c>
      <c r="D641" s="564" t="s">
        <v>62</v>
      </c>
      <c r="E641" s="564">
        <v>1200</v>
      </c>
      <c r="F641" s="564" t="s">
        <v>108</v>
      </c>
      <c r="G641" s="566" t="s">
        <v>52</v>
      </c>
      <c r="H641" s="564" t="s">
        <v>76</v>
      </c>
      <c r="I641" s="564">
        <v>57</v>
      </c>
      <c r="J641" s="564" t="s">
        <v>77</v>
      </c>
      <c r="K641" s="564">
        <v>1990</v>
      </c>
      <c r="L641" s="564" t="s">
        <v>55</v>
      </c>
      <c r="M641" s="668" t="s">
        <v>467</v>
      </c>
      <c r="N641" s="632" t="s">
        <v>709</v>
      </c>
      <c r="O641" s="564" t="s">
        <v>84</v>
      </c>
      <c r="P641" s="633" t="s">
        <v>38</v>
      </c>
      <c r="Q641" s="633" t="s">
        <v>38</v>
      </c>
      <c r="R641" s="634" t="s">
        <v>38</v>
      </c>
      <c r="S641" s="55"/>
      <c r="T641" s="576"/>
      <c r="U641" s="575"/>
      <c r="V641" s="575"/>
      <c r="W641" s="575"/>
      <c r="X641" s="579"/>
      <c r="Y641" s="579"/>
      <c r="Z641" s="579"/>
      <c r="AA641" s="579"/>
      <c r="AC641" s="585"/>
      <c r="AD641" s="585"/>
      <c r="AE641" s="585"/>
      <c r="AF641" s="585"/>
      <c r="AG641" s="585"/>
      <c r="AH641" s="585"/>
      <c r="AI641" s="585"/>
      <c r="AJ641" s="585"/>
      <c r="AK641" s="585"/>
      <c r="AL641" s="585"/>
    </row>
    <row r="642" spans="1:38" ht="13" customHeight="1">
      <c r="A642" s="564">
        <v>502</v>
      </c>
      <c r="B642" s="564" t="s">
        <v>458</v>
      </c>
      <c r="C642" s="564" t="s">
        <v>61</v>
      </c>
      <c r="D642" s="564" t="s">
        <v>62</v>
      </c>
      <c r="E642" s="564">
        <v>1424</v>
      </c>
      <c r="F642" s="564" t="s">
        <v>108</v>
      </c>
      <c r="G642" s="566" t="s">
        <v>52</v>
      </c>
      <c r="H642" s="564" t="s">
        <v>76</v>
      </c>
      <c r="I642" s="564">
        <v>63</v>
      </c>
      <c r="J642" s="564" t="s">
        <v>77</v>
      </c>
      <c r="K642" s="564">
        <v>1990</v>
      </c>
      <c r="L642" s="564" t="s">
        <v>55</v>
      </c>
      <c r="M642" s="668" t="s">
        <v>466</v>
      </c>
      <c r="N642" s="632" t="s">
        <v>709</v>
      </c>
      <c r="O642" s="564" t="s">
        <v>84</v>
      </c>
      <c r="P642" s="633" t="s">
        <v>38</v>
      </c>
      <c r="Q642" s="633" t="s">
        <v>38</v>
      </c>
      <c r="R642" s="634" t="s">
        <v>38</v>
      </c>
      <c r="S642" s="55"/>
      <c r="T642" s="576"/>
      <c r="U642" s="575"/>
      <c r="V642" s="575"/>
      <c r="W642" s="575"/>
      <c r="X642" s="579"/>
      <c r="Y642" s="579"/>
      <c r="Z642" s="579"/>
      <c r="AA642" s="579"/>
      <c r="AC642" s="585"/>
      <c r="AD642" s="585"/>
      <c r="AE642" s="585"/>
      <c r="AF642" s="585"/>
      <c r="AG642" s="585"/>
      <c r="AH642" s="585"/>
      <c r="AI642" s="585"/>
      <c r="AJ642" s="585"/>
      <c r="AK642" s="585"/>
      <c r="AL642" s="585"/>
    </row>
    <row r="643" spans="1:38" ht="13" customHeight="1">
      <c r="A643" s="564">
        <v>503</v>
      </c>
      <c r="B643" s="564" t="s">
        <v>469</v>
      </c>
      <c r="C643" s="564" t="s">
        <v>470</v>
      </c>
      <c r="D643" s="564" t="s">
        <v>471</v>
      </c>
      <c r="E643" s="564">
        <v>150</v>
      </c>
      <c r="F643" s="564" t="s">
        <v>31</v>
      </c>
      <c r="G643" s="564" t="s">
        <v>52</v>
      </c>
      <c r="H643" s="564" t="s">
        <v>33</v>
      </c>
      <c r="I643" s="564">
        <f>701000000-98*1000000</f>
        <v>603000000</v>
      </c>
      <c r="J643" s="564" t="s">
        <v>34</v>
      </c>
      <c r="K643" s="564">
        <v>2016</v>
      </c>
      <c r="L643" s="564" t="s">
        <v>472</v>
      </c>
      <c r="M643" s="668" t="s">
        <v>747</v>
      </c>
      <c r="N643" s="634" t="s">
        <v>38</v>
      </c>
      <c r="O643" s="564" t="s">
        <v>474</v>
      </c>
      <c r="P643" s="565" t="s">
        <v>717</v>
      </c>
      <c r="Q643" s="564">
        <f>98*1000000</f>
        <v>98000000</v>
      </c>
      <c r="R643" s="634" t="s">
        <v>38</v>
      </c>
      <c r="S643" s="55"/>
      <c r="T643" s="576"/>
      <c r="U643" s="575"/>
      <c r="V643" s="575"/>
      <c r="W643" s="575"/>
      <c r="X643" s="579"/>
      <c r="Y643" s="579"/>
      <c r="Z643" s="579"/>
      <c r="AA643" s="579"/>
      <c r="AC643" s="585"/>
      <c r="AD643" s="585"/>
      <c r="AE643" s="585"/>
      <c r="AF643" s="585"/>
      <c r="AG643" s="585"/>
      <c r="AH643" s="585"/>
      <c r="AI643" s="585"/>
      <c r="AJ643" s="585"/>
      <c r="AK643" s="585"/>
      <c r="AL643" s="585"/>
    </row>
    <row r="644" spans="1:38" ht="13" customHeight="1">
      <c r="A644" s="564">
        <v>506</v>
      </c>
      <c r="B644" s="564" t="s">
        <v>481</v>
      </c>
      <c r="C644" s="564" t="s">
        <v>470</v>
      </c>
      <c r="D644" s="564" t="s">
        <v>471</v>
      </c>
      <c r="E644" s="564">
        <v>150</v>
      </c>
      <c r="F644" s="564" t="s">
        <v>31</v>
      </c>
      <c r="G644" s="564" t="s">
        <v>52</v>
      </c>
      <c r="H644" s="564" t="s">
        <v>33</v>
      </c>
      <c r="I644" s="564">
        <f>1.313*1000000000</f>
        <v>1313000000</v>
      </c>
      <c r="J644" s="564" t="s">
        <v>34</v>
      </c>
      <c r="K644" s="564">
        <v>2016</v>
      </c>
      <c r="L644" s="564" t="s">
        <v>472</v>
      </c>
      <c r="M644" s="668" t="s">
        <v>482</v>
      </c>
      <c r="N644" s="634" t="s">
        <v>38</v>
      </c>
      <c r="O644" s="564" t="s">
        <v>474</v>
      </c>
      <c r="P644" s="565" t="s">
        <v>717</v>
      </c>
      <c r="Q644" s="564">
        <f>AVERAGE(Q643,Q647)</f>
        <v>154500000</v>
      </c>
      <c r="R644" s="634" t="s">
        <v>38</v>
      </c>
      <c r="S644" s="55"/>
      <c r="T644" s="576"/>
      <c r="U644" s="575"/>
      <c r="V644" s="575"/>
      <c r="W644" s="575"/>
      <c r="X644" s="579"/>
      <c r="Y644" s="579"/>
      <c r="Z644" s="579"/>
      <c r="AA644" s="579"/>
      <c r="AC644" s="585"/>
      <c r="AD644" s="585"/>
      <c r="AE644" s="585"/>
      <c r="AF644" s="585"/>
      <c r="AG644" s="585"/>
      <c r="AH644" s="585"/>
      <c r="AI644" s="585"/>
      <c r="AJ644" s="585"/>
      <c r="AK644" s="585"/>
      <c r="AL644" s="585"/>
    </row>
    <row r="645" spans="1:38" ht="13" customHeight="1">
      <c r="A645" s="564">
        <v>509</v>
      </c>
      <c r="B645" s="564" t="s">
        <v>469</v>
      </c>
      <c r="C645" s="564" t="s">
        <v>470</v>
      </c>
      <c r="D645" s="564" t="s">
        <v>471</v>
      </c>
      <c r="E645" s="564">
        <v>150</v>
      </c>
      <c r="F645" s="564" t="s">
        <v>116</v>
      </c>
      <c r="G645" s="564" t="s">
        <v>52</v>
      </c>
      <c r="H645" s="564" t="s">
        <v>33</v>
      </c>
      <c r="I645" s="564">
        <f>18*1000000</f>
        <v>18000000</v>
      </c>
      <c r="J645" s="564" t="s">
        <v>34</v>
      </c>
      <c r="K645" s="564">
        <v>2016</v>
      </c>
      <c r="L645" s="564" t="s">
        <v>472</v>
      </c>
      <c r="M645" s="668" t="s">
        <v>482</v>
      </c>
      <c r="N645" s="634" t="s">
        <v>38</v>
      </c>
      <c r="O645" s="634" t="s">
        <v>38</v>
      </c>
      <c r="P645" s="633" t="s">
        <v>38</v>
      </c>
      <c r="Q645" s="633" t="s">
        <v>38</v>
      </c>
      <c r="R645" s="634" t="s">
        <v>38</v>
      </c>
      <c r="S645" s="55"/>
      <c r="T645" s="576"/>
      <c r="U645" s="575"/>
      <c r="V645" s="575"/>
      <c r="W645" s="575"/>
      <c r="X645" s="579"/>
      <c r="Y645" s="579"/>
      <c r="Z645" s="579"/>
      <c r="AA645" s="579"/>
      <c r="AC645" s="585"/>
      <c r="AD645" s="585"/>
      <c r="AE645" s="585"/>
      <c r="AF645" s="585"/>
      <c r="AG645" s="585"/>
      <c r="AH645" s="585"/>
      <c r="AI645" s="585"/>
      <c r="AJ645" s="585"/>
      <c r="AK645" s="585"/>
      <c r="AL645" s="585"/>
    </row>
    <row r="646" spans="1:38" ht="13" customHeight="1">
      <c r="A646" s="564">
        <v>510</v>
      </c>
      <c r="B646" s="564" t="s">
        <v>483</v>
      </c>
      <c r="C646" s="564" t="s">
        <v>470</v>
      </c>
      <c r="D646" s="564" t="s">
        <v>471</v>
      </c>
      <c r="E646" s="564">
        <v>150</v>
      </c>
      <c r="F646" s="564" t="s">
        <v>116</v>
      </c>
      <c r="G646" s="564" t="s">
        <v>52</v>
      </c>
      <c r="H646" s="564" t="s">
        <v>33</v>
      </c>
      <c r="I646" s="564">
        <f>38*1000000</f>
        <v>38000000</v>
      </c>
      <c r="J646" s="564" t="s">
        <v>34</v>
      </c>
      <c r="K646" s="564">
        <v>2016</v>
      </c>
      <c r="L646" s="564" t="s">
        <v>472</v>
      </c>
      <c r="M646" s="668" t="s">
        <v>482</v>
      </c>
      <c r="N646" s="634" t="s">
        <v>38</v>
      </c>
      <c r="O646" s="634" t="s">
        <v>38</v>
      </c>
      <c r="P646" s="633" t="s">
        <v>38</v>
      </c>
      <c r="Q646" s="633" t="s">
        <v>38</v>
      </c>
      <c r="R646" s="634" t="s">
        <v>38</v>
      </c>
      <c r="S646" s="55"/>
      <c r="T646" s="576"/>
      <c r="U646" s="575"/>
      <c r="V646" s="575"/>
      <c r="W646" s="575"/>
      <c r="X646" s="579"/>
      <c r="Y646" s="579"/>
      <c r="Z646" s="579"/>
      <c r="AA646" s="579"/>
      <c r="AC646" s="585"/>
      <c r="AD646" s="585"/>
      <c r="AE646" s="585"/>
      <c r="AF646" s="585"/>
      <c r="AG646" s="585"/>
      <c r="AH646" s="585"/>
      <c r="AI646" s="585"/>
      <c r="AJ646" s="585"/>
      <c r="AK646" s="585"/>
      <c r="AL646" s="585"/>
    </row>
    <row r="647" spans="1:38" ht="13" customHeight="1">
      <c r="A647" s="564">
        <v>513</v>
      </c>
      <c r="B647" s="564" t="s">
        <v>483</v>
      </c>
      <c r="C647" s="564" t="s">
        <v>470</v>
      </c>
      <c r="D647" s="564" t="s">
        <v>471</v>
      </c>
      <c r="E647" s="564">
        <v>150</v>
      </c>
      <c r="F647" s="564" t="s">
        <v>31</v>
      </c>
      <c r="G647" s="564" t="s">
        <v>52</v>
      </c>
      <c r="H647" s="564" t="s">
        <v>33</v>
      </c>
      <c r="I647" s="564">
        <f>1925000000-211*1000000</f>
        <v>1714000000</v>
      </c>
      <c r="J647" s="564" t="s">
        <v>34</v>
      </c>
      <c r="K647" s="564">
        <v>2016</v>
      </c>
      <c r="L647" s="564" t="s">
        <v>472</v>
      </c>
      <c r="M647" s="668" t="s">
        <v>473</v>
      </c>
      <c r="N647" s="634" t="s">
        <v>38</v>
      </c>
      <c r="O647" s="564" t="s">
        <v>474</v>
      </c>
      <c r="P647" s="565" t="s">
        <v>717</v>
      </c>
      <c r="Q647" s="564">
        <f>211*1000000</f>
        <v>211000000</v>
      </c>
      <c r="R647" s="634" t="s">
        <v>38</v>
      </c>
      <c r="S647" s="55"/>
      <c r="T647" s="576"/>
      <c r="U647" s="575"/>
      <c r="V647" s="575"/>
      <c r="W647" s="575"/>
      <c r="X647" s="579"/>
      <c r="Y647" s="579"/>
      <c r="Z647" s="579"/>
      <c r="AA647" s="579"/>
      <c r="AC647" s="585"/>
      <c r="AD647" s="585"/>
      <c r="AE647" s="585"/>
      <c r="AF647" s="585"/>
      <c r="AG647" s="585"/>
      <c r="AH647" s="585"/>
      <c r="AI647" s="585"/>
      <c r="AJ647" s="585"/>
      <c r="AK647" s="585"/>
      <c r="AL647" s="585"/>
    </row>
    <row r="648" spans="1:38" ht="13" customHeight="1">
      <c r="A648" s="564">
        <v>508</v>
      </c>
      <c r="B648" s="564" t="s">
        <v>694</v>
      </c>
      <c r="C648" s="564" t="s">
        <v>61</v>
      </c>
      <c r="D648" s="564" t="s">
        <v>62</v>
      </c>
      <c r="E648" s="564">
        <v>1200</v>
      </c>
      <c r="F648" s="564" t="s">
        <v>690</v>
      </c>
      <c r="G648" s="564" t="s">
        <v>52</v>
      </c>
      <c r="H648" s="564" t="s">
        <v>76</v>
      </c>
      <c r="I648" s="564">
        <v>1</v>
      </c>
      <c r="J648" s="564" t="s">
        <v>77</v>
      </c>
      <c r="K648" s="564">
        <v>1986</v>
      </c>
      <c r="L648" s="564" t="s">
        <v>472</v>
      </c>
      <c r="M648" s="668" t="s">
        <v>692</v>
      </c>
      <c r="N648" s="634" t="s">
        <v>38</v>
      </c>
      <c r="O648" s="634" t="s">
        <v>38</v>
      </c>
      <c r="P648" s="633" t="s">
        <v>38</v>
      </c>
      <c r="Q648" s="633" t="s">
        <v>38</v>
      </c>
      <c r="R648" s="634" t="s">
        <v>38</v>
      </c>
      <c r="S648" s="55"/>
      <c r="T648" s="576"/>
      <c r="U648" s="575"/>
      <c r="V648" s="575"/>
      <c r="W648" s="575"/>
      <c r="X648" s="579"/>
      <c r="Y648" s="579"/>
      <c r="Z648" s="579"/>
      <c r="AA648" s="579"/>
      <c r="AC648" s="585"/>
      <c r="AD648" s="585"/>
      <c r="AE648" s="585"/>
      <c r="AF648" s="585"/>
      <c r="AG648" s="585"/>
      <c r="AH648" s="585"/>
      <c r="AI648" s="585"/>
      <c r="AJ648" s="585"/>
      <c r="AK648" s="585"/>
      <c r="AL648" s="585"/>
    </row>
    <row r="649" spans="1:38" ht="13" customHeight="1">
      <c r="A649" s="564">
        <v>511</v>
      </c>
      <c r="B649" s="564" t="s">
        <v>469</v>
      </c>
      <c r="C649" s="564" t="s">
        <v>470</v>
      </c>
      <c r="D649" s="564" t="s">
        <v>471</v>
      </c>
      <c r="E649" s="564">
        <v>150</v>
      </c>
      <c r="F649" s="564" t="s">
        <v>63</v>
      </c>
      <c r="G649" s="564" t="s">
        <v>52</v>
      </c>
      <c r="H649" s="564" t="s">
        <v>76</v>
      </c>
      <c r="I649" s="564">
        <v>109570</v>
      </c>
      <c r="J649" s="564" t="s">
        <v>484</v>
      </c>
      <c r="K649" s="564">
        <v>2016</v>
      </c>
      <c r="L649" s="564" t="s">
        <v>472</v>
      </c>
      <c r="M649" s="668" t="s">
        <v>485</v>
      </c>
      <c r="N649" s="634" t="s">
        <v>38</v>
      </c>
      <c r="O649" s="634" t="s">
        <v>38</v>
      </c>
      <c r="P649" s="565" t="s">
        <v>717</v>
      </c>
      <c r="Q649" s="633" t="s">
        <v>38</v>
      </c>
      <c r="R649" s="634" t="s">
        <v>38</v>
      </c>
      <c r="S649" s="55"/>
      <c r="T649" s="576"/>
      <c r="U649" s="575"/>
      <c r="V649" s="575"/>
      <c r="W649" s="575"/>
      <c r="X649" s="579"/>
      <c r="Y649" s="579"/>
      <c r="Z649" s="579"/>
      <c r="AA649" s="579"/>
      <c r="AC649" s="585"/>
      <c r="AD649" s="585"/>
      <c r="AE649" s="585"/>
      <c r="AF649" s="585"/>
      <c r="AG649" s="585"/>
      <c r="AH649" s="585"/>
      <c r="AI649" s="585"/>
      <c r="AJ649" s="585"/>
      <c r="AK649" s="585"/>
      <c r="AL649" s="585"/>
    </row>
    <row r="650" spans="1:38" ht="13" customHeight="1">
      <c r="A650" s="564">
        <v>512</v>
      </c>
      <c r="B650" s="564" t="s">
        <v>483</v>
      </c>
      <c r="C650" s="564" t="s">
        <v>470</v>
      </c>
      <c r="D650" s="564" t="s">
        <v>471</v>
      </c>
      <c r="E650" s="564">
        <v>150</v>
      </c>
      <c r="F650" s="564" t="s">
        <v>63</v>
      </c>
      <c r="G650" s="564" t="s">
        <v>52</v>
      </c>
      <c r="H650" s="564" t="s">
        <v>76</v>
      </c>
      <c r="I650" s="564">
        <v>169570</v>
      </c>
      <c r="J650" s="564" t="s">
        <v>484</v>
      </c>
      <c r="K650" s="564">
        <v>2016</v>
      </c>
      <c r="L650" s="564" t="s">
        <v>472</v>
      </c>
      <c r="M650" s="668" t="s">
        <v>485</v>
      </c>
      <c r="N650" s="634" t="s">
        <v>38</v>
      </c>
      <c r="O650" s="634" t="s">
        <v>38</v>
      </c>
      <c r="P650" s="565" t="s">
        <v>717</v>
      </c>
      <c r="Q650" s="633" t="s">
        <v>38</v>
      </c>
      <c r="R650" s="634" t="s">
        <v>38</v>
      </c>
      <c r="S650" s="55"/>
      <c r="T650" s="576"/>
      <c r="U650" s="575"/>
      <c r="V650" s="575"/>
      <c r="W650" s="575"/>
      <c r="X650" s="579"/>
      <c r="Y650" s="579"/>
      <c r="Z650" s="579"/>
      <c r="AA650" s="579"/>
      <c r="AC650" s="585"/>
      <c r="AD650" s="585"/>
      <c r="AE650" s="585"/>
      <c r="AF650" s="585"/>
      <c r="AG650" s="585"/>
      <c r="AH650" s="585"/>
      <c r="AI650" s="585"/>
      <c r="AJ650" s="585"/>
      <c r="AK650" s="585"/>
      <c r="AL650" s="585"/>
    </row>
    <row r="651" spans="1:38" ht="13" customHeight="1">
      <c r="A651" s="564">
        <v>535</v>
      </c>
      <c r="B651" s="564" t="s">
        <v>497</v>
      </c>
      <c r="C651" s="639" t="s">
        <v>61</v>
      </c>
      <c r="D651" s="639" t="s">
        <v>62</v>
      </c>
      <c r="E651" s="564">
        <v>1000</v>
      </c>
      <c r="F651" s="564" t="s">
        <v>108</v>
      </c>
      <c r="G651" s="567" t="s">
        <v>57</v>
      </c>
      <c r="H651" s="564" t="s">
        <v>76</v>
      </c>
      <c r="I651" s="668">
        <f>(8.27*0.006804)*1000</f>
        <v>56.269080000000002</v>
      </c>
      <c r="J651" s="564" t="s">
        <v>77</v>
      </c>
      <c r="K651" s="564">
        <v>2003</v>
      </c>
      <c r="L651" s="639" t="s">
        <v>498</v>
      </c>
      <c r="M651" s="668" t="s">
        <v>499</v>
      </c>
      <c r="N651" s="632">
        <v>0.75</v>
      </c>
      <c r="O651" s="633" t="s">
        <v>38</v>
      </c>
      <c r="P651" s="633" t="s">
        <v>38</v>
      </c>
      <c r="Q651" s="633" t="s">
        <v>38</v>
      </c>
      <c r="R651" s="634" t="s">
        <v>38</v>
      </c>
      <c r="S651" s="55"/>
      <c r="T651" s="576"/>
      <c r="U651" s="575"/>
      <c r="V651" s="575"/>
      <c r="W651" s="591"/>
      <c r="X651" s="622"/>
      <c r="Y651" s="622"/>
      <c r="Z651" s="622"/>
      <c r="AA651" s="622"/>
      <c r="AC651" s="585"/>
      <c r="AD651" s="585"/>
      <c r="AE651" s="585"/>
      <c r="AF651" s="585"/>
      <c r="AG651" s="585"/>
      <c r="AH651" s="585"/>
      <c r="AI651" s="585"/>
      <c r="AJ651" s="585"/>
      <c r="AK651" s="585"/>
      <c r="AL651" s="585"/>
    </row>
    <row r="652" spans="1:38" ht="13" customHeight="1">
      <c r="A652" s="564">
        <v>536</v>
      </c>
      <c r="B652" s="564" t="s">
        <v>500</v>
      </c>
      <c r="C652" s="639" t="s">
        <v>61</v>
      </c>
      <c r="D652" s="639" t="s">
        <v>62</v>
      </c>
      <c r="E652" s="564">
        <v>2000</v>
      </c>
      <c r="F652" s="564" t="s">
        <v>108</v>
      </c>
      <c r="G652" s="567" t="s">
        <v>57</v>
      </c>
      <c r="H652" s="564" t="s">
        <v>76</v>
      </c>
      <c r="I652" s="668">
        <f>(7.33*0.006804)*1000</f>
        <v>49.87332</v>
      </c>
      <c r="J652" s="564" t="s">
        <v>77</v>
      </c>
      <c r="K652" s="564">
        <v>2003</v>
      </c>
      <c r="L652" s="639" t="s">
        <v>498</v>
      </c>
      <c r="M652" s="668" t="s">
        <v>499</v>
      </c>
      <c r="N652" s="632">
        <v>0.75</v>
      </c>
      <c r="O652" s="633" t="s">
        <v>38</v>
      </c>
      <c r="P652" s="633" t="s">
        <v>38</v>
      </c>
      <c r="Q652" s="633" t="s">
        <v>38</v>
      </c>
      <c r="R652" s="634" t="s">
        <v>38</v>
      </c>
      <c r="S652" s="55"/>
      <c r="T652" s="576"/>
      <c r="U652" s="593"/>
      <c r="V652" s="593"/>
      <c r="W652" s="591"/>
      <c r="X652" s="613"/>
      <c r="Y652" s="613"/>
      <c r="Z652" s="613"/>
      <c r="AA652" s="613"/>
      <c r="AC652" s="585"/>
      <c r="AD652" s="585"/>
      <c r="AE652" s="585"/>
      <c r="AF652" s="585"/>
      <c r="AG652" s="585"/>
      <c r="AH652" s="585"/>
      <c r="AI652" s="585"/>
      <c r="AJ652" s="585"/>
      <c r="AK652" s="585"/>
      <c r="AL652" s="585"/>
    </row>
    <row r="653" spans="1:38" ht="13" customHeight="1">
      <c r="A653" s="564">
        <v>537</v>
      </c>
      <c r="B653" s="564" t="s">
        <v>501</v>
      </c>
      <c r="C653" s="639" t="s">
        <v>61</v>
      </c>
      <c r="D653" s="639" t="s">
        <v>278</v>
      </c>
      <c r="E653" s="564">
        <v>1000</v>
      </c>
      <c r="F653" s="564" t="s">
        <v>108</v>
      </c>
      <c r="G653" s="567" t="s">
        <v>57</v>
      </c>
      <c r="H653" s="564" t="s">
        <v>76</v>
      </c>
      <c r="I653" s="668">
        <f>(9.52*0.006804)*1000</f>
        <v>64.774079999999998</v>
      </c>
      <c r="J653" s="564" t="s">
        <v>77</v>
      </c>
      <c r="K653" s="564">
        <v>2003</v>
      </c>
      <c r="L653" s="639" t="s">
        <v>498</v>
      </c>
      <c r="M653" s="668" t="s">
        <v>499</v>
      </c>
      <c r="N653" s="632">
        <v>0.75</v>
      </c>
      <c r="O653" s="564" t="s">
        <v>430</v>
      </c>
      <c r="P653" s="633" t="s">
        <v>38</v>
      </c>
      <c r="Q653" s="633" t="s">
        <v>38</v>
      </c>
      <c r="R653" s="634" t="s">
        <v>38</v>
      </c>
      <c r="S653" s="55"/>
      <c r="T653" s="576"/>
      <c r="U653" s="593"/>
      <c r="V653" s="593"/>
      <c r="W653" s="591"/>
      <c r="X653" s="613"/>
      <c r="Y653" s="613"/>
      <c r="Z653" s="613"/>
      <c r="AA653" s="613"/>
      <c r="AC653" s="585"/>
      <c r="AD653" s="585"/>
      <c r="AE653" s="585"/>
      <c r="AF653" s="585"/>
      <c r="AG653" s="585"/>
      <c r="AH653" s="585"/>
      <c r="AI653" s="585"/>
      <c r="AJ653" s="585"/>
      <c r="AK653" s="585"/>
      <c r="AL653" s="585"/>
    </row>
    <row r="654" spans="1:38" ht="13" customHeight="1">
      <c r="A654" s="564">
        <v>538</v>
      </c>
      <c r="B654" s="564" t="s">
        <v>502</v>
      </c>
      <c r="C654" s="639" t="s">
        <v>61</v>
      </c>
      <c r="D654" s="639" t="s">
        <v>278</v>
      </c>
      <c r="E654" s="564">
        <v>2000</v>
      </c>
      <c r="F654" s="564" t="s">
        <v>108</v>
      </c>
      <c r="G654" s="567" t="s">
        <v>57</v>
      </c>
      <c r="H654" s="564" t="s">
        <v>76</v>
      </c>
      <c r="I654" s="668">
        <f>(7.48*0.006804)*1000</f>
        <v>50.893920000000001</v>
      </c>
      <c r="J654" s="564" t="s">
        <v>77</v>
      </c>
      <c r="K654" s="564">
        <v>2003</v>
      </c>
      <c r="L654" s="639" t="s">
        <v>498</v>
      </c>
      <c r="M654" s="668" t="s">
        <v>499</v>
      </c>
      <c r="N654" s="632">
        <v>0.75</v>
      </c>
      <c r="O654" s="564" t="s">
        <v>430</v>
      </c>
      <c r="P654" s="633" t="s">
        <v>38</v>
      </c>
      <c r="Q654" s="633" t="s">
        <v>38</v>
      </c>
      <c r="R654" s="634" t="s">
        <v>38</v>
      </c>
      <c r="S654" s="55"/>
      <c r="T654" s="576"/>
      <c r="U654" s="593"/>
      <c r="V654" s="593"/>
      <c r="W654" s="591"/>
      <c r="X654" s="613"/>
      <c r="Y654" s="613"/>
      <c r="Z654" s="613"/>
      <c r="AA654" s="613"/>
      <c r="AC654" s="585"/>
      <c r="AD654" s="585"/>
      <c r="AE654" s="585"/>
      <c r="AF654" s="585"/>
      <c r="AG654" s="585"/>
      <c r="AH654" s="585"/>
      <c r="AI654" s="585"/>
      <c r="AJ654" s="585"/>
      <c r="AK654" s="585"/>
      <c r="AL654" s="585"/>
    </row>
    <row r="655" spans="1:38" ht="25.9" customHeight="1">
      <c r="A655" s="564">
        <v>539</v>
      </c>
      <c r="B655" s="564" t="s">
        <v>497</v>
      </c>
      <c r="C655" s="639" t="s">
        <v>61</v>
      </c>
      <c r="D655" s="639" t="s">
        <v>62</v>
      </c>
      <c r="E655" s="564">
        <v>1000</v>
      </c>
      <c r="F655" s="564" t="s">
        <v>217</v>
      </c>
      <c r="G655" s="567" t="s">
        <v>57</v>
      </c>
      <c r="H655" s="564" t="s">
        <v>33</v>
      </c>
      <c r="I655" s="668">
        <f>4140*1000000</f>
        <v>4140000000</v>
      </c>
      <c r="J655" s="564" t="s">
        <v>34</v>
      </c>
      <c r="K655" s="564">
        <v>2003</v>
      </c>
      <c r="L655" s="639" t="s">
        <v>498</v>
      </c>
      <c r="M655" s="668"/>
      <c r="N655" s="632">
        <v>0.75</v>
      </c>
      <c r="O655" s="633" t="s">
        <v>38</v>
      </c>
      <c r="P655" s="633" t="s">
        <v>38</v>
      </c>
      <c r="Q655" s="633" t="s">
        <v>38</v>
      </c>
      <c r="R655" s="634" t="s">
        <v>38</v>
      </c>
      <c r="S655" s="55"/>
      <c r="T655" s="576"/>
      <c r="U655" s="593"/>
      <c r="V655" s="593"/>
      <c r="W655" s="591"/>
      <c r="X655" s="613"/>
      <c r="Y655" s="613"/>
      <c r="Z655" s="613"/>
      <c r="AA655" s="613"/>
      <c r="AC655" s="585"/>
      <c r="AD655" s="585"/>
      <c r="AE655" s="585"/>
      <c r="AF655" s="585"/>
      <c r="AG655" s="585"/>
      <c r="AH655" s="585"/>
      <c r="AI655" s="585"/>
      <c r="AJ655" s="585"/>
      <c r="AK655" s="585"/>
      <c r="AL655" s="585"/>
    </row>
    <row r="656" spans="1:38" ht="18" customHeight="1">
      <c r="A656" s="564">
        <v>540</v>
      </c>
      <c r="B656" s="564" t="s">
        <v>500</v>
      </c>
      <c r="C656" s="639" t="s">
        <v>61</v>
      </c>
      <c r="D656" s="639" t="s">
        <v>62</v>
      </c>
      <c r="E656" s="564">
        <v>2000</v>
      </c>
      <c r="F656" s="564" t="s">
        <v>217</v>
      </c>
      <c r="G656" s="567" t="s">
        <v>57</v>
      </c>
      <c r="H656" s="564" t="s">
        <v>33</v>
      </c>
      <c r="I656" s="668">
        <f>7270*1000000</f>
        <v>7270000000</v>
      </c>
      <c r="J656" s="564" t="s">
        <v>34</v>
      </c>
      <c r="K656" s="564">
        <v>2003</v>
      </c>
      <c r="L656" s="639" t="s">
        <v>498</v>
      </c>
      <c r="M656" s="668"/>
      <c r="N656" s="632">
        <v>0.75</v>
      </c>
      <c r="O656" s="633" t="s">
        <v>38</v>
      </c>
      <c r="P656" s="633" t="s">
        <v>38</v>
      </c>
      <c r="Q656" s="633" t="s">
        <v>38</v>
      </c>
      <c r="R656" s="634" t="s">
        <v>38</v>
      </c>
      <c r="S656" s="55"/>
      <c r="T656" s="576"/>
      <c r="U656" s="593"/>
      <c r="V656" s="593"/>
      <c r="W656" s="591"/>
      <c r="X656" s="613"/>
      <c r="Y656" s="613"/>
      <c r="Z656" s="613"/>
      <c r="AA656" s="613"/>
      <c r="AC656" s="585"/>
      <c r="AD656" s="585"/>
      <c r="AE656" s="585"/>
      <c r="AF656" s="585"/>
      <c r="AG656" s="585"/>
      <c r="AH656" s="585"/>
      <c r="AI656" s="585"/>
      <c r="AJ656" s="585"/>
      <c r="AK656" s="585"/>
      <c r="AL656" s="585"/>
    </row>
    <row r="657" spans="1:38" ht="10.5" customHeight="1">
      <c r="A657" s="564">
        <v>541</v>
      </c>
      <c r="B657" s="564" t="s">
        <v>501</v>
      </c>
      <c r="C657" s="639" t="s">
        <v>61</v>
      </c>
      <c r="D657" s="639" t="s">
        <v>278</v>
      </c>
      <c r="E657" s="564">
        <v>1000</v>
      </c>
      <c r="F657" s="564" t="s">
        <v>217</v>
      </c>
      <c r="G657" s="567" t="s">
        <v>57</v>
      </c>
      <c r="H657" s="564" t="s">
        <v>33</v>
      </c>
      <c r="I657" s="668">
        <f>5020*1000000</f>
        <v>5020000000</v>
      </c>
      <c r="J657" s="564" t="s">
        <v>34</v>
      </c>
      <c r="K657" s="564">
        <v>2003</v>
      </c>
      <c r="L657" s="639" t="s">
        <v>498</v>
      </c>
      <c r="M657" s="668"/>
      <c r="N657" s="632">
        <v>0.75</v>
      </c>
      <c r="O657" s="564" t="s">
        <v>430</v>
      </c>
      <c r="P657" s="633" t="s">
        <v>38</v>
      </c>
      <c r="Q657" s="633" t="s">
        <v>38</v>
      </c>
      <c r="R657" s="634" t="s">
        <v>38</v>
      </c>
      <c r="S657" s="55"/>
      <c r="T657" s="576"/>
      <c r="U657" s="593"/>
      <c r="V657" s="593"/>
      <c r="W657" s="591"/>
      <c r="X657" s="613"/>
      <c r="Y657" s="613"/>
      <c r="Z657" s="613"/>
      <c r="AA657" s="613"/>
      <c r="AC657" s="585"/>
      <c r="AD657" s="585"/>
      <c r="AE657" s="585"/>
      <c r="AF657" s="585"/>
      <c r="AG657" s="585"/>
      <c r="AH657" s="585"/>
      <c r="AI657" s="585"/>
      <c r="AJ657" s="585"/>
      <c r="AK657" s="585"/>
      <c r="AL657" s="585"/>
    </row>
    <row r="658" spans="1:38" ht="13" customHeight="1">
      <c r="A658" s="564">
        <v>542</v>
      </c>
      <c r="B658" s="564" t="s">
        <v>502</v>
      </c>
      <c r="C658" s="639" t="s">
        <v>61</v>
      </c>
      <c r="D658" s="639" t="s">
        <v>278</v>
      </c>
      <c r="E658" s="564">
        <v>2000</v>
      </c>
      <c r="F658" s="564" t="s">
        <v>217</v>
      </c>
      <c r="G658" s="567" t="s">
        <v>57</v>
      </c>
      <c r="H658" s="564" t="s">
        <v>33</v>
      </c>
      <c r="I658" s="668">
        <f>8010*1000000</f>
        <v>8010000000</v>
      </c>
      <c r="J658" s="564" t="s">
        <v>34</v>
      </c>
      <c r="K658" s="564">
        <v>2003</v>
      </c>
      <c r="L658" s="639" t="s">
        <v>498</v>
      </c>
      <c r="M658" s="668"/>
      <c r="N658" s="632">
        <v>0.75</v>
      </c>
      <c r="O658" s="564" t="s">
        <v>430</v>
      </c>
      <c r="P658" s="633" t="s">
        <v>38</v>
      </c>
      <c r="Q658" s="633" t="s">
        <v>38</v>
      </c>
      <c r="R658" s="634" t="s">
        <v>38</v>
      </c>
      <c r="S658" s="55"/>
      <c r="T658" s="576"/>
      <c r="U658" s="593"/>
      <c r="V658" s="593"/>
      <c r="W658" s="591"/>
      <c r="X658" s="613"/>
      <c r="Y658" s="613"/>
      <c r="Z658" s="613"/>
      <c r="AA658" s="613"/>
      <c r="AC658" s="585"/>
      <c r="AD658" s="585"/>
      <c r="AE658" s="585"/>
      <c r="AF658" s="585"/>
      <c r="AG658" s="585"/>
      <c r="AH658" s="585"/>
      <c r="AI658" s="585"/>
      <c r="AJ658" s="585"/>
      <c r="AK658" s="585"/>
      <c r="AL658" s="585"/>
    </row>
    <row r="659" spans="1:38" ht="13" customHeight="1">
      <c r="A659" s="564">
        <v>543</v>
      </c>
      <c r="B659" s="639" t="s">
        <v>497</v>
      </c>
      <c r="C659" s="639" t="s">
        <v>61</v>
      </c>
      <c r="D659" s="639" t="s">
        <v>62</v>
      </c>
      <c r="E659" s="640">
        <v>1000</v>
      </c>
      <c r="F659" s="639" t="s">
        <v>217</v>
      </c>
      <c r="G659" s="567" t="s">
        <v>57</v>
      </c>
      <c r="H659" s="639" t="s">
        <v>33</v>
      </c>
      <c r="I659" s="669">
        <v>5112000000</v>
      </c>
      <c r="J659" s="639" t="s">
        <v>34</v>
      </c>
      <c r="K659" s="640">
        <v>2003</v>
      </c>
      <c r="L659" s="639" t="s">
        <v>503</v>
      </c>
      <c r="M659" s="668" t="s">
        <v>504</v>
      </c>
      <c r="N659" s="632">
        <v>0.75</v>
      </c>
      <c r="O659" s="564" t="s">
        <v>430</v>
      </c>
      <c r="P659" s="633" t="s">
        <v>38</v>
      </c>
      <c r="Q659" s="565" t="s">
        <v>487</v>
      </c>
      <c r="R659" s="634" t="s">
        <v>38</v>
      </c>
      <c r="S659" s="55"/>
      <c r="T659" s="576"/>
      <c r="U659" s="575"/>
      <c r="V659" s="575"/>
      <c r="W659" s="575"/>
      <c r="X659" s="613"/>
      <c r="Y659" s="613"/>
      <c r="Z659" s="613"/>
      <c r="AA659" s="613"/>
      <c r="AC659" s="585"/>
      <c r="AD659" s="585"/>
      <c r="AE659" s="585"/>
      <c r="AF659" s="585"/>
      <c r="AG659" s="585"/>
      <c r="AH659" s="585"/>
      <c r="AI659" s="585"/>
      <c r="AJ659" s="585"/>
      <c r="AK659" s="585"/>
      <c r="AL659" s="585"/>
    </row>
    <row r="660" spans="1:38" ht="17.5" customHeight="1">
      <c r="A660" s="564">
        <v>544</v>
      </c>
      <c r="B660" s="639" t="s">
        <v>505</v>
      </c>
      <c r="C660" s="639" t="s">
        <v>61</v>
      </c>
      <c r="D660" s="639" t="s">
        <v>107</v>
      </c>
      <c r="E660" s="640">
        <v>1000</v>
      </c>
      <c r="F660" s="639" t="s">
        <v>217</v>
      </c>
      <c r="G660" s="567" t="s">
        <v>57</v>
      </c>
      <c r="H660" s="639" t="s">
        <v>33</v>
      </c>
      <c r="I660" s="669">
        <v>5582000000</v>
      </c>
      <c r="J660" s="639" t="s">
        <v>34</v>
      </c>
      <c r="K660" s="640">
        <v>2003</v>
      </c>
      <c r="L660" s="639" t="s">
        <v>503</v>
      </c>
      <c r="M660" s="668" t="s">
        <v>504</v>
      </c>
      <c r="N660" s="632">
        <v>0.75</v>
      </c>
      <c r="O660" s="564" t="s">
        <v>430</v>
      </c>
      <c r="P660" s="633" t="s">
        <v>38</v>
      </c>
      <c r="Q660" s="565" t="s">
        <v>487</v>
      </c>
      <c r="R660" s="634" t="s">
        <v>38</v>
      </c>
      <c r="S660" s="55"/>
      <c r="T660" s="576"/>
      <c r="U660" s="575"/>
      <c r="V660" s="575"/>
      <c r="W660" s="575"/>
      <c r="X660" s="579"/>
      <c r="Y660" s="579"/>
      <c r="Z660" s="579"/>
      <c r="AA660" s="579"/>
      <c r="AC660" s="585"/>
      <c r="AD660" s="585"/>
      <c r="AE660" s="585"/>
      <c r="AF660" s="585"/>
      <c r="AG660" s="585"/>
      <c r="AH660" s="585"/>
      <c r="AI660" s="585"/>
      <c r="AJ660" s="585"/>
      <c r="AK660" s="585"/>
      <c r="AL660" s="585"/>
    </row>
    <row r="661" spans="1:38" ht="34.5" customHeight="1">
      <c r="A661" s="564">
        <v>545</v>
      </c>
      <c r="B661" s="639" t="s">
        <v>501</v>
      </c>
      <c r="C661" s="639" t="s">
        <v>61</v>
      </c>
      <c r="D661" s="639" t="s">
        <v>278</v>
      </c>
      <c r="E661" s="640">
        <v>1000</v>
      </c>
      <c r="F661" s="639" t="s">
        <v>217</v>
      </c>
      <c r="G661" s="567" t="s">
        <v>57</v>
      </c>
      <c r="H661" s="639" t="s">
        <v>33</v>
      </c>
      <c r="I661" s="669">
        <v>6239000000</v>
      </c>
      <c r="J661" s="639" t="s">
        <v>34</v>
      </c>
      <c r="K661" s="640">
        <v>2003</v>
      </c>
      <c r="L661" s="639" t="s">
        <v>503</v>
      </c>
      <c r="M661" s="668" t="s">
        <v>504</v>
      </c>
      <c r="N661" s="632">
        <v>0.75</v>
      </c>
      <c r="O661" s="564" t="s">
        <v>430</v>
      </c>
      <c r="P661" s="633" t="s">
        <v>38</v>
      </c>
      <c r="Q661" s="565" t="s">
        <v>487</v>
      </c>
      <c r="R661" s="634" t="s">
        <v>38</v>
      </c>
      <c r="S661" s="55"/>
      <c r="T661" s="576"/>
      <c r="U661" s="575"/>
      <c r="V661" s="575"/>
      <c r="W661" s="575"/>
      <c r="X661" s="579"/>
      <c r="Y661" s="579"/>
      <c r="Z661" s="579"/>
      <c r="AA661" s="579"/>
      <c r="AC661" s="585"/>
      <c r="AD661" s="585"/>
      <c r="AE661" s="585"/>
      <c r="AF661" s="585"/>
      <c r="AG661" s="585"/>
      <c r="AH661" s="585"/>
      <c r="AI661" s="585"/>
      <c r="AJ661" s="585"/>
      <c r="AK661" s="585"/>
      <c r="AL661" s="585"/>
    </row>
    <row r="662" spans="1:38" ht="23.5" customHeight="1">
      <c r="A662" s="564">
        <v>546</v>
      </c>
      <c r="B662" s="639" t="s">
        <v>497</v>
      </c>
      <c r="C662" s="639" t="s">
        <v>61</v>
      </c>
      <c r="D662" s="639" t="s">
        <v>62</v>
      </c>
      <c r="E662" s="640">
        <v>1000</v>
      </c>
      <c r="F662" s="639" t="s">
        <v>116</v>
      </c>
      <c r="G662" s="567" t="s">
        <v>57</v>
      </c>
      <c r="H662" s="639" t="s">
        <v>76</v>
      </c>
      <c r="I662" s="669">
        <v>13</v>
      </c>
      <c r="J662" s="639" t="s">
        <v>77</v>
      </c>
      <c r="K662" s="640">
        <v>2003</v>
      </c>
      <c r="L662" s="639" t="s">
        <v>503</v>
      </c>
      <c r="M662" s="668" t="s">
        <v>504</v>
      </c>
      <c r="N662" s="633" t="s">
        <v>122</v>
      </c>
      <c r="O662" s="634" t="s">
        <v>38</v>
      </c>
      <c r="P662" s="633" t="s">
        <v>38</v>
      </c>
      <c r="Q662" s="633" t="s">
        <v>38</v>
      </c>
      <c r="R662" s="634" t="s">
        <v>38</v>
      </c>
      <c r="S662" s="55"/>
      <c r="T662" s="576"/>
      <c r="U662" s="575"/>
      <c r="V662" s="575"/>
      <c r="W662" s="575"/>
      <c r="X662" s="579"/>
      <c r="Y662" s="579"/>
      <c r="Z662" s="579"/>
      <c r="AA662" s="579"/>
      <c r="AC662" s="585"/>
      <c r="AD662" s="585"/>
      <c r="AE662" s="585"/>
      <c r="AF662" s="585"/>
      <c r="AG662" s="585"/>
      <c r="AH662" s="585"/>
      <c r="AI662" s="585"/>
      <c r="AJ662" s="585"/>
      <c r="AK662" s="585"/>
      <c r="AL662" s="585"/>
    </row>
    <row r="663" spans="1:38" ht="13" customHeight="1">
      <c r="A663" s="564">
        <v>547</v>
      </c>
      <c r="B663" s="639" t="s">
        <v>505</v>
      </c>
      <c r="C663" s="639" t="s">
        <v>61</v>
      </c>
      <c r="D663" s="639" t="s">
        <v>107</v>
      </c>
      <c r="E663" s="640">
        <v>1000</v>
      </c>
      <c r="F663" s="639" t="s">
        <v>116</v>
      </c>
      <c r="G663" s="567" t="s">
        <v>57</v>
      </c>
      <c r="H663" s="639" t="s">
        <v>76</v>
      </c>
      <c r="I663" s="669">
        <v>14.4</v>
      </c>
      <c r="J663" s="639" t="s">
        <v>77</v>
      </c>
      <c r="K663" s="640">
        <v>2003</v>
      </c>
      <c r="L663" s="639" t="s">
        <v>503</v>
      </c>
      <c r="M663" s="668" t="s">
        <v>504</v>
      </c>
      <c r="N663" s="633" t="s">
        <v>122</v>
      </c>
      <c r="O663" s="634" t="s">
        <v>38</v>
      </c>
      <c r="P663" s="633" t="s">
        <v>38</v>
      </c>
      <c r="Q663" s="633" t="s">
        <v>38</v>
      </c>
      <c r="R663" s="634" t="s">
        <v>38</v>
      </c>
      <c r="S663" s="55"/>
      <c r="T663" s="576"/>
      <c r="U663" s="575"/>
      <c r="V663" s="575"/>
      <c r="W663" s="575"/>
      <c r="X663" s="579"/>
      <c r="Y663" s="579"/>
      <c r="Z663" s="579"/>
      <c r="AA663" s="579"/>
      <c r="AC663" s="585"/>
      <c r="AD663" s="585"/>
      <c r="AE663" s="585"/>
      <c r="AF663" s="585"/>
      <c r="AG663" s="585"/>
      <c r="AH663" s="585"/>
      <c r="AI663" s="585"/>
      <c r="AJ663" s="585"/>
      <c r="AK663" s="585"/>
      <c r="AL663" s="585"/>
    </row>
    <row r="664" spans="1:38" ht="16.5" customHeight="1">
      <c r="A664" s="564">
        <v>548</v>
      </c>
      <c r="B664" s="639" t="s">
        <v>501</v>
      </c>
      <c r="C664" s="639" t="s">
        <v>61</v>
      </c>
      <c r="D664" s="639" t="s">
        <v>278</v>
      </c>
      <c r="E664" s="640">
        <v>1000</v>
      </c>
      <c r="F664" s="639" t="s">
        <v>116</v>
      </c>
      <c r="G664" s="567" t="s">
        <v>57</v>
      </c>
      <c r="H664" s="639" t="s">
        <v>76</v>
      </c>
      <c r="I664" s="669">
        <v>11</v>
      </c>
      <c r="J664" s="639" t="s">
        <v>77</v>
      </c>
      <c r="K664" s="640">
        <v>2003</v>
      </c>
      <c r="L664" s="639" t="s">
        <v>503</v>
      </c>
      <c r="M664" s="668" t="s">
        <v>504</v>
      </c>
      <c r="N664" s="633" t="s">
        <v>122</v>
      </c>
      <c r="O664" s="634" t="s">
        <v>38</v>
      </c>
      <c r="P664" s="633" t="s">
        <v>38</v>
      </c>
      <c r="Q664" s="633" t="s">
        <v>38</v>
      </c>
      <c r="R664" s="634" t="s">
        <v>38</v>
      </c>
      <c r="S664" s="55"/>
      <c r="T664" s="576"/>
      <c r="U664" s="575"/>
      <c r="V664" s="575"/>
      <c r="W664" s="575"/>
      <c r="X664" s="579"/>
      <c r="Y664" s="579"/>
      <c r="Z664" s="579"/>
      <c r="AA664" s="579"/>
      <c r="AC664" s="585"/>
      <c r="AD664" s="585"/>
      <c r="AE664" s="585"/>
      <c r="AF664" s="585"/>
      <c r="AG664" s="585"/>
      <c r="AH664" s="585"/>
      <c r="AI664" s="585"/>
      <c r="AJ664" s="585"/>
      <c r="AK664" s="585"/>
      <c r="AL664" s="585"/>
    </row>
    <row r="665" spans="1:38" ht="13" customHeight="1">
      <c r="A665" s="564">
        <v>549</v>
      </c>
      <c r="B665" s="639" t="s">
        <v>497</v>
      </c>
      <c r="C665" s="639" t="s">
        <v>61</v>
      </c>
      <c r="D665" s="639" t="s">
        <v>62</v>
      </c>
      <c r="E665" s="640">
        <v>1000</v>
      </c>
      <c r="F665" s="639" t="s">
        <v>63</v>
      </c>
      <c r="G665" s="567" t="s">
        <v>57</v>
      </c>
      <c r="H665" s="639" t="s">
        <v>76</v>
      </c>
      <c r="I665" s="669">
        <v>0.04</v>
      </c>
      <c r="J665" s="639" t="s">
        <v>77</v>
      </c>
      <c r="K665" s="640">
        <v>2003</v>
      </c>
      <c r="L665" s="639" t="s">
        <v>503</v>
      </c>
      <c r="M665" s="668" t="s">
        <v>504</v>
      </c>
      <c r="N665" s="633" t="s">
        <v>122</v>
      </c>
      <c r="O665" s="634" t="s">
        <v>38</v>
      </c>
      <c r="P665" s="633" t="s">
        <v>38</v>
      </c>
      <c r="Q665" s="633" t="s">
        <v>38</v>
      </c>
      <c r="R665" s="634" t="s">
        <v>38</v>
      </c>
      <c r="S665" s="55"/>
      <c r="T665" s="576"/>
      <c r="U665" s="575"/>
      <c r="V665" s="575"/>
      <c r="W665" s="575"/>
      <c r="X665" s="579"/>
      <c r="Y665" s="579"/>
      <c r="Z665" s="579"/>
      <c r="AA665" s="579"/>
      <c r="AC665" s="585"/>
      <c r="AD665" s="585"/>
      <c r="AE665" s="585"/>
      <c r="AF665" s="585"/>
      <c r="AG665" s="585"/>
      <c r="AH665" s="585"/>
      <c r="AI665" s="585"/>
      <c r="AJ665" s="585"/>
      <c r="AK665" s="585"/>
      <c r="AL665" s="585"/>
    </row>
    <row r="666" spans="1:38" ht="30" customHeight="1">
      <c r="A666" s="564">
        <v>550</v>
      </c>
      <c r="B666" s="639" t="s">
        <v>505</v>
      </c>
      <c r="C666" s="639" t="s">
        <v>61</v>
      </c>
      <c r="D666" s="639" t="s">
        <v>107</v>
      </c>
      <c r="E666" s="640">
        <v>1000</v>
      </c>
      <c r="F666" s="639" t="s">
        <v>63</v>
      </c>
      <c r="G666" s="567" t="s">
        <v>57</v>
      </c>
      <c r="H666" s="639" t="s">
        <v>76</v>
      </c>
      <c r="I666" s="669">
        <v>0.04</v>
      </c>
      <c r="J666" s="639" t="s">
        <v>77</v>
      </c>
      <c r="K666" s="640">
        <v>2003</v>
      </c>
      <c r="L666" s="639" t="s">
        <v>503</v>
      </c>
      <c r="M666" s="668" t="s">
        <v>504</v>
      </c>
      <c r="N666" s="633" t="s">
        <v>122</v>
      </c>
      <c r="O666" s="634" t="s">
        <v>38</v>
      </c>
      <c r="P666" s="633" t="s">
        <v>38</v>
      </c>
      <c r="Q666" s="633" t="s">
        <v>38</v>
      </c>
      <c r="R666" s="634" t="s">
        <v>38</v>
      </c>
      <c r="S666" s="55"/>
      <c r="T666" s="576"/>
      <c r="U666" s="575"/>
      <c r="V666" s="575"/>
      <c r="W666" s="575"/>
      <c r="X666" s="579"/>
      <c r="Y666" s="579"/>
      <c r="Z666" s="579"/>
      <c r="AA666" s="579"/>
      <c r="AC666" s="585"/>
      <c r="AD666" s="585"/>
      <c r="AE666" s="585"/>
      <c r="AF666" s="585"/>
      <c r="AG666" s="585"/>
      <c r="AH666" s="585"/>
      <c r="AI666" s="585"/>
      <c r="AJ666" s="585"/>
      <c r="AK666" s="585"/>
      <c r="AL666" s="585"/>
    </row>
    <row r="667" spans="1:38" ht="28" customHeight="1">
      <c r="A667" s="564">
        <v>551</v>
      </c>
      <c r="B667" s="639" t="s">
        <v>501</v>
      </c>
      <c r="C667" s="639" t="s">
        <v>61</v>
      </c>
      <c r="D667" s="639" t="s">
        <v>278</v>
      </c>
      <c r="E667" s="640">
        <v>1000</v>
      </c>
      <c r="F667" s="639" t="s">
        <v>63</v>
      </c>
      <c r="G667" s="567" t="s">
        <v>57</v>
      </c>
      <c r="H667" s="639" t="s">
        <v>76</v>
      </c>
      <c r="I667" s="669">
        <v>0.04</v>
      </c>
      <c r="J667" s="639" t="s">
        <v>77</v>
      </c>
      <c r="K667" s="640">
        <v>2003</v>
      </c>
      <c r="L667" s="639" t="s">
        <v>503</v>
      </c>
      <c r="M667" s="668" t="s">
        <v>504</v>
      </c>
      <c r="N667" s="633" t="s">
        <v>122</v>
      </c>
      <c r="O667" s="634" t="s">
        <v>38</v>
      </c>
      <c r="P667" s="633" t="s">
        <v>38</v>
      </c>
      <c r="Q667" s="633" t="s">
        <v>38</v>
      </c>
      <c r="R667" s="634" t="s">
        <v>38</v>
      </c>
      <c r="S667" s="55"/>
      <c r="T667" s="576"/>
      <c r="U667" s="575"/>
      <c r="V667" s="575"/>
      <c r="W667" s="575"/>
      <c r="X667" s="579"/>
      <c r="Y667" s="579"/>
      <c r="Z667" s="579"/>
      <c r="AA667" s="579"/>
      <c r="AC667" s="585"/>
      <c r="AD667" s="585"/>
      <c r="AE667" s="585"/>
      <c r="AF667" s="585"/>
      <c r="AG667" s="585"/>
      <c r="AH667" s="585"/>
      <c r="AI667" s="585"/>
      <c r="AJ667" s="585"/>
      <c r="AK667" s="585"/>
      <c r="AL667" s="585"/>
    </row>
    <row r="668" spans="1:38" ht="13" customHeight="1">
      <c r="A668" s="564">
        <v>552</v>
      </c>
      <c r="B668" s="639" t="s">
        <v>497</v>
      </c>
      <c r="C668" s="639" t="s">
        <v>61</v>
      </c>
      <c r="D668" s="639" t="s">
        <v>62</v>
      </c>
      <c r="E668" s="640">
        <v>1000</v>
      </c>
      <c r="F668" s="639" t="s">
        <v>493</v>
      </c>
      <c r="G668" s="567" t="s">
        <v>57</v>
      </c>
      <c r="H668" s="639" t="s">
        <v>76</v>
      </c>
      <c r="I668" s="669">
        <v>0.6</v>
      </c>
      <c r="J668" s="639" t="s">
        <v>77</v>
      </c>
      <c r="K668" s="640">
        <v>2003</v>
      </c>
      <c r="L668" s="639" t="s">
        <v>503</v>
      </c>
      <c r="M668" s="668" t="s">
        <v>504</v>
      </c>
      <c r="N668" s="633" t="s">
        <v>122</v>
      </c>
      <c r="O668" s="634" t="s">
        <v>38</v>
      </c>
      <c r="P668" s="633" t="s">
        <v>38</v>
      </c>
      <c r="Q668" s="633" t="s">
        <v>38</v>
      </c>
      <c r="R668" s="634" t="s">
        <v>38</v>
      </c>
      <c r="S668" s="55"/>
      <c r="T668" s="576"/>
      <c r="U668" s="575"/>
      <c r="V668" s="575"/>
      <c r="W668" s="575"/>
      <c r="X668" s="579"/>
      <c r="Y668" s="579"/>
      <c r="Z668" s="579"/>
      <c r="AA668" s="579"/>
      <c r="AC668" s="585"/>
      <c r="AD668" s="585"/>
      <c r="AE668" s="585"/>
      <c r="AF668" s="585"/>
      <c r="AG668" s="585"/>
      <c r="AH668" s="585"/>
      <c r="AI668" s="585"/>
      <c r="AJ668" s="585"/>
      <c r="AK668" s="585"/>
      <c r="AL668" s="585"/>
    </row>
    <row r="669" spans="1:38" ht="33" customHeight="1">
      <c r="A669" s="564">
        <v>553</v>
      </c>
      <c r="B669" s="639" t="s">
        <v>505</v>
      </c>
      <c r="C669" s="639" t="s">
        <v>61</v>
      </c>
      <c r="D669" s="639" t="s">
        <v>107</v>
      </c>
      <c r="E669" s="640">
        <v>1000</v>
      </c>
      <c r="F669" s="639" t="s">
        <v>493</v>
      </c>
      <c r="G669" s="567" t="s">
        <v>57</v>
      </c>
      <c r="H669" s="639" t="s">
        <v>76</v>
      </c>
      <c r="I669" s="669">
        <v>0.6</v>
      </c>
      <c r="J669" s="639" t="s">
        <v>77</v>
      </c>
      <c r="K669" s="640">
        <v>2003</v>
      </c>
      <c r="L669" s="639" t="s">
        <v>503</v>
      </c>
      <c r="M669" s="668" t="s">
        <v>504</v>
      </c>
      <c r="N669" s="633" t="s">
        <v>122</v>
      </c>
      <c r="O669" s="634" t="s">
        <v>38</v>
      </c>
      <c r="P669" s="633" t="s">
        <v>38</v>
      </c>
      <c r="Q669" s="633" t="s">
        <v>38</v>
      </c>
      <c r="R669" s="634" t="s">
        <v>38</v>
      </c>
      <c r="S669" s="55"/>
      <c r="T669" s="576"/>
      <c r="U669" s="575"/>
      <c r="V669" s="575"/>
      <c r="W669" s="575"/>
      <c r="X669" s="579"/>
      <c r="Y669" s="579"/>
      <c r="Z669" s="579"/>
      <c r="AA669" s="579"/>
      <c r="AC669" s="585"/>
      <c r="AD669" s="585"/>
      <c r="AE669" s="585"/>
      <c r="AF669" s="585"/>
      <c r="AG669" s="585"/>
      <c r="AH669" s="585"/>
      <c r="AI669" s="585"/>
      <c r="AJ669" s="585"/>
      <c r="AK669" s="585"/>
      <c r="AL669" s="585"/>
    </row>
    <row r="670" spans="1:38" ht="31.5" customHeight="1">
      <c r="A670" s="564">
        <v>554</v>
      </c>
      <c r="B670" s="639" t="s">
        <v>501</v>
      </c>
      <c r="C670" s="639" t="s">
        <v>61</v>
      </c>
      <c r="D670" s="639" t="s">
        <v>278</v>
      </c>
      <c r="E670" s="640">
        <v>1000</v>
      </c>
      <c r="F670" s="639" t="s">
        <v>493</v>
      </c>
      <c r="G670" s="567" t="s">
        <v>57</v>
      </c>
      <c r="H670" s="639" t="s">
        <v>76</v>
      </c>
      <c r="I670" s="669">
        <v>0.6</v>
      </c>
      <c r="J670" s="639" t="s">
        <v>77</v>
      </c>
      <c r="K670" s="640">
        <v>2003</v>
      </c>
      <c r="L670" s="639" t="s">
        <v>503</v>
      </c>
      <c r="M670" s="668" t="s">
        <v>504</v>
      </c>
      <c r="N670" s="633" t="s">
        <v>122</v>
      </c>
      <c r="O670" s="634" t="s">
        <v>38</v>
      </c>
      <c r="P670" s="633" t="s">
        <v>38</v>
      </c>
      <c r="Q670" s="633" t="s">
        <v>38</v>
      </c>
      <c r="R670" s="634" t="s">
        <v>38</v>
      </c>
      <c r="S670" s="55"/>
      <c r="T670" s="576"/>
      <c r="U670" s="575"/>
      <c r="V670" s="575"/>
      <c r="W670" s="575"/>
      <c r="X670" s="579"/>
      <c r="Y670" s="579"/>
      <c r="Z670" s="579"/>
      <c r="AA670" s="579"/>
      <c r="AC670" s="585"/>
      <c r="AD670" s="585"/>
      <c r="AE670" s="585"/>
      <c r="AF670" s="585"/>
      <c r="AG670" s="585"/>
      <c r="AH670" s="585"/>
      <c r="AI670" s="585"/>
      <c r="AJ670" s="585"/>
      <c r="AK670" s="585"/>
      <c r="AL670" s="585"/>
    </row>
    <row r="671" spans="1:38" ht="13" customHeight="1">
      <c r="A671" s="564">
        <v>555</v>
      </c>
      <c r="B671" s="639" t="s">
        <v>497</v>
      </c>
      <c r="C671" s="639" t="s">
        <v>61</v>
      </c>
      <c r="D671" s="639" t="s">
        <v>62</v>
      </c>
      <c r="E671" s="640">
        <v>1000</v>
      </c>
      <c r="F671" s="639" t="s">
        <v>115</v>
      </c>
      <c r="G671" s="567" t="s">
        <v>57</v>
      </c>
      <c r="H671" s="639" t="s">
        <v>76</v>
      </c>
      <c r="I671" s="669">
        <v>8.89</v>
      </c>
      <c r="J671" s="639" t="s">
        <v>77</v>
      </c>
      <c r="K671" s="640">
        <v>2003</v>
      </c>
      <c r="L671" s="639" t="s">
        <v>503</v>
      </c>
      <c r="M671" s="668" t="s">
        <v>504</v>
      </c>
      <c r="N671" s="633" t="s">
        <v>122</v>
      </c>
      <c r="O671" s="634" t="s">
        <v>38</v>
      </c>
      <c r="P671" s="633" t="s">
        <v>38</v>
      </c>
      <c r="Q671" s="633" t="s">
        <v>38</v>
      </c>
      <c r="R671" s="634" t="s">
        <v>38</v>
      </c>
      <c r="S671" s="55"/>
      <c r="T671" s="576"/>
      <c r="U671" s="575"/>
      <c r="V671" s="575"/>
      <c r="W671" s="575"/>
      <c r="X671" s="579"/>
      <c r="Y671" s="579"/>
      <c r="Z671" s="579"/>
      <c r="AA671" s="579"/>
      <c r="AC671" s="585"/>
      <c r="AD671" s="585"/>
      <c r="AE671" s="585"/>
      <c r="AF671" s="585"/>
      <c r="AG671" s="585"/>
      <c r="AH671" s="585"/>
      <c r="AI671" s="585"/>
      <c r="AJ671" s="585"/>
      <c r="AK671" s="585"/>
      <c r="AL671" s="585"/>
    </row>
    <row r="672" spans="1:38" ht="26.5" customHeight="1">
      <c r="A672" s="564">
        <v>556</v>
      </c>
      <c r="B672" s="639" t="s">
        <v>505</v>
      </c>
      <c r="C672" s="639" t="s">
        <v>61</v>
      </c>
      <c r="D672" s="639" t="s">
        <v>107</v>
      </c>
      <c r="E672" s="640">
        <v>1000</v>
      </c>
      <c r="F672" s="639" t="s">
        <v>115</v>
      </c>
      <c r="G672" s="567" t="s">
        <v>57</v>
      </c>
      <c r="H672" s="639" t="s">
        <v>76</v>
      </c>
      <c r="I672" s="669">
        <v>6.18</v>
      </c>
      <c r="J672" s="639" t="s">
        <v>77</v>
      </c>
      <c r="K672" s="640">
        <v>2003</v>
      </c>
      <c r="L672" s="639" t="s">
        <v>503</v>
      </c>
      <c r="M672" s="668" t="s">
        <v>504</v>
      </c>
      <c r="N672" s="633" t="s">
        <v>122</v>
      </c>
      <c r="O672" s="634" t="s">
        <v>38</v>
      </c>
      <c r="P672" s="633" t="s">
        <v>38</v>
      </c>
      <c r="Q672" s="633" t="s">
        <v>38</v>
      </c>
      <c r="R672" s="634" t="s">
        <v>38</v>
      </c>
      <c r="S672" s="55"/>
      <c r="T672" s="576"/>
      <c r="U672" s="575"/>
      <c r="V672" s="575"/>
      <c r="W672" s="575"/>
      <c r="X672" s="579"/>
      <c r="Y672" s="579"/>
      <c r="Z672" s="579"/>
      <c r="AA672" s="579"/>
      <c r="AB672" s="598"/>
      <c r="AC672" s="585"/>
      <c r="AD672" s="585"/>
      <c r="AE672" s="585"/>
      <c r="AF672" s="585"/>
      <c r="AG672" s="585"/>
      <c r="AH672" s="585"/>
      <c r="AI672" s="585"/>
      <c r="AJ672" s="585"/>
      <c r="AK672" s="585"/>
      <c r="AL672" s="585"/>
    </row>
    <row r="673" spans="1:38" ht="38.5" customHeight="1">
      <c r="A673" s="564">
        <v>557</v>
      </c>
      <c r="B673" s="639" t="s">
        <v>501</v>
      </c>
      <c r="C673" s="639" t="s">
        <v>61</v>
      </c>
      <c r="D673" s="639" t="s">
        <v>278</v>
      </c>
      <c r="E673" s="640">
        <v>1000</v>
      </c>
      <c r="F673" s="639" t="s">
        <v>115</v>
      </c>
      <c r="G673" s="567" t="s">
        <v>57</v>
      </c>
      <c r="H673" s="639" t="s">
        <v>76</v>
      </c>
      <c r="I673" s="669">
        <v>6.9</v>
      </c>
      <c r="J673" s="639" t="s">
        <v>77</v>
      </c>
      <c r="K673" s="640">
        <v>2003</v>
      </c>
      <c r="L673" s="639" t="s">
        <v>503</v>
      </c>
      <c r="M673" s="668" t="s">
        <v>504</v>
      </c>
      <c r="N673" s="633" t="s">
        <v>122</v>
      </c>
      <c r="O673" s="634" t="s">
        <v>38</v>
      </c>
      <c r="P673" s="633" t="s">
        <v>38</v>
      </c>
      <c r="Q673" s="633" t="s">
        <v>38</v>
      </c>
      <c r="R673" s="634" t="s">
        <v>38</v>
      </c>
      <c r="S673" s="55"/>
      <c r="T673" s="576"/>
      <c r="U673" s="575"/>
      <c r="V673" s="575"/>
      <c r="W673" s="575"/>
      <c r="X673" s="579"/>
      <c r="Y673" s="579"/>
      <c r="Z673" s="579"/>
      <c r="AA673" s="579"/>
      <c r="AB673" s="598"/>
      <c r="AC673" s="585"/>
      <c r="AD673" s="585"/>
      <c r="AE673" s="585"/>
      <c r="AF673" s="585"/>
      <c r="AG673" s="585"/>
      <c r="AH673" s="585"/>
      <c r="AI673" s="585"/>
      <c r="AJ673" s="585"/>
      <c r="AK673" s="585"/>
      <c r="AL673" s="585"/>
    </row>
    <row r="674" spans="1:38" ht="13" customHeight="1">
      <c r="A674" s="564">
        <v>558</v>
      </c>
      <c r="B674" s="639" t="s">
        <v>497</v>
      </c>
      <c r="C674" s="639" t="s">
        <v>61</v>
      </c>
      <c r="D674" s="639" t="s">
        <v>62</v>
      </c>
      <c r="E674" s="640">
        <v>1000</v>
      </c>
      <c r="F674" s="639" t="s">
        <v>108</v>
      </c>
      <c r="G674" s="567" t="s">
        <v>57</v>
      </c>
      <c r="H674" s="639" t="s">
        <v>76</v>
      </c>
      <c r="I674" s="669">
        <v>98</v>
      </c>
      <c r="J674" s="639" t="s">
        <v>77</v>
      </c>
      <c r="K674" s="640">
        <v>2003</v>
      </c>
      <c r="L674" s="639" t="s">
        <v>503</v>
      </c>
      <c r="M674" s="668" t="s">
        <v>504</v>
      </c>
      <c r="N674" s="632">
        <v>0.75</v>
      </c>
      <c r="O674" s="564" t="s">
        <v>430</v>
      </c>
      <c r="P674" s="633" t="s">
        <v>38</v>
      </c>
      <c r="Q674" s="633" t="s">
        <v>38</v>
      </c>
      <c r="R674" s="634" t="s">
        <v>38</v>
      </c>
      <c r="S674" s="55"/>
      <c r="T674" s="576"/>
      <c r="U674" s="575"/>
      <c r="V674" s="575"/>
      <c r="W674" s="575"/>
      <c r="X674" s="579"/>
      <c r="Y674" s="579"/>
      <c r="Z674" s="579"/>
      <c r="AA674" s="579"/>
      <c r="AB674" s="598"/>
      <c r="AC674" s="585"/>
      <c r="AD674" s="585"/>
      <c r="AE674" s="585"/>
      <c r="AF674" s="585"/>
      <c r="AG674" s="585"/>
      <c r="AH674" s="585"/>
      <c r="AI674" s="585"/>
      <c r="AJ674" s="585"/>
      <c r="AK674" s="585"/>
      <c r="AL674" s="585"/>
    </row>
    <row r="675" spans="1:38" ht="13" customHeight="1">
      <c r="A675" s="564">
        <v>559</v>
      </c>
      <c r="B675" s="639" t="s">
        <v>505</v>
      </c>
      <c r="C675" s="639" t="s">
        <v>61</v>
      </c>
      <c r="D675" s="639" t="s">
        <v>107</v>
      </c>
      <c r="E675" s="640">
        <v>1000</v>
      </c>
      <c r="F675" s="639" t="s">
        <v>108</v>
      </c>
      <c r="G675" s="567" t="s">
        <v>57</v>
      </c>
      <c r="H675" s="639" t="s">
        <v>76</v>
      </c>
      <c r="I675" s="669">
        <v>104</v>
      </c>
      <c r="J675" s="639" t="s">
        <v>77</v>
      </c>
      <c r="K675" s="640">
        <v>2003</v>
      </c>
      <c r="L675" s="639" t="s">
        <v>503</v>
      </c>
      <c r="M675" s="668" t="s">
        <v>504</v>
      </c>
      <c r="N675" s="632">
        <v>0.75</v>
      </c>
      <c r="O675" s="564" t="s">
        <v>430</v>
      </c>
      <c r="P675" s="633" t="s">
        <v>38</v>
      </c>
      <c r="Q675" s="633" t="s">
        <v>38</v>
      </c>
      <c r="R675" s="634" t="s">
        <v>38</v>
      </c>
      <c r="S675" s="55"/>
      <c r="T675" s="576"/>
      <c r="U675" s="575"/>
      <c r="V675" s="575"/>
      <c r="W675" s="575"/>
      <c r="X675" s="579"/>
      <c r="Y675" s="579"/>
      <c r="Z675" s="579"/>
      <c r="AA675" s="579"/>
      <c r="AB675" s="598"/>
      <c r="AC675" s="585"/>
      <c r="AD675" s="585"/>
      <c r="AE675" s="585"/>
      <c r="AF675" s="585"/>
      <c r="AG675" s="585"/>
      <c r="AH675" s="585"/>
      <c r="AI675" s="585"/>
      <c r="AJ675" s="585"/>
      <c r="AK675" s="585"/>
      <c r="AL675" s="585"/>
    </row>
    <row r="676" spans="1:38" ht="13" customHeight="1">
      <c r="A676" s="564">
        <v>560</v>
      </c>
      <c r="B676" s="639" t="s">
        <v>501</v>
      </c>
      <c r="C676" s="639" t="s">
        <v>61</v>
      </c>
      <c r="D676" s="639" t="s">
        <v>278</v>
      </c>
      <c r="E676" s="640">
        <v>1000</v>
      </c>
      <c r="F676" s="639" t="s">
        <v>108</v>
      </c>
      <c r="G676" s="567" t="s">
        <v>57</v>
      </c>
      <c r="H676" s="639" t="s">
        <v>76</v>
      </c>
      <c r="I676" s="669">
        <v>111</v>
      </c>
      <c r="J676" s="639" t="s">
        <v>77</v>
      </c>
      <c r="K676" s="640">
        <v>2003</v>
      </c>
      <c r="L676" s="639" t="s">
        <v>503</v>
      </c>
      <c r="M676" s="668" t="s">
        <v>504</v>
      </c>
      <c r="N676" s="632">
        <v>0.75</v>
      </c>
      <c r="O676" s="564" t="s">
        <v>430</v>
      </c>
      <c r="P676" s="633" t="s">
        <v>38</v>
      </c>
      <c r="Q676" s="633" t="s">
        <v>38</v>
      </c>
      <c r="R676" s="634" t="s">
        <v>38</v>
      </c>
      <c r="S676" s="55"/>
      <c r="T676" s="576"/>
      <c r="U676" s="575"/>
      <c r="V676" s="575"/>
      <c r="W676" s="575"/>
      <c r="X676" s="579"/>
      <c r="Y676" s="579"/>
      <c r="Z676" s="579"/>
      <c r="AA676" s="579"/>
      <c r="AB676" s="598"/>
      <c r="AC676" s="585"/>
      <c r="AD676" s="585"/>
      <c r="AE676" s="585"/>
      <c r="AF676" s="585"/>
      <c r="AG676" s="585"/>
      <c r="AH676" s="585"/>
      <c r="AI676" s="585"/>
      <c r="AJ676" s="585"/>
      <c r="AK676" s="585"/>
      <c r="AL676" s="585"/>
    </row>
    <row r="677" spans="1:38" ht="13" customHeight="1">
      <c r="A677" s="564">
        <v>561</v>
      </c>
      <c r="B677" s="639" t="s">
        <v>506</v>
      </c>
      <c r="C677" s="670" t="s">
        <v>61</v>
      </c>
      <c r="D677" s="639" t="s">
        <v>62</v>
      </c>
      <c r="E677" s="669">
        <v>1000</v>
      </c>
      <c r="F677" s="670" t="s">
        <v>217</v>
      </c>
      <c r="G677" s="567" t="s">
        <v>57</v>
      </c>
      <c r="H677" s="670" t="s">
        <v>33</v>
      </c>
      <c r="I677" s="669">
        <v>4645000000</v>
      </c>
      <c r="J677" s="670" t="s">
        <v>34</v>
      </c>
      <c r="K677" s="640">
        <v>2011</v>
      </c>
      <c r="L677" s="639" t="s">
        <v>507</v>
      </c>
      <c r="M677" s="668" t="s">
        <v>504</v>
      </c>
      <c r="N677" s="632">
        <v>0.75</v>
      </c>
      <c r="O677" s="633" t="s">
        <v>38</v>
      </c>
      <c r="P677" s="633" t="s">
        <v>38</v>
      </c>
      <c r="Q677" s="633" t="s">
        <v>38</v>
      </c>
      <c r="R677" s="634" t="s">
        <v>38</v>
      </c>
      <c r="S677" s="55"/>
      <c r="T677" s="576"/>
      <c r="U677" s="575"/>
      <c r="V677" s="575"/>
      <c r="W677" s="575"/>
      <c r="X677" s="579"/>
      <c r="Y677" s="579"/>
      <c r="Z677" s="579"/>
      <c r="AA677" s="579"/>
      <c r="AB677" s="598"/>
      <c r="AC677" s="585"/>
      <c r="AD677" s="585"/>
      <c r="AE677" s="585"/>
      <c r="AF677" s="585"/>
      <c r="AG677" s="585"/>
      <c r="AH677" s="585"/>
      <c r="AI677" s="585"/>
      <c r="AJ677" s="585"/>
      <c r="AK677" s="585"/>
      <c r="AL677" s="585"/>
    </row>
    <row r="678" spans="1:38" ht="13" customHeight="1">
      <c r="A678" s="564">
        <v>562</v>
      </c>
      <c r="B678" s="639" t="s">
        <v>506</v>
      </c>
      <c r="C678" s="639" t="s">
        <v>61</v>
      </c>
      <c r="D678" s="639" t="s">
        <v>62</v>
      </c>
      <c r="E678" s="640">
        <v>1000</v>
      </c>
      <c r="F678" s="639" t="s">
        <v>116</v>
      </c>
      <c r="G678" s="567" t="s">
        <v>57</v>
      </c>
      <c r="H678" s="639" t="s">
        <v>76</v>
      </c>
      <c r="I678" s="669">
        <v>11.7</v>
      </c>
      <c r="J678" s="639" t="s">
        <v>77</v>
      </c>
      <c r="K678" s="640">
        <v>2011</v>
      </c>
      <c r="L678" s="639" t="s">
        <v>507</v>
      </c>
      <c r="M678" s="668" t="s">
        <v>504</v>
      </c>
      <c r="N678" s="634" t="s">
        <v>38</v>
      </c>
      <c r="O678" s="634" t="s">
        <v>38</v>
      </c>
      <c r="P678" s="633" t="s">
        <v>38</v>
      </c>
      <c r="Q678" s="633" t="s">
        <v>38</v>
      </c>
      <c r="R678" s="634" t="s">
        <v>38</v>
      </c>
      <c r="S678" s="55"/>
      <c r="T678" s="576"/>
      <c r="U678" s="575"/>
      <c r="V678" s="575"/>
      <c r="W678" s="575"/>
      <c r="X678" s="579"/>
      <c r="Y678" s="579"/>
      <c r="Z678" s="579"/>
      <c r="AA678" s="579"/>
      <c r="AB678" s="598"/>
      <c r="AC678" s="585"/>
      <c r="AD678" s="585"/>
      <c r="AE678" s="585"/>
      <c r="AF678" s="585"/>
      <c r="AG678" s="585"/>
      <c r="AH678" s="585"/>
      <c r="AI678" s="585"/>
      <c r="AJ678" s="585"/>
      <c r="AK678" s="585"/>
      <c r="AL678" s="585"/>
    </row>
    <row r="679" spans="1:38" ht="13" customHeight="1">
      <c r="A679" s="564">
        <v>563</v>
      </c>
      <c r="B679" s="639" t="s">
        <v>506</v>
      </c>
      <c r="C679" s="639" t="s">
        <v>61</v>
      </c>
      <c r="D679" s="639" t="s">
        <v>62</v>
      </c>
      <c r="E679" s="640">
        <v>1000</v>
      </c>
      <c r="F679" s="639" t="s">
        <v>63</v>
      </c>
      <c r="G679" s="567" t="s">
        <v>57</v>
      </c>
      <c r="H679" s="639" t="s">
        <v>76</v>
      </c>
      <c r="I679" s="669">
        <v>0.37</v>
      </c>
      <c r="J679" s="639" t="s">
        <v>77</v>
      </c>
      <c r="K679" s="640">
        <v>2011</v>
      </c>
      <c r="L679" s="639" t="s">
        <v>507</v>
      </c>
      <c r="M679" s="668" t="s">
        <v>504</v>
      </c>
      <c r="N679" s="634" t="s">
        <v>38</v>
      </c>
      <c r="O679" s="634" t="s">
        <v>38</v>
      </c>
      <c r="P679" s="633" t="s">
        <v>38</v>
      </c>
      <c r="Q679" s="633" t="s">
        <v>38</v>
      </c>
      <c r="R679" s="634" t="s">
        <v>38</v>
      </c>
      <c r="S679" s="55"/>
      <c r="T679" s="576"/>
      <c r="U679" s="575"/>
      <c r="V679" s="575"/>
      <c r="W679" s="575"/>
      <c r="X679" s="579"/>
      <c r="Y679" s="579"/>
      <c r="Z679" s="579"/>
      <c r="AA679" s="579"/>
      <c r="AB679" s="598"/>
      <c r="AC679" s="585"/>
      <c r="AD679" s="585"/>
      <c r="AE679" s="585"/>
      <c r="AF679" s="585"/>
      <c r="AG679" s="585"/>
      <c r="AH679" s="585"/>
      <c r="AI679" s="585"/>
      <c r="AJ679" s="585"/>
      <c r="AK679" s="585"/>
      <c r="AL679" s="585"/>
    </row>
    <row r="680" spans="1:38" ht="13" customHeight="1">
      <c r="A680" s="564">
        <v>564</v>
      </c>
      <c r="B680" s="639" t="s">
        <v>506</v>
      </c>
      <c r="C680" s="639" t="s">
        <v>61</v>
      </c>
      <c r="D680" s="639" t="s">
        <v>62</v>
      </c>
      <c r="E680" s="640">
        <v>1000</v>
      </c>
      <c r="F680" s="639" t="s">
        <v>493</v>
      </c>
      <c r="G680" s="567" t="s">
        <v>57</v>
      </c>
      <c r="H680" s="639" t="s">
        <v>76</v>
      </c>
      <c r="I680" s="669">
        <v>0.6</v>
      </c>
      <c r="J680" s="639" t="s">
        <v>77</v>
      </c>
      <c r="K680" s="640">
        <v>2011</v>
      </c>
      <c r="L680" s="639" t="s">
        <v>507</v>
      </c>
      <c r="M680" s="668" t="s">
        <v>504</v>
      </c>
      <c r="N680" s="634" t="s">
        <v>38</v>
      </c>
      <c r="O680" s="634" t="s">
        <v>38</v>
      </c>
      <c r="P680" s="633" t="s">
        <v>38</v>
      </c>
      <c r="Q680" s="633" t="s">
        <v>38</v>
      </c>
      <c r="R680" s="634" t="s">
        <v>38</v>
      </c>
      <c r="S680" s="55"/>
      <c r="T680" s="576"/>
      <c r="U680" s="575"/>
      <c r="V680" s="575"/>
      <c r="W680" s="575"/>
      <c r="X680" s="579"/>
      <c r="Y680" s="579"/>
      <c r="Z680" s="579"/>
      <c r="AA680" s="579"/>
      <c r="AB680" s="598"/>
      <c r="AC680" s="585"/>
      <c r="AD680" s="585"/>
      <c r="AE680" s="585"/>
      <c r="AF680" s="585"/>
      <c r="AG680" s="585"/>
      <c r="AH680" s="585"/>
      <c r="AI680" s="585"/>
      <c r="AJ680" s="585"/>
      <c r="AK680" s="585"/>
      <c r="AL680" s="585"/>
    </row>
    <row r="681" spans="1:38" ht="13" customHeight="1">
      <c r="A681" s="564">
        <v>565</v>
      </c>
      <c r="B681" s="639" t="s">
        <v>506</v>
      </c>
      <c r="C681" s="639" t="s">
        <v>61</v>
      </c>
      <c r="D681" s="639" t="s">
        <v>62</v>
      </c>
      <c r="E681" s="640">
        <v>1000</v>
      </c>
      <c r="F681" s="639" t="s">
        <v>115</v>
      </c>
      <c r="G681" s="567" t="s">
        <v>57</v>
      </c>
      <c r="H681" s="639" t="s">
        <v>76</v>
      </c>
      <c r="I681" s="669">
        <v>5.42</v>
      </c>
      <c r="J681" s="639" t="s">
        <v>77</v>
      </c>
      <c r="K681" s="640">
        <v>2011</v>
      </c>
      <c r="L681" s="639" t="s">
        <v>507</v>
      </c>
      <c r="M681" s="668" t="s">
        <v>504</v>
      </c>
      <c r="N681" s="634" t="s">
        <v>38</v>
      </c>
      <c r="O681" s="634" t="s">
        <v>38</v>
      </c>
      <c r="P681" s="633" t="s">
        <v>38</v>
      </c>
      <c r="Q681" s="633" t="s">
        <v>38</v>
      </c>
      <c r="R681" s="634" t="s">
        <v>38</v>
      </c>
      <c r="S681" s="55"/>
      <c r="T681" s="576"/>
      <c r="U681" s="575"/>
      <c r="V681" s="575"/>
      <c r="W681" s="575"/>
      <c r="X681" s="579"/>
      <c r="Y681" s="579"/>
      <c r="Z681" s="579"/>
      <c r="AA681" s="579"/>
      <c r="AB681" s="598"/>
      <c r="AC681" s="585"/>
      <c r="AD681" s="585"/>
      <c r="AE681" s="585"/>
      <c r="AF681" s="585"/>
      <c r="AG681" s="585"/>
      <c r="AH681" s="585"/>
      <c r="AI681" s="585"/>
      <c r="AJ681" s="585"/>
      <c r="AK681" s="585"/>
      <c r="AL681" s="585"/>
    </row>
    <row r="682" spans="1:38" ht="13" customHeight="1">
      <c r="A682" s="564">
        <v>566</v>
      </c>
      <c r="B682" s="639" t="s">
        <v>508</v>
      </c>
      <c r="C682" s="639" t="s">
        <v>61</v>
      </c>
      <c r="D682" s="639" t="s">
        <v>62</v>
      </c>
      <c r="E682" s="640">
        <v>1000</v>
      </c>
      <c r="F682" s="639" t="s">
        <v>217</v>
      </c>
      <c r="G682" s="567" t="s">
        <v>57</v>
      </c>
      <c r="H682" s="639" t="s">
        <v>33</v>
      </c>
      <c r="I682" s="669">
        <v>5227000000</v>
      </c>
      <c r="J682" s="639" t="s">
        <v>34</v>
      </c>
      <c r="K682" s="640">
        <v>2011</v>
      </c>
      <c r="L682" s="639" t="s">
        <v>507</v>
      </c>
      <c r="M682" s="668" t="s">
        <v>504</v>
      </c>
      <c r="N682" s="632">
        <v>0.75</v>
      </c>
      <c r="O682" s="633" t="s">
        <v>38</v>
      </c>
      <c r="P682" s="633" t="s">
        <v>38</v>
      </c>
      <c r="Q682" s="633" t="s">
        <v>38</v>
      </c>
      <c r="R682" s="634" t="s">
        <v>38</v>
      </c>
      <c r="S682" s="55"/>
      <c r="T682" s="576"/>
      <c r="U682" s="575"/>
      <c r="V682" s="575"/>
      <c r="W682" s="575"/>
      <c r="X682" s="579"/>
      <c r="Y682" s="579"/>
      <c r="Z682" s="579"/>
      <c r="AA682" s="579"/>
      <c r="AB682" s="598"/>
      <c r="AC682" s="585"/>
      <c r="AD682" s="585"/>
      <c r="AE682" s="585"/>
      <c r="AF682" s="585"/>
      <c r="AG682" s="585"/>
      <c r="AH682" s="585"/>
      <c r="AI682" s="585"/>
      <c r="AJ682" s="585"/>
      <c r="AK682" s="585"/>
      <c r="AL682" s="585"/>
    </row>
    <row r="683" spans="1:38" ht="13" customHeight="1">
      <c r="A683" s="564">
        <v>567</v>
      </c>
      <c r="B683" s="639" t="s">
        <v>506</v>
      </c>
      <c r="C683" s="670" t="s">
        <v>61</v>
      </c>
      <c r="D683" s="639" t="s">
        <v>62</v>
      </c>
      <c r="E683" s="669">
        <v>1000</v>
      </c>
      <c r="F683" s="639" t="s">
        <v>108</v>
      </c>
      <c r="G683" s="567" t="s">
        <v>57</v>
      </c>
      <c r="H683" s="670" t="s">
        <v>76</v>
      </c>
      <c r="I683" s="669">
        <v>87</v>
      </c>
      <c r="J683" s="670" t="s">
        <v>77</v>
      </c>
      <c r="K683" s="669">
        <v>2011</v>
      </c>
      <c r="L683" s="670" t="s">
        <v>507</v>
      </c>
      <c r="M683" s="668" t="s">
        <v>509</v>
      </c>
      <c r="N683" s="632">
        <v>0.75</v>
      </c>
      <c r="O683" s="633" t="s">
        <v>38</v>
      </c>
      <c r="P683" s="633" t="s">
        <v>38</v>
      </c>
      <c r="Q683" s="633" t="s">
        <v>38</v>
      </c>
      <c r="R683" s="634" t="s">
        <v>38</v>
      </c>
      <c r="S683" s="55"/>
      <c r="T683" s="576"/>
      <c r="U683" s="575"/>
      <c r="V683" s="575"/>
      <c r="W683" s="575"/>
      <c r="X683" s="579"/>
      <c r="Y683" s="579"/>
      <c r="Z683" s="579"/>
      <c r="AA683" s="579"/>
      <c r="AB683" s="598"/>
      <c r="AC683" s="585"/>
      <c r="AD683" s="585"/>
      <c r="AE683" s="585"/>
      <c r="AF683" s="585"/>
      <c r="AG683" s="585"/>
      <c r="AH683" s="585"/>
      <c r="AI683" s="585"/>
      <c r="AJ683" s="585"/>
      <c r="AK683" s="585"/>
      <c r="AL683" s="585"/>
    </row>
    <row r="684" spans="1:38" ht="13" customHeight="1">
      <c r="A684" s="564">
        <v>568</v>
      </c>
      <c r="B684" s="639" t="s">
        <v>508</v>
      </c>
      <c r="C684" s="639" t="s">
        <v>61</v>
      </c>
      <c r="D684" s="639" t="s">
        <v>62</v>
      </c>
      <c r="E684" s="640">
        <v>1000</v>
      </c>
      <c r="F684" s="639" t="s">
        <v>116</v>
      </c>
      <c r="G684" s="567" t="s">
        <v>57</v>
      </c>
      <c r="H684" s="639" t="s">
        <v>76</v>
      </c>
      <c r="I684" s="669">
        <v>11.9</v>
      </c>
      <c r="J684" s="639" t="s">
        <v>77</v>
      </c>
      <c r="K684" s="640">
        <v>2011</v>
      </c>
      <c r="L684" s="639" t="s">
        <v>507</v>
      </c>
      <c r="M684" s="668" t="s">
        <v>504</v>
      </c>
      <c r="N684" s="634" t="s">
        <v>38</v>
      </c>
      <c r="O684" s="634" t="s">
        <v>38</v>
      </c>
      <c r="P684" s="633" t="s">
        <v>38</v>
      </c>
      <c r="Q684" s="633" t="s">
        <v>38</v>
      </c>
      <c r="R684" s="634" t="s">
        <v>38</v>
      </c>
      <c r="S684" s="55"/>
      <c r="T684" s="576"/>
      <c r="U684" s="575"/>
      <c r="V684" s="575"/>
      <c r="W684" s="575"/>
      <c r="X684" s="579"/>
      <c r="Y684" s="579"/>
      <c r="Z684" s="579"/>
      <c r="AA684" s="579"/>
      <c r="AB684" s="598"/>
      <c r="AC684" s="585"/>
      <c r="AD684" s="585"/>
      <c r="AE684" s="585"/>
      <c r="AF684" s="585"/>
      <c r="AG684" s="585"/>
      <c r="AH684" s="585"/>
      <c r="AI684" s="585"/>
      <c r="AJ684" s="585"/>
      <c r="AK684" s="585"/>
      <c r="AL684" s="585"/>
    </row>
    <row r="685" spans="1:38" ht="49.5" customHeight="1">
      <c r="A685" s="564">
        <v>569</v>
      </c>
      <c r="B685" s="639" t="s">
        <v>508</v>
      </c>
      <c r="C685" s="670" t="s">
        <v>61</v>
      </c>
      <c r="D685" s="639" t="s">
        <v>62</v>
      </c>
      <c r="E685" s="669">
        <v>1000</v>
      </c>
      <c r="F685" s="639" t="s">
        <v>63</v>
      </c>
      <c r="G685" s="567" t="s">
        <v>57</v>
      </c>
      <c r="H685" s="639" t="s">
        <v>76</v>
      </c>
      <c r="I685" s="669">
        <v>5.54</v>
      </c>
      <c r="J685" s="639" t="s">
        <v>77</v>
      </c>
      <c r="K685" s="640">
        <v>2011</v>
      </c>
      <c r="L685" s="639" t="s">
        <v>507</v>
      </c>
      <c r="M685" s="668" t="s">
        <v>504</v>
      </c>
      <c r="N685" s="634" t="s">
        <v>38</v>
      </c>
      <c r="O685" s="634" t="s">
        <v>38</v>
      </c>
      <c r="P685" s="633" t="s">
        <v>38</v>
      </c>
      <c r="Q685" s="633" t="s">
        <v>38</v>
      </c>
      <c r="R685" s="634" t="s">
        <v>38</v>
      </c>
      <c r="S685" s="55"/>
      <c r="T685" s="576"/>
      <c r="U685" s="575"/>
      <c r="V685" s="575"/>
      <c r="W685" s="575"/>
      <c r="X685" s="579"/>
      <c r="Y685" s="579"/>
      <c r="Z685" s="579"/>
      <c r="AA685" s="579"/>
      <c r="AB685" s="598"/>
      <c r="AC685" s="585"/>
      <c r="AD685" s="585"/>
      <c r="AE685" s="585"/>
      <c r="AF685" s="585"/>
      <c r="AG685" s="585"/>
      <c r="AH685" s="585"/>
      <c r="AI685" s="585"/>
      <c r="AJ685" s="585"/>
      <c r="AK685" s="585"/>
      <c r="AL685" s="585"/>
    </row>
    <row r="686" spans="1:38" ht="42" customHeight="1">
      <c r="A686" s="564">
        <v>570</v>
      </c>
      <c r="B686" s="639" t="s">
        <v>508</v>
      </c>
      <c r="C686" s="670" t="s">
        <v>61</v>
      </c>
      <c r="D686" s="639" t="s">
        <v>62</v>
      </c>
      <c r="E686" s="669">
        <v>1000</v>
      </c>
      <c r="F686" s="639" t="s">
        <v>493</v>
      </c>
      <c r="G686" s="567" t="s">
        <v>57</v>
      </c>
      <c r="H686" s="639" t="s">
        <v>76</v>
      </c>
      <c r="I686" s="669">
        <v>0.6</v>
      </c>
      <c r="J686" s="639" t="s">
        <v>77</v>
      </c>
      <c r="K686" s="640">
        <v>2011</v>
      </c>
      <c r="L686" s="639" t="s">
        <v>507</v>
      </c>
      <c r="M686" s="668" t="s">
        <v>504</v>
      </c>
      <c r="N686" s="634" t="s">
        <v>38</v>
      </c>
      <c r="O686" s="634" t="s">
        <v>38</v>
      </c>
      <c r="P686" s="633" t="s">
        <v>38</v>
      </c>
      <c r="Q686" s="633" t="s">
        <v>38</v>
      </c>
      <c r="R686" s="634" t="s">
        <v>38</v>
      </c>
      <c r="S686" s="55"/>
      <c r="T686" s="576"/>
      <c r="U686" s="575"/>
      <c r="V686" s="575"/>
      <c r="W686" s="575"/>
      <c r="X686" s="579"/>
      <c r="Y686" s="579"/>
      <c r="Z686" s="579"/>
      <c r="AA686" s="579"/>
      <c r="AB686" s="598"/>
      <c r="AC686" s="585"/>
      <c r="AD686" s="585"/>
      <c r="AE686" s="585"/>
      <c r="AF686" s="585"/>
      <c r="AG686" s="585"/>
      <c r="AH686" s="585"/>
      <c r="AI686" s="585"/>
      <c r="AJ686" s="585"/>
      <c r="AK686" s="585"/>
      <c r="AL686" s="585"/>
    </row>
    <row r="687" spans="1:38" ht="56.5" customHeight="1">
      <c r="A687" s="564">
        <v>571</v>
      </c>
      <c r="B687" s="639" t="s">
        <v>508</v>
      </c>
      <c r="C687" s="670" t="s">
        <v>61</v>
      </c>
      <c r="D687" s="639" t="s">
        <v>62</v>
      </c>
      <c r="E687" s="669">
        <v>1000</v>
      </c>
      <c r="F687" s="639" t="s">
        <v>115</v>
      </c>
      <c r="G687" s="567" t="s">
        <v>57</v>
      </c>
      <c r="H687" s="639" t="s">
        <v>76</v>
      </c>
      <c r="I687" s="669">
        <v>0</v>
      </c>
      <c r="J687" s="639" t="s">
        <v>77</v>
      </c>
      <c r="K687" s="640">
        <v>2011</v>
      </c>
      <c r="L687" s="639" t="s">
        <v>507</v>
      </c>
      <c r="M687" s="668" t="s">
        <v>510</v>
      </c>
      <c r="N687" s="634" t="s">
        <v>38</v>
      </c>
      <c r="O687" s="634" t="s">
        <v>38</v>
      </c>
      <c r="P687" s="633" t="s">
        <v>38</v>
      </c>
      <c r="Q687" s="633" t="s">
        <v>38</v>
      </c>
      <c r="R687" s="634" t="s">
        <v>38</v>
      </c>
      <c r="S687" s="55"/>
      <c r="T687" s="576"/>
      <c r="U687" s="575"/>
      <c r="V687" s="575"/>
      <c r="W687" s="575"/>
      <c r="X687" s="579"/>
      <c r="Y687" s="579"/>
      <c r="Z687" s="579"/>
      <c r="AA687" s="579"/>
      <c r="AB687" s="598"/>
      <c r="AC687" s="585"/>
      <c r="AD687" s="585"/>
      <c r="AE687" s="585"/>
      <c r="AF687" s="585"/>
      <c r="AG687" s="585"/>
      <c r="AH687" s="585"/>
      <c r="AI687" s="585"/>
      <c r="AJ687" s="585"/>
      <c r="AK687" s="585"/>
      <c r="AL687" s="585"/>
    </row>
    <row r="688" spans="1:38" ht="51" customHeight="1">
      <c r="A688" s="564">
        <v>572</v>
      </c>
      <c r="B688" s="639" t="s">
        <v>508</v>
      </c>
      <c r="C688" s="670" t="s">
        <v>61</v>
      </c>
      <c r="D688" s="639" t="s">
        <v>62</v>
      </c>
      <c r="E688" s="669">
        <v>1000</v>
      </c>
      <c r="F688" s="639" t="s">
        <v>108</v>
      </c>
      <c r="G688" s="567" t="s">
        <v>57</v>
      </c>
      <c r="H688" s="639" t="s">
        <v>76</v>
      </c>
      <c r="I688" s="669">
        <v>94</v>
      </c>
      <c r="J688" s="639" t="s">
        <v>77</v>
      </c>
      <c r="K688" s="640">
        <v>2011</v>
      </c>
      <c r="L688" s="639" t="s">
        <v>507</v>
      </c>
      <c r="M688" s="668" t="s">
        <v>511</v>
      </c>
      <c r="N688" s="632">
        <v>0.75</v>
      </c>
      <c r="O688" s="633" t="s">
        <v>38</v>
      </c>
      <c r="P688" s="633" t="s">
        <v>38</v>
      </c>
      <c r="Q688" s="633" t="s">
        <v>38</v>
      </c>
      <c r="R688" s="634" t="s">
        <v>38</v>
      </c>
      <c r="S688" s="55"/>
      <c r="T688" s="576"/>
      <c r="U688" s="575"/>
      <c r="V688" s="575"/>
      <c r="W688" s="575"/>
      <c r="X688" s="579"/>
      <c r="Y688" s="579"/>
      <c r="Z688" s="579"/>
      <c r="AA688" s="579"/>
      <c r="AB688" s="598"/>
      <c r="AC688" s="585"/>
      <c r="AD688" s="585"/>
      <c r="AE688" s="585"/>
      <c r="AF688" s="585"/>
      <c r="AG688" s="585"/>
      <c r="AH688" s="585"/>
      <c r="AI688" s="585"/>
      <c r="AJ688" s="585"/>
      <c r="AK688" s="585"/>
      <c r="AL688" s="585"/>
    </row>
    <row r="689" spans="1:38" ht="13" customHeight="1">
      <c r="A689" s="564">
        <v>573</v>
      </c>
      <c r="B689" s="639" t="s">
        <v>512</v>
      </c>
      <c r="C689" s="670" t="s">
        <v>30</v>
      </c>
      <c r="D689" s="639" t="s">
        <v>803</v>
      </c>
      <c r="E689" s="669">
        <v>1000</v>
      </c>
      <c r="F689" s="670" t="s">
        <v>217</v>
      </c>
      <c r="G689" s="567" t="s">
        <v>57</v>
      </c>
      <c r="H689" s="670" t="s">
        <v>33</v>
      </c>
      <c r="I689" s="669">
        <v>5050000000</v>
      </c>
      <c r="J689" s="670" t="s">
        <v>34</v>
      </c>
      <c r="K689" s="669">
        <v>2011</v>
      </c>
      <c r="L689" s="670" t="s">
        <v>507</v>
      </c>
      <c r="M689" s="668" t="s">
        <v>834</v>
      </c>
      <c r="N689" s="632" t="s">
        <v>1124</v>
      </c>
      <c r="O689" s="633" t="s">
        <v>38</v>
      </c>
      <c r="P689" s="633" t="s">
        <v>38</v>
      </c>
      <c r="Q689" s="633" t="s">
        <v>38</v>
      </c>
      <c r="R689" s="634" t="s">
        <v>38</v>
      </c>
      <c r="S689" s="55"/>
      <c r="T689" s="576"/>
      <c r="U689" s="575"/>
      <c r="V689" s="575"/>
      <c r="W689" s="575"/>
      <c r="X689" s="579"/>
      <c r="Y689" s="579"/>
      <c r="Z689" s="579"/>
      <c r="AA689" s="579"/>
      <c r="AB689" s="598"/>
      <c r="AC689" s="585"/>
      <c r="AD689" s="585"/>
      <c r="AE689" s="585"/>
      <c r="AF689" s="585"/>
      <c r="AG689" s="585"/>
      <c r="AH689" s="585"/>
      <c r="AI689" s="585"/>
      <c r="AJ689" s="585"/>
      <c r="AK689" s="585"/>
      <c r="AL689" s="585"/>
    </row>
    <row r="690" spans="1:38" ht="13" customHeight="1">
      <c r="A690" s="564">
        <v>574</v>
      </c>
      <c r="B690" s="639" t="s">
        <v>512</v>
      </c>
      <c r="C690" s="639" t="s">
        <v>30</v>
      </c>
      <c r="D690" s="639" t="s">
        <v>803</v>
      </c>
      <c r="E690" s="640">
        <v>1000</v>
      </c>
      <c r="F690" s="639" t="s">
        <v>108</v>
      </c>
      <c r="G690" s="567" t="s">
        <v>57</v>
      </c>
      <c r="H690" s="639" t="s">
        <v>76</v>
      </c>
      <c r="I690" s="669">
        <v>107</v>
      </c>
      <c r="J690" s="639" t="s">
        <v>77</v>
      </c>
      <c r="K690" s="640">
        <v>2011</v>
      </c>
      <c r="L690" s="639" t="s">
        <v>507</v>
      </c>
      <c r="M690" s="668" t="s">
        <v>834</v>
      </c>
      <c r="N690" s="632" t="s">
        <v>1124</v>
      </c>
      <c r="O690" s="633" t="s">
        <v>38</v>
      </c>
      <c r="P690" s="633" t="s">
        <v>38</v>
      </c>
      <c r="Q690" s="633" t="s">
        <v>38</v>
      </c>
      <c r="R690" s="634" t="s">
        <v>38</v>
      </c>
      <c r="S690" s="55"/>
      <c r="T690" s="576"/>
      <c r="U690" s="575"/>
      <c r="V690" s="575"/>
      <c r="W690" s="575"/>
      <c r="X690" s="579"/>
      <c r="Y690" s="579"/>
      <c r="Z690" s="579"/>
      <c r="AA690" s="579"/>
      <c r="AB690" s="598"/>
      <c r="AC690" s="585"/>
      <c r="AD690" s="585"/>
      <c r="AE690" s="585"/>
      <c r="AF690" s="585"/>
      <c r="AG690" s="585"/>
      <c r="AH690" s="585"/>
      <c r="AI690" s="585"/>
      <c r="AJ690" s="585"/>
      <c r="AK690" s="585"/>
      <c r="AL690" s="585"/>
    </row>
    <row r="691" spans="1:38" ht="13" customHeight="1">
      <c r="A691" s="564">
        <v>575</v>
      </c>
      <c r="B691" s="639" t="s">
        <v>513</v>
      </c>
      <c r="C691" s="639" t="s">
        <v>61</v>
      </c>
      <c r="D691" s="639" t="s">
        <v>62</v>
      </c>
      <c r="E691" s="640">
        <v>1000</v>
      </c>
      <c r="F691" s="670" t="s">
        <v>116</v>
      </c>
      <c r="G691" s="567" t="s">
        <v>57</v>
      </c>
      <c r="H691" s="670" t="s">
        <v>76</v>
      </c>
      <c r="I691" s="669">
        <v>13</v>
      </c>
      <c r="J691" s="670" t="s">
        <v>77</v>
      </c>
      <c r="K691" s="640">
        <v>2011</v>
      </c>
      <c r="L691" s="639" t="s">
        <v>507</v>
      </c>
      <c r="M691" s="668" t="s">
        <v>504</v>
      </c>
      <c r="N691" s="634" t="s">
        <v>38</v>
      </c>
      <c r="O691" s="634" t="s">
        <v>38</v>
      </c>
      <c r="P691" s="633" t="s">
        <v>38</v>
      </c>
      <c r="Q691" s="633" t="s">
        <v>38</v>
      </c>
      <c r="R691" s="634" t="s">
        <v>38</v>
      </c>
      <c r="S691" s="55"/>
      <c r="T691" s="576"/>
      <c r="U691" s="575"/>
      <c r="V691" s="575"/>
      <c r="W691" s="575"/>
      <c r="X691" s="579"/>
      <c r="Y691" s="579"/>
      <c r="Z691" s="579"/>
      <c r="AA691" s="579"/>
      <c r="AB691" s="598"/>
      <c r="AC691" s="585"/>
      <c r="AD691" s="585"/>
      <c r="AE691" s="585"/>
      <c r="AF691" s="585"/>
      <c r="AG691" s="585"/>
      <c r="AH691" s="585"/>
      <c r="AI691" s="585"/>
      <c r="AJ691" s="585"/>
      <c r="AK691" s="585"/>
      <c r="AL691" s="585"/>
    </row>
    <row r="692" spans="1:38" ht="13" customHeight="1">
      <c r="A692" s="564">
        <v>576</v>
      </c>
      <c r="B692" s="639" t="s">
        <v>513</v>
      </c>
      <c r="C692" s="639" t="s">
        <v>61</v>
      </c>
      <c r="D692" s="639" t="s">
        <v>62</v>
      </c>
      <c r="E692" s="640">
        <v>1000</v>
      </c>
      <c r="F692" s="639" t="s">
        <v>63</v>
      </c>
      <c r="G692" s="567" t="s">
        <v>57</v>
      </c>
      <c r="H692" s="670" t="s">
        <v>76</v>
      </c>
      <c r="I692" s="669">
        <v>0.04</v>
      </c>
      <c r="J692" s="670" t="s">
        <v>77</v>
      </c>
      <c r="K692" s="669">
        <v>2011</v>
      </c>
      <c r="L692" s="670" t="s">
        <v>507</v>
      </c>
      <c r="M692" s="668" t="s">
        <v>504</v>
      </c>
      <c r="N692" s="634" t="s">
        <v>38</v>
      </c>
      <c r="O692" s="634" t="s">
        <v>38</v>
      </c>
      <c r="P692" s="633" t="s">
        <v>38</v>
      </c>
      <c r="Q692" s="633" t="s">
        <v>38</v>
      </c>
      <c r="R692" s="634" t="s">
        <v>38</v>
      </c>
      <c r="S692" s="55"/>
      <c r="T692" s="576"/>
      <c r="U692" s="575"/>
      <c r="V692" s="575"/>
      <c r="W692" s="575"/>
      <c r="X692" s="579"/>
      <c r="Y692" s="579"/>
      <c r="Z692" s="579"/>
      <c r="AA692" s="579"/>
      <c r="AB692" s="598"/>
      <c r="AC692" s="585"/>
      <c r="AD692" s="585"/>
      <c r="AE692" s="585"/>
      <c r="AF692" s="585"/>
      <c r="AG692" s="585"/>
      <c r="AH692" s="585"/>
      <c r="AI692" s="585"/>
      <c r="AJ692" s="585"/>
      <c r="AK692" s="585"/>
      <c r="AL692" s="585"/>
    </row>
    <row r="693" spans="1:38" ht="13" customHeight="1">
      <c r="A693" s="564">
        <v>577</v>
      </c>
      <c r="B693" s="639" t="s">
        <v>513</v>
      </c>
      <c r="C693" s="639" t="s">
        <v>61</v>
      </c>
      <c r="D693" s="639" t="s">
        <v>62</v>
      </c>
      <c r="E693" s="640">
        <v>1000</v>
      </c>
      <c r="F693" s="639" t="s">
        <v>493</v>
      </c>
      <c r="G693" s="567" t="s">
        <v>57</v>
      </c>
      <c r="H693" s="670" t="s">
        <v>76</v>
      </c>
      <c r="I693" s="669">
        <v>0.6</v>
      </c>
      <c r="J693" s="670" t="s">
        <v>77</v>
      </c>
      <c r="K693" s="669">
        <v>2011</v>
      </c>
      <c r="L693" s="670" t="s">
        <v>507</v>
      </c>
      <c r="M693" s="668" t="s">
        <v>504</v>
      </c>
      <c r="N693" s="634" t="s">
        <v>38</v>
      </c>
      <c r="O693" s="634" t="s">
        <v>38</v>
      </c>
      <c r="P693" s="633" t="s">
        <v>38</v>
      </c>
      <c r="Q693" s="633" t="s">
        <v>38</v>
      </c>
      <c r="R693" s="634" t="s">
        <v>38</v>
      </c>
      <c r="S693" s="55"/>
      <c r="T693" s="576"/>
      <c r="U693" s="575"/>
      <c r="V693" s="575"/>
      <c r="W693" s="575"/>
      <c r="X693" s="579"/>
      <c r="Y693" s="579"/>
      <c r="Z693" s="579"/>
      <c r="AA693" s="579"/>
      <c r="AB693" s="598"/>
      <c r="AC693" s="585"/>
      <c r="AD693" s="585"/>
      <c r="AE693" s="585"/>
      <c r="AF693" s="585"/>
      <c r="AG693" s="585"/>
      <c r="AH693" s="585"/>
      <c r="AI693" s="585"/>
      <c r="AJ693" s="585"/>
      <c r="AK693" s="585"/>
      <c r="AL693" s="585"/>
    </row>
    <row r="694" spans="1:38" ht="13" customHeight="1">
      <c r="A694" s="564">
        <v>578</v>
      </c>
      <c r="B694" s="639" t="s">
        <v>513</v>
      </c>
      <c r="C694" s="639" t="s">
        <v>61</v>
      </c>
      <c r="D694" s="639" t="s">
        <v>62</v>
      </c>
      <c r="E694" s="640">
        <v>1000</v>
      </c>
      <c r="F694" s="639" t="s">
        <v>115</v>
      </c>
      <c r="G694" s="567" t="s">
        <v>57</v>
      </c>
      <c r="H694" s="670" t="s">
        <v>76</v>
      </c>
      <c r="I694" s="669">
        <v>8.89</v>
      </c>
      <c r="J694" s="670" t="s">
        <v>77</v>
      </c>
      <c r="K694" s="669">
        <v>2011</v>
      </c>
      <c r="L694" s="670" t="s">
        <v>507</v>
      </c>
      <c r="M694" s="668" t="s">
        <v>504</v>
      </c>
      <c r="N694" s="634" t="s">
        <v>38</v>
      </c>
      <c r="O694" s="634" t="s">
        <v>38</v>
      </c>
      <c r="P694" s="633" t="s">
        <v>38</v>
      </c>
      <c r="Q694" s="633" t="s">
        <v>38</v>
      </c>
      <c r="R694" s="634" t="s">
        <v>38</v>
      </c>
      <c r="S694" s="55"/>
      <c r="T694" s="576"/>
      <c r="U694" s="575"/>
      <c r="V694" s="575"/>
      <c r="W694" s="575"/>
      <c r="X694" s="579"/>
      <c r="Y694" s="579"/>
      <c r="Z694" s="579"/>
      <c r="AA694" s="579"/>
      <c r="AB694" s="598"/>
      <c r="AC694" s="585"/>
      <c r="AD694" s="585"/>
      <c r="AE694" s="585"/>
      <c r="AF694" s="585"/>
      <c r="AG694" s="585"/>
      <c r="AH694" s="585"/>
      <c r="AI694" s="585"/>
      <c r="AJ694" s="585"/>
      <c r="AK694" s="585"/>
      <c r="AL694" s="585"/>
    </row>
    <row r="695" spans="1:38" ht="15" customHeight="1">
      <c r="A695" s="564">
        <v>579</v>
      </c>
      <c r="B695" s="639" t="s">
        <v>513</v>
      </c>
      <c r="C695" s="639" t="s">
        <v>61</v>
      </c>
      <c r="D695" s="639" t="s">
        <v>62</v>
      </c>
      <c r="E695" s="640">
        <v>1000</v>
      </c>
      <c r="F695" s="639" t="s">
        <v>108</v>
      </c>
      <c r="G695" s="567" t="s">
        <v>57</v>
      </c>
      <c r="H695" s="670" t="s">
        <v>76</v>
      </c>
      <c r="I695" s="669">
        <v>98</v>
      </c>
      <c r="J695" s="670" t="s">
        <v>77</v>
      </c>
      <c r="K695" s="669">
        <v>2011</v>
      </c>
      <c r="L695" s="670" t="s">
        <v>507</v>
      </c>
      <c r="M695" s="668" t="s">
        <v>504</v>
      </c>
      <c r="N695" s="632">
        <v>0.75</v>
      </c>
      <c r="O695" s="633" t="s">
        <v>38</v>
      </c>
      <c r="P695" s="633" t="s">
        <v>38</v>
      </c>
      <c r="Q695" s="633" t="s">
        <v>38</v>
      </c>
      <c r="R695" s="634" t="s">
        <v>38</v>
      </c>
      <c r="S695" s="55"/>
      <c r="T695" s="576"/>
      <c r="U695" s="575"/>
      <c r="V695" s="575"/>
      <c r="W695" s="575"/>
      <c r="X695" s="579"/>
      <c r="Y695" s="579"/>
      <c r="Z695" s="579"/>
      <c r="AA695" s="579"/>
      <c r="AB695" s="598"/>
      <c r="AC695" s="585"/>
      <c r="AD695" s="585"/>
      <c r="AE695" s="585"/>
      <c r="AF695" s="585"/>
      <c r="AG695" s="585"/>
      <c r="AH695" s="585"/>
      <c r="AI695" s="585"/>
      <c r="AJ695" s="585"/>
      <c r="AK695" s="585"/>
      <c r="AL695" s="585"/>
    </row>
    <row r="696" spans="1:38" ht="13" customHeight="1">
      <c r="A696" s="564">
        <v>580</v>
      </c>
      <c r="B696" s="639" t="s">
        <v>513</v>
      </c>
      <c r="C696" s="639" t="s">
        <v>61</v>
      </c>
      <c r="D696" s="639" t="s">
        <v>62</v>
      </c>
      <c r="E696" s="640">
        <v>1000</v>
      </c>
      <c r="F696" s="639" t="s">
        <v>217</v>
      </c>
      <c r="G696" s="567" t="s">
        <v>57</v>
      </c>
      <c r="H696" s="639" t="s">
        <v>33</v>
      </c>
      <c r="I696" s="669">
        <f>5112*1000000</f>
        <v>5112000000</v>
      </c>
      <c r="J696" s="639" t="s">
        <v>34</v>
      </c>
      <c r="K696" s="669">
        <v>2011</v>
      </c>
      <c r="L696" s="639" t="s">
        <v>507</v>
      </c>
      <c r="M696" s="668" t="s">
        <v>504</v>
      </c>
      <c r="N696" s="632">
        <v>0.75</v>
      </c>
      <c r="O696" s="633" t="s">
        <v>38</v>
      </c>
      <c r="P696" s="633" t="s">
        <v>38</v>
      </c>
      <c r="Q696" s="633" t="s">
        <v>38</v>
      </c>
      <c r="R696" s="634" t="s">
        <v>38</v>
      </c>
      <c r="S696" s="55"/>
      <c r="T696" s="576"/>
      <c r="U696" s="575"/>
      <c r="V696" s="575"/>
      <c r="W696" s="575"/>
      <c r="X696" s="579"/>
      <c r="Y696" s="579"/>
      <c r="Z696" s="579"/>
      <c r="AA696" s="579"/>
      <c r="AB696" s="598"/>
      <c r="AC696" s="585"/>
      <c r="AD696" s="585"/>
      <c r="AE696" s="585"/>
      <c r="AF696" s="585"/>
      <c r="AG696" s="585"/>
      <c r="AH696" s="585"/>
      <c r="AI696" s="585"/>
      <c r="AJ696" s="585"/>
      <c r="AK696" s="585"/>
      <c r="AL696" s="585"/>
    </row>
    <row r="697" spans="1:38" ht="13" customHeight="1">
      <c r="A697" s="564">
        <v>581</v>
      </c>
      <c r="B697" s="639" t="s">
        <v>514</v>
      </c>
      <c r="C697" s="670" t="s">
        <v>61</v>
      </c>
      <c r="D697" s="639" t="s">
        <v>107</v>
      </c>
      <c r="E697" s="669">
        <v>1000</v>
      </c>
      <c r="F697" s="639" t="s">
        <v>116</v>
      </c>
      <c r="G697" s="567" t="s">
        <v>57</v>
      </c>
      <c r="H697" s="670" t="s">
        <v>76</v>
      </c>
      <c r="I697" s="669">
        <v>14.4</v>
      </c>
      <c r="J697" s="670" t="s">
        <v>77</v>
      </c>
      <c r="K697" s="669">
        <v>2007</v>
      </c>
      <c r="L697" s="670" t="s">
        <v>507</v>
      </c>
      <c r="M697" s="668" t="s">
        <v>504</v>
      </c>
      <c r="N697" s="634" t="s">
        <v>38</v>
      </c>
      <c r="O697" s="634" t="s">
        <v>38</v>
      </c>
      <c r="P697" s="633" t="s">
        <v>38</v>
      </c>
      <c r="Q697" s="633" t="s">
        <v>38</v>
      </c>
      <c r="R697" s="634" t="s">
        <v>38</v>
      </c>
      <c r="S697" s="55"/>
      <c r="T697" s="576"/>
      <c r="U697" s="575"/>
      <c r="V697" s="575"/>
      <c r="W697" s="575"/>
      <c r="X697" s="579"/>
      <c r="Y697" s="579"/>
      <c r="Z697" s="579"/>
      <c r="AA697" s="579"/>
      <c r="AB697" s="598"/>
      <c r="AC697" s="585"/>
      <c r="AD697" s="585"/>
      <c r="AE697" s="585"/>
      <c r="AF697" s="585"/>
      <c r="AG697" s="585"/>
      <c r="AH697" s="585"/>
      <c r="AI697" s="585"/>
      <c r="AJ697" s="585"/>
      <c r="AK697" s="585"/>
      <c r="AL697" s="585"/>
    </row>
    <row r="698" spans="1:38" ht="13" customHeight="1">
      <c r="A698" s="564">
        <v>582</v>
      </c>
      <c r="B698" s="639" t="s">
        <v>514</v>
      </c>
      <c r="C698" s="639" t="s">
        <v>61</v>
      </c>
      <c r="D698" s="639" t="s">
        <v>107</v>
      </c>
      <c r="E698" s="669">
        <v>1000</v>
      </c>
      <c r="F698" s="639" t="s">
        <v>63</v>
      </c>
      <c r="G698" s="567" t="s">
        <v>57</v>
      </c>
      <c r="H698" s="639" t="s">
        <v>76</v>
      </c>
      <c r="I698" s="669">
        <v>0.04</v>
      </c>
      <c r="J698" s="639" t="s">
        <v>77</v>
      </c>
      <c r="K698" s="669">
        <v>2008</v>
      </c>
      <c r="L698" s="639" t="s">
        <v>507</v>
      </c>
      <c r="M698" s="668" t="s">
        <v>504</v>
      </c>
      <c r="N698" s="634" t="s">
        <v>38</v>
      </c>
      <c r="O698" s="634" t="s">
        <v>38</v>
      </c>
      <c r="P698" s="633" t="s">
        <v>38</v>
      </c>
      <c r="Q698" s="633" t="s">
        <v>38</v>
      </c>
      <c r="R698" s="634" t="s">
        <v>38</v>
      </c>
      <c r="S698" s="55"/>
      <c r="T698" s="576"/>
      <c r="U698" s="575"/>
      <c r="V698" s="575"/>
      <c r="W698" s="575"/>
      <c r="X698" s="579"/>
      <c r="Y698" s="579"/>
      <c r="Z698" s="579"/>
      <c r="AA698" s="579"/>
      <c r="AB698" s="598"/>
      <c r="AC698" s="585"/>
      <c r="AD698" s="585"/>
      <c r="AE698" s="585"/>
      <c r="AF698" s="585"/>
      <c r="AG698" s="585"/>
      <c r="AH698" s="585"/>
      <c r="AI698" s="585"/>
      <c r="AJ698" s="585"/>
      <c r="AK698" s="585"/>
      <c r="AL698" s="585"/>
    </row>
    <row r="699" spans="1:38" ht="13" customHeight="1">
      <c r="A699" s="564">
        <v>583</v>
      </c>
      <c r="B699" s="639" t="s">
        <v>514</v>
      </c>
      <c r="C699" s="639" t="s">
        <v>61</v>
      </c>
      <c r="D699" s="639" t="s">
        <v>107</v>
      </c>
      <c r="E699" s="669">
        <v>1000</v>
      </c>
      <c r="F699" s="639" t="s">
        <v>493</v>
      </c>
      <c r="G699" s="567" t="s">
        <v>57</v>
      </c>
      <c r="H699" s="639" t="s">
        <v>76</v>
      </c>
      <c r="I699" s="669">
        <v>0.6</v>
      </c>
      <c r="J699" s="639" t="s">
        <v>77</v>
      </c>
      <c r="K699" s="669">
        <v>2009</v>
      </c>
      <c r="L699" s="639" t="s">
        <v>507</v>
      </c>
      <c r="M699" s="668" t="s">
        <v>504</v>
      </c>
      <c r="N699" s="634" t="s">
        <v>38</v>
      </c>
      <c r="O699" s="634" t="s">
        <v>38</v>
      </c>
      <c r="P699" s="633" t="s">
        <v>38</v>
      </c>
      <c r="Q699" s="633" t="s">
        <v>38</v>
      </c>
      <c r="R699" s="634" t="s">
        <v>38</v>
      </c>
      <c r="S699" s="55"/>
      <c r="T699" s="576"/>
      <c r="U699" s="575"/>
      <c r="V699" s="575"/>
      <c r="W699" s="575"/>
      <c r="X699" s="579"/>
      <c r="Y699" s="579"/>
      <c r="Z699" s="579"/>
      <c r="AA699" s="579"/>
      <c r="AB699" s="598"/>
      <c r="AC699" s="585"/>
      <c r="AD699" s="585"/>
      <c r="AE699" s="585"/>
      <c r="AF699" s="585"/>
      <c r="AG699" s="585"/>
      <c r="AH699" s="585"/>
      <c r="AI699" s="585"/>
      <c r="AJ699" s="585"/>
      <c r="AK699" s="585"/>
      <c r="AL699" s="585"/>
    </row>
    <row r="700" spans="1:38" ht="13" customHeight="1">
      <c r="A700" s="564">
        <v>584</v>
      </c>
      <c r="B700" s="639" t="s">
        <v>514</v>
      </c>
      <c r="C700" s="639" t="s">
        <v>61</v>
      </c>
      <c r="D700" s="639" t="s">
        <v>107</v>
      </c>
      <c r="E700" s="669">
        <v>1000</v>
      </c>
      <c r="F700" s="639" t="s">
        <v>115</v>
      </c>
      <c r="G700" s="567" t="s">
        <v>57</v>
      </c>
      <c r="H700" s="639" t="s">
        <v>76</v>
      </c>
      <c r="I700" s="669">
        <v>6.18</v>
      </c>
      <c r="J700" s="639" t="s">
        <v>77</v>
      </c>
      <c r="K700" s="669">
        <v>2010</v>
      </c>
      <c r="L700" s="639" t="s">
        <v>507</v>
      </c>
      <c r="M700" s="668" t="s">
        <v>504</v>
      </c>
      <c r="N700" s="634" t="s">
        <v>38</v>
      </c>
      <c r="O700" s="634" t="s">
        <v>38</v>
      </c>
      <c r="P700" s="633" t="s">
        <v>38</v>
      </c>
      <c r="Q700" s="633" t="s">
        <v>38</v>
      </c>
      <c r="R700" s="634" t="s">
        <v>38</v>
      </c>
      <c r="S700" s="55"/>
      <c r="T700" s="576"/>
      <c r="U700" s="575"/>
      <c r="V700" s="575"/>
      <c r="W700" s="575"/>
      <c r="X700" s="579"/>
      <c r="Y700" s="579"/>
      <c r="Z700" s="579"/>
      <c r="AA700" s="579"/>
      <c r="AB700" s="598"/>
      <c r="AC700" s="585"/>
      <c r="AD700" s="585"/>
      <c r="AE700" s="585"/>
      <c r="AF700" s="585"/>
      <c r="AG700" s="585"/>
      <c r="AH700" s="585"/>
      <c r="AI700" s="585"/>
      <c r="AJ700" s="585"/>
      <c r="AK700" s="585"/>
      <c r="AL700" s="585"/>
    </row>
    <row r="701" spans="1:38" ht="13" customHeight="1">
      <c r="A701" s="564">
        <v>585</v>
      </c>
      <c r="B701" s="639" t="s">
        <v>514</v>
      </c>
      <c r="C701" s="639" t="s">
        <v>61</v>
      </c>
      <c r="D701" s="639" t="s">
        <v>107</v>
      </c>
      <c r="E701" s="669">
        <v>1000</v>
      </c>
      <c r="F701" s="639" t="s">
        <v>108</v>
      </c>
      <c r="G701" s="567" t="s">
        <v>57</v>
      </c>
      <c r="H701" s="639" t="s">
        <v>76</v>
      </c>
      <c r="I701" s="669">
        <v>104</v>
      </c>
      <c r="J701" s="639" t="s">
        <v>77</v>
      </c>
      <c r="K701" s="669">
        <v>2011</v>
      </c>
      <c r="L701" s="639" t="s">
        <v>507</v>
      </c>
      <c r="M701" s="668" t="s">
        <v>504</v>
      </c>
      <c r="N701" s="632">
        <v>0.75</v>
      </c>
      <c r="O701" s="633" t="s">
        <v>38</v>
      </c>
      <c r="P701" s="633" t="s">
        <v>38</v>
      </c>
      <c r="Q701" s="633" t="s">
        <v>38</v>
      </c>
      <c r="R701" s="634" t="s">
        <v>38</v>
      </c>
      <c r="S701" s="55"/>
      <c r="T701" s="576"/>
      <c r="U701" s="575"/>
      <c r="V701" s="575"/>
      <c r="W701" s="575"/>
      <c r="X701" s="579"/>
      <c r="Y701" s="579"/>
      <c r="Z701" s="579"/>
      <c r="AA701" s="579"/>
      <c r="AB701" s="598"/>
      <c r="AC701" s="585"/>
      <c r="AD701" s="585"/>
      <c r="AE701" s="585"/>
      <c r="AF701" s="585"/>
      <c r="AG701" s="585"/>
      <c r="AH701" s="585"/>
      <c r="AI701" s="585"/>
      <c r="AJ701" s="585"/>
      <c r="AK701" s="585"/>
      <c r="AL701" s="585"/>
    </row>
    <row r="702" spans="1:38" ht="13" customHeight="1">
      <c r="A702" s="564">
        <v>586</v>
      </c>
      <c r="B702" s="639" t="s">
        <v>514</v>
      </c>
      <c r="C702" s="639" t="s">
        <v>61</v>
      </c>
      <c r="D702" s="639" t="s">
        <v>107</v>
      </c>
      <c r="E702" s="669">
        <v>1000</v>
      </c>
      <c r="F702" s="639" t="s">
        <v>217</v>
      </c>
      <c r="G702" s="567" t="s">
        <v>57</v>
      </c>
      <c r="H702" s="639" t="s">
        <v>33</v>
      </c>
      <c r="I702" s="669">
        <f>5582*1000000</f>
        <v>5582000000</v>
      </c>
      <c r="J702" s="639" t="s">
        <v>34</v>
      </c>
      <c r="K702" s="669">
        <v>2011</v>
      </c>
      <c r="L702" s="639" t="s">
        <v>507</v>
      </c>
      <c r="M702" s="668" t="s">
        <v>504</v>
      </c>
      <c r="N702" s="632">
        <v>0.75</v>
      </c>
      <c r="O702" s="633" t="s">
        <v>38</v>
      </c>
      <c r="P702" s="633" t="s">
        <v>38</v>
      </c>
      <c r="Q702" s="633" t="s">
        <v>38</v>
      </c>
      <c r="R702" s="634" t="s">
        <v>38</v>
      </c>
      <c r="S702" s="55"/>
      <c r="T702" s="576"/>
      <c r="U702" s="575"/>
      <c r="V702" s="575"/>
      <c r="W702" s="575"/>
      <c r="X702" s="579"/>
      <c r="Y702" s="579"/>
      <c r="Z702" s="579"/>
      <c r="AA702" s="579"/>
      <c r="AB702" s="598"/>
      <c r="AC702" s="585"/>
      <c r="AD702" s="585"/>
      <c r="AE702" s="585"/>
      <c r="AF702" s="585"/>
      <c r="AG702" s="585"/>
      <c r="AH702" s="585"/>
      <c r="AI702" s="585"/>
      <c r="AJ702" s="585"/>
      <c r="AK702" s="585"/>
      <c r="AL702" s="585"/>
    </row>
    <row r="703" spans="1:38" ht="13" customHeight="1">
      <c r="A703" s="564">
        <v>587</v>
      </c>
      <c r="B703" s="639" t="s">
        <v>515</v>
      </c>
      <c r="C703" s="670" t="s">
        <v>61</v>
      </c>
      <c r="D703" s="639" t="s">
        <v>278</v>
      </c>
      <c r="E703" s="669">
        <v>1000</v>
      </c>
      <c r="F703" s="639" t="s">
        <v>116</v>
      </c>
      <c r="G703" s="567" t="s">
        <v>57</v>
      </c>
      <c r="H703" s="670" t="s">
        <v>76</v>
      </c>
      <c r="I703" s="669">
        <v>11</v>
      </c>
      <c r="J703" s="670" t="s">
        <v>77</v>
      </c>
      <c r="K703" s="669">
        <v>2007</v>
      </c>
      <c r="L703" s="670" t="s">
        <v>507</v>
      </c>
      <c r="M703" s="668" t="s">
        <v>504</v>
      </c>
      <c r="N703" s="634" t="s">
        <v>38</v>
      </c>
      <c r="O703" s="634" t="s">
        <v>38</v>
      </c>
      <c r="P703" s="633" t="s">
        <v>38</v>
      </c>
      <c r="Q703" s="633" t="s">
        <v>38</v>
      </c>
      <c r="R703" s="634" t="s">
        <v>38</v>
      </c>
      <c r="S703" s="55"/>
      <c r="T703" s="576"/>
      <c r="U703" s="575"/>
      <c r="V703" s="575"/>
      <c r="W703" s="575"/>
      <c r="X703" s="579"/>
      <c r="Y703" s="579"/>
      <c r="Z703" s="579"/>
      <c r="AA703" s="579"/>
      <c r="AB703" s="598"/>
      <c r="AC703" s="585"/>
      <c r="AD703" s="585"/>
      <c r="AE703" s="585"/>
      <c r="AF703" s="585"/>
      <c r="AG703" s="585"/>
      <c r="AH703" s="585"/>
      <c r="AI703" s="585"/>
      <c r="AJ703" s="585"/>
      <c r="AK703" s="585"/>
      <c r="AL703" s="585"/>
    </row>
    <row r="704" spans="1:38" ht="13" customHeight="1">
      <c r="A704" s="564">
        <v>588</v>
      </c>
      <c r="B704" s="639" t="s">
        <v>515</v>
      </c>
      <c r="C704" s="639" t="s">
        <v>61</v>
      </c>
      <c r="D704" s="639" t="s">
        <v>278</v>
      </c>
      <c r="E704" s="669">
        <v>1000</v>
      </c>
      <c r="F704" s="639" t="s">
        <v>63</v>
      </c>
      <c r="G704" s="567" t="s">
        <v>57</v>
      </c>
      <c r="H704" s="639" t="s">
        <v>76</v>
      </c>
      <c r="I704" s="669">
        <v>0.04</v>
      </c>
      <c r="J704" s="639" t="s">
        <v>77</v>
      </c>
      <c r="K704" s="669">
        <v>2008</v>
      </c>
      <c r="L704" s="639" t="s">
        <v>507</v>
      </c>
      <c r="M704" s="668" t="s">
        <v>504</v>
      </c>
      <c r="N704" s="634" t="s">
        <v>38</v>
      </c>
      <c r="O704" s="634" t="s">
        <v>38</v>
      </c>
      <c r="P704" s="633" t="s">
        <v>38</v>
      </c>
      <c r="Q704" s="633" t="s">
        <v>38</v>
      </c>
      <c r="R704" s="634" t="s">
        <v>38</v>
      </c>
      <c r="S704" s="55"/>
      <c r="T704" s="576"/>
      <c r="U704" s="575"/>
      <c r="V704" s="575"/>
      <c r="W704" s="575"/>
      <c r="X704" s="579"/>
      <c r="Y704" s="579"/>
      <c r="Z704" s="579"/>
      <c r="AA704" s="579"/>
      <c r="AB704" s="598"/>
      <c r="AC704" s="585"/>
      <c r="AD704" s="585"/>
      <c r="AE704" s="585"/>
      <c r="AF704" s="585"/>
      <c r="AG704" s="585"/>
      <c r="AH704" s="585"/>
      <c r="AI704" s="585"/>
      <c r="AJ704" s="585"/>
      <c r="AK704" s="585"/>
      <c r="AL704" s="585"/>
    </row>
    <row r="705" spans="1:38" ht="13" customHeight="1">
      <c r="A705" s="564">
        <v>589</v>
      </c>
      <c r="B705" s="639" t="s">
        <v>515</v>
      </c>
      <c r="C705" s="639" t="s">
        <v>61</v>
      </c>
      <c r="D705" s="639" t="s">
        <v>278</v>
      </c>
      <c r="E705" s="669">
        <v>1000</v>
      </c>
      <c r="F705" s="639" t="s">
        <v>493</v>
      </c>
      <c r="G705" s="567" t="s">
        <v>57</v>
      </c>
      <c r="H705" s="639" t="s">
        <v>76</v>
      </c>
      <c r="I705" s="669">
        <v>0.6</v>
      </c>
      <c r="J705" s="639" t="s">
        <v>77</v>
      </c>
      <c r="K705" s="669">
        <v>2009</v>
      </c>
      <c r="L705" s="639" t="s">
        <v>507</v>
      </c>
      <c r="M705" s="668" t="s">
        <v>504</v>
      </c>
      <c r="N705" s="634" t="s">
        <v>38</v>
      </c>
      <c r="O705" s="634" t="s">
        <v>38</v>
      </c>
      <c r="P705" s="633" t="s">
        <v>38</v>
      </c>
      <c r="Q705" s="633" t="s">
        <v>38</v>
      </c>
      <c r="R705" s="634" t="s">
        <v>38</v>
      </c>
      <c r="S705" s="55"/>
      <c r="T705" s="576"/>
      <c r="U705" s="575"/>
      <c r="V705" s="575"/>
      <c r="W705" s="575"/>
      <c r="X705" s="579"/>
      <c r="Y705" s="579"/>
      <c r="Z705" s="579"/>
      <c r="AA705" s="579"/>
      <c r="AB705" s="598"/>
      <c r="AC705" s="585"/>
      <c r="AD705" s="585"/>
      <c r="AE705" s="585"/>
      <c r="AF705" s="585"/>
      <c r="AG705" s="585"/>
      <c r="AH705" s="585"/>
      <c r="AI705" s="585"/>
      <c r="AJ705" s="585"/>
      <c r="AK705" s="585"/>
      <c r="AL705" s="585"/>
    </row>
    <row r="706" spans="1:38" ht="13" customHeight="1">
      <c r="A706" s="564">
        <v>590</v>
      </c>
      <c r="B706" s="639" t="s">
        <v>515</v>
      </c>
      <c r="C706" s="639" t="s">
        <v>61</v>
      </c>
      <c r="D706" s="639" t="s">
        <v>278</v>
      </c>
      <c r="E706" s="669">
        <v>1000</v>
      </c>
      <c r="F706" s="639" t="s">
        <v>115</v>
      </c>
      <c r="G706" s="567" t="s">
        <v>57</v>
      </c>
      <c r="H706" s="639" t="s">
        <v>76</v>
      </c>
      <c r="I706" s="669">
        <v>6.9</v>
      </c>
      <c r="J706" s="639" t="s">
        <v>77</v>
      </c>
      <c r="K706" s="669">
        <v>2010</v>
      </c>
      <c r="L706" s="639" t="s">
        <v>507</v>
      </c>
      <c r="M706" s="668" t="s">
        <v>504</v>
      </c>
      <c r="N706" s="634" t="s">
        <v>38</v>
      </c>
      <c r="O706" s="634" t="s">
        <v>38</v>
      </c>
      <c r="P706" s="633" t="s">
        <v>38</v>
      </c>
      <c r="Q706" s="633" t="s">
        <v>38</v>
      </c>
      <c r="R706" s="634" t="s">
        <v>38</v>
      </c>
      <c r="S706" s="55"/>
      <c r="T706" s="576"/>
      <c r="U706" s="575"/>
      <c r="V706" s="575"/>
      <c r="W706" s="575"/>
      <c r="X706" s="579"/>
      <c r="Y706" s="579"/>
      <c r="Z706" s="579"/>
      <c r="AA706" s="579"/>
      <c r="AB706" s="598"/>
      <c r="AC706" s="585"/>
      <c r="AD706" s="585"/>
      <c r="AE706" s="585"/>
      <c r="AF706" s="585"/>
      <c r="AG706" s="585"/>
      <c r="AH706" s="585"/>
      <c r="AI706" s="585"/>
      <c r="AJ706" s="585"/>
      <c r="AK706" s="585"/>
      <c r="AL706" s="585"/>
    </row>
    <row r="707" spans="1:38" ht="40.5" customHeight="1">
      <c r="A707" s="564">
        <v>591</v>
      </c>
      <c r="B707" s="639" t="s">
        <v>515</v>
      </c>
      <c r="C707" s="639" t="s">
        <v>61</v>
      </c>
      <c r="D707" s="639" t="s">
        <v>278</v>
      </c>
      <c r="E707" s="669">
        <v>1000</v>
      </c>
      <c r="F707" s="639" t="s">
        <v>108</v>
      </c>
      <c r="G707" s="567" t="s">
        <v>57</v>
      </c>
      <c r="H707" s="639" t="s">
        <v>76</v>
      </c>
      <c r="I707" s="669">
        <v>111</v>
      </c>
      <c r="J707" s="639" t="s">
        <v>77</v>
      </c>
      <c r="K707" s="669">
        <v>2011</v>
      </c>
      <c r="L707" s="639" t="s">
        <v>507</v>
      </c>
      <c r="M707" s="668" t="s">
        <v>504</v>
      </c>
      <c r="N707" s="632">
        <v>0.75</v>
      </c>
      <c r="O707" s="633" t="s">
        <v>38</v>
      </c>
      <c r="P707" s="633" t="s">
        <v>38</v>
      </c>
      <c r="Q707" s="633" t="s">
        <v>38</v>
      </c>
      <c r="R707" s="634" t="s">
        <v>38</v>
      </c>
      <c r="S707" s="55"/>
      <c r="T707" s="576"/>
      <c r="U707" s="575"/>
      <c r="V707" s="575"/>
      <c r="W707" s="575"/>
      <c r="X707" s="579"/>
      <c r="Y707" s="579"/>
      <c r="Z707" s="579"/>
      <c r="AA707" s="579"/>
      <c r="AB707" s="598"/>
      <c r="AC707" s="585"/>
      <c r="AD707" s="585"/>
      <c r="AE707" s="585"/>
      <c r="AF707" s="585"/>
      <c r="AG707" s="585"/>
      <c r="AH707" s="585"/>
      <c r="AI707" s="585"/>
      <c r="AJ707" s="585"/>
      <c r="AK707" s="585"/>
      <c r="AL707" s="585"/>
    </row>
    <row r="708" spans="1:38" ht="22.5" customHeight="1">
      <c r="A708" s="564">
        <v>593</v>
      </c>
      <c r="B708" s="639" t="s">
        <v>515</v>
      </c>
      <c r="C708" s="639" t="s">
        <v>61</v>
      </c>
      <c r="D708" s="639" t="s">
        <v>278</v>
      </c>
      <c r="E708" s="640">
        <v>1000</v>
      </c>
      <c r="F708" s="639" t="s">
        <v>217</v>
      </c>
      <c r="G708" s="567" t="s">
        <v>57</v>
      </c>
      <c r="H708" s="639" t="s">
        <v>33</v>
      </c>
      <c r="I708" s="669">
        <f>6239*1000000</f>
        <v>6239000000</v>
      </c>
      <c r="J708" s="639" t="s">
        <v>34</v>
      </c>
      <c r="K708" s="669">
        <v>2011</v>
      </c>
      <c r="L708" s="639" t="s">
        <v>507</v>
      </c>
      <c r="M708" s="668" t="s">
        <v>504</v>
      </c>
      <c r="N708" s="632">
        <v>0.75</v>
      </c>
      <c r="O708" s="633" t="s">
        <v>38</v>
      </c>
      <c r="P708" s="633" t="s">
        <v>38</v>
      </c>
      <c r="Q708" s="633" t="s">
        <v>38</v>
      </c>
      <c r="R708" s="634" t="s">
        <v>38</v>
      </c>
      <c r="S708" s="55"/>
      <c r="T708" s="576"/>
      <c r="U708" s="575"/>
      <c r="V708" s="575"/>
      <c r="W708" s="575"/>
      <c r="X708" s="579"/>
      <c r="Y708" s="579"/>
      <c r="Z708" s="579"/>
      <c r="AA708" s="579"/>
      <c r="AB708" s="598"/>
      <c r="AC708" s="585"/>
      <c r="AD708" s="585"/>
      <c r="AE708" s="585"/>
      <c r="AF708" s="585"/>
      <c r="AG708" s="585"/>
      <c r="AH708" s="585"/>
      <c r="AI708" s="585"/>
      <c r="AJ708" s="585"/>
      <c r="AK708" s="585"/>
      <c r="AL708" s="585"/>
    </row>
    <row r="709" spans="1:38">
      <c r="S709" s="55"/>
      <c r="AB709" s="598"/>
    </row>
    <row r="710" spans="1:38">
      <c r="M710" s="20"/>
      <c r="S710" s="55"/>
      <c r="AB710" s="598"/>
    </row>
    <row r="711" spans="1:38">
      <c r="S711" s="55"/>
      <c r="AB711" s="598"/>
    </row>
    <row r="712" spans="1:38">
      <c r="S712" s="55"/>
      <c r="AB712" s="598"/>
    </row>
    <row r="713" spans="1:38">
      <c r="S713" s="55"/>
      <c r="AB713" s="598"/>
    </row>
    <row r="714" spans="1:38">
      <c r="S714" s="55"/>
      <c r="AB714" s="598"/>
    </row>
    <row r="715" spans="1:38">
      <c r="S715" s="55"/>
      <c r="AB715" s="598"/>
    </row>
    <row r="716" spans="1:38">
      <c r="S716" s="55"/>
      <c r="AB716" s="598"/>
    </row>
    <row r="717" spans="1:38">
      <c r="S717" s="55"/>
      <c r="AB717" s="598"/>
    </row>
    <row r="718" spans="1:38">
      <c r="S718" s="55"/>
      <c r="AB718" s="598"/>
    </row>
    <row r="719" spans="1:38">
      <c r="S719" s="55"/>
      <c r="AB719" s="598"/>
    </row>
    <row r="720" spans="1:38">
      <c r="G720" s="13"/>
      <c r="S720" s="55"/>
      <c r="AB720" s="598"/>
    </row>
    <row r="721" spans="19:19">
      <c r="S721" s="55"/>
    </row>
    <row r="745" spans="24:27">
      <c r="X745" s="579"/>
      <c r="Y745" s="579"/>
      <c r="Z745" s="579"/>
      <c r="AA745" s="579"/>
    </row>
    <row r="746" spans="24:27">
      <c r="X746" s="622"/>
      <c r="Y746" s="622"/>
      <c r="Z746" s="622"/>
      <c r="AA746" s="622"/>
    </row>
    <row r="747" spans="24:27">
      <c r="X747" s="622"/>
      <c r="Y747" s="622"/>
      <c r="Z747" s="622"/>
      <c r="AA747" s="622"/>
    </row>
    <row r="748" spans="24:27">
      <c r="X748" s="622"/>
      <c r="Y748" s="622"/>
      <c r="Z748" s="622"/>
      <c r="AA748" s="622"/>
    </row>
    <row r="752" spans="24:27">
      <c r="X752" s="579"/>
      <c r="Y752" s="579"/>
      <c r="Z752" s="579"/>
      <c r="AA752" s="579"/>
    </row>
    <row r="753" spans="24:27">
      <c r="X753" s="622"/>
      <c r="Y753" s="622"/>
      <c r="Z753" s="622"/>
      <c r="AA753" s="622"/>
    </row>
    <row r="754" spans="24:27">
      <c r="X754" s="622"/>
      <c r="Y754" s="622"/>
      <c r="Z754" s="622"/>
      <c r="AA754" s="622"/>
    </row>
    <row r="755" spans="24:27">
      <c r="X755" s="622"/>
      <c r="Y755" s="622"/>
      <c r="Z755" s="622"/>
      <c r="AA755" s="622"/>
    </row>
  </sheetData>
  <mergeCells count="289">
    <mergeCell ref="W484:W485"/>
    <mergeCell ref="T571:T573"/>
    <mergeCell ref="U571:U573"/>
    <mergeCell ref="V571:V573"/>
    <mergeCell ref="W571:W573"/>
    <mergeCell ref="T523:T526"/>
    <mergeCell ref="U523:U526"/>
    <mergeCell ref="V523:V526"/>
    <mergeCell ref="W523:W526"/>
    <mergeCell ref="T488:T522"/>
    <mergeCell ref="U488:U522"/>
    <mergeCell ref="V488:V522"/>
    <mergeCell ref="W488:W522"/>
    <mergeCell ref="T527:T570"/>
    <mergeCell ref="U527:U570"/>
    <mergeCell ref="V527:V570"/>
    <mergeCell ref="W527:W570"/>
    <mergeCell ref="W435:W442"/>
    <mergeCell ref="T465:W467"/>
    <mergeCell ref="T487:W487"/>
    <mergeCell ref="T476:T483"/>
    <mergeCell ref="T484:T485"/>
    <mergeCell ref="U476:U483"/>
    <mergeCell ref="U484:U485"/>
    <mergeCell ref="V476:V483"/>
    <mergeCell ref="V484:V485"/>
    <mergeCell ref="W476:W483"/>
    <mergeCell ref="U468:U474"/>
    <mergeCell ref="V468:V474"/>
    <mergeCell ref="W468:W474"/>
    <mergeCell ref="T468:T474"/>
    <mergeCell ref="T461:T464"/>
    <mergeCell ref="U461:U464"/>
    <mergeCell ref="V461:V464"/>
    <mergeCell ref="W461:W464"/>
    <mergeCell ref="T443:T454"/>
    <mergeCell ref="T455:W458"/>
    <mergeCell ref="U443:U454"/>
    <mergeCell ref="V443:V454"/>
    <mergeCell ref="W443:W454"/>
    <mergeCell ref="T459:T460"/>
    <mergeCell ref="U316:U319"/>
    <mergeCell ref="U157:U176"/>
    <mergeCell ref="W157:W176"/>
    <mergeCell ref="V157:V176"/>
    <mergeCell ref="T321:T322"/>
    <mergeCell ref="T236:T239"/>
    <mergeCell ref="U236:U239"/>
    <mergeCell ref="T240:T256"/>
    <mergeCell ref="U240:U256"/>
    <mergeCell ref="T258:T260"/>
    <mergeCell ref="T261:T262"/>
    <mergeCell ref="U258:U260"/>
    <mergeCell ref="U261:U262"/>
    <mergeCell ref="U191:U195"/>
    <mergeCell ref="V258:V260"/>
    <mergeCell ref="V261:V262"/>
    <mergeCell ref="W258:W260"/>
    <mergeCell ref="W261:W262"/>
    <mergeCell ref="V185:V190"/>
    <mergeCell ref="T191:T195"/>
    <mergeCell ref="U48:U50"/>
    <mergeCell ref="U435:U442"/>
    <mergeCell ref="T435:T442"/>
    <mergeCell ref="V435:V442"/>
    <mergeCell ref="W48:W50"/>
    <mergeCell ref="U379:U389"/>
    <mergeCell ref="W390:W392"/>
    <mergeCell ref="V390:V392"/>
    <mergeCell ref="V379:V389"/>
    <mergeCell ref="W379:W389"/>
    <mergeCell ref="T406:T421"/>
    <mergeCell ref="U406:U421"/>
    <mergeCell ref="V406:V421"/>
    <mergeCell ref="W406:W421"/>
    <mergeCell ref="V177:V184"/>
    <mergeCell ref="U177:U184"/>
    <mergeCell ref="W177:W184"/>
    <mergeCell ref="T177:T184"/>
    <mergeCell ref="T185:T190"/>
    <mergeCell ref="U185:U190"/>
    <mergeCell ref="T88:T94"/>
    <mergeCell ref="U88:U94"/>
    <mergeCell ref="V88:V94"/>
    <mergeCell ref="W88:W94"/>
    <mergeCell ref="AE118:AE166"/>
    <mergeCell ref="AK188:AK204"/>
    <mergeCell ref="AE188:AE204"/>
    <mergeCell ref="AE169:AE186"/>
    <mergeCell ref="AH169:AH186"/>
    <mergeCell ref="AI169:AI186"/>
    <mergeCell ref="AL188:AL204"/>
    <mergeCell ref="AF169:AF186"/>
    <mergeCell ref="W4:W6"/>
    <mergeCell ref="W51:W56"/>
    <mergeCell ref="W8:W40"/>
    <mergeCell ref="W185:W190"/>
    <mergeCell ref="AF15:AF17"/>
    <mergeCell ref="AK15:AK17"/>
    <mergeCell ref="AL15:AL17"/>
    <mergeCell ref="AJ15:AJ17"/>
    <mergeCell ref="AI15:AI17"/>
    <mergeCell ref="AH15:AH17"/>
    <mergeCell ref="AD18:AD23"/>
    <mergeCell ref="AH18:AH23"/>
    <mergeCell ref="AL18:AL23"/>
    <mergeCell ref="AG18:AG23"/>
    <mergeCell ref="AK18:AK23"/>
    <mergeCell ref="AJ18:AJ23"/>
    <mergeCell ref="AP121:AW121"/>
    <mergeCell ref="AP123:AW123"/>
    <mergeCell ref="AP126:AW126"/>
    <mergeCell ref="AG188:AG204"/>
    <mergeCell ref="AH188:AH204"/>
    <mergeCell ref="AI188:AI204"/>
    <mergeCell ref="AJ188:AJ204"/>
    <mergeCell ref="AJ169:AJ186"/>
    <mergeCell ref="AK169:AK186"/>
    <mergeCell ref="AL169:AL186"/>
    <mergeCell ref="AK118:AK166"/>
    <mergeCell ref="AJ118:AJ166"/>
    <mergeCell ref="AG169:AG186"/>
    <mergeCell ref="AL118:AL166"/>
    <mergeCell ref="AI118:AI166"/>
    <mergeCell ref="AG118:AG166"/>
    <mergeCell ref="AE99:AE105"/>
    <mergeCell ref="AD99:AD105"/>
    <mergeCell ref="AG99:AG105"/>
    <mergeCell ref="AL99:AL105"/>
    <mergeCell ref="AK99:AK105"/>
    <mergeCell ref="AJ99:AJ105"/>
    <mergeCell ref="AI99:AI105"/>
    <mergeCell ref="AI18:AI23"/>
    <mergeCell ref="AE18:AE23"/>
    <mergeCell ref="AC188:AC204"/>
    <mergeCell ref="AD118:AD166"/>
    <mergeCell ref="AD188:AD204"/>
    <mergeCell ref="AH99:AH105"/>
    <mergeCell ref="AH118:AH166"/>
    <mergeCell ref="T4:T6"/>
    <mergeCell ref="U4:U6"/>
    <mergeCell ref="V4:V6"/>
    <mergeCell ref="W61:W87"/>
    <mergeCell ref="W57:W58"/>
    <mergeCell ref="W59:W60"/>
    <mergeCell ref="T106:T155"/>
    <mergeCell ref="U106:U155"/>
    <mergeCell ref="U196:U235"/>
    <mergeCell ref="T196:T235"/>
    <mergeCell ref="AC72:AC98"/>
    <mergeCell ref="AC106:AC116"/>
    <mergeCell ref="AC169:AC186"/>
    <mergeCell ref="AD169:AD186"/>
    <mergeCell ref="AG15:AG17"/>
    <mergeCell ref="AC18:AC23"/>
    <mergeCell ref="AC15:AC16"/>
    <mergeCell ref="AE15:AE17"/>
    <mergeCell ref="AD15:AD17"/>
    <mergeCell ref="S28:S30"/>
    <mergeCell ref="T48:T50"/>
    <mergeCell ref="V48:V50"/>
    <mergeCell ref="T59:T60"/>
    <mergeCell ref="T95:T105"/>
    <mergeCell ref="T157:T176"/>
    <mergeCell ref="U59:U60"/>
    <mergeCell ref="T57:T58"/>
    <mergeCell ref="U57:U58"/>
    <mergeCell ref="U61:U87"/>
    <mergeCell ref="V57:V58"/>
    <mergeCell ref="V59:V60"/>
    <mergeCell ref="V61:V87"/>
    <mergeCell ref="T51:T56"/>
    <mergeCell ref="U51:U56"/>
    <mergeCell ref="V51:V56"/>
    <mergeCell ref="U8:U40"/>
    <mergeCell ref="T8:T40"/>
    <mergeCell ref="V8:V40"/>
    <mergeCell ref="T42:T47"/>
    <mergeCell ref="U42:U47"/>
    <mergeCell ref="V42:V47"/>
    <mergeCell ref="U95:U105"/>
    <mergeCell ref="T61:T87"/>
    <mergeCell ref="S263:S270"/>
    <mergeCell ref="T284:W287"/>
    <mergeCell ref="T343:T377"/>
    <mergeCell ref="U343:U377"/>
    <mergeCell ref="V343:V377"/>
    <mergeCell ref="W343:W377"/>
    <mergeCell ref="T323:T342"/>
    <mergeCell ref="U323:U342"/>
    <mergeCell ref="V323:V342"/>
    <mergeCell ref="W323:W342"/>
    <mergeCell ref="W321:W322"/>
    <mergeCell ref="V321:V322"/>
    <mergeCell ref="U321:U322"/>
    <mergeCell ref="T316:T319"/>
    <mergeCell ref="W316:W319"/>
    <mergeCell ref="V316:V319"/>
    <mergeCell ref="T288:T315"/>
    <mergeCell ref="U288:U315"/>
    <mergeCell ref="V288:V315"/>
    <mergeCell ref="W263:W283"/>
    <mergeCell ref="W288:W315"/>
    <mergeCell ref="V263:V283"/>
    <mergeCell ref="T263:T283"/>
    <mergeCell ref="U263:U283"/>
    <mergeCell ref="U390:U392"/>
    <mergeCell ref="T390:T392"/>
    <mergeCell ref="T379:T389"/>
    <mergeCell ref="T422:W424"/>
    <mergeCell ref="T425:T434"/>
    <mergeCell ref="U425:U434"/>
    <mergeCell ref="V425:V434"/>
    <mergeCell ref="W425:W434"/>
    <mergeCell ref="T393:T405"/>
    <mergeCell ref="U393:U405"/>
    <mergeCell ref="V393:V405"/>
    <mergeCell ref="W393:W405"/>
    <mergeCell ref="U459:U460"/>
    <mergeCell ref="V459:V460"/>
    <mergeCell ref="W459:W460"/>
    <mergeCell ref="T594:T603"/>
    <mergeCell ref="U594:U603"/>
    <mergeCell ref="V594:V603"/>
    <mergeCell ref="W594:W603"/>
    <mergeCell ref="U574:U576"/>
    <mergeCell ref="V574:V576"/>
    <mergeCell ref="W591:W593"/>
    <mergeCell ref="T577:T582"/>
    <mergeCell ref="T583:T584"/>
    <mergeCell ref="U577:U582"/>
    <mergeCell ref="U583:U584"/>
    <mergeCell ref="V577:V582"/>
    <mergeCell ref="V583:V584"/>
    <mergeCell ref="W577:W582"/>
    <mergeCell ref="W583:W584"/>
    <mergeCell ref="T574:T576"/>
    <mergeCell ref="W574:W576"/>
    <mergeCell ref="T585:T590"/>
    <mergeCell ref="U585:U590"/>
    <mergeCell ref="V585:V590"/>
    <mergeCell ref="W585:W590"/>
    <mergeCell ref="T604:T605"/>
    <mergeCell ref="T606:T621"/>
    <mergeCell ref="U604:U605"/>
    <mergeCell ref="U606:U621"/>
    <mergeCell ref="V604:V605"/>
    <mergeCell ref="W606:W621"/>
    <mergeCell ref="T591:T593"/>
    <mergeCell ref="V606:V621"/>
    <mergeCell ref="W604:W605"/>
    <mergeCell ref="U591:U593"/>
    <mergeCell ref="V591:V593"/>
    <mergeCell ref="T622:T642"/>
    <mergeCell ref="U622:U642"/>
    <mergeCell ref="T643:T650"/>
    <mergeCell ref="T651:T658"/>
    <mergeCell ref="T659:T676"/>
    <mergeCell ref="T677:T708"/>
    <mergeCell ref="U677:U708"/>
    <mergeCell ref="V677:V708"/>
    <mergeCell ref="W677:W708"/>
    <mergeCell ref="U643:U650"/>
    <mergeCell ref="V643:V650"/>
    <mergeCell ref="W643:W650"/>
    <mergeCell ref="V622:V642"/>
    <mergeCell ref="W622:W642"/>
    <mergeCell ref="U651:U658"/>
    <mergeCell ref="V651:V658"/>
    <mergeCell ref="W651:W658"/>
    <mergeCell ref="U659:U676"/>
    <mergeCell ref="V659:V676"/>
    <mergeCell ref="W659:W676"/>
    <mergeCell ref="X42:X47"/>
    <mergeCell ref="Y42:Y47"/>
    <mergeCell ref="Z42:Z47"/>
    <mergeCell ref="V106:V155"/>
    <mergeCell ref="W106:W155"/>
    <mergeCell ref="W196:W235"/>
    <mergeCell ref="V196:V235"/>
    <mergeCell ref="V240:V256"/>
    <mergeCell ref="V236:V239"/>
    <mergeCell ref="W236:W239"/>
    <mergeCell ref="W240:W256"/>
    <mergeCell ref="W95:W105"/>
    <mergeCell ref="V95:V105"/>
    <mergeCell ref="V191:V195"/>
    <mergeCell ref="W191:W195"/>
    <mergeCell ref="W42:W47"/>
  </mergeCells>
  <phoneticPr fontId="10" type="noConversion"/>
  <pageMargins left="0.7" right="0.7" top="0.78740157499999996" bottom="0.78740157499999996" header="0.3" footer="0.3"/>
  <pageSetup paperSize="9" orientation="portrait" r:id="rId1"/>
  <ignoredErrors>
    <ignoredError sqref="I403" formula="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377B8-ACA9-43FB-B502-1FE0CDC7BAFB}">
  <sheetPr>
    <tabColor theme="5" tint="0.79998168889431442"/>
  </sheetPr>
  <dimension ref="A1:X706"/>
  <sheetViews>
    <sheetView topLeftCell="B1" zoomScale="70" zoomScaleNormal="70" workbookViewId="0">
      <selection activeCell="H693" sqref="H496:H693"/>
    </sheetView>
  </sheetViews>
  <sheetFormatPr baseColWidth="10" defaultColWidth="11.41015625" defaultRowHeight="12.9"/>
  <cols>
    <col min="1" max="1" width="6.1171875" bestFit="1" customWidth="1"/>
    <col min="2" max="2" width="50.29296875" bestFit="1" customWidth="1"/>
    <col min="3" max="3" width="18.1171875" bestFit="1" customWidth="1"/>
    <col min="4" max="4" width="81" bestFit="1" customWidth="1"/>
    <col min="5" max="5" width="15.29296875" bestFit="1" customWidth="1"/>
    <col min="6" max="6" width="19.5859375" bestFit="1" customWidth="1"/>
    <col min="7" max="7" width="19" bestFit="1" customWidth="1"/>
    <col min="8" max="8" width="17.87890625" bestFit="1" customWidth="1"/>
    <col min="9" max="9" width="11.87890625" bestFit="1" customWidth="1"/>
    <col min="10" max="10" width="9.29296875" bestFit="1" customWidth="1"/>
    <col min="11" max="11" width="6.87890625" bestFit="1" customWidth="1"/>
    <col min="12" max="12" width="75.41015625" bestFit="1" customWidth="1"/>
    <col min="13" max="13" width="81" bestFit="1" customWidth="1"/>
    <col min="14" max="14" width="39.87890625" bestFit="1" customWidth="1"/>
    <col min="15" max="16" width="81" bestFit="1" customWidth="1"/>
    <col min="17" max="17" width="30.87890625" bestFit="1" customWidth="1"/>
    <col min="18" max="18" width="45.5859375" bestFit="1" customWidth="1"/>
    <col min="19" max="19" width="45.87890625" bestFit="1" customWidth="1"/>
    <col min="20" max="20" width="44" customWidth="1"/>
    <col min="21" max="21" width="27.5859375" customWidth="1"/>
    <col min="22" max="22" width="11.29296875" bestFit="1" customWidth="1"/>
    <col min="23" max="23" width="44" bestFit="1" customWidth="1"/>
    <col min="24" max="24" width="43.87890625" bestFit="1" customWidth="1"/>
  </cols>
  <sheetData>
    <row r="1" spans="1:24">
      <c r="A1" t="s">
        <v>2</v>
      </c>
      <c r="B1" t="s">
        <v>3</v>
      </c>
      <c r="C1" t="s">
        <v>4</v>
      </c>
      <c r="D1" t="s">
        <v>5</v>
      </c>
      <c r="E1" t="s">
        <v>6</v>
      </c>
      <c r="F1" t="s">
        <v>7</v>
      </c>
      <c r="G1" t="s">
        <v>8</v>
      </c>
      <c r="H1" t="s">
        <v>9</v>
      </c>
      <c r="I1" t="s">
        <v>10</v>
      </c>
      <c r="J1" t="s">
        <v>11</v>
      </c>
      <c r="K1" t="s">
        <v>12</v>
      </c>
      <c r="L1" t="s">
        <v>13</v>
      </c>
      <c r="M1" t="s">
        <v>14</v>
      </c>
      <c r="N1" t="s">
        <v>15</v>
      </c>
      <c r="O1" t="s">
        <v>16</v>
      </c>
      <c r="P1" t="s">
        <v>718</v>
      </c>
      <c r="Q1" t="s">
        <v>554</v>
      </c>
      <c r="R1" t="s">
        <v>719</v>
      </c>
      <c r="T1" s="81" t="s">
        <v>555</v>
      </c>
      <c r="U1" s="109" t="s">
        <v>524</v>
      </c>
      <c r="V1" s="110" t="s">
        <v>556</v>
      </c>
    </row>
    <row r="2" spans="1:24" hidden="1">
      <c r="A2">
        <v>29</v>
      </c>
      <c r="B2" t="s">
        <v>95</v>
      </c>
      <c r="C2" t="s">
        <v>81</v>
      </c>
      <c r="D2" t="s">
        <v>81</v>
      </c>
      <c r="E2">
        <v>1000</v>
      </c>
      <c r="F2" t="s">
        <v>902</v>
      </c>
      <c r="G2" t="s">
        <v>57</v>
      </c>
      <c r="H2" t="s">
        <v>76</v>
      </c>
      <c r="J2" t="s">
        <v>82</v>
      </c>
      <c r="K2">
        <v>2019</v>
      </c>
      <c r="L2" t="s">
        <v>96</v>
      </c>
      <c r="M2" t="s">
        <v>97</v>
      </c>
      <c r="N2">
        <v>0.8</v>
      </c>
      <c r="O2" t="s">
        <v>84</v>
      </c>
      <c r="P2" t="s">
        <v>38</v>
      </c>
      <c r="Q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2" s="107" t="str">
        <f>IFERROR(_xlfn.XLOOKUP("*"&amp;TRIM(Fusion[[#This Row],[Confinement Type]])&amp;"*", Map_Conf[From], Map_Conf[To], "", 2), "")</f>
        <v/>
      </c>
      <c r="V2" s="108" t="e" cm="1">
        <f t="array" ref="V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c r="X2" s="19"/>
    </row>
    <row r="3" spans="1:24" hidden="1">
      <c r="A3">
        <v>30</v>
      </c>
      <c r="B3" t="s">
        <v>95</v>
      </c>
      <c r="C3" t="s">
        <v>81</v>
      </c>
      <c r="D3" t="s">
        <v>81</v>
      </c>
      <c r="E3">
        <v>1000</v>
      </c>
      <c r="F3" t="s">
        <v>391</v>
      </c>
      <c r="G3" t="s">
        <v>57</v>
      </c>
      <c r="H3" t="s">
        <v>76</v>
      </c>
      <c r="J3" t="s">
        <v>82</v>
      </c>
      <c r="K3">
        <v>2019</v>
      </c>
      <c r="L3" t="s">
        <v>96</v>
      </c>
      <c r="M3" t="s">
        <v>1114</v>
      </c>
      <c r="N3" t="s">
        <v>38</v>
      </c>
      <c r="O3" t="s">
        <v>38</v>
      </c>
      <c r="P3" t="s">
        <v>38</v>
      </c>
      <c r="Q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3" s="107" t="str">
        <f>IFERROR(_xlfn.XLOOKUP("*"&amp;TRIM(Fusion[[#This Row],[Confinement Type]])&amp;"*", Map_Conf[From], Map_Conf[To], "", 2), "")</f>
        <v/>
      </c>
      <c r="V3" s="108" t="e" cm="1">
        <f t="array" ref="V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4" spans="1:24" hidden="1">
      <c r="A4">
        <v>31</v>
      </c>
      <c r="B4" t="s">
        <v>95</v>
      </c>
      <c r="C4" t="s">
        <v>81</v>
      </c>
      <c r="D4" t="s">
        <v>81</v>
      </c>
      <c r="E4">
        <v>1000</v>
      </c>
      <c r="F4" t="s">
        <v>75</v>
      </c>
      <c r="G4" t="s">
        <v>57</v>
      </c>
      <c r="H4" t="s">
        <v>76</v>
      </c>
      <c r="J4" t="s">
        <v>88</v>
      </c>
      <c r="K4">
        <v>2019</v>
      </c>
      <c r="L4" t="s">
        <v>96</v>
      </c>
      <c r="M4" t="s">
        <v>1114</v>
      </c>
      <c r="N4">
        <v>0.8</v>
      </c>
      <c r="O4" t="s">
        <v>84</v>
      </c>
      <c r="P4" t="s">
        <v>38</v>
      </c>
      <c r="Q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4" s="107" t="str">
        <f>IFERROR(_xlfn.XLOOKUP("*"&amp;TRIM(Fusion[[#This Row],[Confinement Type]])&amp;"*", Map_Conf[From], Map_Conf[To], "", 2), "")</f>
        <v/>
      </c>
      <c r="V4" s="108" t="e" cm="1">
        <f t="array" ref="V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5" spans="1:24" hidden="1">
      <c r="A5">
        <v>191</v>
      </c>
      <c r="B5" t="s">
        <v>237</v>
      </c>
      <c r="C5" t="s">
        <v>61</v>
      </c>
      <c r="D5" t="s">
        <v>62</v>
      </c>
      <c r="E5">
        <v>1000</v>
      </c>
      <c r="F5" t="s">
        <v>669</v>
      </c>
      <c r="G5" t="s">
        <v>755</v>
      </c>
      <c r="H5" t="s">
        <v>33</v>
      </c>
      <c r="J5" t="s">
        <v>34</v>
      </c>
      <c r="K5">
        <v>2000</v>
      </c>
      <c r="L5" t="s">
        <v>233</v>
      </c>
      <c r="M5" t="s">
        <v>236</v>
      </c>
      <c r="N5" t="s">
        <v>38</v>
      </c>
      <c r="O5" t="s">
        <v>38</v>
      </c>
      <c r="P5" t="s">
        <v>38</v>
      </c>
      <c r="Q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5" s="107" t="str">
        <f>IFERROR(_xlfn.XLOOKUP("*"&amp;TRIM(Fusion[[#This Row],[Confinement Type]])&amp;"*", Map_Conf[From], Map_Conf[To], "", 2), "")</f>
        <v>MCF</v>
      </c>
      <c r="V5" s="108" t="str" cm="1">
        <f t="array" ref="V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 spans="1:24" hidden="1">
      <c r="A6">
        <v>313</v>
      </c>
      <c r="B6" t="s">
        <v>81</v>
      </c>
      <c r="C6" t="s">
        <v>61</v>
      </c>
      <c r="D6" t="s">
        <v>62</v>
      </c>
      <c r="E6">
        <v>1000</v>
      </c>
      <c r="F6" t="s">
        <v>116</v>
      </c>
      <c r="G6" t="s">
        <v>57</v>
      </c>
      <c r="H6" t="s">
        <v>76</v>
      </c>
      <c r="J6" t="s">
        <v>82</v>
      </c>
      <c r="K6">
        <v>1998</v>
      </c>
      <c r="L6" t="s">
        <v>311</v>
      </c>
      <c r="M6" t="s">
        <v>312</v>
      </c>
      <c r="N6" t="s">
        <v>122</v>
      </c>
      <c r="O6" t="s">
        <v>38</v>
      </c>
      <c r="P6" t="s">
        <v>38</v>
      </c>
      <c r="Q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6" s="107" t="str">
        <f>IFERROR(_xlfn.XLOOKUP("*"&amp;TRIM(Fusion[[#This Row],[Confinement Type]])&amp;"*", Map_Conf[From], Map_Conf[To], "", 2), "")</f>
        <v>MCF</v>
      </c>
      <c r="V6" s="108" t="str" cm="1">
        <f t="array" ref="V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 spans="1:24" hidden="1">
      <c r="A7">
        <v>319</v>
      </c>
      <c r="B7" t="s">
        <v>81</v>
      </c>
      <c r="C7" t="s">
        <v>61</v>
      </c>
      <c r="D7" t="s">
        <v>62</v>
      </c>
      <c r="E7">
        <v>1000</v>
      </c>
      <c r="F7" t="s">
        <v>116</v>
      </c>
      <c r="G7" t="s">
        <v>32</v>
      </c>
      <c r="H7" t="s">
        <v>76</v>
      </c>
      <c r="J7" t="s">
        <v>82</v>
      </c>
      <c r="K7">
        <v>1998</v>
      </c>
      <c r="L7" t="s">
        <v>311</v>
      </c>
      <c r="M7" t="s">
        <v>320</v>
      </c>
      <c r="N7" t="s">
        <v>38</v>
      </c>
      <c r="O7" t="s">
        <v>38</v>
      </c>
      <c r="P7" t="s">
        <v>38</v>
      </c>
      <c r="Q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7" s="107" t="str">
        <f>IFERROR(_xlfn.XLOOKUP("*"&amp;TRIM(Fusion[[#This Row],[Confinement Type]])&amp;"*", Map_Conf[From], Map_Conf[To], "", 2), "")</f>
        <v>MCF</v>
      </c>
      <c r="V7" s="108" t="str" cm="1">
        <f t="array" ref="V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 spans="1:24" hidden="1">
      <c r="A8">
        <v>321</v>
      </c>
      <c r="B8" t="s">
        <v>81</v>
      </c>
      <c r="C8" t="s">
        <v>61</v>
      </c>
      <c r="D8" t="s">
        <v>62</v>
      </c>
      <c r="E8">
        <v>1000</v>
      </c>
      <c r="F8" t="s">
        <v>116</v>
      </c>
      <c r="G8" t="s">
        <v>32</v>
      </c>
      <c r="H8" t="s">
        <v>76</v>
      </c>
      <c r="J8" t="s">
        <v>82</v>
      </c>
      <c r="K8">
        <v>1998</v>
      </c>
      <c r="L8" t="s">
        <v>311</v>
      </c>
      <c r="M8" t="s">
        <v>321</v>
      </c>
      <c r="N8" t="s">
        <v>122</v>
      </c>
      <c r="O8" t="s">
        <v>38</v>
      </c>
      <c r="P8" t="s">
        <v>38</v>
      </c>
      <c r="Q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8" s="107" t="str">
        <f>IFERROR(_xlfn.XLOOKUP("*"&amp;TRIM(Fusion[[#This Row],[Confinement Type]])&amp;"*", Map_Conf[From], Map_Conf[To], "", 2), "")</f>
        <v>MCF</v>
      </c>
      <c r="V8" s="108" t="str" cm="1">
        <f t="array" ref="V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 spans="1:24" hidden="1">
      <c r="A9">
        <v>322</v>
      </c>
      <c r="B9" t="s">
        <v>81</v>
      </c>
      <c r="C9" t="s">
        <v>61</v>
      </c>
      <c r="D9" t="s">
        <v>62</v>
      </c>
      <c r="E9">
        <v>1000</v>
      </c>
      <c r="F9" t="s">
        <v>116</v>
      </c>
      <c r="G9" t="s">
        <v>57</v>
      </c>
      <c r="H9" t="s">
        <v>76</v>
      </c>
      <c r="J9" t="s">
        <v>82</v>
      </c>
      <c r="K9">
        <v>1998</v>
      </c>
      <c r="L9" t="s">
        <v>311</v>
      </c>
      <c r="M9" t="s">
        <v>322</v>
      </c>
      <c r="N9" t="s">
        <v>122</v>
      </c>
      <c r="O9" t="s">
        <v>38</v>
      </c>
      <c r="P9" t="s">
        <v>38</v>
      </c>
      <c r="Q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9" s="107" t="str">
        <f>IFERROR(_xlfn.XLOOKUP("*"&amp;TRIM(Fusion[[#This Row],[Confinement Type]])&amp;"*", Map_Conf[From], Map_Conf[To], "", 2), "")</f>
        <v>MCF</v>
      </c>
      <c r="V9" s="108" t="str" cm="1">
        <f t="array" ref="V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 spans="1:24" hidden="1">
      <c r="A10">
        <v>326</v>
      </c>
      <c r="B10" t="s">
        <v>81</v>
      </c>
      <c r="C10" t="s">
        <v>61</v>
      </c>
      <c r="D10" t="s">
        <v>62</v>
      </c>
      <c r="E10">
        <v>1000</v>
      </c>
      <c r="F10" t="s">
        <v>116</v>
      </c>
      <c r="G10" t="s">
        <v>52</v>
      </c>
      <c r="H10" t="s">
        <v>76</v>
      </c>
      <c r="J10" t="s">
        <v>82</v>
      </c>
      <c r="K10">
        <v>1998</v>
      </c>
      <c r="L10" t="s">
        <v>311</v>
      </c>
      <c r="M10" t="s">
        <v>323</v>
      </c>
      <c r="N10" t="s">
        <v>122</v>
      </c>
      <c r="O10" t="s">
        <v>38</v>
      </c>
      <c r="P10" t="s">
        <v>38</v>
      </c>
      <c r="Q1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1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10" s="107" t="str">
        <f>IFERROR(_xlfn.XLOOKUP("*"&amp;TRIM(Fusion[[#This Row],[Confinement Type]])&amp;"*", Map_Conf[From], Map_Conf[To], "", 2), "")</f>
        <v>MCF</v>
      </c>
      <c r="V10" s="108" t="str" cm="1">
        <f t="array" ref="V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 spans="1:24" hidden="1">
      <c r="A11">
        <v>327</v>
      </c>
      <c r="B11" t="s">
        <v>81</v>
      </c>
      <c r="C11" t="s">
        <v>61</v>
      </c>
      <c r="D11" t="s">
        <v>62</v>
      </c>
      <c r="E11">
        <v>1000</v>
      </c>
      <c r="F11" t="s">
        <v>116</v>
      </c>
      <c r="G11" t="s">
        <v>754</v>
      </c>
      <c r="H11" t="s">
        <v>76</v>
      </c>
      <c r="J11" t="s">
        <v>82</v>
      </c>
      <c r="K11">
        <v>1998</v>
      </c>
      <c r="L11" t="s">
        <v>311</v>
      </c>
      <c r="M11" t="s">
        <v>324</v>
      </c>
      <c r="N11" t="s">
        <v>122</v>
      </c>
      <c r="O11" t="s">
        <v>38</v>
      </c>
      <c r="P11" t="s">
        <v>38</v>
      </c>
      <c r="Q1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1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11" s="107" t="str">
        <f>IFERROR(_xlfn.XLOOKUP("*"&amp;TRIM(Fusion[[#This Row],[Confinement Type]])&amp;"*", Map_Conf[From], Map_Conf[To], "", 2), "")</f>
        <v>MCF</v>
      </c>
      <c r="V11" s="108" t="str" cm="1">
        <f t="array" ref="V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c r="W11" s="25"/>
    </row>
    <row r="12" spans="1:24" hidden="1">
      <c r="B12" t="s">
        <v>187</v>
      </c>
      <c r="C12" t="s">
        <v>61</v>
      </c>
      <c r="D12" t="s">
        <v>62</v>
      </c>
      <c r="E12">
        <v>1200</v>
      </c>
      <c r="F12" t="s">
        <v>75</v>
      </c>
      <c r="G12" t="s">
        <v>52</v>
      </c>
      <c r="H12" t="s">
        <v>76</v>
      </c>
      <c r="J12" t="s">
        <v>77</v>
      </c>
      <c r="K12">
        <v>1986</v>
      </c>
      <c r="L12" t="s">
        <v>1105</v>
      </c>
      <c r="M12" t="s">
        <v>1099</v>
      </c>
      <c r="Q1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1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12" s="107" t="str">
        <f>IFERROR(_xlfn.XLOOKUP("*"&amp;TRIM(Fusion[[#This Row],[Confinement Type]])&amp;"*", Map_Conf[From], Map_Conf[To], "", 2), "")</f>
        <v>MCF</v>
      </c>
      <c r="V12" s="108" t="str" cm="1">
        <f t="array" ref="V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 spans="1:24" hidden="1">
      <c r="B13" t="s">
        <v>165</v>
      </c>
      <c r="C13" t="s">
        <v>61</v>
      </c>
      <c r="D13" t="s">
        <v>62</v>
      </c>
      <c r="E13">
        <v>1200</v>
      </c>
      <c r="F13" t="s">
        <v>75</v>
      </c>
      <c r="G13" t="s">
        <v>52</v>
      </c>
      <c r="H13" t="s">
        <v>76</v>
      </c>
      <c r="J13" t="s">
        <v>77</v>
      </c>
      <c r="K13">
        <v>1986</v>
      </c>
      <c r="L13" t="s">
        <v>1105</v>
      </c>
      <c r="M13" t="s">
        <v>1099</v>
      </c>
      <c r="Q1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1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13" s="107" t="str">
        <f>IFERROR(_xlfn.XLOOKUP("*"&amp;TRIM(Fusion[[#This Row],[Confinement Type]])&amp;"*", Map_Conf[From], Map_Conf[To], "", 2), "")</f>
        <v>MCF</v>
      </c>
      <c r="V13" s="108" t="str" cm="1">
        <f t="array" ref="V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 spans="1:24" hidden="1">
      <c r="B14" t="s">
        <v>170</v>
      </c>
      <c r="C14" t="s">
        <v>61</v>
      </c>
      <c r="D14" t="s">
        <v>113</v>
      </c>
      <c r="E14">
        <v>970</v>
      </c>
      <c r="F14" t="s">
        <v>75</v>
      </c>
      <c r="G14" t="s">
        <v>52</v>
      </c>
      <c r="H14" t="s">
        <v>76</v>
      </c>
      <c r="J14" t="s">
        <v>77</v>
      </c>
      <c r="K14">
        <v>1986</v>
      </c>
      <c r="L14" t="s">
        <v>1105</v>
      </c>
      <c r="M14" t="s">
        <v>1099</v>
      </c>
      <c r="Q1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1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14" s="107" t="str">
        <f>IFERROR(_xlfn.XLOOKUP("*"&amp;TRIM(Fusion[[#This Row],[Confinement Type]])&amp;"*", Map_Conf[From], Map_Conf[To], "", 2), "")</f>
        <v>MCF</v>
      </c>
      <c r="V14" s="108" t="str" cm="1">
        <f t="array" ref="V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15" spans="1:24" hidden="1">
      <c r="B15" t="s">
        <v>172</v>
      </c>
      <c r="C15" t="s">
        <v>61</v>
      </c>
      <c r="D15" t="s">
        <v>113</v>
      </c>
      <c r="E15">
        <v>970</v>
      </c>
      <c r="F15" t="s">
        <v>75</v>
      </c>
      <c r="G15" t="s">
        <v>52</v>
      </c>
      <c r="H15" t="s">
        <v>76</v>
      </c>
      <c r="J15" t="s">
        <v>77</v>
      </c>
      <c r="K15">
        <v>1986</v>
      </c>
      <c r="L15" t="s">
        <v>1105</v>
      </c>
      <c r="M15" t="s">
        <v>1099</v>
      </c>
      <c r="Q1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1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15" s="107" t="str">
        <f>IFERROR(_xlfn.XLOOKUP("*"&amp;TRIM(Fusion[[#This Row],[Confinement Type]])&amp;"*", Map_Conf[From], Map_Conf[To], "", 2), "")</f>
        <v>MCF</v>
      </c>
      <c r="V15" s="108" t="str" cm="1">
        <f t="array" ref="V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16" spans="1:24" hidden="1">
      <c r="B16" t="s">
        <v>174</v>
      </c>
      <c r="C16" t="s">
        <v>61</v>
      </c>
      <c r="D16" t="s">
        <v>62</v>
      </c>
      <c r="E16">
        <v>1200</v>
      </c>
      <c r="F16" t="s">
        <v>75</v>
      </c>
      <c r="G16" t="s">
        <v>52</v>
      </c>
      <c r="H16" t="s">
        <v>76</v>
      </c>
      <c r="J16" t="s">
        <v>77</v>
      </c>
      <c r="K16">
        <v>1986</v>
      </c>
      <c r="L16" t="s">
        <v>1105</v>
      </c>
      <c r="M16" t="s">
        <v>1099</v>
      </c>
      <c r="Q1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1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16" s="107" t="str">
        <f>IFERROR(_xlfn.XLOOKUP("*"&amp;TRIM(Fusion[[#This Row],[Confinement Type]])&amp;"*", Map_Conf[From], Map_Conf[To], "", 2), "")</f>
        <v>MCF</v>
      </c>
      <c r="V16" s="108" t="str" cm="1">
        <f t="array" ref="V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c r="W16" s="25"/>
    </row>
    <row r="17" spans="1:22" hidden="1">
      <c r="B17" t="s">
        <v>176</v>
      </c>
      <c r="C17" t="s">
        <v>61</v>
      </c>
      <c r="D17" t="s">
        <v>62</v>
      </c>
      <c r="E17">
        <v>1200</v>
      </c>
      <c r="F17" t="s">
        <v>75</v>
      </c>
      <c r="G17" t="s">
        <v>52</v>
      </c>
      <c r="H17" t="s">
        <v>76</v>
      </c>
      <c r="J17" t="s">
        <v>77</v>
      </c>
      <c r="K17">
        <v>1986</v>
      </c>
      <c r="L17" t="s">
        <v>1105</v>
      </c>
      <c r="M17" t="s">
        <v>1099</v>
      </c>
      <c r="Q1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1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17" s="107" t="str">
        <f>IFERROR(_xlfn.XLOOKUP("*"&amp;TRIM(Fusion[[#This Row],[Confinement Type]])&amp;"*", Map_Conf[From], Map_Conf[To], "", 2), "")</f>
        <v>MCF</v>
      </c>
      <c r="V17" s="108" t="str" cm="1">
        <f t="array" ref="V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 spans="1:22" hidden="1">
      <c r="B18" t="s">
        <v>182</v>
      </c>
      <c r="C18" t="s">
        <v>61</v>
      </c>
      <c r="D18" t="s">
        <v>62</v>
      </c>
      <c r="E18">
        <v>1200</v>
      </c>
      <c r="F18" t="s">
        <v>75</v>
      </c>
      <c r="G18" t="s">
        <v>52</v>
      </c>
      <c r="H18" t="s">
        <v>76</v>
      </c>
      <c r="J18" t="s">
        <v>77</v>
      </c>
      <c r="K18">
        <v>1986</v>
      </c>
      <c r="L18" t="s">
        <v>1105</v>
      </c>
      <c r="M18" t="s">
        <v>1099</v>
      </c>
      <c r="Q1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1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18" s="107" t="str">
        <f>IFERROR(_xlfn.XLOOKUP("*"&amp;TRIM(Fusion[[#This Row],[Confinement Type]])&amp;"*", Map_Conf[From], Map_Conf[To], "", 2), "")</f>
        <v>MCF</v>
      </c>
      <c r="V18" s="108" t="str" cm="1">
        <f t="array" ref="V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 spans="1:22" hidden="1">
      <c r="B19" t="s">
        <v>1100</v>
      </c>
      <c r="C19" t="s">
        <v>61</v>
      </c>
      <c r="D19" t="s">
        <v>62</v>
      </c>
      <c r="E19">
        <v>1200</v>
      </c>
      <c r="F19" t="s">
        <v>75</v>
      </c>
      <c r="G19" t="s">
        <v>52</v>
      </c>
      <c r="H19" t="s">
        <v>76</v>
      </c>
      <c r="J19" t="s">
        <v>77</v>
      </c>
      <c r="K19">
        <v>1986</v>
      </c>
      <c r="L19" t="s">
        <v>1105</v>
      </c>
      <c r="M19" t="s">
        <v>1099</v>
      </c>
      <c r="Q1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1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19" s="107" t="str">
        <f>IFERROR(_xlfn.XLOOKUP("*"&amp;TRIM(Fusion[[#This Row],[Confinement Type]])&amp;"*", Map_Conf[From], Map_Conf[To], "", 2), "")</f>
        <v>MCF</v>
      </c>
      <c r="V19" s="108" t="str" cm="1">
        <f t="array" ref="V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0" spans="1:22" hidden="1">
      <c r="A20">
        <v>571</v>
      </c>
      <c r="B20" t="s">
        <v>508</v>
      </c>
      <c r="C20" t="s">
        <v>61</v>
      </c>
      <c r="D20" t="s">
        <v>62</v>
      </c>
      <c r="E20">
        <v>1000</v>
      </c>
      <c r="F20" t="s">
        <v>115</v>
      </c>
      <c r="G20" t="s">
        <v>57</v>
      </c>
      <c r="H20" t="s">
        <v>76</v>
      </c>
      <c r="I20">
        <v>0</v>
      </c>
      <c r="J20" t="s">
        <v>77</v>
      </c>
      <c r="K20">
        <v>2011</v>
      </c>
      <c r="L20" t="s">
        <v>507</v>
      </c>
      <c r="M20" t="s">
        <v>510</v>
      </c>
      <c r="N20" t="s">
        <v>38</v>
      </c>
      <c r="O20" t="s">
        <v>38</v>
      </c>
      <c r="P20" t="s">
        <v>38</v>
      </c>
      <c r="Q2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v>
      </c>
      <c r="R2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v>
      </c>
      <c r="U20" s="107" t="str">
        <f>IFERROR(_xlfn.XLOOKUP("*"&amp;TRIM(Fusion[[#This Row],[Confinement Type]])&amp;"*", Map_Conf[From], Map_Conf[To], "", 2), "")</f>
        <v>MCF</v>
      </c>
      <c r="V20" s="108" t="str" cm="1">
        <f t="array" ref="V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 spans="1:22" hidden="1">
      <c r="A21">
        <v>527</v>
      </c>
      <c r="B21" t="s">
        <v>492</v>
      </c>
      <c r="C21" t="s">
        <v>470</v>
      </c>
      <c r="D21" t="s">
        <v>471</v>
      </c>
      <c r="E21">
        <v>814.4</v>
      </c>
      <c r="F21" t="s">
        <v>63</v>
      </c>
      <c r="G21" t="s">
        <v>754</v>
      </c>
      <c r="H21" t="s">
        <v>76</v>
      </c>
      <c r="I21">
        <v>1.5574554019530741E-2</v>
      </c>
      <c r="J21" t="s">
        <v>128</v>
      </c>
      <c r="K21">
        <v>2020</v>
      </c>
      <c r="L21" t="s">
        <v>486</v>
      </c>
      <c r="N21" t="s">
        <v>122</v>
      </c>
      <c r="O21" t="s">
        <v>38</v>
      </c>
      <c r="P21" t="s">
        <v>38</v>
      </c>
      <c r="Q2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1.5110947897045743E-5</v>
      </c>
      <c r="R2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1.5110947897045743E-5</v>
      </c>
      <c r="U21" s="107" t="str">
        <f>IFERROR(_xlfn.XLOOKUP("*"&amp;TRIM(Fusion[[#This Row],[Confinement Type]])&amp;"*", Map_Conf[From], Map_Conf[To], "", 2), "")</f>
        <v>MIF</v>
      </c>
      <c r="V21" s="108" t="str" cm="1">
        <f t="array" ref="V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22" spans="1:22" hidden="1">
      <c r="A22">
        <v>519</v>
      </c>
      <c r="B22" t="s">
        <v>488</v>
      </c>
      <c r="C22" t="s">
        <v>470</v>
      </c>
      <c r="D22" t="s">
        <v>471</v>
      </c>
      <c r="E22">
        <v>383.1</v>
      </c>
      <c r="F22" t="s">
        <v>63</v>
      </c>
      <c r="G22" t="s">
        <v>754</v>
      </c>
      <c r="H22" t="s">
        <v>76</v>
      </c>
      <c r="I22">
        <v>3.3108631671902464E-2</v>
      </c>
      <c r="J22" t="s">
        <v>128</v>
      </c>
      <c r="K22">
        <v>2020</v>
      </c>
      <c r="L22" t="s">
        <v>486</v>
      </c>
      <c r="N22" t="s">
        <v>122</v>
      </c>
      <c r="O22" t="s">
        <v>38</v>
      </c>
      <c r="P22" t="s">
        <v>38</v>
      </c>
      <c r="Q2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3.2123090491657669E-5</v>
      </c>
      <c r="R2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3.2123090491657669E-5</v>
      </c>
      <c r="U22" s="107" t="str">
        <f>IFERROR(_xlfn.XLOOKUP("*"&amp;TRIM(Fusion[[#This Row],[Confinement Type]])&amp;"*", Map_Conf[From], Map_Conf[To], "", 2), "")</f>
        <v>MIF</v>
      </c>
      <c r="V22" s="108" t="str" cm="1">
        <f t="array" ref="V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23" spans="1:22" hidden="1">
      <c r="B23" t="s">
        <v>735</v>
      </c>
      <c r="C23" t="s">
        <v>61</v>
      </c>
      <c r="D23" t="s">
        <v>62</v>
      </c>
      <c r="E23">
        <v>1450</v>
      </c>
      <c r="F23" t="s">
        <v>63</v>
      </c>
      <c r="G23" t="s">
        <v>52</v>
      </c>
      <c r="H23" t="s">
        <v>76</v>
      </c>
      <c r="I23">
        <v>4.1988138350915867E-2</v>
      </c>
      <c r="J23" t="s">
        <v>128</v>
      </c>
      <c r="K23">
        <v>2010</v>
      </c>
      <c r="L23" t="s">
        <v>732</v>
      </c>
      <c r="Q2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4.8352329020450845E-5</v>
      </c>
      <c r="R2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4.8352329020450845E-5</v>
      </c>
      <c r="U23" s="107" t="str">
        <f>IFERROR(_xlfn.XLOOKUP("*"&amp;TRIM(Fusion[[#This Row],[Confinement Type]])&amp;"*", Map_Conf[From], Map_Conf[To], "", 2), "")</f>
        <v>MCF</v>
      </c>
      <c r="V23" s="108" t="str" cm="1">
        <f t="array" ref="V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 spans="1:22" hidden="1">
      <c r="B24" t="s">
        <v>200</v>
      </c>
      <c r="C24" t="s">
        <v>61</v>
      </c>
      <c r="D24" t="s">
        <v>62</v>
      </c>
      <c r="E24">
        <v>1000</v>
      </c>
      <c r="F24" t="s">
        <v>63</v>
      </c>
      <c r="G24" t="s">
        <v>52</v>
      </c>
      <c r="H24" t="s">
        <v>76</v>
      </c>
      <c r="I24">
        <v>5.3720118184260007E-2</v>
      </c>
      <c r="J24" t="s">
        <v>128</v>
      </c>
      <c r="K24">
        <v>2010</v>
      </c>
      <c r="L24" t="s">
        <v>732</v>
      </c>
      <c r="N24">
        <v>0.85</v>
      </c>
      <c r="Q2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6.1862538599694465E-5</v>
      </c>
      <c r="R2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6.1862538599694465E-5</v>
      </c>
      <c r="U24" s="107" t="str">
        <f>IFERROR(_xlfn.XLOOKUP("*"&amp;TRIM(Fusion[[#This Row],[Confinement Type]])&amp;"*", Map_Conf[From], Map_Conf[To], "", 2), "")</f>
        <v>MCF</v>
      </c>
      <c r="V24" s="108" t="str" cm="1">
        <f t="array" ref="V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 spans="1:22" hidden="1">
      <c r="B25" t="s">
        <v>737</v>
      </c>
      <c r="C25" t="s">
        <v>61</v>
      </c>
      <c r="D25" t="s">
        <v>62</v>
      </c>
      <c r="E25">
        <v>1000</v>
      </c>
      <c r="F25" t="s">
        <v>63</v>
      </c>
      <c r="G25" t="s">
        <v>52</v>
      </c>
      <c r="H25" t="s">
        <v>76</v>
      </c>
      <c r="I25">
        <v>5.3720118184260007E-2</v>
      </c>
      <c r="J25" t="s">
        <v>128</v>
      </c>
      <c r="K25">
        <v>2010</v>
      </c>
      <c r="L25" t="s">
        <v>732</v>
      </c>
      <c r="N25">
        <v>0.85</v>
      </c>
      <c r="Q2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6.1862538599694465E-5</v>
      </c>
      <c r="R2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6.1862538599694465E-5</v>
      </c>
      <c r="U25" s="107" t="str">
        <f>IFERROR(_xlfn.XLOOKUP("*"&amp;TRIM(Fusion[[#This Row],[Confinement Type]])&amp;"*", Map_Conf[From], Map_Conf[To], "", 2), "")</f>
        <v>MCF</v>
      </c>
      <c r="V25" s="108" t="str" cm="1">
        <f t="array" ref="V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 spans="1:22" hidden="1">
      <c r="B26" t="s">
        <v>736</v>
      </c>
      <c r="C26" t="s">
        <v>61</v>
      </c>
      <c r="D26" t="s">
        <v>62</v>
      </c>
      <c r="E26">
        <v>1000</v>
      </c>
      <c r="F26" t="s">
        <v>63</v>
      </c>
      <c r="G26" t="s">
        <v>52</v>
      </c>
      <c r="H26" t="s">
        <v>76</v>
      </c>
      <c r="I26">
        <v>5.3720118184260007E-2</v>
      </c>
      <c r="J26" t="s">
        <v>128</v>
      </c>
      <c r="K26">
        <v>2010</v>
      </c>
      <c r="L26" t="s">
        <v>732</v>
      </c>
      <c r="N26">
        <v>0.85</v>
      </c>
      <c r="Q2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6.1862538599694465E-5</v>
      </c>
      <c r="R2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6.1862538599694465E-5</v>
      </c>
      <c r="U26" s="107" t="str">
        <f>IFERROR(_xlfn.XLOOKUP("*"&amp;TRIM(Fusion[[#This Row],[Confinement Type]])&amp;"*", Map_Conf[From], Map_Conf[To], "", 2), "")</f>
        <v>MCF</v>
      </c>
      <c r="V26" s="108" t="str" cm="1">
        <f t="array" ref="V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 spans="1:22" hidden="1">
      <c r="B27" t="s">
        <v>741</v>
      </c>
      <c r="C27" t="s">
        <v>61</v>
      </c>
      <c r="D27" t="s">
        <v>62</v>
      </c>
      <c r="E27">
        <v>1000</v>
      </c>
      <c r="F27" t="s">
        <v>63</v>
      </c>
      <c r="G27" t="s">
        <v>52</v>
      </c>
      <c r="H27" t="s">
        <v>76</v>
      </c>
      <c r="I27">
        <v>5.7077625570776253E-2</v>
      </c>
      <c r="J27" t="s">
        <v>128</v>
      </c>
      <c r="K27">
        <v>2010</v>
      </c>
      <c r="L27" t="s">
        <v>732</v>
      </c>
      <c r="Q2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6.5728947262175361E-5</v>
      </c>
      <c r="R2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6.5728947262175361E-5</v>
      </c>
      <c r="U27" s="107" t="str">
        <f>IFERROR(_xlfn.XLOOKUP("*"&amp;TRIM(Fusion[[#This Row],[Confinement Type]])&amp;"*", Map_Conf[From], Map_Conf[To], "", 2), "")</f>
        <v>MCF</v>
      </c>
      <c r="V27" s="108" t="str" cm="1">
        <f t="array" ref="V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 spans="1:22" hidden="1">
      <c r="A28">
        <v>412</v>
      </c>
      <c r="B28" t="s">
        <v>402</v>
      </c>
      <c r="C28" t="s">
        <v>61</v>
      </c>
      <c r="D28" t="s">
        <v>251</v>
      </c>
      <c r="E28">
        <v>2272</v>
      </c>
      <c r="F28" t="s">
        <v>63</v>
      </c>
      <c r="G28" t="s">
        <v>32</v>
      </c>
      <c r="H28" t="s">
        <v>76</v>
      </c>
      <c r="I28">
        <v>8.3937684662906256E-2</v>
      </c>
      <c r="J28" t="s">
        <v>128</v>
      </c>
      <c r="K28">
        <v>2023</v>
      </c>
      <c r="L28" t="s">
        <v>399</v>
      </c>
      <c r="M28" t="s">
        <v>373</v>
      </c>
      <c r="N28" t="s">
        <v>122</v>
      </c>
      <c r="O28" t="s">
        <v>38</v>
      </c>
      <c r="P28" t="s">
        <v>38</v>
      </c>
      <c r="Q2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6.9173619413881104E-5</v>
      </c>
      <c r="R2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6.9173619413881104E-5</v>
      </c>
      <c r="U28" s="107" t="str">
        <f>IFERROR(_xlfn.XLOOKUP("*"&amp;TRIM(Fusion[[#This Row],[Confinement Type]])&amp;"*", Map_Conf[From], Map_Conf[To], "", 2), "")</f>
        <v>MCF</v>
      </c>
      <c r="V28" s="108" t="str" cm="1">
        <f t="array" ref="V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9" spans="1:22" hidden="1">
      <c r="A29">
        <v>408</v>
      </c>
      <c r="B29" t="s">
        <v>406</v>
      </c>
      <c r="C29" t="s">
        <v>61</v>
      </c>
      <c r="D29" t="s">
        <v>251</v>
      </c>
      <c r="E29">
        <v>1945</v>
      </c>
      <c r="F29" t="s">
        <v>63</v>
      </c>
      <c r="G29" t="s">
        <v>32</v>
      </c>
      <c r="H29" t="s">
        <v>76</v>
      </c>
      <c r="I29">
        <v>9.8049573035538823E-2</v>
      </c>
      <c r="J29" t="s">
        <v>128</v>
      </c>
      <c r="K29">
        <v>2023</v>
      </c>
      <c r="L29" t="s">
        <v>399</v>
      </c>
      <c r="M29" t="s">
        <v>373</v>
      </c>
      <c r="N29" t="s">
        <v>122</v>
      </c>
      <c r="O29" t="s">
        <v>38</v>
      </c>
      <c r="P29" t="s">
        <v>38</v>
      </c>
      <c r="Q2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8.0803323037705857E-5</v>
      </c>
      <c r="R2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8.0803323037705857E-5</v>
      </c>
      <c r="U29" s="107" t="str">
        <f>IFERROR(_xlfn.XLOOKUP("*"&amp;TRIM(Fusion[[#This Row],[Confinement Type]])&amp;"*", Map_Conf[From], Map_Conf[To], "", 2), "")</f>
        <v>MCF</v>
      </c>
      <c r="V29" s="108" t="str" cm="1">
        <f t="array" ref="V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0" spans="1:22" hidden="1">
      <c r="A30">
        <v>413</v>
      </c>
      <c r="B30" t="s">
        <v>403</v>
      </c>
      <c r="C30" t="s">
        <v>61</v>
      </c>
      <c r="D30" t="s">
        <v>251</v>
      </c>
      <c r="E30">
        <v>1368</v>
      </c>
      <c r="F30" t="s">
        <v>63</v>
      </c>
      <c r="G30" t="s">
        <v>32</v>
      </c>
      <c r="H30" t="s">
        <v>76</v>
      </c>
      <c r="I30">
        <v>0.13940527745184431</v>
      </c>
      <c r="J30" t="s">
        <v>128</v>
      </c>
      <c r="K30">
        <v>2023</v>
      </c>
      <c r="L30" t="s">
        <v>399</v>
      </c>
      <c r="M30" t="s">
        <v>373</v>
      </c>
      <c r="N30" t="s">
        <v>122</v>
      </c>
      <c r="O30" t="s">
        <v>38</v>
      </c>
      <c r="P30" t="s">
        <v>38</v>
      </c>
      <c r="Q3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1.1488484159966217E-4</v>
      </c>
      <c r="R3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1.1488484159966217E-4</v>
      </c>
      <c r="U30" s="107" t="str">
        <f>IFERROR(_xlfn.XLOOKUP("*"&amp;TRIM(Fusion[[#This Row],[Confinement Type]])&amp;"*", Map_Conf[From], Map_Conf[To], "", 2), "")</f>
        <v>MCF</v>
      </c>
      <c r="V30" s="108" t="str" cm="1">
        <f t="array" ref="V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1" spans="1:22" hidden="1">
      <c r="A31">
        <v>411</v>
      </c>
      <c r="B31" t="s">
        <v>401</v>
      </c>
      <c r="C31" t="s">
        <v>61</v>
      </c>
      <c r="D31" t="s">
        <v>251</v>
      </c>
      <c r="E31">
        <v>1313</v>
      </c>
      <c r="F31" t="s">
        <v>63</v>
      </c>
      <c r="G31" t="s">
        <v>32</v>
      </c>
      <c r="H31" t="s">
        <v>76</v>
      </c>
      <c r="I31">
        <v>0.14524479783253846</v>
      </c>
      <c r="J31" t="s">
        <v>128</v>
      </c>
      <c r="K31">
        <v>2023</v>
      </c>
      <c r="L31" t="s">
        <v>399</v>
      </c>
      <c r="M31" t="s">
        <v>373</v>
      </c>
      <c r="N31" t="s">
        <v>122</v>
      </c>
      <c r="O31" t="s">
        <v>38</v>
      </c>
      <c r="P31" t="s">
        <v>38</v>
      </c>
      <c r="Q3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1.1969723024245079E-4</v>
      </c>
      <c r="R3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1.1969723024245079E-4</v>
      </c>
      <c r="U31" s="107" t="str">
        <f>IFERROR(_xlfn.XLOOKUP("*"&amp;TRIM(Fusion[[#This Row],[Confinement Type]])&amp;"*", Map_Conf[From], Map_Conf[To], "", 2), "")</f>
        <v>MCF</v>
      </c>
      <c r="V31" s="108" t="str" cm="1">
        <f t="array" ref="V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2" spans="1:22" hidden="1">
      <c r="A32">
        <v>409</v>
      </c>
      <c r="B32" t="s">
        <v>407</v>
      </c>
      <c r="C32" t="s">
        <v>61</v>
      </c>
      <c r="D32" t="s">
        <v>251</v>
      </c>
      <c r="E32">
        <v>1165</v>
      </c>
      <c r="F32" t="s">
        <v>63</v>
      </c>
      <c r="G32" t="s">
        <v>32</v>
      </c>
      <c r="H32" t="s">
        <v>76</v>
      </c>
      <c r="I32">
        <v>0.16369649747135023</v>
      </c>
      <c r="J32" t="s">
        <v>128</v>
      </c>
      <c r="K32">
        <v>2023</v>
      </c>
      <c r="L32" t="s">
        <v>399</v>
      </c>
      <c r="M32" t="s">
        <v>373</v>
      </c>
      <c r="N32" t="s">
        <v>122</v>
      </c>
      <c r="O32" t="s">
        <v>38</v>
      </c>
      <c r="P32" t="s">
        <v>38</v>
      </c>
      <c r="Q3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1.3490340198140592E-4</v>
      </c>
      <c r="R3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1.3490340198140592E-4</v>
      </c>
      <c r="U32" s="107" t="str">
        <f>IFERROR(_xlfn.XLOOKUP("*"&amp;TRIM(Fusion[[#This Row],[Confinement Type]])&amp;"*", Map_Conf[From], Map_Conf[To], "", 2), "")</f>
        <v>MCF</v>
      </c>
      <c r="V32" s="108" t="str" cm="1">
        <f t="array" ref="V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3" spans="1:22" hidden="1">
      <c r="A33">
        <v>406</v>
      </c>
      <c r="B33" t="s">
        <v>404</v>
      </c>
      <c r="C33" t="s">
        <v>61</v>
      </c>
      <c r="D33" t="s">
        <v>251</v>
      </c>
      <c r="E33">
        <v>914</v>
      </c>
      <c r="F33" t="s">
        <v>63</v>
      </c>
      <c r="G33" t="s">
        <v>32</v>
      </c>
      <c r="H33" t="s">
        <v>76</v>
      </c>
      <c r="I33">
        <v>0.2086503496215788</v>
      </c>
      <c r="J33" t="s">
        <v>128</v>
      </c>
      <c r="K33">
        <v>2023</v>
      </c>
      <c r="L33" t="s">
        <v>399</v>
      </c>
      <c r="M33" t="s">
        <v>373</v>
      </c>
      <c r="N33" t="s">
        <v>122</v>
      </c>
      <c r="O33" t="s">
        <v>38</v>
      </c>
      <c r="P33" t="s">
        <v>38</v>
      </c>
      <c r="Q3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1.7195017867433027E-4</v>
      </c>
      <c r="R3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1.7195017867433027E-4</v>
      </c>
      <c r="U33" s="107" t="str">
        <f>IFERROR(_xlfn.XLOOKUP("*"&amp;TRIM(Fusion[[#This Row],[Confinement Type]])&amp;"*", Map_Conf[From], Map_Conf[To], "", 2), "")</f>
        <v>MCF</v>
      </c>
      <c r="V33" s="108" t="str" cm="1">
        <f t="array" ref="V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4" spans="1:22" hidden="1">
      <c r="A34">
        <v>407</v>
      </c>
      <c r="B34" t="s">
        <v>405</v>
      </c>
      <c r="C34" t="s">
        <v>61</v>
      </c>
      <c r="D34" t="s">
        <v>251</v>
      </c>
      <c r="E34">
        <v>774</v>
      </c>
      <c r="F34" t="s">
        <v>63</v>
      </c>
      <c r="G34" t="s">
        <v>32</v>
      </c>
      <c r="H34" t="s">
        <v>76</v>
      </c>
      <c r="I34">
        <v>0.24639072293814343</v>
      </c>
      <c r="J34" t="s">
        <v>128</v>
      </c>
      <c r="K34">
        <v>2023</v>
      </c>
      <c r="L34" t="s">
        <v>399</v>
      </c>
      <c r="M34" t="s">
        <v>373</v>
      </c>
      <c r="N34" t="s">
        <v>122</v>
      </c>
      <c r="O34" t="s">
        <v>38</v>
      </c>
      <c r="P34" t="s">
        <v>38</v>
      </c>
      <c r="Q3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2.0305227817614711E-4</v>
      </c>
      <c r="R3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2.0305227817614711E-4</v>
      </c>
      <c r="U34" s="107" t="str">
        <f>IFERROR(_xlfn.XLOOKUP("*"&amp;TRIM(Fusion[[#This Row],[Confinement Type]])&amp;"*", Map_Conf[From], Map_Conf[To], "", 2), "")</f>
        <v>MCF</v>
      </c>
      <c r="V34" s="108" t="str" cm="1">
        <f t="array" ref="V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5" spans="1:22" hidden="1">
      <c r="A35">
        <v>167</v>
      </c>
      <c r="B35" t="s">
        <v>215</v>
      </c>
      <c r="C35" t="s">
        <v>61</v>
      </c>
      <c r="D35" t="s">
        <v>62</v>
      </c>
      <c r="E35">
        <v>1527</v>
      </c>
      <c r="F35" t="s">
        <v>493</v>
      </c>
      <c r="G35" t="s">
        <v>52</v>
      </c>
      <c r="H35" t="s">
        <v>76</v>
      </c>
      <c r="I35">
        <v>2.5000000000000001E-4</v>
      </c>
      <c r="J35" t="s">
        <v>1111</v>
      </c>
      <c r="K35">
        <v>2005</v>
      </c>
      <c r="L35" t="s">
        <v>1110</v>
      </c>
      <c r="N35" t="s">
        <v>38</v>
      </c>
      <c r="O35" t="s">
        <v>38</v>
      </c>
      <c r="P35" t="s">
        <v>38</v>
      </c>
      <c r="Q3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4.0015758358934969E-4</v>
      </c>
      <c r="R3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4.0015758358934969E-4</v>
      </c>
      <c r="U35" s="107" t="str">
        <f>IFERROR(_xlfn.XLOOKUP("*"&amp;TRIM(Fusion[[#This Row],[Confinement Type]])&amp;"*", Map_Conf[From], Map_Conf[To], "", 2), "")</f>
        <v>MCF</v>
      </c>
      <c r="V35" s="108" t="str" cm="1">
        <f t="array" ref="V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 spans="1:22" hidden="1">
      <c r="A36">
        <v>166</v>
      </c>
      <c r="B36" t="s">
        <v>214</v>
      </c>
      <c r="C36" t="s">
        <v>61</v>
      </c>
      <c r="D36" t="s">
        <v>62</v>
      </c>
      <c r="E36">
        <v>1449</v>
      </c>
      <c r="F36" t="s">
        <v>493</v>
      </c>
      <c r="G36" t="s">
        <v>52</v>
      </c>
      <c r="H36" t="s">
        <v>76</v>
      </c>
      <c r="I36">
        <v>3.5000000000000005E-4</v>
      </c>
      <c r="J36" t="s">
        <v>1111</v>
      </c>
      <c r="K36">
        <v>2005</v>
      </c>
      <c r="L36" t="s">
        <v>1110</v>
      </c>
      <c r="N36" t="s">
        <v>38</v>
      </c>
      <c r="O36" t="s">
        <v>38</v>
      </c>
      <c r="P36" t="s">
        <v>38</v>
      </c>
      <c r="Q3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5.602206170250896E-4</v>
      </c>
      <c r="R3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5.602206170250896E-4</v>
      </c>
      <c r="U36" s="107" t="str">
        <f>IFERROR(_xlfn.XLOOKUP("*"&amp;TRIM(Fusion[[#This Row],[Confinement Type]])&amp;"*", Map_Conf[From], Map_Conf[To], "", 2), "")</f>
        <v>MCF</v>
      </c>
      <c r="V36" s="108" t="str" cm="1">
        <f t="array" ref="V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 spans="1:22" hidden="1">
      <c r="A37">
        <v>165</v>
      </c>
      <c r="B37" t="s">
        <v>213</v>
      </c>
      <c r="C37" t="s">
        <v>61</v>
      </c>
      <c r="D37" t="s">
        <v>62</v>
      </c>
      <c r="E37">
        <v>1332</v>
      </c>
      <c r="F37" t="s">
        <v>493</v>
      </c>
      <c r="G37" t="s">
        <v>52</v>
      </c>
      <c r="H37" t="s">
        <v>76</v>
      </c>
      <c r="I37">
        <v>4.0000000000000002E-4</v>
      </c>
      <c r="J37" t="s">
        <v>1111</v>
      </c>
      <c r="K37">
        <v>2005</v>
      </c>
      <c r="L37" t="s">
        <v>1110</v>
      </c>
      <c r="N37" t="s">
        <v>38</v>
      </c>
      <c r="O37" t="s">
        <v>38</v>
      </c>
      <c r="P37" t="s">
        <v>38</v>
      </c>
      <c r="Q3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6.4025213374295953E-4</v>
      </c>
      <c r="R3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6.4025213374295953E-4</v>
      </c>
      <c r="U37" s="107" t="str">
        <f>IFERROR(_xlfn.XLOOKUP("*"&amp;TRIM(Fusion[[#This Row],[Confinement Type]])&amp;"*", Map_Conf[From], Map_Conf[To], "", 2), "")</f>
        <v>MCF</v>
      </c>
      <c r="V37" s="108" t="str" cm="1">
        <f t="array" ref="V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 spans="1:22" hidden="1">
      <c r="A38">
        <v>125</v>
      </c>
      <c r="B38" t="s">
        <v>182</v>
      </c>
      <c r="C38" t="s">
        <v>61</v>
      </c>
      <c r="D38" t="s">
        <v>62</v>
      </c>
      <c r="E38">
        <v>1200</v>
      </c>
      <c r="F38" t="s">
        <v>63</v>
      </c>
      <c r="G38" t="s">
        <v>52</v>
      </c>
      <c r="H38" t="s">
        <v>76</v>
      </c>
      <c r="I38">
        <v>0.30821917808219179</v>
      </c>
      <c r="J38" t="s">
        <v>128</v>
      </c>
      <c r="K38">
        <v>1986</v>
      </c>
      <c r="L38" t="s">
        <v>147</v>
      </c>
      <c r="M38" t="s">
        <v>159</v>
      </c>
      <c r="N38" t="s">
        <v>122</v>
      </c>
      <c r="O38" t="s">
        <v>38</v>
      </c>
      <c r="P38" t="s">
        <v>38</v>
      </c>
      <c r="Q3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7.0616782071792825E-4</v>
      </c>
      <c r="R3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7.0616782071792825E-4</v>
      </c>
      <c r="U38" s="107" t="str">
        <f>IFERROR(_xlfn.XLOOKUP("*"&amp;TRIM(Fusion[[#This Row],[Confinement Type]])&amp;"*", Map_Conf[From], Map_Conf[To], "", 2), "")</f>
        <v>MCF</v>
      </c>
      <c r="V38" s="108" t="str" cm="1">
        <f t="array" ref="V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 spans="1:22" hidden="1">
      <c r="A39">
        <v>164</v>
      </c>
      <c r="B39" t="s">
        <v>211</v>
      </c>
      <c r="C39" t="s">
        <v>61</v>
      </c>
      <c r="D39" t="s">
        <v>62</v>
      </c>
      <c r="E39">
        <v>1546</v>
      </c>
      <c r="F39" t="s">
        <v>493</v>
      </c>
      <c r="G39" t="s">
        <v>52</v>
      </c>
      <c r="H39" t="s">
        <v>76</v>
      </c>
      <c r="I39">
        <v>4.4999999999999999E-4</v>
      </c>
      <c r="J39" t="s">
        <v>1111</v>
      </c>
      <c r="K39">
        <v>2005</v>
      </c>
      <c r="L39" t="s">
        <v>1110</v>
      </c>
      <c r="N39" t="s">
        <v>38</v>
      </c>
      <c r="O39" t="s">
        <v>38</v>
      </c>
      <c r="P39" t="s">
        <v>38</v>
      </c>
      <c r="Q3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7.2028365046082935E-4</v>
      </c>
      <c r="R3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7.2028365046082935E-4</v>
      </c>
      <c r="U39" s="107" t="str">
        <f>IFERROR(_xlfn.XLOOKUP("*"&amp;TRIM(Fusion[[#This Row],[Confinement Type]])&amp;"*", Map_Conf[From], Map_Conf[To], "", 2), "")</f>
        <v>MCF</v>
      </c>
      <c r="V39" s="108" t="str" cm="1">
        <f t="array" ref="V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 spans="1:22" hidden="1">
      <c r="A40">
        <v>91</v>
      </c>
      <c r="B40" t="s">
        <v>146</v>
      </c>
      <c r="C40" t="s">
        <v>61</v>
      </c>
      <c r="D40" t="s">
        <v>62</v>
      </c>
      <c r="E40">
        <v>1200</v>
      </c>
      <c r="F40" t="s">
        <v>63</v>
      </c>
      <c r="G40" t="s">
        <v>52</v>
      </c>
      <c r="H40" t="s">
        <v>76</v>
      </c>
      <c r="I40">
        <v>0.35563751317175973</v>
      </c>
      <c r="J40" t="s">
        <v>128</v>
      </c>
      <c r="K40">
        <v>1986</v>
      </c>
      <c r="L40" t="s">
        <v>147</v>
      </c>
      <c r="M40" t="s">
        <v>159</v>
      </c>
      <c r="N40" t="s">
        <v>122</v>
      </c>
      <c r="O40" t="s">
        <v>38</v>
      </c>
      <c r="P40" t="s">
        <v>38</v>
      </c>
      <c r="Q4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8.1480902390530178E-4</v>
      </c>
      <c r="R4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8.1480902390530178E-4</v>
      </c>
      <c r="U40" s="107" t="str">
        <f>IFERROR(_xlfn.XLOOKUP("*"&amp;TRIM(Fusion[[#This Row],[Confinement Type]])&amp;"*", Map_Conf[From], Map_Conf[To], "", 2), "")</f>
        <v>MCF</v>
      </c>
      <c r="V40" s="108" t="str" cm="1">
        <f t="array" ref="V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 spans="1:22" hidden="1">
      <c r="A41">
        <v>97</v>
      </c>
      <c r="B41" t="s">
        <v>165</v>
      </c>
      <c r="C41" t="s">
        <v>61</v>
      </c>
      <c r="D41" t="s">
        <v>62</v>
      </c>
      <c r="E41">
        <v>1200</v>
      </c>
      <c r="F41" t="s">
        <v>63</v>
      </c>
      <c r="G41" t="s">
        <v>52</v>
      </c>
      <c r="H41" t="s">
        <v>76</v>
      </c>
      <c r="I41">
        <v>0.35563751317175973</v>
      </c>
      <c r="J41" t="s">
        <v>128</v>
      </c>
      <c r="K41">
        <v>1986</v>
      </c>
      <c r="L41" t="s">
        <v>147</v>
      </c>
      <c r="M41" t="s">
        <v>159</v>
      </c>
      <c r="N41" t="s">
        <v>122</v>
      </c>
      <c r="O41" t="s">
        <v>38</v>
      </c>
      <c r="P41" t="s">
        <v>38</v>
      </c>
      <c r="Q4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8.1480902390530178E-4</v>
      </c>
      <c r="R4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8.1480902390530178E-4</v>
      </c>
      <c r="U41" s="107" t="str">
        <f>IFERROR(_xlfn.XLOOKUP("*"&amp;TRIM(Fusion[[#This Row],[Confinement Type]])&amp;"*", Map_Conf[From], Map_Conf[To], "", 2), "")</f>
        <v>MCF</v>
      </c>
      <c r="V41" s="108" t="str" cm="1">
        <f t="array" ref="V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 spans="1:22" hidden="1">
      <c r="A42">
        <v>107</v>
      </c>
      <c r="B42" t="s">
        <v>170</v>
      </c>
      <c r="C42" t="s">
        <v>61</v>
      </c>
      <c r="D42" t="s">
        <v>113</v>
      </c>
      <c r="E42">
        <v>1200</v>
      </c>
      <c r="F42" t="s">
        <v>63</v>
      </c>
      <c r="G42" t="s">
        <v>52</v>
      </c>
      <c r="H42" t="s">
        <v>76</v>
      </c>
      <c r="I42">
        <v>0.35563751317175973</v>
      </c>
      <c r="J42" t="s">
        <v>128</v>
      </c>
      <c r="K42">
        <v>1986</v>
      </c>
      <c r="L42" t="s">
        <v>147</v>
      </c>
      <c r="M42" t="s">
        <v>159</v>
      </c>
      <c r="N42" t="s">
        <v>122</v>
      </c>
      <c r="O42" t="s">
        <v>38</v>
      </c>
      <c r="P42" t="s">
        <v>38</v>
      </c>
      <c r="Q4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8.1480902390530178E-4</v>
      </c>
      <c r="R4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8.1480902390530178E-4</v>
      </c>
      <c r="U42" s="107" t="str">
        <f>IFERROR(_xlfn.XLOOKUP("*"&amp;TRIM(Fusion[[#This Row],[Confinement Type]])&amp;"*", Map_Conf[From], Map_Conf[To], "", 2), "")</f>
        <v>MCF</v>
      </c>
      <c r="V42" s="108" t="str" cm="1">
        <f t="array" ref="V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43" spans="1:22" hidden="1">
      <c r="A43">
        <v>113</v>
      </c>
      <c r="B43" t="s">
        <v>172</v>
      </c>
      <c r="C43" t="s">
        <v>61</v>
      </c>
      <c r="D43" t="s">
        <v>113</v>
      </c>
      <c r="E43">
        <v>1200</v>
      </c>
      <c r="F43" t="s">
        <v>63</v>
      </c>
      <c r="G43" t="s">
        <v>52</v>
      </c>
      <c r="H43" t="s">
        <v>76</v>
      </c>
      <c r="I43">
        <v>0.35563751317175973</v>
      </c>
      <c r="J43" t="s">
        <v>128</v>
      </c>
      <c r="K43">
        <v>1986</v>
      </c>
      <c r="L43" t="s">
        <v>147</v>
      </c>
      <c r="M43" t="s">
        <v>159</v>
      </c>
      <c r="N43" t="s">
        <v>122</v>
      </c>
      <c r="O43" t="s">
        <v>38</v>
      </c>
      <c r="P43" t="s">
        <v>38</v>
      </c>
      <c r="Q4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8.1480902390530178E-4</v>
      </c>
      <c r="R4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8.1480902390530178E-4</v>
      </c>
      <c r="U43" s="107" t="str">
        <f>IFERROR(_xlfn.XLOOKUP("*"&amp;TRIM(Fusion[[#This Row],[Confinement Type]])&amp;"*", Map_Conf[From], Map_Conf[To], "", 2), "")</f>
        <v>MCF</v>
      </c>
      <c r="V43" s="108" t="str" cm="1">
        <f t="array" ref="V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44" spans="1:22" hidden="1">
      <c r="A44">
        <v>117</v>
      </c>
      <c r="B44" t="s">
        <v>174</v>
      </c>
      <c r="C44" t="s">
        <v>61</v>
      </c>
      <c r="D44" t="s">
        <v>62</v>
      </c>
      <c r="E44">
        <v>1200</v>
      </c>
      <c r="F44" t="s">
        <v>63</v>
      </c>
      <c r="G44" t="s">
        <v>52</v>
      </c>
      <c r="H44" t="s">
        <v>76</v>
      </c>
      <c r="I44">
        <v>0.35563751317175973</v>
      </c>
      <c r="J44" t="s">
        <v>128</v>
      </c>
      <c r="K44">
        <v>1986</v>
      </c>
      <c r="L44" t="s">
        <v>147</v>
      </c>
      <c r="M44" t="s">
        <v>159</v>
      </c>
      <c r="N44" t="s">
        <v>122</v>
      </c>
      <c r="O44" t="s">
        <v>38</v>
      </c>
      <c r="P44" t="s">
        <v>38</v>
      </c>
      <c r="Q4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8.1480902390530178E-4</v>
      </c>
      <c r="R4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8.1480902390530178E-4</v>
      </c>
      <c r="U44" s="107" t="str">
        <f>IFERROR(_xlfn.XLOOKUP("*"&amp;TRIM(Fusion[[#This Row],[Confinement Type]])&amp;"*", Map_Conf[From], Map_Conf[To], "", 2), "")</f>
        <v>MCF</v>
      </c>
      <c r="V44" s="108" t="str" cm="1">
        <f t="array" ref="V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 spans="1:22" hidden="1">
      <c r="A45">
        <v>121</v>
      </c>
      <c r="B45" t="s">
        <v>176</v>
      </c>
      <c r="C45" t="s">
        <v>61</v>
      </c>
      <c r="D45" t="s">
        <v>62</v>
      </c>
      <c r="E45">
        <v>1200</v>
      </c>
      <c r="F45" t="s">
        <v>63</v>
      </c>
      <c r="G45" t="s">
        <v>52</v>
      </c>
      <c r="H45" t="s">
        <v>76</v>
      </c>
      <c r="I45">
        <v>0.35563751317175973</v>
      </c>
      <c r="J45" t="s">
        <v>128</v>
      </c>
      <c r="K45">
        <v>1986</v>
      </c>
      <c r="L45" t="s">
        <v>147</v>
      </c>
      <c r="M45" t="s">
        <v>159</v>
      </c>
      <c r="N45" t="s">
        <v>122</v>
      </c>
      <c r="O45" t="s">
        <v>38</v>
      </c>
      <c r="P45" t="s">
        <v>38</v>
      </c>
      <c r="Q4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8.1480902390530178E-4</v>
      </c>
      <c r="R4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8.1480902390530178E-4</v>
      </c>
      <c r="U45" s="107" t="str">
        <f>IFERROR(_xlfn.XLOOKUP("*"&amp;TRIM(Fusion[[#This Row],[Confinement Type]])&amp;"*", Map_Conf[From], Map_Conf[To], "", 2), "")</f>
        <v>MCF</v>
      </c>
      <c r="V45" s="108" t="str" cm="1">
        <f t="array" ref="V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 spans="1:22" hidden="1">
      <c r="B46" t="s">
        <v>795</v>
      </c>
      <c r="C46" t="s">
        <v>30</v>
      </c>
      <c r="D46" t="s">
        <v>796</v>
      </c>
      <c r="E46">
        <v>972</v>
      </c>
      <c r="F46" t="s">
        <v>63</v>
      </c>
      <c r="G46" t="s">
        <v>52</v>
      </c>
      <c r="H46" t="s">
        <v>76</v>
      </c>
      <c r="I46">
        <v>0.60348890425300639</v>
      </c>
      <c r="J46" t="s">
        <v>128</v>
      </c>
      <c r="K46">
        <v>1991</v>
      </c>
      <c r="L46" t="s">
        <v>799</v>
      </c>
      <c r="M46" t="s">
        <v>806</v>
      </c>
      <c r="N46">
        <v>0.79400000000000004</v>
      </c>
      <c r="O46" t="s">
        <v>37</v>
      </c>
      <c r="P46" t="s">
        <v>38</v>
      </c>
      <c r="Q4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1.1126306041135071E-3</v>
      </c>
      <c r="R4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1.1126306041135071E-3</v>
      </c>
      <c r="U46" s="107" t="str">
        <f>IFERROR(_xlfn.XLOOKUP("*"&amp;TRIM(Fusion[[#This Row],[Confinement Type]])&amp;"*", Map_Conf[From], Map_Conf[To], "", 2), "")</f>
        <v>ICF</v>
      </c>
      <c r="V46" s="108" t="str" cm="1">
        <f t="array" ref="V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7" spans="1:22" hidden="1">
      <c r="B47" t="s">
        <v>797</v>
      </c>
      <c r="C47" t="s">
        <v>30</v>
      </c>
      <c r="D47" t="s">
        <v>798</v>
      </c>
      <c r="E47">
        <v>999</v>
      </c>
      <c r="F47" t="s">
        <v>63</v>
      </c>
      <c r="G47" t="s">
        <v>52</v>
      </c>
      <c r="H47" t="s">
        <v>76</v>
      </c>
      <c r="I47">
        <v>0.82831810387667537</v>
      </c>
      <c r="J47" t="s">
        <v>128</v>
      </c>
      <c r="K47">
        <v>1991</v>
      </c>
      <c r="L47" t="s">
        <v>799</v>
      </c>
      <c r="M47" t="s">
        <v>806</v>
      </c>
      <c r="N47">
        <v>0.80800000000000005</v>
      </c>
      <c r="O47" t="s">
        <v>37</v>
      </c>
      <c r="P47" t="s">
        <v>38</v>
      </c>
      <c r="Q4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1.5271400448616764E-3</v>
      </c>
      <c r="R4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1.5271400448616764E-3</v>
      </c>
      <c r="U47" s="107" t="str">
        <f>IFERROR(_xlfn.XLOOKUP("*"&amp;TRIM(Fusion[[#This Row],[Confinement Type]])&amp;"*", Map_Conf[From], Map_Conf[To], "", 2), "")</f>
        <v>ICF</v>
      </c>
      <c r="V47" s="108" t="str" cm="1">
        <f t="array" ref="V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8" spans="1:22" hidden="1">
      <c r="A48">
        <v>185</v>
      </c>
      <c r="B48" t="s">
        <v>226</v>
      </c>
      <c r="C48" t="s">
        <v>61</v>
      </c>
      <c r="D48" t="s">
        <v>62</v>
      </c>
      <c r="E48">
        <v>1000</v>
      </c>
      <c r="F48" t="s">
        <v>63</v>
      </c>
      <c r="G48" t="s">
        <v>52</v>
      </c>
      <c r="H48" t="s">
        <v>76</v>
      </c>
      <c r="I48">
        <v>2</v>
      </c>
      <c r="J48" t="s">
        <v>128</v>
      </c>
      <c r="K48">
        <v>2000</v>
      </c>
      <c r="L48" t="s">
        <v>227</v>
      </c>
      <c r="M48" t="s">
        <v>228</v>
      </c>
      <c r="N48" t="s">
        <v>122</v>
      </c>
      <c r="O48" t="s">
        <v>122</v>
      </c>
      <c r="P48" t="s">
        <v>38</v>
      </c>
      <c r="Q4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2.9164576074332173E-3</v>
      </c>
      <c r="R4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2.9164576074332173E-3</v>
      </c>
      <c r="U48" s="107" t="str">
        <f>IFERROR(_xlfn.XLOOKUP("*"&amp;TRIM(Fusion[[#This Row],[Confinement Type]])&amp;"*", Map_Conf[From], Map_Conf[To], "", 2), "")</f>
        <v>MCF</v>
      </c>
      <c r="V48" s="108" t="str" cm="1">
        <f t="array" ref="V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 spans="1:22" hidden="1">
      <c r="A49">
        <v>186</v>
      </c>
      <c r="B49" t="s">
        <v>229</v>
      </c>
      <c r="C49" t="s">
        <v>61</v>
      </c>
      <c r="D49" t="s">
        <v>62</v>
      </c>
      <c r="E49">
        <v>1000</v>
      </c>
      <c r="F49" t="s">
        <v>63</v>
      </c>
      <c r="G49" t="s">
        <v>52</v>
      </c>
      <c r="H49" t="s">
        <v>76</v>
      </c>
      <c r="I49">
        <v>2</v>
      </c>
      <c r="J49" t="s">
        <v>128</v>
      </c>
      <c r="K49">
        <v>2000</v>
      </c>
      <c r="L49" t="s">
        <v>227</v>
      </c>
      <c r="M49" t="s">
        <v>228</v>
      </c>
      <c r="N49" t="s">
        <v>122</v>
      </c>
      <c r="O49" t="s">
        <v>122</v>
      </c>
      <c r="P49" t="s">
        <v>38</v>
      </c>
      <c r="Q4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2.9164576074332173E-3</v>
      </c>
      <c r="R4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2.9164576074332173E-3</v>
      </c>
      <c r="U49" s="107" t="str">
        <f>IFERROR(_xlfn.XLOOKUP("*"&amp;TRIM(Fusion[[#This Row],[Confinement Type]])&amp;"*", Map_Conf[From], Map_Conf[To], "", 2), "")</f>
        <v>MCF</v>
      </c>
      <c r="V49" s="108" t="str" cm="1">
        <f t="array" ref="V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 spans="1:22" hidden="1">
      <c r="A50">
        <v>127</v>
      </c>
      <c r="B50" t="s">
        <v>183</v>
      </c>
      <c r="C50" t="s">
        <v>61</v>
      </c>
      <c r="D50" t="s">
        <v>62</v>
      </c>
      <c r="E50">
        <v>1200</v>
      </c>
      <c r="F50" t="s">
        <v>63</v>
      </c>
      <c r="G50" t="s">
        <v>52</v>
      </c>
      <c r="H50" t="s">
        <v>76</v>
      </c>
      <c r="I50">
        <v>2.0053272450532726</v>
      </c>
      <c r="J50" t="s">
        <v>128</v>
      </c>
      <c r="K50">
        <v>1986</v>
      </c>
      <c r="L50" t="s">
        <v>147</v>
      </c>
      <c r="M50" t="s">
        <v>185</v>
      </c>
      <c r="N50" t="s">
        <v>122</v>
      </c>
      <c r="O50" t="s">
        <v>38</v>
      </c>
      <c r="P50" t="s">
        <v>38</v>
      </c>
      <c r="Q5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4.5944498952882502E-3</v>
      </c>
      <c r="R5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4.5944498952882502E-3</v>
      </c>
      <c r="U50" s="107" t="str">
        <f>IFERROR(_xlfn.XLOOKUP("*"&amp;TRIM(Fusion[[#This Row],[Confinement Type]])&amp;"*", Map_Conf[From], Map_Conf[To], "", 2), "")</f>
        <v>MCF</v>
      </c>
      <c r="V50" s="108" t="str" cm="1">
        <f t="array" ref="V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 spans="1:22" hidden="1">
      <c r="A51">
        <v>169</v>
      </c>
      <c r="B51" t="s">
        <v>213</v>
      </c>
      <c r="C51" t="s">
        <v>61</v>
      </c>
      <c r="D51" t="s">
        <v>62</v>
      </c>
      <c r="E51">
        <v>1332</v>
      </c>
      <c r="F51" t="s">
        <v>116</v>
      </c>
      <c r="G51" t="s">
        <v>52</v>
      </c>
      <c r="H51" t="s">
        <v>76</v>
      </c>
      <c r="I51">
        <v>8.0000000000000002E-3</v>
      </c>
      <c r="J51" t="s">
        <v>1111</v>
      </c>
      <c r="K51">
        <v>2005</v>
      </c>
      <c r="L51" t="s">
        <v>1110</v>
      </c>
      <c r="N51" t="s">
        <v>122</v>
      </c>
      <c r="O51" t="s">
        <v>38</v>
      </c>
      <c r="P51" t="s">
        <v>38</v>
      </c>
      <c r="Q5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1.280504267485919E-2</v>
      </c>
      <c r="R5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1.280504267485919E-2</v>
      </c>
      <c r="U51" s="107" t="str">
        <f>IFERROR(_xlfn.XLOOKUP("*"&amp;TRIM(Fusion[[#This Row],[Confinement Type]])&amp;"*", Map_Conf[From], Map_Conf[To], "", 2), "")</f>
        <v>MCF</v>
      </c>
      <c r="V51" s="108" t="str" cm="1">
        <f t="array" ref="V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 spans="1:22" hidden="1">
      <c r="A52">
        <v>170</v>
      </c>
      <c r="B52" t="s">
        <v>214</v>
      </c>
      <c r="C52" t="s">
        <v>61</v>
      </c>
      <c r="D52" t="s">
        <v>62</v>
      </c>
      <c r="E52">
        <v>1449</v>
      </c>
      <c r="F52" t="s">
        <v>116</v>
      </c>
      <c r="G52" t="s">
        <v>52</v>
      </c>
      <c r="H52" t="s">
        <v>76</v>
      </c>
      <c r="I52">
        <v>8.3999999999999995E-3</v>
      </c>
      <c r="J52" t="s">
        <v>1111</v>
      </c>
      <c r="K52">
        <v>2005</v>
      </c>
      <c r="L52" t="s">
        <v>1110</v>
      </c>
      <c r="N52" t="s">
        <v>122</v>
      </c>
      <c r="O52" t="s">
        <v>38</v>
      </c>
      <c r="P52" t="s">
        <v>38</v>
      </c>
      <c r="Q5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1.3445294808602147E-2</v>
      </c>
      <c r="R5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1.3445294808602147E-2</v>
      </c>
      <c r="U52" s="107" t="str">
        <f>IFERROR(_xlfn.XLOOKUP("*"&amp;TRIM(Fusion[[#This Row],[Confinement Type]])&amp;"*", Map_Conf[From], Map_Conf[To], "", 2), "")</f>
        <v>MCF</v>
      </c>
      <c r="V52" s="108" t="str" cm="1">
        <f t="array" ref="V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 spans="1:22" hidden="1">
      <c r="A53">
        <v>168</v>
      </c>
      <c r="B53" t="s">
        <v>211</v>
      </c>
      <c r="C53" t="s">
        <v>61</v>
      </c>
      <c r="D53" t="s">
        <v>62</v>
      </c>
      <c r="E53">
        <v>1546</v>
      </c>
      <c r="F53" t="s">
        <v>116</v>
      </c>
      <c r="G53" t="s">
        <v>52</v>
      </c>
      <c r="H53" t="s">
        <v>76</v>
      </c>
      <c r="I53">
        <v>8.5500000000000003E-3</v>
      </c>
      <c r="J53" t="s">
        <v>1111</v>
      </c>
      <c r="K53">
        <v>2005</v>
      </c>
      <c r="L53" t="s">
        <v>1110</v>
      </c>
      <c r="N53" t="s">
        <v>122</v>
      </c>
      <c r="O53" t="s">
        <v>38</v>
      </c>
      <c r="P53" t="s">
        <v>38</v>
      </c>
      <c r="Q5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1.3685389358755759E-2</v>
      </c>
      <c r="R5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1.3685389358755759E-2</v>
      </c>
      <c r="U53" s="107" t="str">
        <f>IFERROR(_xlfn.XLOOKUP("*"&amp;TRIM(Fusion[[#This Row],[Confinement Type]])&amp;"*", Map_Conf[From], Map_Conf[To], "", 2), "")</f>
        <v>MCF</v>
      </c>
      <c r="V53" s="108" t="str" cm="1">
        <f t="array" ref="V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 spans="1:22" hidden="1">
      <c r="A54">
        <v>300</v>
      </c>
      <c r="B54" t="s">
        <v>301</v>
      </c>
      <c r="C54" t="s">
        <v>61</v>
      </c>
      <c r="D54" t="s">
        <v>62</v>
      </c>
      <c r="E54">
        <v>1000</v>
      </c>
      <c r="F54" t="s">
        <v>115</v>
      </c>
      <c r="G54" t="s">
        <v>52</v>
      </c>
      <c r="H54" t="s">
        <v>76</v>
      </c>
      <c r="I54">
        <v>0.01</v>
      </c>
      <c r="J54" t="s">
        <v>77</v>
      </c>
      <c r="K54">
        <v>1992</v>
      </c>
      <c r="L54" t="s">
        <v>294</v>
      </c>
      <c r="N54" t="s">
        <v>122</v>
      </c>
      <c r="O54" t="s">
        <v>38</v>
      </c>
      <c r="P54" t="s">
        <v>38</v>
      </c>
      <c r="Q5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1.7897861724875265E-2</v>
      </c>
      <c r="R5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1.7897861724875265E-2</v>
      </c>
      <c r="U54" s="107" t="str">
        <f>IFERROR(_xlfn.XLOOKUP("*"&amp;TRIM(Fusion[[#This Row],[Confinement Type]])&amp;"*", Map_Conf[From], Map_Conf[To], "", 2), "")</f>
        <v>MCF</v>
      </c>
      <c r="V54" s="108" t="str" cm="1">
        <f t="array" ref="V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 spans="1:22" hidden="1">
      <c r="A55">
        <v>393</v>
      </c>
      <c r="B55" t="s">
        <v>387</v>
      </c>
      <c r="C55" t="s">
        <v>30</v>
      </c>
      <c r="D55" t="s">
        <v>815</v>
      </c>
      <c r="E55">
        <v>1083</v>
      </c>
      <c r="F55" t="s">
        <v>63</v>
      </c>
      <c r="G55" t="s">
        <v>52</v>
      </c>
      <c r="H55" t="s">
        <v>76</v>
      </c>
      <c r="I55">
        <v>0.01</v>
      </c>
      <c r="J55" t="s">
        <v>77</v>
      </c>
      <c r="K55">
        <v>1988</v>
      </c>
      <c r="L55" t="s">
        <v>386</v>
      </c>
      <c r="M55" t="s">
        <v>841</v>
      </c>
      <c r="N55" t="s">
        <v>38</v>
      </c>
      <c r="O55" t="s">
        <v>38</v>
      </c>
      <c r="P55" t="s">
        <v>38</v>
      </c>
      <c r="Q5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2.1226289095519865E-2</v>
      </c>
      <c r="R5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2.1226289095519865E-2</v>
      </c>
      <c r="U55" s="107" t="str">
        <f>IFERROR(_xlfn.XLOOKUP("*"&amp;TRIM(Fusion[[#This Row],[Confinement Type]])&amp;"*", Map_Conf[From], Map_Conf[To], "", 2), "")</f>
        <v>ICF</v>
      </c>
      <c r="V55" s="108" t="str" cm="1">
        <f t="array" ref="V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6" spans="1:22" hidden="1">
      <c r="A56">
        <v>259</v>
      </c>
      <c r="B56" t="s">
        <v>286</v>
      </c>
      <c r="C56" t="s">
        <v>61</v>
      </c>
      <c r="D56" t="s">
        <v>278</v>
      </c>
      <c r="E56">
        <v>1598</v>
      </c>
      <c r="F56" t="s">
        <v>63</v>
      </c>
      <c r="G56" t="s">
        <v>57</v>
      </c>
      <c r="H56" t="s">
        <v>76</v>
      </c>
      <c r="I56">
        <v>2.1000000000000001E-2</v>
      </c>
      <c r="J56" t="s">
        <v>77</v>
      </c>
      <c r="K56">
        <v>2002</v>
      </c>
      <c r="L56" t="s">
        <v>287</v>
      </c>
      <c r="N56" t="s">
        <v>122</v>
      </c>
      <c r="O56" t="s">
        <v>38</v>
      </c>
      <c r="P56" t="s">
        <v>38</v>
      </c>
      <c r="Q5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2.9312101167315179E-2</v>
      </c>
      <c r="R5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2.9312101167315179E-2</v>
      </c>
      <c r="U56" s="107" t="str">
        <f>IFERROR(_xlfn.XLOOKUP("*"&amp;TRIM(Fusion[[#This Row],[Confinement Type]])&amp;"*", Map_Conf[From], Map_Conf[To], "", 2), "")</f>
        <v>MCF</v>
      </c>
      <c r="V56" s="108" t="str" cm="1">
        <f t="array" ref="V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7" spans="1:22" hidden="1">
      <c r="A57">
        <v>260</v>
      </c>
      <c r="B57" t="s">
        <v>286</v>
      </c>
      <c r="C57" t="s">
        <v>61</v>
      </c>
      <c r="D57" t="s">
        <v>278</v>
      </c>
      <c r="E57">
        <v>1598</v>
      </c>
      <c r="F57" t="s">
        <v>63</v>
      </c>
      <c r="G57" t="s">
        <v>57</v>
      </c>
      <c r="H57" t="s">
        <v>76</v>
      </c>
      <c r="I57">
        <v>2.1000000000000001E-2</v>
      </c>
      <c r="J57" t="s">
        <v>77</v>
      </c>
      <c r="K57">
        <v>2002</v>
      </c>
      <c r="L57" t="s">
        <v>287</v>
      </c>
      <c r="N57" t="s">
        <v>122</v>
      </c>
      <c r="O57" t="s">
        <v>38</v>
      </c>
      <c r="P57" t="s">
        <v>38</v>
      </c>
      <c r="Q5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2.9312101167315179E-2</v>
      </c>
      <c r="R5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2.9312101167315179E-2</v>
      </c>
      <c r="U57" s="107" t="str">
        <f>IFERROR(_xlfn.XLOOKUP("*"&amp;TRIM(Fusion[[#This Row],[Confinement Type]])&amp;"*", Map_Conf[From], Map_Conf[To], "", 2), "")</f>
        <v>MCF</v>
      </c>
      <c r="V57" s="108" t="str" cm="1">
        <f t="array" ref="V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8" spans="1:22" hidden="1">
      <c r="A58">
        <v>258</v>
      </c>
      <c r="B58" t="s">
        <v>286</v>
      </c>
      <c r="C58" t="s">
        <v>61</v>
      </c>
      <c r="D58" t="s">
        <v>278</v>
      </c>
      <c r="E58">
        <v>1601</v>
      </c>
      <c r="F58" t="s">
        <v>63</v>
      </c>
      <c r="G58" t="s">
        <v>57</v>
      </c>
      <c r="H58" t="s">
        <v>76</v>
      </c>
      <c r="I58">
        <v>2.1999999999999999E-2</v>
      </c>
      <c r="J58" t="s">
        <v>77</v>
      </c>
      <c r="K58">
        <v>2002</v>
      </c>
      <c r="L58" t="s">
        <v>287</v>
      </c>
      <c r="N58" t="s">
        <v>122</v>
      </c>
      <c r="O58" t="s">
        <v>38</v>
      </c>
      <c r="P58" t="s">
        <v>38</v>
      </c>
      <c r="Q5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3.0707915508615898E-2</v>
      </c>
      <c r="R5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3.0707915508615898E-2</v>
      </c>
      <c r="U58" s="107" t="str">
        <f>IFERROR(_xlfn.XLOOKUP("*"&amp;TRIM(Fusion[[#This Row],[Confinement Type]])&amp;"*", Map_Conf[From], Map_Conf[To], "", 2), "")</f>
        <v>MCF</v>
      </c>
      <c r="V58" s="108" t="str" cm="1">
        <f t="array" ref="V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9" spans="1:22" hidden="1">
      <c r="A59">
        <v>437</v>
      </c>
      <c r="B59" t="s">
        <v>407</v>
      </c>
      <c r="C59" t="s">
        <v>61</v>
      </c>
      <c r="D59" t="s">
        <v>251</v>
      </c>
      <c r="E59">
        <v>1165</v>
      </c>
      <c r="F59" t="s">
        <v>75</v>
      </c>
      <c r="G59" t="s">
        <v>32</v>
      </c>
      <c r="H59" t="s">
        <v>76</v>
      </c>
      <c r="I59">
        <v>38.53</v>
      </c>
      <c r="J59" t="s">
        <v>128</v>
      </c>
      <c r="K59">
        <v>2023</v>
      </c>
      <c r="L59" t="s">
        <v>399</v>
      </c>
      <c r="M59" t="s">
        <v>419</v>
      </c>
      <c r="N59" t="s">
        <v>713</v>
      </c>
      <c r="O59" t="s">
        <v>84</v>
      </c>
      <c r="P59" t="s">
        <v>38</v>
      </c>
      <c r="Q5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3.1752836246562215E-2</v>
      </c>
      <c r="R5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3.1752836246562215E-2</v>
      </c>
      <c r="U59" s="107" t="str">
        <f>IFERROR(_xlfn.XLOOKUP("*"&amp;TRIM(Fusion[[#This Row],[Confinement Type]])&amp;"*", Map_Conf[From], Map_Conf[To], "", 2), "")</f>
        <v>MCF</v>
      </c>
      <c r="V59" s="108" t="str" cm="1">
        <f t="array" ref="V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0" spans="1:22" hidden="1">
      <c r="A60">
        <v>256</v>
      </c>
      <c r="B60" t="s">
        <v>286</v>
      </c>
      <c r="C60" t="s">
        <v>61</v>
      </c>
      <c r="D60" t="s">
        <v>278</v>
      </c>
      <c r="E60">
        <v>1604</v>
      </c>
      <c r="F60" t="s">
        <v>63</v>
      </c>
      <c r="G60" t="s">
        <v>57</v>
      </c>
      <c r="H60" t="s">
        <v>76</v>
      </c>
      <c r="I60">
        <v>2.3E-2</v>
      </c>
      <c r="J60" t="s">
        <v>77</v>
      </c>
      <c r="K60">
        <v>2002</v>
      </c>
      <c r="L60" t="s">
        <v>287</v>
      </c>
      <c r="M60" t="s">
        <v>288</v>
      </c>
      <c r="N60" t="s">
        <v>122</v>
      </c>
      <c r="O60" t="s">
        <v>38</v>
      </c>
      <c r="P60" t="s">
        <v>38</v>
      </c>
      <c r="Q6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3.2103729849916621E-2</v>
      </c>
      <c r="R6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3.2103729849916621E-2</v>
      </c>
      <c r="U60" s="107" t="str">
        <f>IFERROR(_xlfn.XLOOKUP("*"&amp;TRIM(Fusion[[#This Row],[Confinement Type]])&amp;"*", Map_Conf[From], Map_Conf[To], "", 2), "")</f>
        <v>MCF</v>
      </c>
      <c r="V60" s="108" t="str" cm="1">
        <f t="array" ref="V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1" spans="1:22" hidden="1">
      <c r="A61">
        <v>435</v>
      </c>
      <c r="B61" t="s">
        <v>407</v>
      </c>
      <c r="C61" t="s">
        <v>61</v>
      </c>
      <c r="D61" t="s">
        <v>251</v>
      </c>
      <c r="E61">
        <v>1165</v>
      </c>
      <c r="F61" t="s">
        <v>75</v>
      </c>
      <c r="G61" t="s">
        <v>32</v>
      </c>
      <c r="H61" t="s">
        <v>76</v>
      </c>
      <c r="I61">
        <v>53.9</v>
      </c>
      <c r="J61" t="s">
        <v>128</v>
      </c>
      <c r="K61">
        <v>2023</v>
      </c>
      <c r="L61" t="s">
        <v>399</v>
      </c>
      <c r="M61" t="s">
        <v>417</v>
      </c>
      <c r="N61" t="s">
        <v>713</v>
      </c>
      <c r="O61" t="s">
        <v>84</v>
      </c>
      <c r="P61" t="s">
        <v>38</v>
      </c>
      <c r="Q6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4.4419358258232629E-2</v>
      </c>
      <c r="R6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4.4419358258232629E-2</v>
      </c>
      <c r="U61" s="107" t="str">
        <f>IFERROR(_xlfn.XLOOKUP("*"&amp;TRIM(Fusion[[#This Row],[Confinement Type]])&amp;"*", Map_Conf[From], Map_Conf[To], "", 2), "")</f>
        <v>MCF</v>
      </c>
      <c r="V61" s="108" t="str" cm="1">
        <f t="array" ref="V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2" spans="1:22" hidden="1">
      <c r="A62">
        <v>576</v>
      </c>
      <c r="B62" t="s">
        <v>513</v>
      </c>
      <c r="C62" t="s">
        <v>61</v>
      </c>
      <c r="D62" t="s">
        <v>62</v>
      </c>
      <c r="E62">
        <v>1000</v>
      </c>
      <c r="F62" t="s">
        <v>63</v>
      </c>
      <c r="G62" t="s">
        <v>57</v>
      </c>
      <c r="H62" t="s">
        <v>76</v>
      </c>
      <c r="I62">
        <v>0.04</v>
      </c>
      <c r="J62" t="s">
        <v>77</v>
      </c>
      <c r="K62">
        <v>2011</v>
      </c>
      <c r="L62" t="s">
        <v>507</v>
      </c>
      <c r="M62" t="s">
        <v>504</v>
      </c>
      <c r="N62" t="s">
        <v>38</v>
      </c>
      <c r="O62" t="s">
        <v>38</v>
      </c>
      <c r="P62" t="s">
        <v>38</v>
      </c>
      <c r="Q6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4.4653350463903556E-2</v>
      </c>
      <c r="R6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4.4653350463903556E-2</v>
      </c>
      <c r="U62" s="107" t="str">
        <f>IFERROR(_xlfn.XLOOKUP("*"&amp;TRIM(Fusion[[#This Row],[Confinement Type]])&amp;"*", Map_Conf[From], Map_Conf[To], "", 2), "")</f>
        <v>MCF</v>
      </c>
      <c r="V62" s="108" t="str" cm="1">
        <f t="array" ref="V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 spans="1:22" hidden="1">
      <c r="A63">
        <v>588</v>
      </c>
      <c r="B63" t="s">
        <v>515</v>
      </c>
      <c r="C63" t="s">
        <v>61</v>
      </c>
      <c r="D63" t="s">
        <v>278</v>
      </c>
      <c r="E63">
        <v>1000</v>
      </c>
      <c r="F63" t="s">
        <v>63</v>
      </c>
      <c r="G63" t="s">
        <v>57</v>
      </c>
      <c r="H63" t="s">
        <v>76</v>
      </c>
      <c r="I63">
        <v>0.04</v>
      </c>
      <c r="J63" t="s">
        <v>77</v>
      </c>
      <c r="K63">
        <v>2008</v>
      </c>
      <c r="L63" t="s">
        <v>507</v>
      </c>
      <c r="M63" t="s">
        <v>504</v>
      </c>
      <c r="N63" t="s">
        <v>38</v>
      </c>
      <c r="O63" t="s">
        <v>38</v>
      </c>
      <c r="P63" t="s">
        <v>38</v>
      </c>
      <c r="Q6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4.6651834855993654E-2</v>
      </c>
      <c r="R6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4.6651834855993654E-2</v>
      </c>
      <c r="U63" s="107" t="str">
        <f>IFERROR(_xlfn.XLOOKUP("*"&amp;TRIM(Fusion[[#This Row],[Confinement Type]])&amp;"*", Map_Conf[From], Map_Conf[To], "", 2), "")</f>
        <v>MCF</v>
      </c>
      <c r="V63" s="108" t="str" cm="1">
        <f t="array" ref="V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4" spans="1:22" hidden="1">
      <c r="A64">
        <v>432</v>
      </c>
      <c r="B64" t="s">
        <v>405</v>
      </c>
      <c r="C64" t="s">
        <v>61</v>
      </c>
      <c r="D64" t="s">
        <v>251</v>
      </c>
      <c r="E64">
        <v>774</v>
      </c>
      <c r="F64" t="s">
        <v>75</v>
      </c>
      <c r="G64" t="s">
        <v>32</v>
      </c>
      <c r="H64" t="s">
        <v>76</v>
      </c>
      <c r="I64">
        <v>59</v>
      </c>
      <c r="J64" t="s">
        <v>128</v>
      </c>
      <c r="K64">
        <v>2023</v>
      </c>
      <c r="L64" t="s">
        <v>399</v>
      </c>
      <c r="M64" t="s">
        <v>414</v>
      </c>
      <c r="N64" t="s">
        <v>713</v>
      </c>
      <c r="O64" t="s">
        <v>84</v>
      </c>
      <c r="P64" t="s">
        <v>38</v>
      </c>
      <c r="Q6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4.8622303102703622E-2</v>
      </c>
      <c r="R6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4.8622303102703622E-2</v>
      </c>
      <c r="U64" s="107" t="str">
        <f>IFERROR(_xlfn.XLOOKUP("*"&amp;TRIM(Fusion[[#This Row],[Confinement Type]])&amp;"*", Map_Conf[From], Map_Conf[To], "", 2), "")</f>
        <v>MCF</v>
      </c>
      <c r="V64" s="108" t="str" cm="1">
        <f t="array" ref="V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5" spans="1:22" hidden="1">
      <c r="A65">
        <v>431</v>
      </c>
      <c r="B65" t="s">
        <v>404</v>
      </c>
      <c r="C65" t="s">
        <v>61</v>
      </c>
      <c r="D65" t="s">
        <v>251</v>
      </c>
      <c r="E65">
        <v>914</v>
      </c>
      <c r="F65" t="s">
        <v>75</v>
      </c>
      <c r="G65" t="s">
        <v>32</v>
      </c>
      <c r="H65" t="s">
        <v>76</v>
      </c>
      <c r="I65">
        <v>60</v>
      </c>
      <c r="J65" t="s">
        <v>128</v>
      </c>
      <c r="K65">
        <v>2023</v>
      </c>
      <c r="L65" t="s">
        <v>399</v>
      </c>
      <c r="M65" t="s">
        <v>413</v>
      </c>
      <c r="N65" t="s">
        <v>713</v>
      </c>
      <c r="O65" t="s">
        <v>84</v>
      </c>
      <c r="P65" t="s">
        <v>38</v>
      </c>
      <c r="Q6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4.9446409934952841E-2</v>
      </c>
      <c r="R6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4.9446409934952841E-2</v>
      </c>
      <c r="U65" s="107" t="str">
        <f>IFERROR(_xlfn.XLOOKUP("*"&amp;TRIM(Fusion[[#This Row],[Confinement Type]])&amp;"*", Map_Conf[From], Map_Conf[To], "", 2), "")</f>
        <v>MCF</v>
      </c>
      <c r="V65" s="108" t="str" cm="1">
        <f t="array" ref="V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6" spans="1:22" hidden="1">
      <c r="A66">
        <v>371</v>
      </c>
      <c r="B66" t="s">
        <v>366</v>
      </c>
      <c r="C66" t="s">
        <v>61</v>
      </c>
      <c r="D66" t="s">
        <v>62</v>
      </c>
      <c r="E66">
        <v>1527</v>
      </c>
      <c r="F66" t="s">
        <v>75</v>
      </c>
      <c r="G66" t="s">
        <v>52</v>
      </c>
      <c r="H66" t="s">
        <v>76</v>
      </c>
      <c r="I66">
        <v>30</v>
      </c>
      <c r="J66" t="s">
        <v>88</v>
      </c>
      <c r="K66">
        <v>2004</v>
      </c>
      <c r="L66" t="s">
        <v>358</v>
      </c>
      <c r="M66" t="s">
        <v>367</v>
      </c>
      <c r="N66">
        <v>0.75</v>
      </c>
      <c r="O66" t="s">
        <v>38</v>
      </c>
      <c r="P66" t="s">
        <v>38</v>
      </c>
      <c r="Q6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4.9601940698782418E-2</v>
      </c>
      <c r="R6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4.9601940698782418E-2</v>
      </c>
      <c r="U66" s="107" t="str">
        <f>IFERROR(_xlfn.XLOOKUP("*"&amp;TRIM(Fusion[[#This Row],[Confinement Type]])&amp;"*", Map_Conf[From], Map_Conf[To], "", 2), "")</f>
        <v>MCF</v>
      </c>
      <c r="V66" s="108" t="str" cm="1">
        <f t="array" ref="V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 spans="1:22" hidden="1">
      <c r="A67">
        <v>419</v>
      </c>
      <c r="B67" t="s">
        <v>403</v>
      </c>
      <c r="C67" t="s">
        <v>61</v>
      </c>
      <c r="D67" t="s">
        <v>251</v>
      </c>
      <c r="E67">
        <v>1368</v>
      </c>
      <c r="F67" t="s">
        <v>75</v>
      </c>
      <c r="G67" t="s">
        <v>32</v>
      </c>
      <c r="H67" t="s">
        <v>76</v>
      </c>
      <c r="I67">
        <v>63.16</v>
      </c>
      <c r="J67" t="s">
        <v>128</v>
      </c>
      <c r="K67">
        <v>2023</v>
      </c>
      <c r="L67" t="s">
        <v>399</v>
      </c>
      <c r="M67" t="s">
        <v>409</v>
      </c>
      <c r="N67" t="s">
        <v>713</v>
      </c>
      <c r="O67" t="s">
        <v>84</v>
      </c>
      <c r="P67" t="s">
        <v>38</v>
      </c>
      <c r="Q6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5.2050587524860352E-2</v>
      </c>
      <c r="R6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5.2050587524860352E-2</v>
      </c>
      <c r="U67" s="107" t="str">
        <f>IFERROR(_xlfn.XLOOKUP("*"&amp;TRIM(Fusion[[#This Row],[Confinement Type]])&amp;"*", Map_Conf[From], Map_Conf[To], "", 2), "")</f>
        <v>MCF</v>
      </c>
      <c r="V67" s="108" t="str" cm="1">
        <f t="array" ref="V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8" spans="1:22" hidden="1">
      <c r="A68">
        <v>24</v>
      </c>
      <c r="B68" t="s">
        <v>81</v>
      </c>
      <c r="C68" t="s">
        <v>61</v>
      </c>
      <c r="D68" t="s">
        <v>62</v>
      </c>
      <c r="E68">
        <v>1500</v>
      </c>
      <c r="F68" t="s">
        <v>75</v>
      </c>
      <c r="G68" t="s">
        <v>755</v>
      </c>
      <c r="H68" t="s">
        <v>76</v>
      </c>
      <c r="I68">
        <v>34.299999999999997</v>
      </c>
      <c r="J68" t="s">
        <v>88</v>
      </c>
      <c r="K68">
        <v>2011</v>
      </c>
      <c r="L68" t="s">
        <v>83</v>
      </c>
      <c r="M68" t="s">
        <v>770</v>
      </c>
      <c r="N68" t="s">
        <v>706</v>
      </c>
      <c r="O68" t="s">
        <v>84</v>
      </c>
      <c r="P68" t="s">
        <v>38</v>
      </c>
      <c r="Q6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5.334214452055891E-2</v>
      </c>
      <c r="R6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5.334214452055891E-2</v>
      </c>
      <c r="U68" s="107" t="str">
        <f>IFERROR(_xlfn.XLOOKUP("*"&amp;TRIM(Fusion[[#This Row],[Confinement Type]])&amp;"*", Map_Conf[From], Map_Conf[To], "", 2), "")</f>
        <v>MCF</v>
      </c>
      <c r="V68" s="108" t="str" cm="1">
        <f t="array" ref="V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9" spans="1:22" hidden="1">
      <c r="A69">
        <v>417</v>
      </c>
      <c r="B69" t="s">
        <v>401</v>
      </c>
      <c r="C69" t="s">
        <v>61</v>
      </c>
      <c r="D69" t="s">
        <v>251</v>
      </c>
      <c r="E69">
        <v>1313</v>
      </c>
      <c r="F69" t="s">
        <v>75</v>
      </c>
      <c r="G69" t="s">
        <v>32</v>
      </c>
      <c r="H69" t="s">
        <v>76</v>
      </c>
      <c r="I69">
        <v>65</v>
      </c>
      <c r="J69" t="s">
        <v>128</v>
      </c>
      <c r="K69">
        <v>2023</v>
      </c>
      <c r="L69" t="s">
        <v>399</v>
      </c>
      <c r="M69" t="s">
        <v>409</v>
      </c>
      <c r="N69" t="s">
        <v>713</v>
      </c>
      <c r="O69" t="s">
        <v>84</v>
      </c>
      <c r="P69" t="s">
        <v>38</v>
      </c>
      <c r="Q6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5.3566944096198908E-2</v>
      </c>
      <c r="R6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5.3566944096198908E-2</v>
      </c>
      <c r="U69" s="107" t="str">
        <f>IFERROR(_xlfn.XLOOKUP("*"&amp;TRIM(Fusion[[#This Row],[Confinement Type]])&amp;"*", Map_Conf[From], Map_Conf[To], "", 2), "")</f>
        <v>MCF</v>
      </c>
      <c r="V69" s="108" t="str" cm="1">
        <f t="array" ref="V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70" spans="1:22" hidden="1">
      <c r="A70">
        <v>160</v>
      </c>
      <c r="B70" t="s">
        <v>207</v>
      </c>
      <c r="C70" t="s">
        <v>61</v>
      </c>
      <c r="D70" t="s">
        <v>62</v>
      </c>
      <c r="E70">
        <v>1000</v>
      </c>
      <c r="F70" t="s">
        <v>63</v>
      </c>
      <c r="G70" t="s">
        <v>52</v>
      </c>
      <c r="H70" t="s">
        <v>76</v>
      </c>
      <c r="I70">
        <v>0.03</v>
      </c>
      <c r="J70" t="s">
        <v>77</v>
      </c>
      <c r="K70">
        <v>1992</v>
      </c>
      <c r="L70" t="s">
        <v>208</v>
      </c>
      <c r="N70" t="s">
        <v>122</v>
      </c>
      <c r="O70" t="s">
        <v>38</v>
      </c>
      <c r="P70" t="s">
        <v>38</v>
      </c>
      <c r="Q7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5.3693585174625795E-2</v>
      </c>
      <c r="R7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5.3693585174625795E-2</v>
      </c>
      <c r="U70" s="107" t="str">
        <f>IFERROR(_xlfn.XLOOKUP("*"&amp;TRIM(Fusion[[#This Row],[Confinement Type]])&amp;"*", Map_Conf[From], Map_Conf[To], "", 2), "")</f>
        <v>MCF</v>
      </c>
      <c r="V70" s="108" t="str" cm="1">
        <f t="array" ref="V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1" spans="1:22" hidden="1">
      <c r="A71">
        <v>305</v>
      </c>
      <c r="B71" t="s">
        <v>126</v>
      </c>
      <c r="C71" t="s">
        <v>61</v>
      </c>
      <c r="D71" t="s">
        <v>62</v>
      </c>
      <c r="E71">
        <v>1000</v>
      </c>
      <c r="F71" t="s">
        <v>63</v>
      </c>
      <c r="G71" t="s">
        <v>52</v>
      </c>
      <c r="H71" t="s">
        <v>76</v>
      </c>
      <c r="I71">
        <v>0.03</v>
      </c>
      <c r="J71" t="s">
        <v>77</v>
      </c>
      <c r="K71">
        <v>1992</v>
      </c>
      <c r="L71" t="s">
        <v>294</v>
      </c>
      <c r="N71" t="s">
        <v>122</v>
      </c>
      <c r="O71" t="s">
        <v>38</v>
      </c>
      <c r="P71" t="s">
        <v>38</v>
      </c>
      <c r="Q7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5.3693585174625795E-2</v>
      </c>
      <c r="R7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5.3693585174625795E-2</v>
      </c>
      <c r="U71" s="107" t="str">
        <f>IFERROR(_xlfn.XLOOKUP("*"&amp;TRIM(Fusion[[#This Row],[Confinement Type]])&amp;"*", Map_Conf[From], Map_Conf[To], "", 2), "")</f>
        <v>MCF</v>
      </c>
      <c r="V71" s="108" t="str" cm="1">
        <f t="array" ref="V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2" spans="1:22" hidden="1">
      <c r="A72">
        <v>306</v>
      </c>
      <c r="B72" t="s">
        <v>304</v>
      </c>
      <c r="C72" t="s">
        <v>61</v>
      </c>
      <c r="D72" t="s">
        <v>62</v>
      </c>
      <c r="E72">
        <v>1000</v>
      </c>
      <c r="F72" t="s">
        <v>63</v>
      </c>
      <c r="G72" t="s">
        <v>52</v>
      </c>
      <c r="H72" t="s">
        <v>76</v>
      </c>
      <c r="I72">
        <v>0.03</v>
      </c>
      <c r="J72" t="s">
        <v>77</v>
      </c>
      <c r="K72">
        <v>1992</v>
      </c>
      <c r="L72" t="s">
        <v>294</v>
      </c>
      <c r="N72" t="s">
        <v>122</v>
      </c>
      <c r="O72" t="s">
        <v>38</v>
      </c>
      <c r="P72" t="s">
        <v>38</v>
      </c>
      <c r="Q7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5.3693585174625795E-2</v>
      </c>
      <c r="R7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5.3693585174625795E-2</v>
      </c>
      <c r="U72" s="107" t="str">
        <f>IFERROR(_xlfn.XLOOKUP("*"&amp;TRIM(Fusion[[#This Row],[Confinement Type]])&amp;"*", Map_Conf[From], Map_Conf[To], "", 2), "")</f>
        <v>MCF</v>
      </c>
      <c r="V72" s="108" t="str" cm="1">
        <f t="array" ref="V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3" spans="1:22" hidden="1">
      <c r="A73">
        <v>307</v>
      </c>
      <c r="B73" t="s">
        <v>114</v>
      </c>
      <c r="C73" t="s">
        <v>61</v>
      </c>
      <c r="D73" t="s">
        <v>62</v>
      </c>
      <c r="E73">
        <v>1000</v>
      </c>
      <c r="F73" t="s">
        <v>63</v>
      </c>
      <c r="G73" t="s">
        <v>52</v>
      </c>
      <c r="H73" t="s">
        <v>76</v>
      </c>
      <c r="I73">
        <v>0.03</v>
      </c>
      <c r="J73" t="s">
        <v>77</v>
      </c>
      <c r="K73">
        <v>1992</v>
      </c>
      <c r="L73" t="s">
        <v>294</v>
      </c>
      <c r="N73" t="s">
        <v>122</v>
      </c>
      <c r="O73" t="s">
        <v>38</v>
      </c>
      <c r="P73" t="s">
        <v>38</v>
      </c>
      <c r="Q7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5.3693585174625795E-2</v>
      </c>
      <c r="R7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5.3693585174625795E-2</v>
      </c>
      <c r="U73" s="107" t="str">
        <f>IFERROR(_xlfn.XLOOKUP("*"&amp;TRIM(Fusion[[#This Row],[Confinement Type]])&amp;"*", Map_Conf[From], Map_Conf[To], "", 2), "")</f>
        <v>MCF</v>
      </c>
      <c r="V73" s="108" t="str" cm="1">
        <f t="array" ref="V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4" spans="1:22" hidden="1">
      <c r="A74">
        <v>440</v>
      </c>
      <c r="B74" t="s">
        <v>232</v>
      </c>
      <c r="C74" t="s">
        <v>61</v>
      </c>
      <c r="D74" t="s">
        <v>62</v>
      </c>
      <c r="E74">
        <v>1000</v>
      </c>
      <c r="F74" t="s">
        <v>63</v>
      </c>
      <c r="G74" t="s">
        <v>52</v>
      </c>
      <c r="H74" t="s">
        <v>76</v>
      </c>
      <c r="I74">
        <v>0.03</v>
      </c>
      <c r="J74" t="s">
        <v>77</v>
      </c>
      <c r="K74">
        <v>1992</v>
      </c>
      <c r="L74" t="s">
        <v>420</v>
      </c>
      <c r="N74" t="s">
        <v>122</v>
      </c>
      <c r="O74" t="s">
        <v>38</v>
      </c>
      <c r="P74" t="s">
        <v>38</v>
      </c>
      <c r="Q7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5.3693585174625795E-2</v>
      </c>
      <c r="R7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5.3693585174625795E-2</v>
      </c>
      <c r="U74" s="107" t="str">
        <f>IFERROR(_xlfn.XLOOKUP("*"&amp;TRIM(Fusion[[#This Row],[Confinement Type]])&amp;"*", Map_Conf[From], Map_Conf[To], "", 2), "")</f>
        <v>MCF</v>
      </c>
      <c r="V74" s="108" t="str" cm="1">
        <f t="array" ref="V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5" spans="1:22" hidden="1">
      <c r="A75">
        <v>549</v>
      </c>
      <c r="B75" t="s">
        <v>497</v>
      </c>
      <c r="C75" t="s">
        <v>61</v>
      </c>
      <c r="D75" t="s">
        <v>62</v>
      </c>
      <c r="E75">
        <v>1000</v>
      </c>
      <c r="F75" t="s">
        <v>63</v>
      </c>
      <c r="G75" t="s">
        <v>57</v>
      </c>
      <c r="H75" t="s">
        <v>76</v>
      </c>
      <c r="I75">
        <v>0.04</v>
      </c>
      <c r="J75" t="s">
        <v>77</v>
      </c>
      <c r="K75">
        <v>2003</v>
      </c>
      <c r="L75" t="s">
        <v>503</v>
      </c>
      <c r="M75" t="s">
        <v>504</v>
      </c>
      <c r="N75" t="s">
        <v>122</v>
      </c>
      <c r="O75" t="s">
        <v>38</v>
      </c>
      <c r="P75" t="s">
        <v>38</v>
      </c>
      <c r="Q7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5.4588478260869565E-2</v>
      </c>
      <c r="R7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5.4588478260869565E-2</v>
      </c>
      <c r="U75" s="107" t="str">
        <f>IFERROR(_xlfn.XLOOKUP("*"&amp;TRIM(Fusion[[#This Row],[Confinement Type]])&amp;"*", Map_Conf[From], Map_Conf[To], "", 2), "")</f>
        <v>MCF</v>
      </c>
      <c r="V75" s="108" t="str" cm="1">
        <f t="array" ref="V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6" spans="1:22" hidden="1">
      <c r="A76">
        <v>550</v>
      </c>
      <c r="B76" t="s">
        <v>505</v>
      </c>
      <c r="C76" t="s">
        <v>61</v>
      </c>
      <c r="D76" t="s">
        <v>107</v>
      </c>
      <c r="E76">
        <v>1000</v>
      </c>
      <c r="F76" t="s">
        <v>63</v>
      </c>
      <c r="G76" t="s">
        <v>57</v>
      </c>
      <c r="H76" t="s">
        <v>76</v>
      </c>
      <c r="I76">
        <v>0.04</v>
      </c>
      <c r="J76" t="s">
        <v>77</v>
      </c>
      <c r="K76">
        <v>2003</v>
      </c>
      <c r="L76" t="s">
        <v>503</v>
      </c>
      <c r="M76" t="s">
        <v>504</v>
      </c>
      <c r="N76" t="s">
        <v>122</v>
      </c>
      <c r="O76" t="s">
        <v>38</v>
      </c>
      <c r="P76" t="s">
        <v>38</v>
      </c>
      <c r="Q7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5.4588478260869565E-2</v>
      </c>
      <c r="R7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5.4588478260869565E-2</v>
      </c>
      <c r="U76" s="107" t="str">
        <f>IFERROR(_xlfn.XLOOKUP("*"&amp;TRIM(Fusion[[#This Row],[Confinement Type]])&amp;"*", Map_Conf[From], Map_Conf[To], "", 2), "")</f>
        <v>MCF</v>
      </c>
      <c r="V76" s="108" t="str" cm="1">
        <f t="array" ref="V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7" spans="1:22" hidden="1">
      <c r="A77">
        <v>551</v>
      </c>
      <c r="B77" t="s">
        <v>501</v>
      </c>
      <c r="C77" t="s">
        <v>61</v>
      </c>
      <c r="D77" t="s">
        <v>278</v>
      </c>
      <c r="E77">
        <v>1000</v>
      </c>
      <c r="F77" t="s">
        <v>63</v>
      </c>
      <c r="G77" t="s">
        <v>57</v>
      </c>
      <c r="H77" t="s">
        <v>76</v>
      </c>
      <c r="I77">
        <v>0.04</v>
      </c>
      <c r="J77" t="s">
        <v>77</v>
      </c>
      <c r="K77">
        <v>2003</v>
      </c>
      <c r="L77" t="s">
        <v>503</v>
      </c>
      <c r="M77" t="s">
        <v>504</v>
      </c>
      <c r="N77" t="s">
        <v>122</v>
      </c>
      <c r="O77" t="s">
        <v>38</v>
      </c>
      <c r="P77" t="s">
        <v>38</v>
      </c>
      <c r="Q7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5.4588478260869565E-2</v>
      </c>
      <c r="R7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5.4588478260869565E-2</v>
      </c>
      <c r="U77" s="107" t="str">
        <f>IFERROR(_xlfn.XLOOKUP("*"&amp;TRIM(Fusion[[#This Row],[Confinement Type]])&amp;"*", Map_Conf[From], Map_Conf[To], "", 2), "")</f>
        <v>MCF</v>
      </c>
      <c r="V77" s="108" t="str" cm="1">
        <f t="array" ref="V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78" spans="1:22" hidden="1">
      <c r="A78">
        <v>415</v>
      </c>
      <c r="B78" t="s">
        <v>398</v>
      </c>
      <c r="C78" t="s">
        <v>61</v>
      </c>
      <c r="D78" t="s">
        <v>251</v>
      </c>
      <c r="E78">
        <v>1204</v>
      </c>
      <c r="F78" t="s">
        <v>75</v>
      </c>
      <c r="G78" t="s">
        <v>32</v>
      </c>
      <c r="H78" t="s">
        <v>76</v>
      </c>
      <c r="I78">
        <v>67</v>
      </c>
      <c r="J78" t="s">
        <v>128</v>
      </c>
      <c r="K78">
        <v>2023</v>
      </c>
      <c r="L78" t="s">
        <v>399</v>
      </c>
      <c r="M78" t="s">
        <v>409</v>
      </c>
      <c r="N78" t="s">
        <v>713</v>
      </c>
      <c r="O78" t="s">
        <v>84</v>
      </c>
      <c r="P78" t="s">
        <v>38</v>
      </c>
      <c r="Q7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5.5215157760697339E-2</v>
      </c>
      <c r="R7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5.5215157760697339E-2</v>
      </c>
      <c r="U78" s="107" t="str">
        <f>IFERROR(_xlfn.XLOOKUP("*"&amp;TRIM(Fusion[[#This Row],[Confinement Type]])&amp;"*", Map_Conf[From], Map_Conf[To], "", 2), "")</f>
        <v>MCF</v>
      </c>
      <c r="V78" s="108" t="str" cm="1">
        <f t="array" ref="V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79" spans="1:22" hidden="1">
      <c r="B79" t="s">
        <v>81</v>
      </c>
      <c r="C79" t="s">
        <v>61</v>
      </c>
      <c r="D79" t="s">
        <v>62</v>
      </c>
      <c r="E79">
        <v>1500</v>
      </c>
      <c r="F79" t="s">
        <v>75</v>
      </c>
      <c r="G79" t="s">
        <v>754</v>
      </c>
      <c r="H79" t="s">
        <v>76</v>
      </c>
      <c r="I79">
        <v>36.4</v>
      </c>
      <c r="J79" t="s">
        <v>88</v>
      </c>
      <c r="K79">
        <v>2011</v>
      </c>
      <c r="L79" t="s">
        <v>83</v>
      </c>
      <c r="M79" t="s">
        <v>776</v>
      </c>
      <c r="N79" t="s">
        <v>706</v>
      </c>
      <c r="Q7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5.6607990103450273E-2</v>
      </c>
      <c r="R7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5.6607990103450273E-2</v>
      </c>
      <c r="U79" s="107" t="str">
        <f>IFERROR(_xlfn.XLOOKUP("*"&amp;TRIM(Fusion[[#This Row],[Confinement Type]])&amp;"*", Map_Conf[From], Map_Conf[To], "", 2), "")</f>
        <v>MCF</v>
      </c>
      <c r="V79" s="108" t="str" cm="1">
        <f t="array" ref="V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0" spans="1:22" hidden="1">
      <c r="A80">
        <v>418</v>
      </c>
      <c r="B80" t="s">
        <v>402</v>
      </c>
      <c r="C80" t="s">
        <v>61</v>
      </c>
      <c r="D80" t="s">
        <v>251</v>
      </c>
      <c r="E80">
        <v>2272</v>
      </c>
      <c r="F80" t="s">
        <v>75</v>
      </c>
      <c r="G80" t="s">
        <v>32</v>
      </c>
      <c r="H80" t="s">
        <v>76</v>
      </c>
      <c r="I80">
        <v>70</v>
      </c>
      <c r="J80" t="s">
        <v>128</v>
      </c>
      <c r="K80">
        <v>2023</v>
      </c>
      <c r="L80" t="s">
        <v>399</v>
      </c>
      <c r="M80" t="s">
        <v>410</v>
      </c>
      <c r="N80" t="s">
        <v>713</v>
      </c>
      <c r="O80" t="s">
        <v>84</v>
      </c>
      <c r="P80" t="s">
        <v>38</v>
      </c>
      <c r="Q8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5.7687478257444982E-2</v>
      </c>
      <c r="R8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5.7687478257444982E-2</v>
      </c>
      <c r="U80" s="107" t="str">
        <f>IFERROR(_xlfn.XLOOKUP("*"&amp;TRIM(Fusion[[#This Row],[Confinement Type]])&amp;"*", Map_Conf[From], Map_Conf[To], "", 2), "")</f>
        <v>MCF</v>
      </c>
      <c r="V80" s="108" t="str" cm="1">
        <f t="array" ref="V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81" spans="1:22" hidden="1">
      <c r="A81">
        <v>434</v>
      </c>
      <c r="B81" t="s">
        <v>406</v>
      </c>
      <c r="C81" t="s">
        <v>61</v>
      </c>
      <c r="D81" t="s">
        <v>251</v>
      </c>
      <c r="E81">
        <v>1945</v>
      </c>
      <c r="F81" t="s">
        <v>75</v>
      </c>
      <c r="G81" t="s">
        <v>32</v>
      </c>
      <c r="H81" t="s">
        <v>76</v>
      </c>
      <c r="I81">
        <v>70</v>
      </c>
      <c r="J81" t="s">
        <v>128</v>
      </c>
      <c r="K81">
        <v>2023</v>
      </c>
      <c r="L81" t="s">
        <v>399</v>
      </c>
      <c r="M81" t="s">
        <v>416</v>
      </c>
      <c r="N81" t="s">
        <v>713</v>
      </c>
      <c r="O81" t="s">
        <v>84</v>
      </c>
      <c r="P81" t="s">
        <v>38</v>
      </c>
      <c r="Q8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5.7687478257444982E-2</v>
      </c>
      <c r="R8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5.7687478257444982E-2</v>
      </c>
      <c r="U81" s="107" t="str">
        <f>IFERROR(_xlfn.XLOOKUP("*"&amp;TRIM(Fusion[[#This Row],[Confinement Type]])&amp;"*", Map_Conf[From], Map_Conf[To], "", 2), "")</f>
        <v>MCF</v>
      </c>
      <c r="V81" s="108" t="str" cm="1">
        <f t="array" ref="V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82" spans="1:22" hidden="1">
      <c r="A82">
        <v>360</v>
      </c>
      <c r="B82" t="s">
        <v>81</v>
      </c>
      <c r="C82" t="s">
        <v>61</v>
      </c>
      <c r="D82" t="s">
        <v>62</v>
      </c>
      <c r="E82">
        <v>1500</v>
      </c>
      <c r="F82" t="s">
        <v>75</v>
      </c>
      <c r="G82" t="s">
        <v>57</v>
      </c>
      <c r="H82" t="s">
        <v>76</v>
      </c>
      <c r="I82">
        <v>45</v>
      </c>
      <c r="J82" t="s">
        <v>128</v>
      </c>
      <c r="K82">
        <v>2004</v>
      </c>
      <c r="L82" t="s">
        <v>355</v>
      </c>
      <c r="M82" t="s">
        <v>356</v>
      </c>
      <c r="N82" t="s">
        <v>38</v>
      </c>
      <c r="O82" t="s">
        <v>38</v>
      </c>
      <c r="P82" t="s">
        <v>38</v>
      </c>
      <c r="Q8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5.9819031233456846E-2</v>
      </c>
      <c r="R8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5.9819031233456846E-2</v>
      </c>
      <c r="U82" s="107" t="str">
        <f>IFERROR(_xlfn.XLOOKUP("*"&amp;TRIM(Fusion[[#This Row],[Confinement Type]])&amp;"*", Map_Conf[From], Map_Conf[To], "", 2), "")</f>
        <v>MCF</v>
      </c>
      <c r="V82" s="108" t="str" cm="1">
        <f t="array" ref="V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3" spans="1:22" hidden="1">
      <c r="A83">
        <v>21</v>
      </c>
      <c r="B83" t="s">
        <v>81</v>
      </c>
      <c r="C83" t="s">
        <v>61</v>
      </c>
      <c r="D83" t="s">
        <v>62</v>
      </c>
      <c r="E83">
        <v>1500</v>
      </c>
      <c r="F83" t="s">
        <v>75</v>
      </c>
      <c r="G83" t="s">
        <v>52</v>
      </c>
      <c r="H83" t="s">
        <v>76</v>
      </c>
      <c r="I83">
        <v>39.4</v>
      </c>
      <c r="J83" t="s">
        <v>88</v>
      </c>
      <c r="K83">
        <v>2011</v>
      </c>
      <c r="L83" t="s">
        <v>83</v>
      </c>
      <c r="M83" t="s">
        <v>782</v>
      </c>
      <c r="N83" t="s">
        <v>706</v>
      </c>
      <c r="O83" t="s">
        <v>84</v>
      </c>
      <c r="P83" t="s">
        <v>38</v>
      </c>
      <c r="Q8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6.1273483793295072E-2</v>
      </c>
      <c r="R8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6.1273483793295072E-2</v>
      </c>
      <c r="U83" s="107" t="str">
        <f>IFERROR(_xlfn.XLOOKUP("*"&amp;TRIM(Fusion[[#This Row],[Confinement Type]])&amp;"*", Map_Conf[From], Map_Conf[To], "", 2), "")</f>
        <v>MCF</v>
      </c>
      <c r="V83" s="108" t="str" cm="1">
        <f t="array" ref="V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4" spans="1:22" hidden="1">
      <c r="A84">
        <v>430</v>
      </c>
      <c r="B84" t="s">
        <v>404</v>
      </c>
      <c r="C84" t="s">
        <v>61</v>
      </c>
      <c r="D84" t="s">
        <v>251</v>
      </c>
      <c r="E84">
        <v>914</v>
      </c>
      <c r="F84" t="s">
        <v>75</v>
      </c>
      <c r="G84" t="s">
        <v>32</v>
      </c>
      <c r="H84" t="s">
        <v>76</v>
      </c>
      <c r="I84">
        <v>75</v>
      </c>
      <c r="J84" t="s">
        <v>128</v>
      </c>
      <c r="K84">
        <v>2023</v>
      </c>
      <c r="L84" t="s">
        <v>399</v>
      </c>
      <c r="M84" t="s">
        <v>412</v>
      </c>
      <c r="N84" t="s">
        <v>713</v>
      </c>
      <c r="O84" t="s">
        <v>84</v>
      </c>
      <c r="P84" t="s">
        <v>38</v>
      </c>
      <c r="Q8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6.180801241869105E-2</v>
      </c>
      <c r="R8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6.180801241869105E-2</v>
      </c>
      <c r="U84" s="107" t="str">
        <f>IFERROR(_xlfn.XLOOKUP("*"&amp;TRIM(Fusion[[#This Row],[Confinement Type]])&amp;"*", Map_Conf[From], Map_Conf[To], "", 2), "")</f>
        <v>MCF</v>
      </c>
      <c r="V84" s="108" t="str" cm="1">
        <f t="array" ref="V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85" spans="1:22" hidden="1">
      <c r="A85">
        <v>481</v>
      </c>
      <c r="B85" t="s">
        <v>452</v>
      </c>
      <c r="C85" t="s">
        <v>61</v>
      </c>
      <c r="D85" t="s">
        <v>62</v>
      </c>
      <c r="E85" t="s">
        <v>81</v>
      </c>
      <c r="F85" t="s">
        <v>75</v>
      </c>
      <c r="G85" t="s">
        <v>57</v>
      </c>
      <c r="H85" t="s">
        <v>76</v>
      </c>
      <c r="I85">
        <v>50</v>
      </c>
      <c r="J85" t="s">
        <v>450</v>
      </c>
      <c r="K85">
        <v>2005</v>
      </c>
      <c r="L85" t="s">
        <v>451</v>
      </c>
      <c r="M85" t="s">
        <v>648</v>
      </c>
      <c r="N85" t="s">
        <v>38</v>
      </c>
      <c r="O85" t="s">
        <v>38</v>
      </c>
      <c r="P85" t="s">
        <v>38</v>
      </c>
      <c r="Q8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6.428750640040963E-2</v>
      </c>
      <c r="R8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6.428750640040963E-2</v>
      </c>
      <c r="U85" s="107" t="str">
        <f>IFERROR(_xlfn.XLOOKUP("*"&amp;TRIM(Fusion[[#This Row],[Confinement Type]])&amp;"*", Map_Conf[From], Map_Conf[To], "", 2), "")</f>
        <v>MCF</v>
      </c>
      <c r="V85" s="108" t="str" cm="1">
        <f t="array" ref="V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6" spans="1:22" hidden="1">
      <c r="A86">
        <v>433</v>
      </c>
      <c r="B86" t="s">
        <v>405</v>
      </c>
      <c r="C86" t="s">
        <v>61</v>
      </c>
      <c r="D86" t="s">
        <v>251</v>
      </c>
      <c r="E86">
        <v>774</v>
      </c>
      <c r="F86" t="s">
        <v>75</v>
      </c>
      <c r="G86" t="s">
        <v>32</v>
      </c>
      <c r="H86" t="s">
        <v>76</v>
      </c>
      <c r="I86">
        <v>79</v>
      </c>
      <c r="J86" t="s">
        <v>128</v>
      </c>
      <c r="K86">
        <v>2023</v>
      </c>
      <c r="L86" t="s">
        <v>399</v>
      </c>
      <c r="M86" t="s">
        <v>415</v>
      </c>
      <c r="N86" t="s">
        <v>713</v>
      </c>
      <c r="O86" t="s">
        <v>84</v>
      </c>
      <c r="P86" t="s">
        <v>38</v>
      </c>
      <c r="Q8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6.5104439747687912E-2</v>
      </c>
      <c r="R8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6.5104439747687912E-2</v>
      </c>
      <c r="U86" s="107" t="str">
        <f>IFERROR(_xlfn.XLOOKUP("*"&amp;TRIM(Fusion[[#This Row],[Confinement Type]])&amp;"*", Map_Conf[From], Map_Conf[To], "", 2), "")</f>
        <v>MCF</v>
      </c>
      <c r="V86" s="108" t="str" cm="1">
        <f t="array" ref="V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87" spans="1:22" hidden="1">
      <c r="A87">
        <v>367</v>
      </c>
      <c r="B87" t="s">
        <v>362</v>
      </c>
      <c r="C87" t="s">
        <v>61</v>
      </c>
      <c r="D87" t="s">
        <v>62</v>
      </c>
      <c r="E87">
        <v>1332</v>
      </c>
      <c r="F87" t="s">
        <v>75</v>
      </c>
      <c r="G87" t="s">
        <v>52</v>
      </c>
      <c r="H87" t="s">
        <v>76</v>
      </c>
      <c r="I87">
        <v>40</v>
      </c>
      <c r="J87" t="s">
        <v>88</v>
      </c>
      <c r="K87">
        <v>2004</v>
      </c>
      <c r="L87" t="s">
        <v>358</v>
      </c>
      <c r="N87">
        <v>0.75</v>
      </c>
      <c r="O87" t="s">
        <v>38</v>
      </c>
      <c r="P87" t="s">
        <v>38</v>
      </c>
      <c r="Q8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6.6135920931709904E-2</v>
      </c>
      <c r="R8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6.6135920931709904E-2</v>
      </c>
      <c r="U87" s="107" t="str">
        <f>IFERROR(_xlfn.XLOOKUP("*"&amp;TRIM(Fusion[[#This Row],[Confinement Type]])&amp;"*", Map_Conf[From], Map_Conf[To], "", 2), "")</f>
        <v>MCF</v>
      </c>
      <c r="V87" s="108" t="str" cm="1">
        <f t="array" ref="V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8" spans="1:22" hidden="1">
      <c r="A88">
        <v>369</v>
      </c>
      <c r="B88" t="s">
        <v>364</v>
      </c>
      <c r="C88" t="s">
        <v>61</v>
      </c>
      <c r="D88" t="s">
        <v>62</v>
      </c>
      <c r="E88">
        <v>1449</v>
      </c>
      <c r="F88" t="s">
        <v>75</v>
      </c>
      <c r="G88" t="s">
        <v>52</v>
      </c>
      <c r="H88" t="s">
        <v>76</v>
      </c>
      <c r="I88">
        <v>40</v>
      </c>
      <c r="J88" t="s">
        <v>88</v>
      </c>
      <c r="K88">
        <v>2004</v>
      </c>
      <c r="L88" t="s">
        <v>358</v>
      </c>
      <c r="N88">
        <v>0.75</v>
      </c>
      <c r="O88" t="s">
        <v>38</v>
      </c>
      <c r="P88" t="s">
        <v>38</v>
      </c>
      <c r="Q8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6.6135920931709904E-2</v>
      </c>
      <c r="R8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6.6135920931709904E-2</v>
      </c>
      <c r="U88" s="107" t="str">
        <f>IFERROR(_xlfn.XLOOKUP("*"&amp;TRIM(Fusion[[#This Row],[Confinement Type]])&amp;"*", Map_Conf[From], Map_Conf[To], "", 2), "")</f>
        <v>MCF</v>
      </c>
      <c r="V88" s="108" t="str" cm="1">
        <f t="array" ref="V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9" spans="1:22" hidden="1">
      <c r="A89">
        <v>23</v>
      </c>
      <c r="B89" t="s">
        <v>81</v>
      </c>
      <c r="C89" t="s">
        <v>61</v>
      </c>
      <c r="D89" t="s">
        <v>62</v>
      </c>
      <c r="E89">
        <v>1500</v>
      </c>
      <c r="F89" t="s">
        <v>75</v>
      </c>
      <c r="G89" t="s">
        <v>755</v>
      </c>
      <c r="H89" t="s">
        <v>76</v>
      </c>
      <c r="I89">
        <v>42.9</v>
      </c>
      <c r="J89" t="s">
        <v>88</v>
      </c>
      <c r="K89">
        <v>2011</v>
      </c>
      <c r="L89" t="s">
        <v>83</v>
      </c>
      <c r="M89" t="s">
        <v>769</v>
      </c>
      <c r="N89" t="s">
        <v>706</v>
      </c>
      <c r="O89" t="s">
        <v>84</v>
      </c>
      <c r="P89" t="s">
        <v>38</v>
      </c>
      <c r="Q8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6.6716559764780678E-2</v>
      </c>
      <c r="R8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6.6716559764780678E-2</v>
      </c>
      <c r="U89" s="107" t="str">
        <f>IFERROR(_xlfn.XLOOKUP("*"&amp;TRIM(Fusion[[#This Row],[Confinement Type]])&amp;"*", Map_Conf[From], Map_Conf[To], "", 2), "")</f>
        <v>MCF</v>
      </c>
      <c r="V89" s="108" t="str" cm="1">
        <f t="array" ref="V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0" spans="1:22" hidden="1">
      <c r="B90" t="s">
        <v>81</v>
      </c>
      <c r="C90" t="s">
        <v>61</v>
      </c>
      <c r="D90" t="s">
        <v>62</v>
      </c>
      <c r="E90">
        <v>1500</v>
      </c>
      <c r="F90" t="s">
        <v>75</v>
      </c>
      <c r="G90" t="s">
        <v>57</v>
      </c>
      <c r="H90" t="s">
        <v>76</v>
      </c>
      <c r="I90">
        <v>43.6</v>
      </c>
      <c r="J90" t="s">
        <v>88</v>
      </c>
      <c r="K90">
        <v>2011</v>
      </c>
      <c r="L90" t="s">
        <v>83</v>
      </c>
      <c r="M90" t="s">
        <v>773</v>
      </c>
      <c r="Q9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6.7805174959077799E-2</v>
      </c>
      <c r="R9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6.7805174959077799E-2</v>
      </c>
      <c r="U90" s="107" t="str">
        <f>IFERROR(_xlfn.XLOOKUP("*"&amp;TRIM(Fusion[[#This Row],[Confinement Type]])&amp;"*", Map_Conf[From], Map_Conf[To], "", 2), "")</f>
        <v>MCF</v>
      </c>
      <c r="V90" s="108" t="str" cm="1">
        <f t="array" ref="V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1" spans="1:22" hidden="1">
      <c r="A91">
        <v>421</v>
      </c>
      <c r="B91" t="s">
        <v>403</v>
      </c>
      <c r="C91" t="s">
        <v>61</v>
      </c>
      <c r="D91" t="s">
        <v>251</v>
      </c>
      <c r="E91">
        <v>1368</v>
      </c>
      <c r="F91" t="s">
        <v>75</v>
      </c>
      <c r="G91" t="s">
        <v>32</v>
      </c>
      <c r="H91" t="s">
        <v>76</v>
      </c>
      <c r="I91">
        <v>82.95</v>
      </c>
      <c r="J91" t="s">
        <v>128</v>
      </c>
      <c r="K91">
        <v>2023</v>
      </c>
      <c r="L91" t="s">
        <v>399</v>
      </c>
      <c r="M91" t="s">
        <v>411</v>
      </c>
      <c r="N91" t="s">
        <v>713</v>
      </c>
      <c r="O91" t="s">
        <v>84</v>
      </c>
      <c r="P91" t="s">
        <v>38</v>
      </c>
      <c r="Q9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6.8359661735072297E-2</v>
      </c>
      <c r="R9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6.8359661735072297E-2</v>
      </c>
      <c r="U91" s="107" t="str">
        <f>IFERROR(_xlfn.XLOOKUP("*"&amp;TRIM(Fusion[[#This Row],[Confinement Type]])&amp;"*", Map_Conf[From], Map_Conf[To], "", 2), "")</f>
        <v>MCF</v>
      </c>
      <c r="V91" s="108" t="str" cm="1">
        <f t="array" ref="V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92" spans="1:22" hidden="1">
      <c r="A92">
        <v>416</v>
      </c>
      <c r="B92" t="s">
        <v>401</v>
      </c>
      <c r="C92" t="s">
        <v>61</v>
      </c>
      <c r="D92" t="s">
        <v>251</v>
      </c>
      <c r="E92">
        <v>1313</v>
      </c>
      <c r="F92" t="s">
        <v>75</v>
      </c>
      <c r="G92" t="s">
        <v>32</v>
      </c>
      <c r="H92" t="s">
        <v>76</v>
      </c>
      <c r="I92">
        <v>84</v>
      </c>
      <c r="J92" t="s">
        <v>128</v>
      </c>
      <c r="K92">
        <v>2023</v>
      </c>
      <c r="L92" t="s">
        <v>399</v>
      </c>
      <c r="M92" t="s">
        <v>408</v>
      </c>
      <c r="N92" t="s">
        <v>713</v>
      </c>
      <c r="O92" t="s">
        <v>84</v>
      </c>
      <c r="P92" t="s">
        <v>38</v>
      </c>
      <c r="Q9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6.9224973908933979E-2</v>
      </c>
      <c r="R9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6.9224973908933979E-2</v>
      </c>
      <c r="U92" s="107" t="str">
        <f>IFERROR(_xlfn.XLOOKUP("*"&amp;TRIM(Fusion[[#This Row],[Confinement Type]])&amp;"*", Map_Conf[From], Map_Conf[To], "", 2), "")</f>
        <v>MCF</v>
      </c>
      <c r="V92" s="108" t="str" cm="1">
        <f t="array" ref="V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93" spans="1:22" hidden="1">
      <c r="A93">
        <v>34</v>
      </c>
      <c r="B93" t="s">
        <v>85</v>
      </c>
      <c r="C93" t="s">
        <v>61</v>
      </c>
      <c r="D93" t="s">
        <v>107</v>
      </c>
      <c r="E93">
        <v>735.77</v>
      </c>
      <c r="F93" t="s">
        <v>108</v>
      </c>
      <c r="G93" t="s">
        <v>32</v>
      </c>
      <c r="H93" t="s">
        <v>76</v>
      </c>
      <c r="I93">
        <v>0.06</v>
      </c>
      <c r="J93" t="s">
        <v>109</v>
      </c>
      <c r="K93">
        <v>2009</v>
      </c>
      <c r="L93" t="s">
        <v>86</v>
      </c>
      <c r="M93" t="s">
        <v>110</v>
      </c>
      <c r="N93" t="s">
        <v>707</v>
      </c>
      <c r="O93" t="s">
        <v>84</v>
      </c>
      <c r="P93" t="s">
        <v>38</v>
      </c>
      <c r="Q9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7.0227606426863431E-2</v>
      </c>
      <c r="R9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7.0227606426863431E-2</v>
      </c>
      <c r="U93" s="107" t="str">
        <f>IFERROR(_xlfn.XLOOKUP("*"&amp;TRIM(Fusion[[#This Row],[Confinement Type]])&amp;"*", Map_Conf[From], Map_Conf[To], "", 2), "")</f>
        <v>MCF</v>
      </c>
      <c r="V93" s="108" t="str" cm="1">
        <f t="array" ref="V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4" spans="1:22" hidden="1">
      <c r="B94" t="s">
        <v>81</v>
      </c>
      <c r="C94" t="s">
        <v>61</v>
      </c>
      <c r="D94" t="s">
        <v>62</v>
      </c>
      <c r="E94">
        <v>1500</v>
      </c>
      <c r="F94" t="s">
        <v>75</v>
      </c>
      <c r="G94" t="s">
        <v>754</v>
      </c>
      <c r="H94" t="s">
        <v>76</v>
      </c>
      <c r="I94">
        <v>45.6</v>
      </c>
      <c r="J94" t="s">
        <v>88</v>
      </c>
      <c r="K94">
        <v>2011</v>
      </c>
      <c r="L94" t="s">
        <v>83</v>
      </c>
      <c r="M94" t="s">
        <v>775</v>
      </c>
      <c r="Q9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7.0915504085640998E-2</v>
      </c>
      <c r="R9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7.0915504085640998E-2</v>
      </c>
      <c r="U94" s="107" t="str">
        <f>IFERROR(_xlfn.XLOOKUP("*"&amp;TRIM(Fusion[[#This Row],[Confinement Type]])&amp;"*", Map_Conf[From], Map_Conf[To], "", 2), "")</f>
        <v>MCF</v>
      </c>
      <c r="V94" s="108" t="str" cm="1">
        <f t="array" ref="V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5" spans="1:22" hidden="1">
      <c r="A95">
        <v>414</v>
      </c>
      <c r="B95" t="s">
        <v>398</v>
      </c>
      <c r="C95" t="s">
        <v>61</v>
      </c>
      <c r="D95" t="s">
        <v>251</v>
      </c>
      <c r="E95">
        <v>1204</v>
      </c>
      <c r="F95" t="s">
        <v>75</v>
      </c>
      <c r="G95" t="s">
        <v>32</v>
      </c>
      <c r="H95" t="s">
        <v>76</v>
      </c>
      <c r="I95">
        <v>87</v>
      </c>
      <c r="J95" t="s">
        <v>128</v>
      </c>
      <c r="K95">
        <v>2023</v>
      </c>
      <c r="L95" t="s">
        <v>399</v>
      </c>
      <c r="M95" t="s">
        <v>408</v>
      </c>
      <c r="N95" t="s">
        <v>713</v>
      </c>
      <c r="O95" t="s">
        <v>84</v>
      </c>
      <c r="P95" t="s">
        <v>38</v>
      </c>
      <c r="Q9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7.1697294405681608E-2</v>
      </c>
      <c r="R9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7.1697294405681608E-2</v>
      </c>
      <c r="U95" s="107" t="str">
        <f>IFERROR(_xlfn.XLOOKUP("*"&amp;TRIM(Fusion[[#This Row],[Confinement Type]])&amp;"*", Map_Conf[From], Map_Conf[To], "", 2), "")</f>
        <v>MCF</v>
      </c>
      <c r="V95" s="108" t="str" cm="1">
        <f t="array" ref="V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96" spans="1:22" hidden="1">
      <c r="A96">
        <v>420</v>
      </c>
      <c r="B96" t="s">
        <v>402</v>
      </c>
      <c r="C96" t="s">
        <v>61</v>
      </c>
      <c r="D96" t="s">
        <v>251</v>
      </c>
      <c r="E96">
        <v>2272</v>
      </c>
      <c r="F96" t="s">
        <v>75</v>
      </c>
      <c r="G96" t="s">
        <v>32</v>
      </c>
      <c r="H96" t="s">
        <v>76</v>
      </c>
      <c r="I96">
        <v>90</v>
      </c>
      <c r="J96" t="s">
        <v>128</v>
      </c>
      <c r="K96">
        <v>2023</v>
      </c>
      <c r="L96" t="s">
        <v>399</v>
      </c>
      <c r="M96" t="s">
        <v>408</v>
      </c>
      <c r="N96" t="s">
        <v>713</v>
      </c>
      <c r="O96" t="s">
        <v>84</v>
      </c>
      <c r="P96" t="s">
        <v>38</v>
      </c>
      <c r="Q9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7.4169614902429251E-2</v>
      </c>
      <c r="R9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7.4169614902429251E-2</v>
      </c>
      <c r="U96" s="107" t="str">
        <f>IFERROR(_xlfn.XLOOKUP("*"&amp;TRIM(Fusion[[#This Row],[Confinement Type]])&amp;"*", Map_Conf[From], Map_Conf[To], "", 2), "")</f>
        <v>MCF</v>
      </c>
      <c r="V96" s="108" t="str" cm="1">
        <f t="array" ref="V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97" spans="1:22" hidden="1">
      <c r="A97">
        <v>436</v>
      </c>
      <c r="B97" t="s">
        <v>406</v>
      </c>
      <c r="C97" t="s">
        <v>61</v>
      </c>
      <c r="D97" t="s">
        <v>251</v>
      </c>
      <c r="E97">
        <v>1945</v>
      </c>
      <c r="F97" t="s">
        <v>75</v>
      </c>
      <c r="G97" t="s">
        <v>32</v>
      </c>
      <c r="H97" t="s">
        <v>76</v>
      </c>
      <c r="I97">
        <v>90</v>
      </c>
      <c r="J97" t="s">
        <v>128</v>
      </c>
      <c r="K97">
        <v>2023</v>
      </c>
      <c r="L97" t="s">
        <v>399</v>
      </c>
      <c r="M97" t="s">
        <v>418</v>
      </c>
      <c r="N97" t="s">
        <v>713</v>
      </c>
      <c r="O97" t="s">
        <v>84</v>
      </c>
      <c r="P97" t="s">
        <v>38</v>
      </c>
      <c r="Q9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7.4169614902429251E-2</v>
      </c>
      <c r="R9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7.4169614902429251E-2</v>
      </c>
      <c r="U97" s="107" t="str">
        <f>IFERROR(_xlfn.XLOOKUP("*"&amp;TRIM(Fusion[[#This Row],[Confinement Type]])&amp;"*", Map_Conf[From], Map_Conf[To], "", 2), "")</f>
        <v>MCF</v>
      </c>
      <c r="V97" s="108" t="str" cm="1">
        <f t="array" ref="V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98" spans="1:22" hidden="1">
      <c r="A98">
        <v>19</v>
      </c>
      <c r="B98" t="s">
        <v>81</v>
      </c>
      <c r="C98" t="s">
        <v>61</v>
      </c>
      <c r="D98" t="s">
        <v>62</v>
      </c>
      <c r="E98">
        <v>1500</v>
      </c>
      <c r="F98" t="s">
        <v>75</v>
      </c>
      <c r="G98" t="s">
        <v>52</v>
      </c>
      <c r="H98" t="s">
        <v>76</v>
      </c>
      <c r="I98">
        <v>49.3</v>
      </c>
      <c r="J98" t="s">
        <v>88</v>
      </c>
      <c r="K98">
        <v>2011</v>
      </c>
      <c r="L98" t="s">
        <v>83</v>
      </c>
      <c r="M98" t="s">
        <v>781</v>
      </c>
      <c r="N98" t="s">
        <v>706</v>
      </c>
      <c r="O98" t="s">
        <v>84</v>
      </c>
      <c r="P98" t="s">
        <v>38</v>
      </c>
      <c r="Q9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7.6669612969782919E-2</v>
      </c>
      <c r="R9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7.6669612969782919E-2</v>
      </c>
      <c r="U98" s="107" t="str">
        <f>IFERROR(_xlfn.XLOOKUP("*"&amp;TRIM(Fusion[[#This Row],[Confinement Type]])&amp;"*", Map_Conf[From], Map_Conf[To], "", 2), "")</f>
        <v>MCF</v>
      </c>
      <c r="V98" s="108" t="str" cm="1">
        <f t="array" ref="V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9" spans="1:22" hidden="1">
      <c r="A99">
        <v>20</v>
      </c>
      <c r="B99" t="s">
        <v>81</v>
      </c>
      <c r="C99" t="s">
        <v>61</v>
      </c>
      <c r="D99" t="s">
        <v>62</v>
      </c>
      <c r="E99">
        <v>1500</v>
      </c>
      <c r="F99" t="s">
        <v>75</v>
      </c>
      <c r="G99" t="s">
        <v>32</v>
      </c>
      <c r="H99" t="s">
        <v>76</v>
      </c>
      <c r="I99">
        <v>51.3</v>
      </c>
      <c r="J99" t="s">
        <v>88</v>
      </c>
      <c r="K99">
        <v>2011</v>
      </c>
      <c r="L99" t="s">
        <v>83</v>
      </c>
      <c r="M99" t="s">
        <v>779</v>
      </c>
      <c r="N99" t="s">
        <v>706</v>
      </c>
      <c r="O99" t="s">
        <v>84</v>
      </c>
      <c r="P99" t="s">
        <v>38</v>
      </c>
      <c r="Q9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7.9779942096346118E-2</v>
      </c>
      <c r="R9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7.9779942096346118E-2</v>
      </c>
      <c r="U99" s="107" t="str">
        <f>IFERROR(_xlfn.XLOOKUP("*"&amp;TRIM(Fusion[[#This Row],[Confinement Type]])&amp;"*", Map_Conf[From], Map_Conf[To], "", 2), "")</f>
        <v>MCF</v>
      </c>
      <c r="V99" s="108" t="str" cm="1">
        <f t="array" ref="V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0" spans="1:22" hidden="1">
      <c r="A100">
        <v>352</v>
      </c>
      <c r="B100" t="s">
        <v>347</v>
      </c>
      <c r="C100" t="s">
        <v>61</v>
      </c>
      <c r="D100" t="s">
        <v>62</v>
      </c>
      <c r="E100">
        <v>1500</v>
      </c>
      <c r="F100" t="s">
        <v>75</v>
      </c>
      <c r="G100" t="s">
        <v>52</v>
      </c>
      <c r="H100" t="s">
        <v>76</v>
      </c>
      <c r="I100">
        <v>84</v>
      </c>
      <c r="J100" t="s">
        <v>128</v>
      </c>
      <c r="K100">
        <v>2020</v>
      </c>
      <c r="L100" t="s">
        <v>344</v>
      </c>
      <c r="M100" t="s">
        <v>352</v>
      </c>
      <c r="N100" t="s">
        <v>708</v>
      </c>
      <c r="O100" t="s">
        <v>84</v>
      </c>
      <c r="P100" t="s">
        <v>38</v>
      </c>
      <c r="Q10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8.1499580775160271E-2</v>
      </c>
      <c r="R10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8.1499580775160271E-2</v>
      </c>
      <c r="U100" s="107" t="str">
        <f>IFERROR(_xlfn.XLOOKUP("*"&amp;TRIM(Fusion[[#This Row],[Confinement Type]])&amp;"*", Map_Conf[From], Map_Conf[To], "", 2), "")</f>
        <v>MCF</v>
      </c>
      <c r="V100" s="108" t="str" cm="1">
        <f t="array" ref="V1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1" spans="1:22" hidden="1">
      <c r="A101">
        <v>363</v>
      </c>
      <c r="B101" t="s">
        <v>357</v>
      </c>
      <c r="C101" t="s">
        <v>61</v>
      </c>
      <c r="D101" t="s">
        <v>62</v>
      </c>
      <c r="E101">
        <v>1546</v>
      </c>
      <c r="F101" t="s">
        <v>75</v>
      </c>
      <c r="G101" t="s">
        <v>52</v>
      </c>
      <c r="H101" t="s">
        <v>76</v>
      </c>
      <c r="I101">
        <v>50</v>
      </c>
      <c r="J101" t="s">
        <v>88</v>
      </c>
      <c r="K101">
        <v>2004</v>
      </c>
      <c r="L101" t="s">
        <v>358</v>
      </c>
      <c r="N101">
        <v>0.75</v>
      </c>
      <c r="O101" t="s">
        <v>38</v>
      </c>
      <c r="P101" t="s">
        <v>38</v>
      </c>
      <c r="Q10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8.2669901164637377E-2</v>
      </c>
      <c r="R10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8.2669901164637377E-2</v>
      </c>
      <c r="U101" s="107" t="str">
        <f>IFERROR(_xlfn.XLOOKUP("*"&amp;TRIM(Fusion[[#This Row],[Confinement Type]])&amp;"*", Map_Conf[From], Map_Conf[To], "", 2), "")</f>
        <v>MCF</v>
      </c>
      <c r="V101" s="108" t="str" cm="1">
        <f t="array" ref="V1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2" spans="1:22" hidden="1">
      <c r="A102">
        <v>365</v>
      </c>
      <c r="B102" t="s">
        <v>360</v>
      </c>
      <c r="C102" t="s">
        <v>61</v>
      </c>
      <c r="D102" t="s">
        <v>62</v>
      </c>
      <c r="E102">
        <v>1500</v>
      </c>
      <c r="F102" t="s">
        <v>75</v>
      </c>
      <c r="G102" t="s">
        <v>52</v>
      </c>
      <c r="H102" t="s">
        <v>76</v>
      </c>
      <c r="I102">
        <v>50</v>
      </c>
      <c r="J102" t="s">
        <v>88</v>
      </c>
      <c r="K102">
        <v>2004</v>
      </c>
      <c r="L102" t="s">
        <v>358</v>
      </c>
      <c r="N102">
        <v>0.75</v>
      </c>
      <c r="O102" t="s">
        <v>38</v>
      </c>
      <c r="P102" t="s">
        <v>38</v>
      </c>
      <c r="Q10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8.2669901164637377E-2</v>
      </c>
      <c r="R10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8.2669901164637377E-2</v>
      </c>
      <c r="U102" s="107" t="str">
        <f>IFERROR(_xlfn.XLOOKUP("*"&amp;TRIM(Fusion[[#This Row],[Confinement Type]])&amp;"*", Map_Conf[From], Map_Conf[To], "", 2), "")</f>
        <v>MCF</v>
      </c>
      <c r="V102" s="108" t="str" cm="1">
        <f t="array" ref="V1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3" spans="1:22" hidden="1">
      <c r="A103">
        <v>372</v>
      </c>
      <c r="B103" t="s">
        <v>368</v>
      </c>
      <c r="C103" t="s">
        <v>61</v>
      </c>
      <c r="D103" t="s">
        <v>62</v>
      </c>
      <c r="E103">
        <v>1527</v>
      </c>
      <c r="F103" t="s">
        <v>75</v>
      </c>
      <c r="G103" t="s">
        <v>32</v>
      </c>
      <c r="H103" t="s">
        <v>76</v>
      </c>
      <c r="I103">
        <v>50</v>
      </c>
      <c r="J103" t="s">
        <v>88</v>
      </c>
      <c r="K103">
        <v>2004</v>
      </c>
      <c r="L103" t="s">
        <v>358</v>
      </c>
      <c r="M103" t="s">
        <v>367</v>
      </c>
      <c r="N103">
        <v>0.75</v>
      </c>
      <c r="O103" t="s">
        <v>38</v>
      </c>
      <c r="P103" t="s">
        <v>38</v>
      </c>
      <c r="Q10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8.2669901164637377E-2</v>
      </c>
      <c r="R10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8.2669901164637377E-2</v>
      </c>
      <c r="U103" s="107" t="str">
        <f>IFERROR(_xlfn.XLOOKUP("*"&amp;TRIM(Fusion[[#This Row],[Confinement Type]])&amp;"*", Map_Conf[From], Map_Conf[To], "", 2), "")</f>
        <v>MCF</v>
      </c>
      <c r="V103" s="108" t="str" cm="1">
        <f t="array" ref="V1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4" spans="1:22" hidden="1">
      <c r="A104">
        <v>37</v>
      </c>
      <c r="B104" t="s">
        <v>114</v>
      </c>
      <c r="C104" t="s">
        <v>61</v>
      </c>
      <c r="D104" t="s">
        <v>62</v>
      </c>
      <c r="E104">
        <v>1000</v>
      </c>
      <c r="F104" t="s">
        <v>63</v>
      </c>
      <c r="G104" t="s">
        <v>52</v>
      </c>
      <c r="H104" t="s">
        <v>76</v>
      </c>
      <c r="I104">
        <v>0.04</v>
      </c>
      <c r="J104" t="s">
        <v>77</v>
      </c>
      <c r="K104">
        <v>1988</v>
      </c>
      <c r="L104" t="s">
        <v>597</v>
      </c>
      <c r="N104" t="s">
        <v>38</v>
      </c>
      <c r="O104" t="s">
        <v>38</v>
      </c>
      <c r="P104" t="s">
        <v>38</v>
      </c>
      <c r="Q10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8.4905156382079461E-2</v>
      </c>
      <c r="R10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8.4905156382079461E-2</v>
      </c>
      <c r="U104" s="107" t="str">
        <f>IFERROR(_xlfn.XLOOKUP("*"&amp;TRIM(Fusion[[#This Row],[Confinement Type]])&amp;"*", Map_Conf[From], Map_Conf[To], "", 2), "")</f>
        <v>MCF</v>
      </c>
      <c r="V104" s="108" t="str" cm="1">
        <f t="array" ref="V1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5" spans="1:22" hidden="1">
      <c r="A105">
        <v>22</v>
      </c>
      <c r="B105" t="s">
        <v>81</v>
      </c>
      <c r="C105" t="s">
        <v>61</v>
      </c>
      <c r="D105" t="s">
        <v>62</v>
      </c>
      <c r="E105">
        <v>1500</v>
      </c>
      <c r="F105" t="s">
        <v>75</v>
      </c>
      <c r="G105" t="s">
        <v>755</v>
      </c>
      <c r="H105" t="s">
        <v>76</v>
      </c>
      <c r="I105">
        <v>54.6</v>
      </c>
      <c r="J105" t="s">
        <v>88</v>
      </c>
      <c r="K105">
        <v>2011</v>
      </c>
      <c r="L105" t="s">
        <v>83</v>
      </c>
      <c r="M105" t="s">
        <v>768</v>
      </c>
      <c r="N105" t="s">
        <v>706</v>
      </c>
      <c r="O105" t="s">
        <v>84</v>
      </c>
      <c r="P105" t="s">
        <v>38</v>
      </c>
      <c r="Q10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8.491198515517541E-2</v>
      </c>
      <c r="R10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8.491198515517541E-2</v>
      </c>
      <c r="U105" s="107" t="str">
        <f>IFERROR(_xlfn.XLOOKUP("*"&amp;TRIM(Fusion[[#This Row],[Confinement Type]])&amp;"*", Map_Conf[From], Map_Conf[To], "", 2), "")</f>
        <v>MCF</v>
      </c>
      <c r="V105" s="108" t="str" cm="1">
        <f t="array" ref="V1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6" spans="1:22" hidden="1">
      <c r="B106" t="s">
        <v>81</v>
      </c>
      <c r="C106" t="s">
        <v>61</v>
      </c>
      <c r="D106" t="s">
        <v>62</v>
      </c>
      <c r="E106">
        <v>1500</v>
      </c>
      <c r="F106" t="s">
        <v>75</v>
      </c>
      <c r="G106" t="s">
        <v>57</v>
      </c>
      <c r="H106" t="s">
        <v>76</v>
      </c>
      <c r="I106">
        <v>54.8</v>
      </c>
      <c r="J106" t="s">
        <v>88</v>
      </c>
      <c r="K106">
        <v>2011</v>
      </c>
      <c r="L106" t="s">
        <v>83</v>
      </c>
      <c r="M106" t="s">
        <v>772</v>
      </c>
      <c r="Q10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8.5223018067831724E-2</v>
      </c>
      <c r="R10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8.5223018067831724E-2</v>
      </c>
      <c r="U106" s="107" t="str">
        <f>IFERROR(_xlfn.XLOOKUP("*"&amp;TRIM(Fusion[[#This Row],[Confinement Type]])&amp;"*", Map_Conf[From], Map_Conf[To], "", 2), "")</f>
        <v>MCF</v>
      </c>
      <c r="V106" s="108" t="str" cm="1">
        <f t="array" ref="V1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7" spans="1:22" hidden="1">
      <c r="A107">
        <v>361</v>
      </c>
      <c r="B107" t="s">
        <v>81</v>
      </c>
      <c r="C107" t="s">
        <v>61</v>
      </c>
      <c r="D107" t="s">
        <v>62</v>
      </c>
      <c r="E107">
        <v>1500</v>
      </c>
      <c r="F107" t="s">
        <v>75</v>
      </c>
      <c r="G107" t="s">
        <v>57</v>
      </c>
      <c r="H107" t="s">
        <v>76</v>
      </c>
      <c r="I107">
        <v>65</v>
      </c>
      <c r="J107" t="s">
        <v>128</v>
      </c>
      <c r="K107">
        <v>2004</v>
      </c>
      <c r="L107" t="s">
        <v>355</v>
      </c>
      <c r="M107" t="s">
        <v>356</v>
      </c>
      <c r="N107" t="s">
        <v>38</v>
      </c>
      <c r="O107" t="s">
        <v>38</v>
      </c>
      <c r="P107" t="s">
        <v>38</v>
      </c>
      <c r="Q10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8.6405267337215458E-2</v>
      </c>
      <c r="R10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8.6405267337215458E-2</v>
      </c>
      <c r="U107" s="107" t="str">
        <f>IFERROR(_xlfn.XLOOKUP("*"&amp;TRIM(Fusion[[#This Row],[Confinement Type]])&amp;"*", Map_Conf[From], Map_Conf[To], "", 2), "")</f>
        <v>MCF</v>
      </c>
      <c r="V107" s="108" t="str" cm="1">
        <f t="array" ref="V1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8" spans="1:22" hidden="1">
      <c r="B108" t="s">
        <v>81</v>
      </c>
      <c r="C108" t="s">
        <v>61</v>
      </c>
      <c r="D108" t="s">
        <v>62</v>
      </c>
      <c r="E108">
        <v>1500</v>
      </c>
      <c r="F108" t="s">
        <v>75</v>
      </c>
      <c r="G108" t="s">
        <v>754</v>
      </c>
      <c r="H108" t="s">
        <v>76</v>
      </c>
      <c r="I108">
        <v>57.3</v>
      </c>
      <c r="J108" t="s">
        <v>88</v>
      </c>
      <c r="K108">
        <v>2011</v>
      </c>
      <c r="L108" t="s">
        <v>83</v>
      </c>
      <c r="M108" t="s">
        <v>774</v>
      </c>
      <c r="Q10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8.911092947603573E-2</v>
      </c>
      <c r="R10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8.911092947603573E-2</v>
      </c>
      <c r="U108" s="107" t="str">
        <f>IFERROR(_xlfn.XLOOKUP("*"&amp;TRIM(Fusion[[#This Row],[Confinement Type]])&amp;"*", Map_Conf[From], Map_Conf[To], "", 2), "")</f>
        <v>MCF</v>
      </c>
      <c r="V108" s="108" t="str" cm="1">
        <f t="array" ref="V1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9" spans="1:22" hidden="1">
      <c r="A109">
        <v>380</v>
      </c>
      <c r="B109" t="s">
        <v>696</v>
      </c>
      <c r="C109" t="s">
        <v>61</v>
      </c>
      <c r="D109" t="s">
        <v>62</v>
      </c>
      <c r="E109">
        <v>1200</v>
      </c>
      <c r="F109" t="s">
        <v>63</v>
      </c>
      <c r="G109" t="s">
        <v>32</v>
      </c>
      <c r="H109" t="s">
        <v>76</v>
      </c>
      <c r="I109">
        <v>0.05</v>
      </c>
      <c r="J109" t="s">
        <v>77</v>
      </c>
      <c r="K109">
        <v>1990</v>
      </c>
      <c r="L109" t="s">
        <v>369</v>
      </c>
      <c r="M109" t="s">
        <v>373</v>
      </c>
      <c r="N109" t="s">
        <v>122</v>
      </c>
      <c r="O109" t="s">
        <v>38</v>
      </c>
      <c r="P109" t="s">
        <v>38</v>
      </c>
      <c r="Q10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9.6062356541698563E-2</v>
      </c>
      <c r="R10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9.6062356541698563E-2</v>
      </c>
      <c r="U109" s="107" t="str">
        <f>IFERROR(_xlfn.XLOOKUP("*"&amp;TRIM(Fusion[[#This Row],[Confinement Type]])&amp;"*", Map_Conf[From], Map_Conf[To], "", 2), "")</f>
        <v>MCF</v>
      </c>
      <c r="V109" s="108" t="str" cm="1">
        <f t="array" ref="V1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0" spans="1:22" hidden="1">
      <c r="A110">
        <v>353</v>
      </c>
      <c r="B110" t="s">
        <v>348</v>
      </c>
      <c r="C110" t="s">
        <v>61</v>
      </c>
      <c r="D110" t="s">
        <v>62</v>
      </c>
      <c r="E110">
        <v>200</v>
      </c>
      <c r="F110" t="s">
        <v>75</v>
      </c>
      <c r="G110" t="s">
        <v>754</v>
      </c>
      <c r="H110" t="s">
        <v>76</v>
      </c>
      <c r="I110">
        <v>100</v>
      </c>
      <c r="J110" t="s">
        <v>128</v>
      </c>
      <c r="K110">
        <v>2020</v>
      </c>
      <c r="L110" t="s">
        <v>344</v>
      </c>
      <c r="M110" t="s">
        <v>352</v>
      </c>
      <c r="N110" t="s">
        <v>38</v>
      </c>
      <c r="O110" t="s">
        <v>350</v>
      </c>
      <c r="P110" t="s">
        <v>38</v>
      </c>
      <c r="Q11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9.7023310446619368E-2</v>
      </c>
      <c r="R11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9.7023310446619368E-2</v>
      </c>
      <c r="U110" s="107" t="str">
        <f>IFERROR(_xlfn.XLOOKUP("*"&amp;TRIM(Fusion[[#This Row],[Confinement Type]])&amp;"*", Map_Conf[From], Map_Conf[To], "", 2), "")</f>
        <v>MCF</v>
      </c>
      <c r="V110" s="108" t="str" cm="1">
        <f t="array" ref="V1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1" spans="1:22" hidden="1">
      <c r="A111">
        <v>355</v>
      </c>
      <c r="B111" t="s">
        <v>347</v>
      </c>
      <c r="C111" t="s">
        <v>61</v>
      </c>
      <c r="D111" t="s">
        <v>62</v>
      </c>
      <c r="E111">
        <v>1500</v>
      </c>
      <c r="F111" t="s">
        <v>75</v>
      </c>
      <c r="G111" t="s">
        <v>52</v>
      </c>
      <c r="H111" t="s">
        <v>76</v>
      </c>
      <c r="I111">
        <v>106</v>
      </c>
      <c r="J111" t="s">
        <v>128</v>
      </c>
      <c r="K111">
        <v>2020</v>
      </c>
      <c r="L111" t="s">
        <v>344</v>
      </c>
      <c r="M111" t="s">
        <v>353</v>
      </c>
      <c r="N111" t="s">
        <v>708</v>
      </c>
      <c r="O111" t="s">
        <v>84</v>
      </c>
      <c r="P111" t="s">
        <v>38</v>
      </c>
      <c r="Q11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0.10284470907341652</v>
      </c>
      <c r="R11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0.10284470907341652</v>
      </c>
      <c r="U111" s="107" t="str">
        <f>IFERROR(_xlfn.XLOOKUP("*"&amp;TRIM(Fusion[[#This Row],[Confinement Type]])&amp;"*", Map_Conf[From], Map_Conf[To], "", 2), "")</f>
        <v>MCF</v>
      </c>
      <c r="V111" s="108" t="str" cm="1">
        <f t="array" ref="V1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2" spans="1:22" hidden="1">
      <c r="B112" t="s">
        <v>81</v>
      </c>
      <c r="C112" t="s">
        <v>61</v>
      </c>
      <c r="D112" t="s">
        <v>62</v>
      </c>
      <c r="E112">
        <v>1500</v>
      </c>
      <c r="F112" t="s">
        <v>75</v>
      </c>
      <c r="G112" t="s">
        <v>57</v>
      </c>
      <c r="H112" t="s">
        <v>76</v>
      </c>
      <c r="I112">
        <v>66.7</v>
      </c>
      <c r="J112" t="s">
        <v>88</v>
      </c>
      <c r="K112">
        <v>2011</v>
      </c>
      <c r="L112" t="s">
        <v>83</v>
      </c>
      <c r="M112" t="s">
        <v>771</v>
      </c>
      <c r="Q11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0.1037294763708828</v>
      </c>
      <c r="R11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0.1037294763708828</v>
      </c>
      <c r="U112" s="107" t="str">
        <f>IFERROR(_xlfn.XLOOKUP("*"&amp;TRIM(Fusion[[#This Row],[Confinement Type]])&amp;"*", Map_Conf[From], Map_Conf[To], "", 2), "")</f>
        <v>MCF</v>
      </c>
      <c r="V112" s="108" t="str" cm="1">
        <f t="array" ref="V1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3" spans="1:22" hidden="1">
      <c r="A113">
        <v>70</v>
      </c>
      <c r="B113" t="s">
        <v>81</v>
      </c>
      <c r="C113" t="s">
        <v>61</v>
      </c>
      <c r="D113" t="s">
        <v>62</v>
      </c>
      <c r="E113">
        <v>1000</v>
      </c>
      <c r="F113" t="s">
        <v>75</v>
      </c>
      <c r="G113" t="s">
        <v>57</v>
      </c>
      <c r="H113" t="s">
        <v>76</v>
      </c>
      <c r="I113">
        <v>70</v>
      </c>
      <c r="J113" t="s">
        <v>128</v>
      </c>
      <c r="K113">
        <v>1996</v>
      </c>
      <c r="L113" t="s">
        <v>129</v>
      </c>
      <c r="M113" t="s">
        <v>130</v>
      </c>
      <c r="N113" t="s">
        <v>122</v>
      </c>
      <c r="O113" t="s">
        <v>84</v>
      </c>
      <c r="P113" t="s">
        <v>38</v>
      </c>
      <c r="Q11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0.11202989165073295</v>
      </c>
      <c r="R11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0.11202989165073295</v>
      </c>
      <c r="U113" s="107" t="str">
        <f>IFERROR(_xlfn.XLOOKUP("*"&amp;TRIM(Fusion[[#This Row],[Confinement Type]])&amp;"*", Map_Conf[From], Map_Conf[To], "", 2), "")</f>
        <v>MCF</v>
      </c>
      <c r="V113" s="108" t="str" cm="1">
        <f t="array" ref="V1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4" spans="1:22" hidden="1">
      <c r="A114">
        <v>377</v>
      </c>
      <c r="B114" t="s">
        <v>695</v>
      </c>
      <c r="C114" t="s">
        <v>61</v>
      </c>
      <c r="D114" t="s">
        <v>62</v>
      </c>
      <c r="E114">
        <v>1200</v>
      </c>
      <c r="F114" t="s">
        <v>63</v>
      </c>
      <c r="G114" t="s">
        <v>52</v>
      </c>
      <c r="H114" t="s">
        <v>76</v>
      </c>
      <c r="I114">
        <v>0.06</v>
      </c>
      <c r="J114" t="s">
        <v>77</v>
      </c>
      <c r="K114">
        <v>1990</v>
      </c>
      <c r="L114" t="s">
        <v>369</v>
      </c>
      <c r="M114" t="s">
        <v>373</v>
      </c>
      <c r="N114" t="s">
        <v>122</v>
      </c>
      <c r="O114" t="s">
        <v>38</v>
      </c>
      <c r="P114" t="s">
        <v>38</v>
      </c>
      <c r="Q11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0.11527482785003826</v>
      </c>
      <c r="R11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0.11527482785003826</v>
      </c>
      <c r="U114" s="107" t="str">
        <f>IFERROR(_xlfn.XLOOKUP("*"&amp;TRIM(Fusion[[#This Row],[Confinement Type]])&amp;"*", Map_Conf[From], Map_Conf[To], "", 2), "")</f>
        <v>MCF</v>
      </c>
      <c r="V114" s="108" t="str" cm="1">
        <f t="array" ref="V1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5" spans="1:22" hidden="1">
      <c r="A115">
        <v>370</v>
      </c>
      <c r="B115" t="s">
        <v>365</v>
      </c>
      <c r="C115" t="s">
        <v>61</v>
      </c>
      <c r="D115" t="s">
        <v>62</v>
      </c>
      <c r="E115">
        <v>1449</v>
      </c>
      <c r="F115" t="s">
        <v>75</v>
      </c>
      <c r="G115" t="s">
        <v>32</v>
      </c>
      <c r="H115" t="s">
        <v>76</v>
      </c>
      <c r="I115">
        <v>70</v>
      </c>
      <c r="J115" t="s">
        <v>88</v>
      </c>
      <c r="K115">
        <v>2004</v>
      </c>
      <c r="L115" t="s">
        <v>358</v>
      </c>
      <c r="N115">
        <v>0.75</v>
      </c>
      <c r="O115" t="s">
        <v>38</v>
      </c>
      <c r="P115" t="s">
        <v>38</v>
      </c>
      <c r="Q11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0.11573786163049234</v>
      </c>
      <c r="R11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0.11573786163049234</v>
      </c>
      <c r="U115" s="107" t="str">
        <f>IFERROR(_xlfn.XLOOKUP("*"&amp;TRIM(Fusion[[#This Row],[Confinement Type]])&amp;"*", Map_Conf[From], Map_Conf[To], "", 2), "")</f>
        <v>MCF</v>
      </c>
      <c r="V115" s="108" t="str" cm="1">
        <f t="array" ref="V1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6" spans="1:22" hidden="1">
      <c r="A116">
        <v>356</v>
      </c>
      <c r="B116" t="s">
        <v>348</v>
      </c>
      <c r="C116" t="s">
        <v>61</v>
      </c>
      <c r="D116" t="s">
        <v>62</v>
      </c>
      <c r="E116">
        <v>200</v>
      </c>
      <c r="F116" t="s">
        <v>75</v>
      </c>
      <c r="G116" t="s">
        <v>754</v>
      </c>
      <c r="H116" t="s">
        <v>76</v>
      </c>
      <c r="I116">
        <v>121</v>
      </c>
      <c r="J116" t="s">
        <v>128</v>
      </c>
      <c r="K116">
        <v>2020</v>
      </c>
      <c r="L116" t="s">
        <v>344</v>
      </c>
      <c r="M116" t="s">
        <v>353</v>
      </c>
      <c r="N116" t="s">
        <v>38</v>
      </c>
      <c r="O116" t="s">
        <v>350</v>
      </c>
      <c r="P116" t="s">
        <v>38</v>
      </c>
      <c r="Q11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0.11739820564040943</v>
      </c>
      <c r="R11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0.11739820564040943</v>
      </c>
      <c r="U116" s="107" t="str">
        <f>IFERROR(_xlfn.XLOOKUP("*"&amp;TRIM(Fusion[[#This Row],[Confinement Type]])&amp;"*", Map_Conf[From], Map_Conf[To], "", 2), "")</f>
        <v>MCF</v>
      </c>
      <c r="V116" s="108" t="str" cm="1">
        <f t="array" ref="V1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7" spans="1:22" hidden="1">
      <c r="A117">
        <v>358</v>
      </c>
      <c r="B117" t="s">
        <v>347</v>
      </c>
      <c r="C117" t="s">
        <v>61</v>
      </c>
      <c r="D117" t="s">
        <v>62</v>
      </c>
      <c r="E117">
        <v>1500</v>
      </c>
      <c r="F117" t="s">
        <v>75</v>
      </c>
      <c r="G117" t="s">
        <v>52</v>
      </c>
      <c r="H117" t="s">
        <v>76</v>
      </c>
      <c r="I117">
        <v>122</v>
      </c>
      <c r="J117" t="s">
        <v>128</v>
      </c>
      <c r="K117">
        <v>2020</v>
      </c>
      <c r="L117" t="s">
        <v>344</v>
      </c>
      <c r="M117" t="s">
        <v>354</v>
      </c>
      <c r="N117" t="s">
        <v>708</v>
      </c>
      <c r="O117" t="s">
        <v>84</v>
      </c>
      <c r="P117" t="s">
        <v>38</v>
      </c>
      <c r="Q11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0.11836843874487561</v>
      </c>
      <c r="R11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0.11836843874487561</v>
      </c>
      <c r="U117" s="107" t="str">
        <f>IFERROR(_xlfn.XLOOKUP("*"&amp;TRIM(Fusion[[#This Row],[Confinement Type]])&amp;"*", Map_Conf[From], Map_Conf[To], "", 2), "")</f>
        <v>MCF</v>
      </c>
      <c r="V117" s="108" t="str" cm="1">
        <f t="array" ref="V1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8" spans="1:22" hidden="1">
      <c r="A118">
        <v>362</v>
      </c>
      <c r="B118" t="s">
        <v>81</v>
      </c>
      <c r="C118" t="s">
        <v>61</v>
      </c>
      <c r="D118" t="s">
        <v>62</v>
      </c>
      <c r="E118">
        <v>1500</v>
      </c>
      <c r="F118" t="s">
        <v>75</v>
      </c>
      <c r="G118" t="s">
        <v>57</v>
      </c>
      <c r="H118" t="s">
        <v>76</v>
      </c>
      <c r="I118">
        <v>90</v>
      </c>
      <c r="J118" t="s">
        <v>128</v>
      </c>
      <c r="K118">
        <v>2004</v>
      </c>
      <c r="L118" t="s">
        <v>355</v>
      </c>
      <c r="M118" t="s">
        <v>356</v>
      </c>
      <c r="N118" t="s">
        <v>38</v>
      </c>
      <c r="O118" t="s">
        <v>38</v>
      </c>
      <c r="P118" t="s">
        <v>38</v>
      </c>
      <c r="Q11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0.11963806246691369</v>
      </c>
      <c r="R11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0.11963806246691369</v>
      </c>
      <c r="U118" s="107" t="str">
        <f>IFERROR(_xlfn.XLOOKUP("*"&amp;TRIM(Fusion[[#This Row],[Confinement Type]])&amp;"*", Map_Conf[From], Map_Conf[To], "", 2), "")</f>
        <v>MCF</v>
      </c>
      <c r="V118" s="108" t="str" cm="1">
        <f t="array" ref="V1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9" spans="1:22" hidden="1">
      <c r="A119">
        <v>7</v>
      </c>
      <c r="B119" t="s">
        <v>60</v>
      </c>
      <c r="C119" t="s">
        <v>61</v>
      </c>
      <c r="D119" t="s">
        <v>62</v>
      </c>
      <c r="E119">
        <v>1200</v>
      </c>
      <c r="F119" t="s">
        <v>63</v>
      </c>
      <c r="G119" t="s">
        <v>52</v>
      </c>
      <c r="H119" t="s">
        <v>76</v>
      </c>
      <c r="I119">
        <v>0.04</v>
      </c>
      <c r="J119" t="s">
        <v>77</v>
      </c>
      <c r="K119">
        <v>1980</v>
      </c>
      <c r="L119" t="s">
        <v>975</v>
      </c>
      <c r="M119" t="s">
        <v>789</v>
      </c>
      <c r="N119" t="s">
        <v>38</v>
      </c>
      <c r="O119" t="s">
        <v>38</v>
      </c>
      <c r="P119" t="s">
        <v>38</v>
      </c>
      <c r="Q11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0.12189660194174756</v>
      </c>
      <c r="R11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0.12189660194174756</v>
      </c>
      <c r="U119" s="107" t="str">
        <f>IFERROR(_xlfn.XLOOKUP("*"&amp;TRIM(Fusion[[#This Row],[Confinement Type]])&amp;"*", Map_Conf[From], Map_Conf[To], "", 2), "")</f>
        <v>MCF</v>
      </c>
      <c r="V119" s="108" t="str" cm="1">
        <f t="array" ref="V1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0" spans="1:22" hidden="1">
      <c r="A120">
        <v>16</v>
      </c>
      <c r="B120" t="s">
        <v>81</v>
      </c>
      <c r="C120" t="s">
        <v>61</v>
      </c>
      <c r="D120" t="s">
        <v>62</v>
      </c>
      <c r="E120">
        <v>1500</v>
      </c>
      <c r="F120" t="s">
        <v>75</v>
      </c>
      <c r="G120" t="s">
        <v>32</v>
      </c>
      <c r="H120" t="s">
        <v>76</v>
      </c>
      <c r="I120">
        <v>78.400000000000006</v>
      </c>
      <c r="J120" t="s">
        <v>88</v>
      </c>
      <c r="K120">
        <v>2011</v>
      </c>
      <c r="L120" t="s">
        <v>83</v>
      </c>
      <c r="M120" t="s">
        <v>777</v>
      </c>
      <c r="N120" t="s">
        <v>706</v>
      </c>
      <c r="O120" t="s">
        <v>84</v>
      </c>
      <c r="P120" t="s">
        <v>38</v>
      </c>
      <c r="Q12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0.12192490176127753</v>
      </c>
      <c r="R12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0.12192490176127753</v>
      </c>
      <c r="U120" s="107" t="str">
        <f>IFERROR(_xlfn.XLOOKUP("*"&amp;TRIM(Fusion[[#This Row],[Confinement Type]])&amp;"*", Map_Conf[From], Map_Conf[To], "", 2), "")</f>
        <v>MCF</v>
      </c>
      <c r="V120" s="108" t="str" cm="1">
        <f t="array" ref="V1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1" spans="1:22" hidden="1">
      <c r="A121">
        <v>71</v>
      </c>
      <c r="B121" t="s">
        <v>81</v>
      </c>
      <c r="C121" t="s">
        <v>61</v>
      </c>
      <c r="D121" t="s">
        <v>62</v>
      </c>
      <c r="E121">
        <v>1000</v>
      </c>
      <c r="F121" t="s">
        <v>75</v>
      </c>
      <c r="G121" t="s">
        <v>57</v>
      </c>
      <c r="H121" t="s">
        <v>76</v>
      </c>
      <c r="I121">
        <v>80</v>
      </c>
      <c r="J121" t="s">
        <v>128</v>
      </c>
      <c r="K121">
        <v>1996</v>
      </c>
      <c r="L121" t="s">
        <v>129</v>
      </c>
      <c r="M121" t="s">
        <v>130</v>
      </c>
      <c r="N121" t="s">
        <v>122</v>
      </c>
      <c r="O121" t="s">
        <v>84</v>
      </c>
      <c r="P121" t="s">
        <v>38</v>
      </c>
      <c r="Q12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0.12803416188655192</v>
      </c>
      <c r="R12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0.12803416188655192</v>
      </c>
      <c r="U121" s="107" t="str">
        <f>IFERROR(_xlfn.XLOOKUP("*"&amp;TRIM(Fusion[[#This Row],[Confinement Type]])&amp;"*", Map_Conf[From], Map_Conf[To], "", 2), "")</f>
        <v>MCF</v>
      </c>
      <c r="V121" s="108" t="str" cm="1">
        <f t="array" ref="V1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2" spans="1:22" hidden="1">
      <c r="A122">
        <v>480</v>
      </c>
      <c r="B122" t="s">
        <v>449</v>
      </c>
      <c r="C122" t="s">
        <v>61</v>
      </c>
      <c r="D122" t="s">
        <v>62</v>
      </c>
      <c r="E122" t="s">
        <v>81</v>
      </c>
      <c r="F122" t="s">
        <v>75</v>
      </c>
      <c r="G122" t="s">
        <v>32</v>
      </c>
      <c r="H122" t="s">
        <v>76</v>
      </c>
      <c r="I122">
        <v>100</v>
      </c>
      <c r="J122" t="s">
        <v>450</v>
      </c>
      <c r="K122">
        <v>2005</v>
      </c>
      <c r="L122" t="s">
        <v>451</v>
      </c>
      <c r="M122" t="s">
        <v>648</v>
      </c>
      <c r="N122" t="s">
        <v>38</v>
      </c>
      <c r="O122" t="s">
        <v>38</v>
      </c>
      <c r="P122" t="s">
        <v>38</v>
      </c>
      <c r="Q12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0.12857501280081926</v>
      </c>
      <c r="R12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0.12857501280081926</v>
      </c>
      <c r="U122" s="107" t="str">
        <f>IFERROR(_xlfn.XLOOKUP("*"&amp;TRIM(Fusion[[#This Row],[Confinement Type]])&amp;"*", Map_Conf[From], Map_Conf[To], "", 2), "")</f>
        <v>MCF</v>
      </c>
      <c r="V122" s="108" t="str" cm="1">
        <f t="array" ref="V1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3" spans="1:22" hidden="1">
      <c r="A123">
        <v>368</v>
      </c>
      <c r="B123" t="s">
        <v>363</v>
      </c>
      <c r="C123" t="s">
        <v>61</v>
      </c>
      <c r="D123" t="s">
        <v>62</v>
      </c>
      <c r="E123">
        <v>1332</v>
      </c>
      <c r="F123" t="s">
        <v>75</v>
      </c>
      <c r="G123" t="s">
        <v>32</v>
      </c>
      <c r="H123" t="s">
        <v>76</v>
      </c>
      <c r="I123">
        <v>80</v>
      </c>
      <c r="J123" t="s">
        <v>88</v>
      </c>
      <c r="K123">
        <v>2004</v>
      </c>
      <c r="L123" t="s">
        <v>358</v>
      </c>
      <c r="N123">
        <v>0.75</v>
      </c>
      <c r="O123" t="s">
        <v>38</v>
      </c>
      <c r="P123" t="s">
        <v>38</v>
      </c>
      <c r="Q12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0.13227184186341981</v>
      </c>
      <c r="R12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0.13227184186341981</v>
      </c>
      <c r="U123" s="107" t="str">
        <f>IFERROR(_xlfn.XLOOKUP("*"&amp;TRIM(Fusion[[#This Row],[Confinement Type]])&amp;"*", Map_Conf[From], Map_Conf[To], "", 2), "")</f>
        <v>MCF</v>
      </c>
      <c r="V123" s="108" t="str" cm="1">
        <f t="array" ref="V1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4" spans="1:22" hidden="1">
      <c r="A124">
        <v>359</v>
      </c>
      <c r="B124" t="s">
        <v>348</v>
      </c>
      <c r="C124" t="s">
        <v>61</v>
      </c>
      <c r="D124" t="s">
        <v>62</v>
      </c>
      <c r="E124">
        <v>200</v>
      </c>
      <c r="F124" t="s">
        <v>75</v>
      </c>
      <c r="G124" t="s">
        <v>754</v>
      </c>
      <c r="H124" t="s">
        <v>76</v>
      </c>
      <c r="I124">
        <v>145</v>
      </c>
      <c r="J124" t="s">
        <v>128</v>
      </c>
      <c r="K124">
        <v>2020</v>
      </c>
      <c r="L124" t="s">
        <v>344</v>
      </c>
      <c r="M124" t="s">
        <v>354</v>
      </c>
      <c r="N124" t="s">
        <v>38</v>
      </c>
      <c r="O124" t="s">
        <v>350</v>
      </c>
      <c r="P124" t="s">
        <v>38</v>
      </c>
      <c r="Q12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0.14068380014759807</v>
      </c>
      <c r="R12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0.14068380014759807</v>
      </c>
      <c r="U124" s="107" t="str">
        <f>IFERROR(_xlfn.XLOOKUP("*"&amp;TRIM(Fusion[[#This Row],[Confinement Type]])&amp;"*", Map_Conf[From], Map_Conf[To], "", 2), "")</f>
        <v>MCF</v>
      </c>
      <c r="V124" s="108" t="str" cm="1">
        <f t="array" ref="V1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5" spans="1:22" hidden="1">
      <c r="A125">
        <v>72</v>
      </c>
      <c r="B125" t="s">
        <v>81</v>
      </c>
      <c r="C125" t="s">
        <v>61</v>
      </c>
      <c r="D125" t="s">
        <v>62</v>
      </c>
      <c r="E125">
        <v>1000</v>
      </c>
      <c r="F125" t="s">
        <v>75</v>
      </c>
      <c r="G125" t="s">
        <v>57</v>
      </c>
      <c r="H125" t="s">
        <v>76</v>
      </c>
      <c r="I125">
        <v>90</v>
      </c>
      <c r="J125" t="s">
        <v>128</v>
      </c>
      <c r="K125">
        <v>1996</v>
      </c>
      <c r="L125" t="s">
        <v>129</v>
      </c>
      <c r="M125" t="s">
        <v>130</v>
      </c>
      <c r="N125" t="s">
        <v>122</v>
      </c>
      <c r="O125" t="s">
        <v>84</v>
      </c>
      <c r="P125" t="s">
        <v>38</v>
      </c>
      <c r="Q12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0.14403843212237091</v>
      </c>
      <c r="R12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0.14403843212237091</v>
      </c>
      <c r="U125" s="107" t="str">
        <f>IFERROR(_xlfn.XLOOKUP("*"&amp;TRIM(Fusion[[#This Row],[Confinement Type]])&amp;"*", Map_Conf[From], Map_Conf[To], "", 2), "")</f>
        <v>MCF</v>
      </c>
      <c r="V125" s="108" t="str" cm="1">
        <f t="array" ref="V1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6" spans="1:22" hidden="1">
      <c r="A126">
        <v>471</v>
      </c>
      <c r="B126" t="s">
        <v>445</v>
      </c>
      <c r="C126" t="s">
        <v>61</v>
      </c>
      <c r="D126" t="s">
        <v>62</v>
      </c>
      <c r="E126" t="s">
        <v>81</v>
      </c>
      <c r="F126" t="s">
        <v>670</v>
      </c>
      <c r="G126" t="s">
        <v>57</v>
      </c>
      <c r="H126" t="s">
        <v>76</v>
      </c>
      <c r="I126">
        <v>0.1</v>
      </c>
      <c r="J126" t="s">
        <v>671</v>
      </c>
      <c r="K126">
        <v>2000</v>
      </c>
      <c r="L126" t="s">
        <v>446</v>
      </c>
      <c r="M126" t="s">
        <v>672</v>
      </c>
      <c r="N126" t="s">
        <v>38</v>
      </c>
      <c r="O126" t="s">
        <v>38</v>
      </c>
      <c r="P126" t="s">
        <v>38</v>
      </c>
      <c r="Q12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0.14582288037166088</v>
      </c>
      <c r="R12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0.14582288037166088</v>
      </c>
      <c r="U126" s="107" t="str">
        <f>IFERROR(_xlfn.XLOOKUP("*"&amp;TRIM(Fusion[[#This Row],[Confinement Type]])&amp;"*", Map_Conf[From], Map_Conf[To], "", 2), "")</f>
        <v>MCF</v>
      </c>
      <c r="V126" s="108" t="str" cm="1">
        <f t="array" ref="V1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7" spans="1:22" hidden="1">
      <c r="B127" t="s">
        <v>941</v>
      </c>
      <c r="C127" t="s">
        <v>61</v>
      </c>
      <c r="D127" t="s">
        <v>62</v>
      </c>
      <c r="E127">
        <v>1209</v>
      </c>
      <c r="F127" t="s">
        <v>75</v>
      </c>
      <c r="G127" t="s">
        <v>32</v>
      </c>
      <c r="H127" t="s">
        <v>76</v>
      </c>
      <c r="I127">
        <v>61.542000000000002</v>
      </c>
      <c r="J127" t="s">
        <v>128</v>
      </c>
      <c r="K127">
        <v>1984</v>
      </c>
      <c r="L127" t="s">
        <v>938</v>
      </c>
      <c r="M127" t="s">
        <v>1101</v>
      </c>
      <c r="Q12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0.14873558223291627</v>
      </c>
      <c r="R12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0.14873558223291627</v>
      </c>
      <c r="U127" s="107" t="str">
        <f>IFERROR(_xlfn.XLOOKUP("*"&amp;TRIM(Fusion[[#This Row],[Confinement Type]])&amp;"*", Map_Conf[From], Map_Conf[To], "", 2), "")</f>
        <v>MCF</v>
      </c>
      <c r="V127" s="108" t="str" cm="1">
        <f t="array" ref="V1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8" spans="1:22" hidden="1">
      <c r="A128">
        <v>364</v>
      </c>
      <c r="B128" t="s">
        <v>359</v>
      </c>
      <c r="C128" t="s">
        <v>61</v>
      </c>
      <c r="D128" t="s">
        <v>62</v>
      </c>
      <c r="E128">
        <v>1546</v>
      </c>
      <c r="F128" t="s">
        <v>75</v>
      </c>
      <c r="G128" t="s">
        <v>32</v>
      </c>
      <c r="H128" t="s">
        <v>76</v>
      </c>
      <c r="I128">
        <v>90</v>
      </c>
      <c r="J128" t="s">
        <v>88</v>
      </c>
      <c r="K128">
        <v>2004</v>
      </c>
      <c r="L128" t="s">
        <v>358</v>
      </c>
      <c r="N128">
        <v>0.75</v>
      </c>
      <c r="O128" t="s">
        <v>38</v>
      </c>
      <c r="P128" t="s">
        <v>38</v>
      </c>
      <c r="Q12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0.14880582209634727</v>
      </c>
      <c r="R12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0.14880582209634727</v>
      </c>
      <c r="U128" s="107" t="str">
        <f>IFERROR(_xlfn.XLOOKUP("*"&amp;TRIM(Fusion[[#This Row],[Confinement Type]])&amp;"*", Map_Conf[From], Map_Conf[To], "", 2), "")</f>
        <v>MCF</v>
      </c>
      <c r="V128" s="108" t="str" cm="1">
        <f t="array" ref="V1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9" spans="1:22" hidden="1">
      <c r="A129">
        <v>366</v>
      </c>
      <c r="B129" t="s">
        <v>361</v>
      </c>
      <c r="C129" t="s">
        <v>61</v>
      </c>
      <c r="D129" t="s">
        <v>62</v>
      </c>
      <c r="E129">
        <v>1500</v>
      </c>
      <c r="F129" t="s">
        <v>75</v>
      </c>
      <c r="G129" t="s">
        <v>32</v>
      </c>
      <c r="H129" t="s">
        <v>76</v>
      </c>
      <c r="I129">
        <v>90</v>
      </c>
      <c r="J129" t="s">
        <v>88</v>
      </c>
      <c r="K129">
        <v>2004</v>
      </c>
      <c r="L129" t="s">
        <v>358</v>
      </c>
      <c r="N129">
        <v>0.75</v>
      </c>
      <c r="O129" t="s">
        <v>38</v>
      </c>
      <c r="P129" t="s">
        <v>38</v>
      </c>
      <c r="Q12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0.14880582209634727</v>
      </c>
      <c r="R12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0.14880582209634727</v>
      </c>
      <c r="U129" s="107" t="str">
        <f>IFERROR(_xlfn.XLOOKUP("*"&amp;TRIM(Fusion[[#This Row],[Confinement Type]])&amp;"*", Map_Conf[From], Map_Conf[To], "", 2), "")</f>
        <v>MCF</v>
      </c>
      <c r="V129" s="108" t="str" cm="1">
        <f t="array" ref="V1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0" spans="1:22" hidden="1">
      <c r="A130">
        <v>351</v>
      </c>
      <c r="B130" t="s">
        <v>343</v>
      </c>
      <c r="C130" t="s">
        <v>61</v>
      </c>
      <c r="D130" t="s">
        <v>62</v>
      </c>
      <c r="E130">
        <v>1500</v>
      </c>
      <c r="F130" t="s">
        <v>75</v>
      </c>
      <c r="G130" t="s">
        <v>52</v>
      </c>
      <c r="H130" t="s">
        <v>76</v>
      </c>
      <c r="I130">
        <v>157</v>
      </c>
      <c r="J130" t="s">
        <v>128</v>
      </c>
      <c r="K130">
        <v>2020</v>
      </c>
      <c r="L130" t="s">
        <v>344</v>
      </c>
      <c r="M130" t="s">
        <v>352</v>
      </c>
      <c r="N130" t="s">
        <v>712</v>
      </c>
      <c r="O130" t="s">
        <v>104</v>
      </c>
      <c r="P130" t="s">
        <v>38</v>
      </c>
      <c r="Q13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0.15232659740119239</v>
      </c>
      <c r="R13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0.15232659740119239</v>
      </c>
      <c r="U130" s="107" t="str">
        <f>IFERROR(_xlfn.XLOOKUP("*"&amp;TRIM(Fusion[[#This Row],[Confinement Type]])&amp;"*", Map_Conf[From], Map_Conf[To], "", 2), "")</f>
        <v>MCF</v>
      </c>
      <c r="V130" s="108" t="str" cm="1">
        <f t="array" ref="V1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1" spans="1:22" hidden="1">
      <c r="A131">
        <v>73</v>
      </c>
      <c r="B131" t="s">
        <v>81</v>
      </c>
      <c r="C131" t="s">
        <v>61</v>
      </c>
      <c r="D131" t="s">
        <v>62</v>
      </c>
      <c r="E131">
        <v>1000</v>
      </c>
      <c r="F131" t="s">
        <v>75</v>
      </c>
      <c r="G131" t="s">
        <v>57</v>
      </c>
      <c r="H131" t="s">
        <v>76</v>
      </c>
      <c r="I131">
        <v>100</v>
      </c>
      <c r="J131" t="s">
        <v>128</v>
      </c>
      <c r="K131">
        <v>1996</v>
      </c>
      <c r="L131" t="s">
        <v>129</v>
      </c>
      <c r="M131" t="s">
        <v>130</v>
      </c>
      <c r="N131" t="s">
        <v>122</v>
      </c>
      <c r="O131" t="s">
        <v>84</v>
      </c>
      <c r="P131" t="s">
        <v>38</v>
      </c>
      <c r="Q13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0.16004270235818993</v>
      </c>
      <c r="R13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0.16004270235818993</v>
      </c>
      <c r="U131" s="107" t="str">
        <f>IFERROR(_xlfn.XLOOKUP("*"&amp;TRIM(Fusion[[#This Row],[Confinement Type]])&amp;"*", Map_Conf[From], Map_Conf[To], "", 2), "")</f>
        <v>MCF</v>
      </c>
      <c r="V131" s="108" t="str" cm="1">
        <f t="array" ref="V1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2" spans="1:22" hidden="1">
      <c r="B132" t="s">
        <v>1102</v>
      </c>
      <c r="C132" t="s">
        <v>61</v>
      </c>
      <c r="D132" t="s">
        <v>62</v>
      </c>
      <c r="E132">
        <v>1164</v>
      </c>
      <c r="F132" t="s">
        <v>75</v>
      </c>
      <c r="G132" t="s">
        <v>32</v>
      </c>
      <c r="H132" t="s">
        <v>76</v>
      </c>
      <c r="I132">
        <v>69.432000000000002</v>
      </c>
      <c r="J132" t="s">
        <v>128</v>
      </c>
      <c r="K132">
        <v>1984</v>
      </c>
      <c r="L132" t="s">
        <v>938</v>
      </c>
      <c r="M132" t="s">
        <v>1103</v>
      </c>
      <c r="Q13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0.1678042466217517</v>
      </c>
      <c r="R13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0.1678042466217517</v>
      </c>
      <c r="U132" s="107" t="str">
        <f>IFERROR(_xlfn.XLOOKUP("*"&amp;TRIM(Fusion[[#This Row],[Confinement Type]])&amp;"*", Map_Conf[From], Map_Conf[To], "", 2), "")</f>
        <v>MCF</v>
      </c>
      <c r="V132" s="108" t="str" cm="1">
        <f t="array" ref="V1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3" spans="1:22" hidden="1">
      <c r="A133">
        <v>209</v>
      </c>
      <c r="B133" t="s">
        <v>81</v>
      </c>
      <c r="C133" t="s">
        <v>61</v>
      </c>
      <c r="D133" t="s">
        <v>107</v>
      </c>
      <c r="E133" t="s">
        <v>81</v>
      </c>
      <c r="F133" t="s">
        <v>75</v>
      </c>
      <c r="G133" t="s">
        <v>52</v>
      </c>
      <c r="H133" t="s">
        <v>76</v>
      </c>
      <c r="I133">
        <v>74</v>
      </c>
      <c r="J133" t="s">
        <v>88</v>
      </c>
      <c r="K133">
        <v>1990</v>
      </c>
      <c r="L133" t="s">
        <v>249</v>
      </c>
      <c r="M133" t="s">
        <v>252</v>
      </c>
      <c r="N133">
        <v>0.75</v>
      </c>
      <c r="O133" t="s">
        <v>84</v>
      </c>
      <c r="P133" t="s">
        <v>38</v>
      </c>
      <c r="Q13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0.17205917048235034</v>
      </c>
      <c r="R13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0.17205917048235034</v>
      </c>
      <c r="U133" s="107" t="str">
        <f>IFERROR(_xlfn.XLOOKUP("*"&amp;TRIM(Fusion[[#This Row],[Confinement Type]])&amp;"*", Map_Conf[From], Map_Conf[To], "", 2), "")</f>
        <v>MCF</v>
      </c>
      <c r="V133" s="108" t="str" cm="1">
        <f t="array" ref="V1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4" spans="1:22" hidden="1">
      <c r="A134">
        <v>254</v>
      </c>
      <c r="B134" t="s">
        <v>281</v>
      </c>
      <c r="C134" t="s">
        <v>61</v>
      </c>
      <c r="D134" t="s">
        <v>278</v>
      </c>
      <c r="E134">
        <v>1940</v>
      </c>
      <c r="F134" t="s">
        <v>63</v>
      </c>
      <c r="G134" t="s">
        <v>57</v>
      </c>
      <c r="H134" t="s">
        <v>33</v>
      </c>
      <c r="I134">
        <v>245000</v>
      </c>
      <c r="J134" t="s">
        <v>34</v>
      </c>
      <c r="K134">
        <v>2003</v>
      </c>
      <c r="L134" t="s">
        <v>279</v>
      </c>
      <c r="N134" t="s">
        <v>122</v>
      </c>
      <c r="O134" t="s">
        <v>38</v>
      </c>
      <c r="P134" t="s">
        <v>38</v>
      </c>
      <c r="Q13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0.17234764399372479</v>
      </c>
      <c r="R13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0.17234764399372479</v>
      </c>
      <c r="U134" s="107" t="str">
        <f>IFERROR(_xlfn.XLOOKUP("*"&amp;TRIM(Fusion[[#This Row],[Confinement Type]])&amp;"*", Map_Conf[From], Map_Conf[To], "", 2), "")</f>
        <v>MCF</v>
      </c>
      <c r="V134" s="108" t="str" cm="1">
        <f t="array" ref="V1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135" spans="1:22" hidden="1">
      <c r="A135">
        <v>74</v>
      </c>
      <c r="B135" t="s">
        <v>81</v>
      </c>
      <c r="C135" t="s">
        <v>61</v>
      </c>
      <c r="D135" t="s">
        <v>62</v>
      </c>
      <c r="E135">
        <v>1000</v>
      </c>
      <c r="F135" t="s">
        <v>75</v>
      </c>
      <c r="G135" t="s">
        <v>57</v>
      </c>
      <c r="H135" t="s">
        <v>76</v>
      </c>
      <c r="I135">
        <v>110</v>
      </c>
      <c r="J135" t="s">
        <v>128</v>
      </c>
      <c r="K135">
        <v>1996</v>
      </c>
      <c r="L135" t="s">
        <v>129</v>
      </c>
      <c r="M135" t="s">
        <v>130</v>
      </c>
      <c r="N135" t="s">
        <v>122</v>
      </c>
      <c r="O135" t="s">
        <v>84</v>
      </c>
      <c r="P135" t="s">
        <v>38</v>
      </c>
      <c r="Q13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0.17604697259400889</v>
      </c>
      <c r="R13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0.17604697259400889</v>
      </c>
      <c r="U135" s="107" t="str">
        <f>IFERROR(_xlfn.XLOOKUP("*"&amp;TRIM(Fusion[[#This Row],[Confinement Type]])&amp;"*", Map_Conf[From], Map_Conf[To], "", 2), "")</f>
        <v>MCF</v>
      </c>
      <c r="V135" s="108" t="str" cm="1">
        <f t="array" ref="V1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6" spans="1:22" hidden="1">
      <c r="A136">
        <v>208</v>
      </c>
      <c r="B136" t="s">
        <v>81</v>
      </c>
      <c r="C136" t="s">
        <v>61</v>
      </c>
      <c r="D136" t="s">
        <v>251</v>
      </c>
      <c r="E136" t="s">
        <v>81</v>
      </c>
      <c r="F136" t="s">
        <v>75</v>
      </c>
      <c r="G136" t="s">
        <v>52</v>
      </c>
      <c r="H136" t="s">
        <v>76</v>
      </c>
      <c r="I136">
        <v>76</v>
      </c>
      <c r="J136" t="s">
        <v>88</v>
      </c>
      <c r="K136">
        <v>1990</v>
      </c>
      <c r="L136" t="s">
        <v>249</v>
      </c>
      <c r="M136" t="s">
        <v>252</v>
      </c>
      <c r="N136">
        <v>0.75</v>
      </c>
      <c r="O136" t="s">
        <v>84</v>
      </c>
      <c r="P136" t="s">
        <v>38</v>
      </c>
      <c r="Q13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0.17670941833322468</v>
      </c>
      <c r="R13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0.17670941833322468</v>
      </c>
      <c r="U136" s="107" t="str">
        <f>IFERROR(_xlfn.XLOOKUP("*"&amp;TRIM(Fusion[[#This Row],[Confinement Type]])&amp;"*", Map_Conf[From], Map_Conf[To], "", 2), "")</f>
        <v>MCF</v>
      </c>
      <c r="V136" s="108" t="str" cm="1">
        <f t="array" ref="V1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137" spans="1:22" hidden="1">
      <c r="A137">
        <v>456</v>
      </c>
      <c r="B137" t="s">
        <v>674</v>
      </c>
      <c r="C137" t="s">
        <v>61</v>
      </c>
      <c r="D137" t="s">
        <v>62</v>
      </c>
      <c r="E137">
        <v>1200</v>
      </c>
      <c r="F137" t="s">
        <v>63</v>
      </c>
      <c r="G137" t="s">
        <v>57</v>
      </c>
      <c r="H137" t="s">
        <v>33</v>
      </c>
      <c r="I137">
        <v>220000</v>
      </c>
      <c r="J137" t="s">
        <v>34</v>
      </c>
      <c r="K137">
        <v>2020</v>
      </c>
      <c r="L137" t="s">
        <v>433</v>
      </c>
      <c r="N137" t="s">
        <v>38</v>
      </c>
      <c r="O137" t="s">
        <v>38</v>
      </c>
      <c r="P137" t="s">
        <v>38</v>
      </c>
      <c r="Q13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0.17787606915213547</v>
      </c>
      <c r="R13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0.17787606915213547</v>
      </c>
      <c r="U137" s="107" t="str">
        <f>IFERROR(_xlfn.XLOOKUP("*"&amp;TRIM(Fusion[[#This Row],[Confinement Type]])&amp;"*", Map_Conf[From], Map_Conf[To], "", 2), "")</f>
        <v>MCF</v>
      </c>
      <c r="V137" s="108" t="str" cm="1">
        <f t="array" ref="V1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8" spans="1:22" hidden="1">
      <c r="A138">
        <v>75</v>
      </c>
      <c r="B138" t="s">
        <v>81</v>
      </c>
      <c r="C138" t="s">
        <v>61</v>
      </c>
      <c r="D138" t="s">
        <v>62</v>
      </c>
      <c r="E138">
        <v>1000</v>
      </c>
      <c r="F138" t="s">
        <v>75</v>
      </c>
      <c r="G138" t="s">
        <v>57</v>
      </c>
      <c r="H138" t="s">
        <v>76</v>
      </c>
      <c r="I138">
        <v>120</v>
      </c>
      <c r="J138" t="s">
        <v>128</v>
      </c>
      <c r="K138">
        <v>1996</v>
      </c>
      <c r="L138" t="s">
        <v>129</v>
      </c>
      <c r="M138" t="s">
        <v>130</v>
      </c>
      <c r="N138" t="s">
        <v>122</v>
      </c>
      <c r="O138" t="s">
        <v>84</v>
      </c>
      <c r="P138" t="s">
        <v>38</v>
      </c>
      <c r="Q13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0.19205124282982788</v>
      </c>
      <c r="R13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0.19205124282982788</v>
      </c>
      <c r="U138" s="107" t="str">
        <f>IFERROR(_xlfn.XLOOKUP("*"&amp;TRIM(Fusion[[#This Row],[Confinement Type]])&amp;"*", Map_Conf[From], Map_Conf[To], "", 2), "")</f>
        <v>MCF</v>
      </c>
      <c r="V138" s="108" t="str" cm="1">
        <f t="array" ref="V1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9" spans="1:22" hidden="1">
      <c r="A139">
        <v>354</v>
      </c>
      <c r="B139" t="s">
        <v>343</v>
      </c>
      <c r="C139" t="s">
        <v>61</v>
      </c>
      <c r="D139" t="s">
        <v>62</v>
      </c>
      <c r="E139">
        <v>1500</v>
      </c>
      <c r="F139" t="s">
        <v>75</v>
      </c>
      <c r="G139" t="s">
        <v>52</v>
      </c>
      <c r="H139" t="s">
        <v>76</v>
      </c>
      <c r="I139">
        <v>200</v>
      </c>
      <c r="J139" t="s">
        <v>128</v>
      </c>
      <c r="K139">
        <v>2020</v>
      </c>
      <c r="L139" t="s">
        <v>344</v>
      </c>
      <c r="M139" t="s">
        <v>353</v>
      </c>
      <c r="N139" t="s">
        <v>712</v>
      </c>
      <c r="O139" t="s">
        <v>104</v>
      </c>
      <c r="P139" t="s">
        <v>38</v>
      </c>
      <c r="Q13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0.19404662089323874</v>
      </c>
      <c r="R13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0.19404662089323874</v>
      </c>
      <c r="U139" s="107" t="str">
        <f>IFERROR(_xlfn.XLOOKUP("*"&amp;TRIM(Fusion[[#This Row],[Confinement Type]])&amp;"*", Map_Conf[From], Map_Conf[To], "", 2), "")</f>
        <v>MCF</v>
      </c>
      <c r="V139" s="108" t="str" cm="1">
        <f t="array" ref="V1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0" spans="1:22" hidden="1">
      <c r="A140">
        <v>207</v>
      </c>
      <c r="B140" t="s">
        <v>81</v>
      </c>
      <c r="C140" t="s">
        <v>61</v>
      </c>
      <c r="D140" t="s">
        <v>62</v>
      </c>
      <c r="E140" t="s">
        <v>81</v>
      </c>
      <c r="F140" t="s">
        <v>75</v>
      </c>
      <c r="G140" t="s">
        <v>52</v>
      </c>
      <c r="H140" t="s">
        <v>76</v>
      </c>
      <c r="I140">
        <v>86</v>
      </c>
      <c r="J140" t="s">
        <v>88</v>
      </c>
      <c r="K140">
        <v>1990</v>
      </c>
      <c r="L140" t="s">
        <v>249</v>
      </c>
      <c r="M140" t="s">
        <v>250</v>
      </c>
      <c r="N140">
        <v>0.75</v>
      </c>
      <c r="O140" t="s">
        <v>84</v>
      </c>
      <c r="P140" t="s">
        <v>38</v>
      </c>
      <c r="Q14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0.19996065758759635</v>
      </c>
      <c r="R14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0.19996065758759635</v>
      </c>
      <c r="U140" s="107" t="str">
        <f>IFERROR(_xlfn.XLOOKUP("*"&amp;TRIM(Fusion[[#This Row],[Confinement Type]])&amp;"*", Map_Conf[From], Map_Conf[To], "", 2), "")</f>
        <v>MCF</v>
      </c>
      <c r="V140" s="108" t="str" cm="1">
        <f t="array" ref="V1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1" spans="1:22" hidden="1">
      <c r="B141" t="s">
        <v>940</v>
      </c>
      <c r="C141" t="s">
        <v>61</v>
      </c>
      <c r="D141" t="s">
        <v>62</v>
      </c>
      <c r="E141">
        <v>1203</v>
      </c>
      <c r="F141" t="s">
        <v>75</v>
      </c>
      <c r="G141" t="s">
        <v>32</v>
      </c>
      <c r="H141" t="s">
        <v>76</v>
      </c>
      <c r="I141">
        <v>82.844999999999999</v>
      </c>
      <c r="J141" t="s">
        <v>128</v>
      </c>
      <c r="K141">
        <v>1984</v>
      </c>
      <c r="L141" t="s">
        <v>938</v>
      </c>
      <c r="M141" t="s">
        <v>1101</v>
      </c>
      <c r="Q14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0.2002209760827719</v>
      </c>
      <c r="R14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0.2002209760827719</v>
      </c>
      <c r="U141" s="107" t="str">
        <f>IFERROR(_xlfn.XLOOKUP("*"&amp;TRIM(Fusion[[#This Row],[Confinement Type]])&amp;"*", Map_Conf[From], Map_Conf[To], "", 2), "")</f>
        <v>MCF</v>
      </c>
      <c r="V141" s="108" t="str" cm="1">
        <f t="array" ref="V1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2" spans="1:22" hidden="1">
      <c r="B142" t="s">
        <v>939</v>
      </c>
      <c r="C142" t="s">
        <v>61</v>
      </c>
      <c r="D142" t="s">
        <v>62</v>
      </c>
      <c r="E142">
        <v>1247</v>
      </c>
      <c r="F142" t="s">
        <v>75</v>
      </c>
      <c r="G142" t="s">
        <v>32</v>
      </c>
      <c r="H142" t="s">
        <v>76</v>
      </c>
      <c r="I142">
        <v>86.001000000000005</v>
      </c>
      <c r="J142" t="s">
        <v>128</v>
      </c>
      <c r="K142">
        <v>1984</v>
      </c>
      <c r="L142" t="s">
        <v>938</v>
      </c>
      <c r="M142" t="s">
        <v>1101</v>
      </c>
      <c r="Q14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0.20784844183830609</v>
      </c>
      <c r="R14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0.20784844183830609</v>
      </c>
      <c r="U142" s="107" t="str">
        <f>IFERROR(_xlfn.XLOOKUP("*"&amp;TRIM(Fusion[[#This Row],[Confinement Type]])&amp;"*", Map_Conf[From], Map_Conf[To], "", 2), "")</f>
        <v>MCF</v>
      </c>
      <c r="V142" s="108" t="str" cm="1">
        <f t="array" ref="V1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3" spans="1:22" hidden="1">
      <c r="A143">
        <v>76</v>
      </c>
      <c r="B143" t="s">
        <v>81</v>
      </c>
      <c r="C143" t="s">
        <v>61</v>
      </c>
      <c r="D143" t="s">
        <v>62</v>
      </c>
      <c r="E143">
        <v>1000</v>
      </c>
      <c r="F143" t="s">
        <v>75</v>
      </c>
      <c r="G143" t="s">
        <v>57</v>
      </c>
      <c r="H143" t="s">
        <v>76</v>
      </c>
      <c r="I143">
        <v>130</v>
      </c>
      <c r="J143" t="s">
        <v>128</v>
      </c>
      <c r="K143">
        <v>1996</v>
      </c>
      <c r="L143" t="s">
        <v>129</v>
      </c>
      <c r="M143" t="s">
        <v>130</v>
      </c>
      <c r="N143" t="s">
        <v>122</v>
      </c>
      <c r="O143" t="s">
        <v>84</v>
      </c>
      <c r="P143" t="s">
        <v>38</v>
      </c>
      <c r="Q14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0.2080555130656469</v>
      </c>
      <c r="R14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0.2080555130656469</v>
      </c>
      <c r="U143" s="107" t="str">
        <f>IFERROR(_xlfn.XLOOKUP("*"&amp;TRIM(Fusion[[#This Row],[Confinement Type]])&amp;"*", Map_Conf[From], Map_Conf[To], "", 2), "")</f>
        <v>MCF</v>
      </c>
      <c r="V143" s="108" t="str" cm="1">
        <f t="array" ref="V1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4" spans="1:22" hidden="1">
      <c r="B144" t="s">
        <v>839</v>
      </c>
      <c r="C144" t="s">
        <v>30</v>
      </c>
      <c r="D144" t="s">
        <v>796</v>
      </c>
      <c r="E144">
        <v>815</v>
      </c>
      <c r="F144" t="s">
        <v>670</v>
      </c>
      <c r="G144" t="s">
        <v>52</v>
      </c>
      <c r="H144" t="s">
        <v>76</v>
      </c>
      <c r="I144">
        <v>0.1</v>
      </c>
      <c r="J144" t="s">
        <v>77</v>
      </c>
      <c r="K144">
        <v>1985</v>
      </c>
      <c r="L144" t="s">
        <v>842</v>
      </c>
      <c r="O144" t="s">
        <v>38</v>
      </c>
      <c r="P144" t="s">
        <v>38</v>
      </c>
      <c r="Q14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0.23337081784386618</v>
      </c>
      <c r="R14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0.23337081784386618</v>
      </c>
      <c r="U144" s="107" t="str">
        <f>IFERROR(_xlfn.XLOOKUP("*"&amp;TRIM(Fusion[[#This Row],[Confinement Type]])&amp;"*", Map_Conf[From], Map_Conf[To], "", 2), "")</f>
        <v>ICF</v>
      </c>
      <c r="V144" s="108" t="str" cm="1">
        <f t="array" ref="V1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145" spans="1:22" hidden="1">
      <c r="B145" t="s">
        <v>125</v>
      </c>
      <c r="C145" t="s">
        <v>30</v>
      </c>
      <c r="D145" t="s">
        <v>796</v>
      </c>
      <c r="E145">
        <v>815</v>
      </c>
      <c r="F145" t="s">
        <v>670</v>
      </c>
      <c r="G145" t="s">
        <v>52</v>
      </c>
      <c r="H145" t="s">
        <v>76</v>
      </c>
      <c r="I145">
        <v>0.1</v>
      </c>
      <c r="J145" t="s">
        <v>77</v>
      </c>
      <c r="K145">
        <v>1985</v>
      </c>
      <c r="L145" t="s">
        <v>842</v>
      </c>
      <c r="O145" t="s">
        <v>38</v>
      </c>
      <c r="P145" t="s">
        <v>38</v>
      </c>
      <c r="Q14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0.23337081784386618</v>
      </c>
      <c r="R14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0.23337081784386618</v>
      </c>
      <c r="U145" s="107" t="str">
        <f>IFERROR(_xlfn.XLOOKUP("*"&amp;TRIM(Fusion[[#This Row],[Confinement Type]])&amp;"*", Map_Conf[From], Map_Conf[To], "", 2), "")</f>
        <v>ICF</v>
      </c>
      <c r="V145" s="108" t="str" cm="1">
        <f t="array" ref="V1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146" spans="1:22" hidden="1">
      <c r="A146">
        <v>357</v>
      </c>
      <c r="B146" t="s">
        <v>343</v>
      </c>
      <c r="C146" t="s">
        <v>61</v>
      </c>
      <c r="D146" t="s">
        <v>62</v>
      </c>
      <c r="E146">
        <v>1500</v>
      </c>
      <c r="F146" t="s">
        <v>75</v>
      </c>
      <c r="G146" t="s">
        <v>52</v>
      </c>
      <c r="H146" t="s">
        <v>76</v>
      </c>
      <c r="I146">
        <v>255</v>
      </c>
      <c r="J146" t="s">
        <v>128</v>
      </c>
      <c r="K146">
        <v>2020</v>
      </c>
      <c r="L146" t="s">
        <v>344</v>
      </c>
      <c r="M146" t="s">
        <v>354</v>
      </c>
      <c r="N146" t="s">
        <v>712</v>
      </c>
      <c r="O146" t="s">
        <v>104</v>
      </c>
      <c r="P146" t="s">
        <v>38</v>
      </c>
      <c r="Q14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0.24740944163887937</v>
      </c>
      <c r="R14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0.24740944163887937</v>
      </c>
      <c r="U146" s="107" t="str">
        <f>IFERROR(_xlfn.XLOOKUP("*"&amp;TRIM(Fusion[[#This Row],[Confinement Type]])&amp;"*", Map_Conf[From], Map_Conf[To], "", 2), "")</f>
        <v>MCF</v>
      </c>
      <c r="V146" s="108" t="str" cm="1">
        <f t="array" ref="V1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7" spans="1:22" hidden="1">
      <c r="B147" t="s">
        <v>737</v>
      </c>
      <c r="C147" t="s">
        <v>61</v>
      </c>
      <c r="D147" t="s">
        <v>62</v>
      </c>
      <c r="E147">
        <v>1000</v>
      </c>
      <c r="F147" t="s">
        <v>493</v>
      </c>
      <c r="G147" t="s">
        <v>52</v>
      </c>
      <c r="H147" t="s">
        <v>76</v>
      </c>
      <c r="I147">
        <v>0.25</v>
      </c>
      <c r="J147" t="s">
        <v>77</v>
      </c>
      <c r="K147">
        <v>2010</v>
      </c>
      <c r="L147" t="s">
        <v>732</v>
      </c>
      <c r="Q14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0.2878927890083281</v>
      </c>
      <c r="R14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0.2878927890083281</v>
      </c>
      <c r="U147" s="107" t="str">
        <f>IFERROR(_xlfn.XLOOKUP("*"&amp;TRIM(Fusion[[#This Row],[Confinement Type]])&amp;"*", Map_Conf[From], Map_Conf[To], "", 2), "")</f>
        <v>MCF</v>
      </c>
      <c r="V147" s="108" t="str" cm="1">
        <f t="array" ref="V1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8" spans="1:22" hidden="1">
      <c r="B148" t="s">
        <v>736</v>
      </c>
      <c r="C148" t="s">
        <v>61</v>
      </c>
      <c r="D148" t="s">
        <v>62</v>
      </c>
      <c r="E148">
        <v>1000</v>
      </c>
      <c r="F148" t="s">
        <v>493</v>
      </c>
      <c r="G148" t="s">
        <v>52</v>
      </c>
      <c r="H148" t="s">
        <v>76</v>
      </c>
      <c r="I148">
        <v>0.25</v>
      </c>
      <c r="J148" t="s">
        <v>77</v>
      </c>
      <c r="K148">
        <v>2010</v>
      </c>
      <c r="L148" t="s">
        <v>732</v>
      </c>
      <c r="Q14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0.2878927890083281</v>
      </c>
      <c r="R14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0.2878927890083281</v>
      </c>
      <c r="U148" s="107" t="str">
        <f>IFERROR(_xlfn.XLOOKUP("*"&amp;TRIM(Fusion[[#This Row],[Confinement Type]])&amp;"*", Map_Conf[From], Map_Conf[To], "", 2), "")</f>
        <v>MCF</v>
      </c>
      <c r="V148" s="108" t="str" cm="1">
        <f t="array" ref="V1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9" spans="1:22" hidden="1">
      <c r="A149">
        <v>563</v>
      </c>
      <c r="B149" t="s">
        <v>506</v>
      </c>
      <c r="C149" t="s">
        <v>61</v>
      </c>
      <c r="D149" t="s">
        <v>62</v>
      </c>
      <c r="E149">
        <v>1000</v>
      </c>
      <c r="F149" t="s">
        <v>63</v>
      </c>
      <c r="G149" t="s">
        <v>57</v>
      </c>
      <c r="H149" t="s">
        <v>76</v>
      </c>
      <c r="I149">
        <v>0.37</v>
      </c>
      <c r="J149" t="s">
        <v>77</v>
      </c>
      <c r="K149">
        <v>2011</v>
      </c>
      <c r="L149" t="s">
        <v>507</v>
      </c>
      <c r="M149" t="s">
        <v>504</v>
      </c>
      <c r="N149" t="s">
        <v>38</v>
      </c>
      <c r="O149" t="s">
        <v>38</v>
      </c>
      <c r="P149" t="s">
        <v>38</v>
      </c>
      <c r="Q14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0.41304349179110783</v>
      </c>
      <c r="R14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0.41304349179110783</v>
      </c>
      <c r="U149" s="107" t="str">
        <f>IFERROR(_xlfn.XLOOKUP("*"&amp;TRIM(Fusion[[#This Row],[Confinement Type]])&amp;"*", Map_Conf[From], Map_Conf[To], "", 2), "")</f>
        <v>MCF</v>
      </c>
      <c r="V149" s="108" t="str" cm="1">
        <f t="array" ref="V1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0" spans="1:22" hidden="1">
      <c r="A150">
        <v>158</v>
      </c>
      <c r="B150" t="s">
        <v>207</v>
      </c>
      <c r="C150" t="s">
        <v>61</v>
      </c>
      <c r="D150" t="s">
        <v>62</v>
      </c>
      <c r="E150">
        <v>1000</v>
      </c>
      <c r="F150" t="s">
        <v>493</v>
      </c>
      <c r="G150" t="s">
        <v>52</v>
      </c>
      <c r="H150" t="s">
        <v>76</v>
      </c>
      <c r="I150">
        <v>0.25</v>
      </c>
      <c r="J150" t="s">
        <v>77</v>
      </c>
      <c r="K150">
        <v>1992</v>
      </c>
      <c r="L150" t="s">
        <v>208</v>
      </c>
      <c r="N150" t="s">
        <v>122</v>
      </c>
      <c r="O150" t="s">
        <v>38</v>
      </c>
      <c r="P150" t="s">
        <v>38</v>
      </c>
      <c r="Q15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0.44744654312188165</v>
      </c>
      <c r="R15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0.44744654312188165</v>
      </c>
      <c r="U150" s="107" t="str">
        <f>IFERROR(_xlfn.XLOOKUP("*"&amp;TRIM(Fusion[[#This Row],[Confinement Type]])&amp;"*", Map_Conf[From], Map_Conf[To], "", 2), "")</f>
        <v>MCF</v>
      </c>
      <c r="V150" s="108" t="str" cm="1">
        <f t="array" ref="V1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1" spans="1:22" hidden="1">
      <c r="A151">
        <v>441</v>
      </c>
      <c r="B151" t="s">
        <v>232</v>
      </c>
      <c r="C151" t="s">
        <v>61</v>
      </c>
      <c r="D151" t="s">
        <v>62</v>
      </c>
      <c r="E151">
        <v>1000</v>
      </c>
      <c r="F151" t="s">
        <v>493</v>
      </c>
      <c r="G151" t="s">
        <v>52</v>
      </c>
      <c r="H151" t="s">
        <v>76</v>
      </c>
      <c r="I151">
        <v>0.25</v>
      </c>
      <c r="J151" t="s">
        <v>77</v>
      </c>
      <c r="K151">
        <v>1992</v>
      </c>
      <c r="L151" t="s">
        <v>420</v>
      </c>
      <c r="N151" t="s">
        <v>38</v>
      </c>
      <c r="O151" t="s">
        <v>38</v>
      </c>
      <c r="P151" t="s">
        <v>38</v>
      </c>
      <c r="Q15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0.44744654312188165</v>
      </c>
      <c r="R15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0.44744654312188165</v>
      </c>
      <c r="U151" s="107" t="str">
        <f>IFERROR(_xlfn.XLOOKUP("*"&amp;TRIM(Fusion[[#This Row],[Confinement Type]])&amp;"*", Map_Conf[From], Map_Conf[To], "", 2), "")</f>
        <v>MCF</v>
      </c>
      <c r="V151" s="108" t="str" cm="1">
        <f t="array" ref="V1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2" spans="1:22" hidden="1">
      <c r="B152" t="s">
        <v>738</v>
      </c>
      <c r="C152" t="s">
        <v>61</v>
      </c>
      <c r="D152" t="s">
        <v>62</v>
      </c>
      <c r="E152">
        <v>1000</v>
      </c>
      <c r="F152" t="s">
        <v>63</v>
      </c>
      <c r="G152" t="s">
        <v>32</v>
      </c>
      <c r="H152" t="s">
        <v>33</v>
      </c>
      <c r="I152">
        <v>400000</v>
      </c>
      <c r="J152" t="s">
        <v>34</v>
      </c>
      <c r="K152">
        <v>2010</v>
      </c>
      <c r="L152" t="s">
        <v>732</v>
      </c>
      <c r="Q15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0.460628462413325</v>
      </c>
      <c r="R15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0.460628462413325</v>
      </c>
      <c r="U152" s="107" t="str">
        <f>IFERROR(_xlfn.XLOOKUP("*"&amp;TRIM(Fusion[[#This Row],[Confinement Type]])&amp;"*", Map_Conf[From], Map_Conf[To], "", 2), "")</f>
        <v>MCF</v>
      </c>
      <c r="V152" s="108" t="str" cm="1">
        <f t="array" ref="V1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3" spans="1:22" hidden="1">
      <c r="A153">
        <v>181</v>
      </c>
      <c r="B153" t="s">
        <v>222</v>
      </c>
      <c r="C153" t="s">
        <v>61</v>
      </c>
      <c r="D153" t="s">
        <v>62</v>
      </c>
      <c r="E153">
        <v>953</v>
      </c>
      <c r="F153" t="s">
        <v>63</v>
      </c>
      <c r="G153" t="s">
        <v>32</v>
      </c>
      <c r="H153" t="s">
        <v>76</v>
      </c>
      <c r="I153">
        <v>0.44</v>
      </c>
      <c r="J153" t="s">
        <v>77</v>
      </c>
      <c r="K153">
        <v>2015</v>
      </c>
      <c r="L153" t="s">
        <v>223</v>
      </c>
      <c r="N153" t="s">
        <v>38</v>
      </c>
      <c r="O153" t="s">
        <v>38</v>
      </c>
      <c r="P153" t="s">
        <v>38</v>
      </c>
      <c r="Q15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0.46615677356476543</v>
      </c>
      <c r="R15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0.46615677356476543</v>
      </c>
      <c r="U153" s="107" t="str">
        <f>IFERROR(_xlfn.XLOOKUP("*"&amp;TRIM(Fusion[[#This Row],[Confinement Type]])&amp;"*", Map_Conf[From], Map_Conf[To], "", 2), "")</f>
        <v>MCF</v>
      </c>
      <c r="V153" s="108" t="str" cm="1">
        <f t="array" ref="V1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4" spans="1:22" hidden="1">
      <c r="A154">
        <v>521</v>
      </c>
      <c r="B154" t="s">
        <v>488</v>
      </c>
      <c r="C154" t="s">
        <v>470</v>
      </c>
      <c r="D154" t="s">
        <v>471</v>
      </c>
      <c r="E154">
        <v>383.1</v>
      </c>
      <c r="F154" t="s">
        <v>493</v>
      </c>
      <c r="G154" t="s">
        <v>754</v>
      </c>
      <c r="H154" t="s">
        <v>76</v>
      </c>
      <c r="I154">
        <v>0.5</v>
      </c>
      <c r="J154" t="s">
        <v>77</v>
      </c>
      <c r="K154">
        <v>2020</v>
      </c>
      <c r="L154" t="s">
        <v>486</v>
      </c>
      <c r="M154" t="s">
        <v>490</v>
      </c>
      <c r="N154" t="s">
        <v>122</v>
      </c>
      <c r="O154" t="s">
        <v>38</v>
      </c>
      <c r="P154" t="s">
        <v>38</v>
      </c>
      <c r="Q15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0.4851165522330968</v>
      </c>
      <c r="R15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0.4851165522330968</v>
      </c>
      <c r="U154" s="107" t="str">
        <f>IFERROR(_xlfn.XLOOKUP("*"&amp;TRIM(Fusion[[#This Row],[Confinement Type]])&amp;"*", Map_Conf[From], Map_Conf[To], "", 2), "")</f>
        <v>MIF</v>
      </c>
      <c r="V154" s="108" t="str" cm="1">
        <f t="array" ref="V1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155" spans="1:22" hidden="1">
      <c r="A155">
        <v>528</v>
      </c>
      <c r="B155" t="s">
        <v>492</v>
      </c>
      <c r="C155" t="s">
        <v>470</v>
      </c>
      <c r="D155" t="s">
        <v>471</v>
      </c>
      <c r="E155">
        <v>814.4</v>
      </c>
      <c r="F155" t="s">
        <v>493</v>
      </c>
      <c r="G155" t="s">
        <v>754</v>
      </c>
      <c r="H155" t="s">
        <v>76</v>
      </c>
      <c r="I155">
        <v>0.5</v>
      </c>
      <c r="J155" t="s">
        <v>77</v>
      </c>
      <c r="K155">
        <v>2020</v>
      </c>
      <c r="L155" t="s">
        <v>486</v>
      </c>
      <c r="M155" t="s">
        <v>490</v>
      </c>
      <c r="N155" t="s">
        <v>122</v>
      </c>
      <c r="O155" t="s">
        <v>38</v>
      </c>
      <c r="P155" t="s">
        <v>38</v>
      </c>
      <c r="Q15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0.4851165522330968</v>
      </c>
      <c r="R15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0.4851165522330968</v>
      </c>
      <c r="U155" s="107" t="str">
        <f>IFERROR(_xlfn.XLOOKUP("*"&amp;TRIM(Fusion[[#This Row],[Confinement Type]])&amp;"*", Map_Conf[From], Map_Conf[To], "", 2), "")</f>
        <v>MIF</v>
      </c>
      <c r="V155" s="108" t="str" cm="1">
        <f t="array" ref="V1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156" spans="1:22" hidden="1">
      <c r="A156">
        <v>472</v>
      </c>
      <c r="B156" t="s">
        <v>445</v>
      </c>
      <c r="C156" t="s">
        <v>61</v>
      </c>
      <c r="D156" t="s">
        <v>62</v>
      </c>
      <c r="E156" t="s">
        <v>81</v>
      </c>
      <c r="F156" t="s">
        <v>670</v>
      </c>
      <c r="G156" t="s">
        <v>57</v>
      </c>
      <c r="H156" t="s">
        <v>76</v>
      </c>
      <c r="I156">
        <v>0.36</v>
      </c>
      <c r="J156" t="s">
        <v>671</v>
      </c>
      <c r="K156">
        <v>2000</v>
      </c>
      <c r="L156" t="s">
        <v>446</v>
      </c>
      <c r="M156" t="s">
        <v>673</v>
      </c>
      <c r="N156" t="s">
        <v>38</v>
      </c>
      <c r="O156" t="s">
        <v>38</v>
      </c>
      <c r="P156" t="s">
        <v>38</v>
      </c>
      <c r="Q15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0.52496236933797913</v>
      </c>
      <c r="R15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0.52496236933797913</v>
      </c>
      <c r="U156" s="107" t="str">
        <f>IFERROR(_xlfn.XLOOKUP("*"&amp;TRIM(Fusion[[#This Row],[Confinement Type]])&amp;"*", Map_Conf[From], Map_Conf[To], "", 2), "")</f>
        <v>MCF</v>
      </c>
      <c r="V156" s="108" t="str" cm="1">
        <f t="array" ref="V1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7" spans="1:22" hidden="1">
      <c r="A157">
        <v>286</v>
      </c>
      <c r="B157" t="s">
        <v>304</v>
      </c>
      <c r="C157" t="s">
        <v>61</v>
      </c>
      <c r="D157" t="s">
        <v>62</v>
      </c>
      <c r="E157">
        <v>1000</v>
      </c>
      <c r="F157" t="s">
        <v>493</v>
      </c>
      <c r="G157" t="s">
        <v>52</v>
      </c>
      <c r="H157" t="s">
        <v>76</v>
      </c>
      <c r="I157">
        <v>0.3</v>
      </c>
      <c r="J157" t="s">
        <v>77</v>
      </c>
      <c r="K157">
        <v>1992</v>
      </c>
      <c r="L157" t="s">
        <v>294</v>
      </c>
      <c r="N157" t="s">
        <v>38</v>
      </c>
      <c r="O157" t="s">
        <v>38</v>
      </c>
      <c r="P157" t="s">
        <v>38</v>
      </c>
      <c r="Q15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0.53693585174625791</v>
      </c>
      <c r="R15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0.53693585174625791</v>
      </c>
      <c r="U157" s="107" t="str">
        <f>IFERROR(_xlfn.XLOOKUP("*"&amp;TRIM(Fusion[[#This Row],[Confinement Type]])&amp;"*", Map_Conf[From], Map_Conf[To], "", 2), "")</f>
        <v>MCF</v>
      </c>
      <c r="V157" s="108" t="str" cm="1">
        <f t="array" ref="V1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8" spans="1:22" hidden="1">
      <c r="A158">
        <v>287</v>
      </c>
      <c r="B158" t="s">
        <v>114</v>
      </c>
      <c r="C158" t="s">
        <v>61</v>
      </c>
      <c r="D158" t="s">
        <v>62</v>
      </c>
      <c r="E158">
        <v>1000</v>
      </c>
      <c r="F158" t="s">
        <v>493</v>
      </c>
      <c r="G158" t="s">
        <v>52</v>
      </c>
      <c r="H158" t="s">
        <v>76</v>
      </c>
      <c r="I158">
        <v>0.3</v>
      </c>
      <c r="J158" t="s">
        <v>77</v>
      </c>
      <c r="K158">
        <v>1992</v>
      </c>
      <c r="L158" t="s">
        <v>294</v>
      </c>
      <c r="N158" t="s">
        <v>38</v>
      </c>
      <c r="O158" t="s">
        <v>38</v>
      </c>
      <c r="P158" t="s">
        <v>38</v>
      </c>
      <c r="Q15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0.53693585174625791</v>
      </c>
      <c r="R15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0.53693585174625791</v>
      </c>
      <c r="U158" s="107" t="str">
        <f>IFERROR(_xlfn.XLOOKUP("*"&amp;TRIM(Fusion[[#This Row],[Confinement Type]])&amp;"*", Map_Conf[From], Map_Conf[To], "", 2), "")</f>
        <v>MCF</v>
      </c>
      <c r="V158" s="108" t="str" cm="1">
        <f t="array" ref="V1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9" spans="1:22" hidden="1">
      <c r="A159">
        <v>216</v>
      </c>
      <c r="B159" t="s">
        <v>261</v>
      </c>
      <c r="C159" t="s">
        <v>61</v>
      </c>
      <c r="D159" t="s">
        <v>62</v>
      </c>
      <c r="E159">
        <v>1600</v>
      </c>
      <c r="F159" t="s">
        <v>690</v>
      </c>
      <c r="G159" t="s">
        <v>57</v>
      </c>
      <c r="H159" t="s">
        <v>76</v>
      </c>
      <c r="I159">
        <v>0.5</v>
      </c>
      <c r="J159" t="s">
        <v>77</v>
      </c>
      <c r="K159">
        <v>2010</v>
      </c>
      <c r="L159" t="s">
        <v>262</v>
      </c>
      <c r="N159" t="s">
        <v>122</v>
      </c>
      <c r="O159" t="s">
        <v>38</v>
      </c>
      <c r="P159" t="s">
        <v>38</v>
      </c>
      <c r="Q15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0.5757855780166562</v>
      </c>
      <c r="R15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0.5757855780166562</v>
      </c>
      <c r="U159" s="107" t="str">
        <f>IFERROR(_xlfn.XLOOKUP("*"&amp;TRIM(Fusion[[#This Row],[Confinement Type]])&amp;"*", Map_Conf[From], Map_Conf[To], "", 2), "")</f>
        <v>MCF</v>
      </c>
      <c r="V159" s="108" t="str" cm="1">
        <f t="array" ref="V1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0" spans="1:22" hidden="1">
      <c r="A160">
        <v>217</v>
      </c>
      <c r="B160" t="s">
        <v>261</v>
      </c>
      <c r="C160" t="s">
        <v>61</v>
      </c>
      <c r="D160" t="s">
        <v>62</v>
      </c>
      <c r="E160">
        <v>1420</v>
      </c>
      <c r="F160" t="s">
        <v>690</v>
      </c>
      <c r="G160" t="s">
        <v>57</v>
      </c>
      <c r="H160" t="s">
        <v>76</v>
      </c>
      <c r="I160">
        <v>0.5</v>
      </c>
      <c r="J160" t="s">
        <v>77</v>
      </c>
      <c r="K160">
        <v>2010</v>
      </c>
      <c r="L160" t="s">
        <v>262</v>
      </c>
      <c r="N160" t="s">
        <v>122</v>
      </c>
      <c r="O160" t="s">
        <v>38</v>
      </c>
      <c r="P160" t="s">
        <v>38</v>
      </c>
      <c r="Q16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0.5757855780166562</v>
      </c>
      <c r="R16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0.5757855780166562</v>
      </c>
      <c r="U160" s="107" t="str">
        <f>IFERROR(_xlfn.XLOOKUP("*"&amp;TRIM(Fusion[[#This Row],[Confinement Type]])&amp;"*", Map_Conf[From], Map_Conf[To], "", 2), "")</f>
        <v>MCF</v>
      </c>
      <c r="V160" s="108" t="str" cm="1">
        <f t="array" ref="V1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1" spans="1:22" hidden="1">
      <c r="A161">
        <v>218</v>
      </c>
      <c r="B161" t="s">
        <v>261</v>
      </c>
      <c r="C161" t="s">
        <v>61</v>
      </c>
      <c r="D161" t="s">
        <v>62</v>
      </c>
      <c r="E161">
        <v>1000</v>
      </c>
      <c r="F161" t="s">
        <v>690</v>
      </c>
      <c r="G161" t="s">
        <v>57</v>
      </c>
      <c r="H161" t="s">
        <v>76</v>
      </c>
      <c r="I161">
        <v>0.5</v>
      </c>
      <c r="J161" t="s">
        <v>77</v>
      </c>
      <c r="K161">
        <v>2010</v>
      </c>
      <c r="L161" t="s">
        <v>262</v>
      </c>
      <c r="N161" t="s">
        <v>122</v>
      </c>
      <c r="O161" t="s">
        <v>38</v>
      </c>
      <c r="P161" t="s">
        <v>38</v>
      </c>
      <c r="Q16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0.5757855780166562</v>
      </c>
      <c r="R16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0.5757855780166562</v>
      </c>
      <c r="U161" s="107" t="str">
        <f>IFERROR(_xlfn.XLOOKUP("*"&amp;TRIM(Fusion[[#This Row],[Confinement Type]])&amp;"*", Map_Conf[From], Map_Conf[To], "", 2), "")</f>
        <v>MCF</v>
      </c>
      <c r="V161" s="108" t="str" cm="1">
        <f t="array" ref="V1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2" spans="1:22" hidden="1">
      <c r="B162" t="s">
        <v>741</v>
      </c>
      <c r="C162" t="s">
        <v>61</v>
      </c>
      <c r="D162" t="s">
        <v>62</v>
      </c>
      <c r="E162">
        <v>1000</v>
      </c>
      <c r="F162" t="s">
        <v>493</v>
      </c>
      <c r="G162" t="s">
        <v>52</v>
      </c>
      <c r="H162" t="s">
        <v>76</v>
      </c>
      <c r="I162">
        <v>0.5</v>
      </c>
      <c r="J162" t="s">
        <v>77</v>
      </c>
      <c r="K162">
        <v>2010</v>
      </c>
      <c r="L162" t="s">
        <v>732</v>
      </c>
      <c r="Q16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0.5757855780166562</v>
      </c>
      <c r="R16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0.5757855780166562</v>
      </c>
      <c r="U162" s="107" t="str">
        <f>IFERROR(_xlfn.XLOOKUP("*"&amp;TRIM(Fusion[[#This Row],[Confinement Type]])&amp;"*", Map_Conf[From], Map_Conf[To], "", 2), "")</f>
        <v>MCF</v>
      </c>
      <c r="V162" s="108" t="str" cm="1">
        <f t="array" ref="V1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3" spans="1:22" hidden="1">
      <c r="B163" t="s">
        <v>200</v>
      </c>
      <c r="C163" t="s">
        <v>61</v>
      </c>
      <c r="D163" t="s">
        <v>62</v>
      </c>
      <c r="E163">
        <v>1000</v>
      </c>
      <c r="F163" t="s">
        <v>493</v>
      </c>
      <c r="G163" t="s">
        <v>52</v>
      </c>
      <c r="H163" t="s">
        <v>76</v>
      </c>
      <c r="I163">
        <v>0.5</v>
      </c>
      <c r="J163" t="s">
        <v>77</v>
      </c>
      <c r="K163">
        <v>2010</v>
      </c>
      <c r="L163" t="s">
        <v>732</v>
      </c>
      <c r="Q16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0.5757855780166562</v>
      </c>
      <c r="R16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0.5757855780166562</v>
      </c>
      <c r="U163" s="107" t="str">
        <f>IFERROR(_xlfn.XLOOKUP("*"&amp;TRIM(Fusion[[#This Row],[Confinement Type]])&amp;"*", Map_Conf[From], Map_Conf[To], "", 2), "")</f>
        <v>MCF</v>
      </c>
      <c r="V163" s="108" t="str" cm="1">
        <f t="array" ref="V1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4" spans="1:22" hidden="1">
      <c r="B164" t="s">
        <v>735</v>
      </c>
      <c r="C164" t="s">
        <v>61</v>
      </c>
      <c r="D164" t="s">
        <v>62</v>
      </c>
      <c r="E164">
        <v>1450</v>
      </c>
      <c r="F164" t="s">
        <v>493</v>
      </c>
      <c r="G164" t="s">
        <v>52</v>
      </c>
      <c r="H164" t="s">
        <v>76</v>
      </c>
      <c r="I164">
        <v>0.5</v>
      </c>
      <c r="J164" t="s">
        <v>77</v>
      </c>
      <c r="K164">
        <v>2010</v>
      </c>
      <c r="L164" t="s">
        <v>732</v>
      </c>
      <c r="Q16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0.5757855780166562</v>
      </c>
      <c r="R16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0.5757855780166562</v>
      </c>
      <c r="U164" s="107" t="str">
        <f>IFERROR(_xlfn.XLOOKUP("*"&amp;TRIM(Fusion[[#This Row],[Confinement Type]])&amp;"*", Map_Conf[From], Map_Conf[To], "", 2), "")</f>
        <v>MCF</v>
      </c>
      <c r="V164" s="108" t="str" cm="1">
        <f t="array" ref="V1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5" spans="1:22" hidden="1">
      <c r="A165">
        <v>143</v>
      </c>
      <c r="B165" t="s">
        <v>188</v>
      </c>
      <c r="C165" t="s">
        <v>61</v>
      </c>
      <c r="D165" t="s">
        <v>62</v>
      </c>
      <c r="E165">
        <v>1000</v>
      </c>
      <c r="F165" t="s">
        <v>670</v>
      </c>
      <c r="G165" t="s">
        <v>52</v>
      </c>
      <c r="H165" t="s">
        <v>76</v>
      </c>
      <c r="I165">
        <v>0.4</v>
      </c>
      <c r="J165" t="s">
        <v>77</v>
      </c>
      <c r="K165">
        <v>1999</v>
      </c>
      <c r="L165" t="s">
        <v>1123</v>
      </c>
      <c r="M165" t="s">
        <v>190</v>
      </c>
      <c r="N165" t="s">
        <v>122</v>
      </c>
      <c r="O165" t="s">
        <v>38</v>
      </c>
      <c r="P165" t="s">
        <v>38</v>
      </c>
      <c r="Q16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0.6028979591836735</v>
      </c>
      <c r="R16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0.6028979591836735</v>
      </c>
      <c r="U165" s="107" t="str">
        <f>IFERROR(_xlfn.XLOOKUP("*"&amp;TRIM(Fusion[[#This Row],[Confinement Type]])&amp;"*", Map_Conf[From], Map_Conf[To], "", 2), "")</f>
        <v>MCF</v>
      </c>
      <c r="V165" s="108" t="str" cm="1">
        <f t="array" ref="V1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6" spans="1:22" hidden="1">
      <c r="A166">
        <v>145</v>
      </c>
      <c r="B166" t="s">
        <v>200</v>
      </c>
      <c r="C166" t="s">
        <v>61</v>
      </c>
      <c r="D166" t="s">
        <v>62</v>
      </c>
      <c r="E166">
        <v>1000</v>
      </c>
      <c r="F166" t="s">
        <v>670</v>
      </c>
      <c r="G166" t="s">
        <v>52</v>
      </c>
      <c r="H166" t="s">
        <v>76</v>
      </c>
      <c r="I166">
        <v>0.4</v>
      </c>
      <c r="J166" t="s">
        <v>77</v>
      </c>
      <c r="K166">
        <v>1999</v>
      </c>
      <c r="L166" t="s">
        <v>1123</v>
      </c>
      <c r="M166" t="s">
        <v>190</v>
      </c>
      <c r="N166" t="s">
        <v>122</v>
      </c>
      <c r="O166" t="s">
        <v>38</v>
      </c>
      <c r="P166" t="s">
        <v>38</v>
      </c>
      <c r="Q16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0.6028979591836735</v>
      </c>
      <c r="R16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0.6028979591836735</v>
      </c>
      <c r="U166" s="107" t="str">
        <f>IFERROR(_xlfn.XLOOKUP("*"&amp;TRIM(Fusion[[#This Row],[Confinement Type]])&amp;"*", Map_Conf[From], Map_Conf[To], "", 2), "")</f>
        <v>MCF</v>
      </c>
      <c r="V166" s="108" t="str" cm="1">
        <f t="array" ref="V1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7" spans="1:22" hidden="1">
      <c r="A167">
        <v>564</v>
      </c>
      <c r="B167" t="s">
        <v>506</v>
      </c>
      <c r="C167" t="s">
        <v>61</v>
      </c>
      <c r="D167" t="s">
        <v>62</v>
      </c>
      <c r="E167">
        <v>1000</v>
      </c>
      <c r="F167" t="s">
        <v>493</v>
      </c>
      <c r="G167" t="s">
        <v>57</v>
      </c>
      <c r="H167" t="s">
        <v>76</v>
      </c>
      <c r="I167">
        <v>0.6</v>
      </c>
      <c r="J167" t="s">
        <v>77</v>
      </c>
      <c r="K167">
        <v>2011</v>
      </c>
      <c r="L167" t="s">
        <v>507</v>
      </c>
      <c r="M167" t="s">
        <v>504</v>
      </c>
      <c r="N167" t="s">
        <v>38</v>
      </c>
      <c r="O167" t="s">
        <v>38</v>
      </c>
      <c r="P167" t="s">
        <v>38</v>
      </c>
      <c r="Q16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0.66980025695855328</v>
      </c>
      <c r="R16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0.66980025695855328</v>
      </c>
      <c r="U167" s="107" t="str">
        <f>IFERROR(_xlfn.XLOOKUP("*"&amp;TRIM(Fusion[[#This Row],[Confinement Type]])&amp;"*", Map_Conf[From], Map_Conf[To], "", 2), "")</f>
        <v>MCF</v>
      </c>
      <c r="V167" s="108" t="str" cm="1">
        <f t="array" ref="V1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8" spans="1:22" hidden="1">
      <c r="A168">
        <v>570</v>
      </c>
      <c r="B168" t="s">
        <v>508</v>
      </c>
      <c r="C168" t="s">
        <v>61</v>
      </c>
      <c r="D168" t="s">
        <v>62</v>
      </c>
      <c r="E168">
        <v>1000</v>
      </c>
      <c r="F168" t="s">
        <v>493</v>
      </c>
      <c r="G168" t="s">
        <v>57</v>
      </c>
      <c r="H168" t="s">
        <v>76</v>
      </c>
      <c r="I168">
        <v>0.6</v>
      </c>
      <c r="J168" t="s">
        <v>77</v>
      </c>
      <c r="K168">
        <v>2011</v>
      </c>
      <c r="L168" t="s">
        <v>507</v>
      </c>
      <c r="M168" t="s">
        <v>504</v>
      </c>
      <c r="N168" t="s">
        <v>38</v>
      </c>
      <c r="O168" t="s">
        <v>38</v>
      </c>
      <c r="P168" t="s">
        <v>38</v>
      </c>
      <c r="Q16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0.66980025695855328</v>
      </c>
      <c r="R16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0.66980025695855328</v>
      </c>
      <c r="U168" s="107" t="str">
        <f>IFERROR(_xlfn.XLOOKUP("*"&amp;TRIM(Fusion[[#This Row],[Confinement Type]])&amp;"*", Map_Conf[From], Map_Conf[To], "", 2), "")</f>
        <v>MCF</v>
      </c>
      <c r="V168" s="108" t="str" cm="1">
        <f t="array" ref="V1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9" spans="1:22" hidden="1">
      <c r="A169">
        <v>577</v>
      </c>
      <c r="B169" t="s">
        <v>513</v>
      </c>
      <c r="C169" t="s">
        <v>61</v>
      </c>
      <c r="D169" t="s">
        <v>62</v>
      </c>
      <c r="E169">
        <v>1000</v>
      </c>
      <c r="F169" t="s">
        <v>493</v>
      </c>
      <c r="G169" t="s">
        <v>57</v>
      </c>
      <c r="H169" t="s">
        <v>76</v>
      </c>
      <c r="I169">
        <v>0.6</v>
      </c>
      <c r="J169" t="s">
        <v>77</v>
      </c>
      <c r="K169">
        <v>2011</v>
      </c>
      <c r="L169" t="s">
        <v>507</v>
      </c>
      <c r="M169" t="s">
        <v>504</v>
      </c>
      <c r="N169" t="s">
        <v>38</v>
      </c>
      <c r="O169" t="s">
        <v>38</v>
      </c>
      <c r="P169" t="s">
        <v>38</v>
      </c>
      <c r="Q16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0.66980025695855328</v>
      </c>
      <c r="R16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0.66980025695855328</v>
      </c>
      <c r="U169" s="107" t="str">
        <f>IFERROR(_xlfn.XLOOKUP("*"&amp;TRIM(Fusion[[#This Row],[Confinement Type]])&amp;"*", Map_Conf[From], Map_Conf[To], "", 2), "")</f>
        <v>MCF</v>
      </c>
      <c r="V169" s="108" t="str" cm="1">
        <f t="array" ref="V1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0" spans="1:22" hidden="1">
      <c r="A170">
        <v>589</v>
      </c>
      <c r="B170" t="s">
        <v>515</v>
      </c>
      <c r="C170" t="s">
        <v>61</v>
      </c>
      <c r="D170" t="s">
        <v>278</v>
      </c>
      <c r="E170">
        <v>1000</v>
      </c>
      <c r="F170" t="s">
        <v>493</v>
      </c>
      <c r="G170" t="s">
        <v>57</v>
      </c>
      <c r="H170" t="s">
        <v>76</v>
      </c>
      <c r="I170">
        <v>0.6</v>
      </c>
      <c r="J170" t="s">
        <v>77</v>
      </c>
      <c r="K170">
        <v>2009</v>
      </c>
      <c r="L170" t="s">
        <v>507</v>
      </c>
      <c r="M170" t="s">
        <v>504</v>
      </c>
      <c r="N170" t="s">
        <v>38</v>
      </c>
      <c r="O170" t="s">
        <v>38</v>
      </c>
      <c r="P170" t="s">
        <v>38</v>
      </c>
      <c r="Q17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0.70227606426863431</v>
      </c>
      <c r="R17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0.70227606426863431</v>
      </c>
      <c r="U170" s="107" t="str">
        <f>IFERROR(_xlfn.XLOOKUP("*"&amp;TRIM(Fusion[[#This Row],[Confinement Type]])&amp;"*", Map_Conf[From], Map_Conf[To], "", 2), "")</f>
        <v>MCF</v>
      </c>
      <c r="V170" s="108" t="str" cm="1">
        <f t="array" ref="V1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171" spans="1:22" hidden="1">
      <c r="A171">
        <v>511</v>
      </c>
      <c r="B171" t="s">
        <v>469</v>
      </c>
      <c r="C171" t="s">
        <v>470</v>
      </c>
      <c r="D171" t="s">
        <v>471</v>
      </c>
      <c r="E171">
        <v>150</v>
      </c>
      <c r="F171" t="s">
        <v>63</v>
      </c>
      <c r="G171" t="s">
        <v>52</v>
      </c>
      <c r="H171" t="s">
        <v>76</v>
      </c>
      <c r="I171">
        <v>109570</v>
      </c>
      <c r="J171" t="s">
        <v>484</v>
      </c>
      <c r="K171">
        <v>2016</v>
      </c>
      <c r="L171" t="s">
        <v>472</v>
      </c>
      <c r="M171" t="s">
        <v>485</v>
      </c>
      <c r="N171" t="s">
        <v>38</v>
      </c>
      <c r="O171" t="s">
        <v>38</v>
      </c>
      <c r="P171" t="s">
        <v>38</v>
      </c>
      <c r="Q17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0.76424976465964189</v>
      </c>
      <c r="R17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0.76424976465964189</v>
      </c>
      <c r="U171" s="107" t="str">
        <f>IFERROR(_xlfn.XLOOKUP("*"&amp;TRIM(Fusion[[#This Row],[Confinement Type]])&amp;"*", Map_Conf[From], Map_Conf[To], "", 2), "")</f>
        <v>MIF</v>
      </c>
      <c r="V171" s="108" t="str" cm="1">
        <f t="array" ref="V1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172" spans="1:22" hidden="1">
      <c r="A172">
        <v>552</v>
      </c>
      <c r="B172" t="s">
        <v>497</v>
      </c>
      <c r="C172" t="s">
        <v>61</v>
      </c>
      <c r="D172" t="s">
        <v>62</v>
      </c>
      <c r="E172">
        <v>1000</v>
      </c>
      <c r="F172" t="s">
        <v>493</v>
      </c>
      <c r="G172" t="s">
        <v>57</v>
      </c>
      <c r="H172" t="s">
        <v>76</v>
      </c>
      <c r="I172">
        <v>0.6</v>
      </c>
      <c r="J172" t="s">
        <v>77</v>
      </c>
      <c r="K172">
        <v>2003</v>
      </c>
      <c r="L172" t="s">
        <v>503</v>
      </c>
      <c r="M172" t="s">
        <v>504</v>
      </c>
      <c r="N172" t="s">
        <v>122</v>
      </c>
      <c r="O172" t="s">
        <v>38</v>
      </c>
      <c r="P172" t="s">
        <v>38</v>
      </c>
      <c r="Q17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0.81882717391304349</v>
      </c>
      <c r="R17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0.81882717391304349</v>
      </c>
      <c r="U172" s="107" t="str">
        <f>IFERROR(_xlfn.XLOOKUP("*"&amp;TRIM(Fusion[[#This Row],[Confinement Type]])&amp;"*", Map_Conf[From], Map_Conf[To], "", 2), "")</f>
        <v>MCF</v>
      </c>
      <c r="V172" s="108" t="str" cm="1">
        <f t="array" ref="V1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3" spans="1:22" hidden="1">
      <c r="A173">
        <v>553</v>
      </c>
      <c r="B173" t="s">
        <v>505</v>
      </c>
      <c r="C173" t="s">
        <v>61</v>
      </c>
      <c r="D173" t="s">
        <v>107</v>
      </c>
      <c r="E173">
        <v>1000</v>
      </c>
      <c r="F173" t="s">
        <v>493</v>
      </c>
      <c r="G173" t="s">
        <v>57</v>
      </c>
      <c r="H173" t="s">
        <v>76</v>
      </c>
      <c r="I173">
        <v>0.6</v>
      </c>
      <c r="J173" t="s">
        <v>77</v>
      </c>
      <c r="K173">
        <v>2003</v>
      </c>
      <c r="L173" t="s">
        <v>503</v>
      </c>
      <c r="M173" t="s">
        <v>504</v>
      </c>
      <c r="N173" t="s">
        <v>122</v>
      </c>
      <c r="O173" t="s">
        <v>38</v>
      </c>
      <c r="P173" t="s">
        <v>38</v>
      </c>
      <c r="Q17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0.81882717391304349</v>
      </c>
      <c r="R17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0.81882717391304349</v>
      </c>
      <c r="U173" s="107" t="str">
        <f>IFERROR(_xlfn.XLOOKUP("*"&amp;TRIM(Fusion[[#This Row],[Confinement Type]])&amp;"*", Map_Conf[From], Map_Conf[To], "", 2), "")</f>
        <v>MCF</v>
      </c>
      <c r="V173" s="108" t="str" cm="1">
        <f t="array" ref="V1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4" spans="1:22" hidden="1">
      <c r="A174">
        <v>554</v>
      </c>
      <c r="B174" t="s">
        <v>501</v>
      </c>
      <c r="C174" t="s">
        <v>61</v>
      </c>
      <c r="D174" t="s">
        <v>278</v>
      </c>
      <c r="E174">
        <v>1000</v>
      </c>
      <c r="F174" t="s">
        <v>493</v>
      </c>
      <c r="G174" t="s">
        <v>57</v>
      </c>
      <c r="H174" t="s">
        <v>76</v>
      </c>
      <c r="I174">
        <v>0.6</v>
      </c>
      <c r="J174" t="s">
        <v>77</v>
      </c>
      <c r="K174">
        <v>2003</v>
      </c>
      <c r="L174" t="s">
        <v>503</v>
      </c>
      <c r="M174" t="s">
        <v>504</v>
      </c>
      <c r="N174" t="s">
        <v>122</v>
      </c>
      <c r="O174" t="s">
        <v>38</v>
      </c>
      <c r="P174" t="s">
        <v>38</v>
      </c>
      <c r="Q17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0.81882717391304349</v>
      </c>
      <c r="R17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0.81882717391304349</v>
      </c>
      <c r="U174" s="107" t="str">
        <f>IFERROR(_xlfn.XLOOKUP("*"&amp;TRIM(Fusion[[#This Row],[Confinement Type]])&amp;"*", Map_Conf[From], Map_Conf[To], "", 2), "")</f>
        <v>MCF</v>
      </c>
      <c r="V174" s="108" t="str" cm="1">
        <f t="array" ref="V1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175" spans="1:22" hidden="1">
      <c r="A175">
        <v>180</v>
      </c>
      <c r="B175" t="s">
        <v>222</v>
      </c>
      <c r="C175" t="s">
        <v>61</v>
      </c>
      <c r="D175" t="s">
        <v>62</v>
      </c>
      <c r="E175">
        <v>953</v>
      </c>
      <c r="F175" t="s">
        <v>493</v>
      </c>
      <c r="G175" t="s">
        <v>32</v>
      </c>
      <c r="H175" t="s">
        <v>76</v>
      </c>
      <c r="I175">
        <v>0.78</v>
      </c>
      <c r="J175" t="s">
        <v>77</v>
      </c>
      <c r="K175">
        <v>2015</v>
      </c>
      <c r="L175" t="s">
        <v>223</v>
      </c>
      <c r="N175" t="s">
        <v>38</v>
      </c>
      <c r="O175" t="s">
        <v>38</v>
      </c>
      <c r="P175" t="s">
        <v>38</v>
      </c>
      <c r="Q17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0.82636882586481142</v>
      </c>
      <c r="R17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0.82636882586481142</v>
      </c>
      <c r="U175" s="107" t="str">
        <f>IFERROR(_xlfn.XLOOKUP("*"&amp;TRIM(Fusion[[#This Row],[Confinement Type]])&amp;"*", Map_Conf[From], Map_Conf[To], "", 2), "")</f>
        <v>MCF</v>
      </c>
      <c r="V175" s="108" t="str" cm="1">
        <f t="array" ref="V1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6" spans="1:22" hidden="1">
      <c r="A176">
        <v>249</v>
      </c>
      <c r="B176" t="s">
        <v>281</v>
      </c>
      <c r="C176" t="s">
        <v>61</v>
      </c>
      <c r="D176" t="s">
        <v>278</v>
      </c>
      <c r="E176">
        <v>1940</v>
      </c>
      <c r="F176" t="s">
        <v>493</v>
      </c>
      <c r="G176" t="s">
        <v>57</v>
      </c>
      <c r="H176" t="s">
        <v>76</v>
      </c>
      <c r="I176">
        <v>0.61199999999999999</v>
      </c>
      <c r="J176" t="s">
        <v>77</v>
      </c>
      <c r="K176">
        <v>2003</v>
      </c>
      <c r="L176" t="s">
        <v>279</v>
      </c>
      <c r="N176" t="s">
        <v>38</v>
      </c>
      <c r="O176" t="s">
        <v>38</v>
      </c>
      <c r="P176" t="s">
        <v>38</v>
      </c>
      <c r="Q17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0.83520371739130439</v>
      </c>
      <c r="R17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0.83520371739130439</v>
      </c>
      <c r="U176" s="107" t="str">
        <f>IFERROR(_xlfn.XLOOKUP("*"&amp;TRIM(Fusion[[#This Row],[Confinement Type]])&amp;"*", Map_Conf[From], Map_Conf[To], "", 2), "")</f>
        <v>MCF</v>
      </c>
      <c r="V176" s="108" t="str" cm="1">
        <f t="array" ref="V1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177" spans="1:22" hidden="1">
      <c r="A177">
        <v>285</v>
      </c>
      <c r="B177" t="s">
        <v>126</v>
      </c>
      <c r="C177" t="s">
        <v>61</v>
      </c>
      <c r="D177" t="s">
        <v>62</v>
      </c>
      <c r="E177">
        <v>1000</v>
      </c>
      <c r="F177" t="s">
        <v>493</v>
      </c>
      <c r="G177" t="s">
        <v>52</v>
      </c>
      <c r="H177" t="s">
        <v>76</v>
      </c>
      <c r="I177">
        <v>0.5</v>
      </c>
      <c r="J177" t="s">
        <v>77</v>
      </c>
      <c r="K177">
        <v>1992</v>
      </c>
      <c r="L177" t="s">
        <v>294</v>
      </c>
      <c r="N177" t="s">
        <v>38</v>
      </c>
      <c r="O177" t="s">
        <v>38</v>
      </c>
      <c r="P177" t="s">
        <v>38</v>
      </c>
      <c r="Q17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0.89489308624376329</v>
      </c>
      <c r="R17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0.89489308624376329</v>
      </c>
      <c r="U177" s="107" t="str">
        <f>IFERROR(_xlfn.XLOOKUP("*"&amp;TRIM(Fusion[[#This Row],[Confinement Type]])&amp;"*", Map_Conf[From], Map_Conf[To], "", 2), "")</f>
        <v>MCF</v>
      </c>
      <c r="V177" s="108" t="str" cm="1">
        <f t="array" ref="V1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8" spans="1:22" hidden="1">
      <c r="A178">
        <v>288</v>
      </c>
      <c r="B178" t="s">
        <v>301</v>
      </c>
      <c r="C178" t="s">
        <v>61</v>
      </c>
      <c r="D178" t="s">
        <v>62</v>
      </c>
      <c r="E178">
        <v>1000</v>
      </c>
      <c r="F178" t="s">
        <v>75</v>
      </c>
      <c r="G178" t="s">
        <v>52</v>
      </c>
      <c r="H178" t="s">
        <v>76</v>
      </c>
      <c r="I178">
        <v>0.5</v>
      </c>
      <c r="J178" t="s">
        <v>77</v>
      </c>
      <c r="K178">
        <v>1992</v>
      </c>
      <c r="L178" t="s">
        <v>294</v>
      </c>
      <c r="N178" t="s">
        <v>38</v>
      </c>
      <c r="O178" t="s">
        <v>38</v>
      </c>
      <c r="P178" t="s">
        <v>38</v>
      </c>
      <c r="Q17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0.89489308624376329</v>
      </c>
      <c r="R17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0.89489308624376329</v>
      </c>
      <c r="U178" s="107" t="str">
        <f>IFERROR(_xlfn.XLOOKUP("*"&amp;TRIM(Fusion[[#This Row],[Confinement Type]])&amp;"*", Map_Conf[From], Map_Conf[To], "", 2), "")</f>
        <v>MCF</v>
      </c>
      <c r="V178" s="108" t="str" cm="1">
        <f t="array" ref="V1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9" spans="1:22" hidden="1">
      <c r="A179">
        <v>82</v>
      </c>
      <c r="B179" t="s">
        <v>144</v>
      </c>
      <c r="C179" t="s">
        <v>61</v>
      </c>
      <c r="D179" t="s">
        <v>62</v>
      </c>
      <c r="E179">
        <v>1200</v>
      </c>
      <c r="F179" t="s">
        <v>493</v>
      </c>
      <c r="G179" t="s">
        <v>52</v>
      </c>
      <c r="H179" t="s">
        <v>76</v>
      </c>
      <c r="I179">
        <v>0.5</v>
      </c>
      <c r="J179" t="s">
        <v>77</v>
      </c>
      <c r="K179">
        <v>1990</v>
      </c>
      <c r="L179" t="s">
        <v>140</v>
      </c>
      <c r="M179" t="s">
        <v>704</v>
      </c>
      <c r="N179" t="s">
        <v>122</v>
      </c>
      <c r="O179" t="s">
        <v>38</v>
      </c>
      <c r="P179" t="s">
        <v>38</v>
      </c>
      <c r="Q17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0.96062356541698557</v>
      </c>
      <c r="R17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0.96062356541698557</v>
      </c>
      <c r="U179" s="107" t="str">
        <f>IFERROR(_xlfn.XLOOKUP("*"&amp;TRIM(Fusion[[#This Row],[Confinement Type]])&amp;"*", Map_Conf[From], Map_Conf[To], "", 2), "")</f>
        <v>MCF</v>
      </c>
      <c r="V179" s="108" t="str" cm="1">
        <f t="array" ref="V1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0" spans="1:22" hidden="1">
      <c r="A180">
        <v>83</v>
      </c>
      <c r="B180" t="s">
        <v>114</v>
      </c>
      <c r="C180" t="s">
        <v>61</v>
      </c>
      <c r="D180" t="s">
        <v>62</v>
      </c>
      <c r="E180">
        <v>1200</v>
      </c>
      <c r="F180" t="s">
        <v>493</v>
      </c>
      <c r="G180" t="s">
        <v>52</v>
      </c>
      <c r="H180" t="s">
        <v>76</v>
      </c>
      <c r="I180">
        <v>0.5</v>
      </c>
      <c r="J180" t="s">
        <v>77</v>
      </c>
      <c r="K180">
        <v>1990</v>
      </c>
      <c r="L180" t="s">
        <v>140</v>
      </c>
      <c r="M180" t="s">
        <v>704</v>
      </c>
      <c r="N180" t="s">
        <v>122</v>
      </c>
      <c r="O180" t="s">
        <v>38</v>
      </c>
      <c r="P180" t="s">
        <v>38</v>
      </c>
      <c r="Q18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0.96062356541698557</v>
      </c>
      <c r="R18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0.96062356541698557</v>
      </c>
      <c r="U180" s="107" t="str">
        <f>IFERROR(_xlfn.XLOOKUP("*"&amp;TRIM(Fusion[[#This Row],[Confinement Type]])&amp;"*", Map_Conf[From], Map_Conf[To], "", 2), "")</f>
        <v>MCF</v>
      </c>
      <c r="V180" s="108" t="str" cm="1">
        <f t="array" ref="V1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1" spans="1:22" hidden="1">
      <c r="A181">
        <v>94</v>
      </c>
      <c r="B181" t="s">
        <v>146</v>
      </c>
      <c r="C181" t="s">
        <v>61</v>
      </c>
      <c r="D181" t="s">
        <v>62</v>
      </c>
      <c r="E181">
        <v>1200</v>
      </c>
      <c r="F181" t="s">
        <v>670</v>
      </c>
      <c r="G181" t="s">
        <v>52</v>
      </c>
      <c r="H181" t="s">
        <v>76</v>
      </c>
      <c r="I181">
        <v>0.44</v>
      </c>
      <c r="J181" t="s">
        <v>77</v>
      </c>
      <c r="K181">
        <v>1986</v>
      </c>
      <c r="L181" t="s">
        <v>147</v>
      </c>
      <c r="M181" t="s">
        <v>162</v>
      </c>
      <c r="N181" t="s">
        <v>122</v>
      </c>
      <c r="O181" t="s">
        <v>38</v>
      </c>
      <c r="P181" t="s">
        <v>38</v>
      </c>
      <c r="Q18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1.0080937956204381</v>
      </c>
      <c r="R18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1.0080937956204381</v>
      </c>
      <c r="U181" s="107" t="str">
        <f>IFERROR(_xlfn.XLOOKUP("*"&amp;TRIM(Fusion[[#This Row],[Confinement Type]])&amp;"*", Map_Conf[From], Map_Conf[To], "", 2), "")</f>
        <v>MCF</v>
      </c>
      <c r="V181" s="108" t="str" cm="1">
        <f t="array" ref="V1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2" spans="1:22" hidden="1">
      <c r="A182">
        <v>49</v>
      </c>
      <c r="B182" t="s">
        <v>114</v>
      </c>
      <c r="C182" t="s">
        <v>61</v>
      </c>
      <c r="D182" t="s">
        <v>62</v>
      </c>
      <c r="E182">
        <v>1000</v>
      </c>
      <c r="F182" t="s">
        <v>493</v>
      </c>
      <c r="G182" t="s">
        <v>52</v>
      </c>
      <c r="H182" t="s">
        <v>33</v>
      </c>
      <c r="I182">
        <v>500000</v>
      </c>
      <c r="J182" t="s">
        <v>34</v>
      </c>
      <c r="K182">
        <v>1988</v>
      </c>
      <c r="L182" t="s">
        <v>120</v>
      </c>
      <c r="N182" t="s">
        <v>122</v>
      </c>
      <c r="O182" t="s">
        <v>122</v>
      </c>
      <c r="P182" t="s">
        <v>38</v>
      </c>
      <c r="Q18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1.0613144547759932</v>
      </c>
      <c r="R18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1.0613144547759932</v>
      </c>
      <c r="U182" s="107" t="str">
        <f>IFERROR(_xlfn.XLOOKUP("*"&amp;TRIM(Fusion[[#This Row],[Confinement Type]])&amp;"*", Map_Conf[From], Map_Conf[To], "", 2), "")</f>
        <v>MCF</v>
      </c>
      <c r="V182" s="108" t="str" cm="1">
        <f t="array" ref="V1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3" spans="1:22" hidden="1">
      <c r="A183">
        <v>50</v>
      </c>
      <c r="B183" t="s">
        <v>124</v>
      </c>
      <c r="C183" t="s">
        <v>30</v>
      </c>
      <c r="D183" t="s">
        <v>796</v>
      </c>
      <c r="E183">
        <v>1010</v>
      </c>
      <c r="F183" t="s">
        <v>493</v>
      </c>
      <c r="G183" t="s">
        <v>52</v>
      </c>
      <c r="H183" t="s">
        <v>76</v>
      </c>
      <c r="I183">
        <v>0.5</v>
      </c>
      <c r="J183" t="s">
        <v>77</v>
      </c>
      <c r="K183">
        <v>1988</v>
      </c>
      <c r="L183" t="s">
        <v>120</v>
      </c>
      <c r="N183" t="s">
        <v>122</v>
      </c>
      <c r="O183" t="s">
        <v>122</v>
      </c>
      <c r="P183" t="s">
        <v>38</v>
      </c>
      <c r="Q18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1.0613144547759932</v>
      </c>
      <c r="R18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1.0613144547759932</v>
      </c>
      <c r="U183" s="107" t="str">
        <f>IFERROR(_xlfn.XLOOKUP("*"&amp;TRIM(Fusion[[#This Row],[Confinement Type]])&amp;"*", Map_Conf[From], Map_Conf[To], "", 2), "")</f>
        <v>ICF</v>
      </c>
      <c r="V183" s="108" t="str" cm="1">
        <f t="array" ref="V1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184" spans="1:22" hidden="1">
      <c r="A184">
        <v>51</v>
      </c>
      <c r="B184" t="s">
        <v>125</v>
      </c>
      <c r="C184" t="s">
        <v>30</v>
      </c>
      <c r="D184" t="s">
        <v>796</v>
      </c>
      <c r="E184">
        <v>815</v>
      </c>
      <c r="F184" t="s">
        <v>493</v>
      </c>
      <c r="G184" t="s">
        <v>52</v>
      </c>
      <c r="H184" t="s">
        <v>76</v>
      </c>
      <c r="I184">
        <v>0.5</v>
      </c>
      <c r="J184" t="s">
        <v>77</v>
      </c>
      <c r="K184">
        <v>1988</v>
      </c>
      <c r="L184" t="s">
        <v>120</v>
      </c>
      <c r="N184" t="s">
        <v>122</v>
      </c>
      <c r="O184" t="s">
        <v>122</v>
      </c>
      <c r="P184" t="s">
        <v>38</v>
      </c>
      <c r="Q18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1.0613144547759932</v>
      </c>
      <c r="R18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1.0613144547759932</v>
      </c>
      <c r="U184" s="107" t="str">
        <f>IFERROR(_xlfn.XLOOKUP("*"&amp;TRIM(Fusion[[#This Row],[Confinement Type]])&amp;"*", Map_Conf[From], Map_Conf[To], "", 2), "")</f>
        <v>ICF</v>
      </c>
      <c r="V184" s="108" t="str" cm="1">
        <f t="array" ref="V1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185" spans="1:22" hidden="1">
      <c r="A185">
        <v>52</v>
      </c>
      <c r="B185" t="s">
        <v>126</v>
      </c>
      <c r="C185" t="s">
        <v>61</v>
      </c>
      <c r="D185" t="s">
        <v>62</v>
      </c>
      <c r="E185">
        <v>1000</v>
      </c>
      <c r="F185" t="s">
        <v>493</v>
      </c>
      <c r="G185" t="s">
        <v>52</v>
      </c>
      <c r="H185" t="s">
        <v>33</v>
      </c>
      <c r="I185">
        <v>500000</v>
      </c>
      <c r="J185" t="s">
        <v>34</v>
      </c>
      <c r="K185">
        <v>1988</v>
      </c>
      <c r="L185" t="s">
        <v>120</v>
      </c>
      <c r="N185" t="s">
        <v>122</v>
      </c>
      <c r="O185" t="s">
        <v>122</v>
      </c>
      <c r="P185" t="s">
        <v>38</v>
      </c>
      <c r="Q18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1.0613144547759932</v>
      </c>
      <c r="R18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1.0613144547759932</v>
      </c>
      <c r="U185" s="107" t="str">
        <f>IFERROR(_xlfn.XLOOKUP("*"&amp;TRIM(Fusion[[#This Row],[Confinement Type]])&amp;"*", Map_Conf[From], Map_Conf[To], "", 2), "")</f>
        <v>MCF</v>
      </c>
      <c r="V185" s="108" t="str" cm="1">
        <f t="array" ref="V1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6" spans="1:22" hidden="1">
      <c r="A186">
        <v>36</v>
      </c>
      <c r="B186" t="s">
        <v>114</v>
      </c>
      <c r="C186" t="s">
        <v>61</v>
      </c>
      <c r="D186" t="s">
        <v>62</v>
      </c>
      <c r="E186">
        <v>1000</v>
      </c>
      <c r="F186" t="s">
        <v>493</v>
      </c>
      <c r="G186" t="s">
        <v>52</v>
      </c>
      <c r="H186" t="s">
        <v>76</v>
      </c>
      <c r="I186">
        <v>0.5</v>
      </c>
      <c r="J186" t="s">
        <v>77</v>
      </c>
      <c r="K186">
        <v>1988</v>
      </c>
      <c r="L186" t="s">
        <v>597</v>
      </c>
      <c r="N186" t="s">
        <v>38</v>
      </c>
      <c r="O186" t="s">
        <v>38</v>
      </c>
      <c r="P186" t="s">
        <v>38</v>
      </c>
      <c r="Q18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1.0613144547759932</v>
      </c>
      <c r="R18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1.0613144547759932</v>
      </c>
      <c r="U186" s="107" t="str">
        <f>IFERROR(_xlfn.XLOOKUP("*"&amp;TRIM(Fusion[[#This Row],[Confinement Type]])&amp;"*", Map_Conf[From], Map_Conf[To], "", 2), "")</f>
        <v>MCF</v>
      </c>
      <c r="V186" s="108" t="str" cm="1">
        <f t="array" ref="V1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7" spans="1:22" hidden="1">
      <c r="A187">
        <v>53</v>
      </c>
      <c r="B187" t="s">
        <v>112</v>
      </c>
      <c r="C187" t="s">
        <v>61</v>
      </c>
      <c r="D187" t="s">
        <v>113</v>
      </c>
      <c r="E187">
        <v>970</v>
      </c>
      <c r="F187" t="s">
        <v>493</v>
      </c>
      <c r="G187" t="s">
        <v>52</v>
      </c>
      <c r="H187" t="s">
        <v>33</v>
      </c>
      <c r="I187">
        <v>500000</v>
      </c>
      <c r="J187" t="s">
        <v>34</v>
      </c>
      <c r="K187">
        <v>1988</v>
      </c>
      <c r="L187" t="s">
        <v>120</v>
      </c>
      <c r="N187" t="s">
        <v>122</v>
      </c>
      <c r="O187" t="s">
        <v>122</v>
      </c>
      <c r="P187" t="s">
        <v>38</v>
      </c>
      <c r="Q18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1.0941386131711268</v>
      </c>
      <c r="R18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1.0941386131711268</v>
      </c>
      <c r="U187" s="107" t="str">
        <f>IFERROR(_xlfn.XLOOKUP("*"&amp;TRIM(Fusion[[#This Row],[Confinement Type]])&amp;"*", Map_Conf[From], Map_Conf[To], "", 2), "")</f>
        <v>MCF</v>
      </c>
      <c r="V187" s="108" t="str" cm="1">
        <f t="array" ref="V1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188" spans="1:22" hidden="1">
      <c r="A188">
        <v>219</v>
      </c>
      <c r="B188" t="s">
        <v>261</v>
      </c>
      <c r="C188" t="s">
        <v>61</v>
      </c>
      <c r="D188" t="s">
        <v>62</v>
      </c>
      <c r="E188">
        <v>1420</v>
      </c>
      <c r="F188" t="s">
        <v>493</v>
      </c>
      <c r="G188" t="s">
        <v>57</v>
      </c>
      <c r="H188" t="s">
        <v>76</v>
      </c>
      <c r="I188">
        <v>1</v>
      </c>
      <c r="J188" t="s">
        <v>77</v>
      </c>
      <c r="K188">
        <v>2010</v>
      </c>
      <c r="L188" t="s">
        <v>262</v>
      </c>
      <c r="N188" t="s">
        <v>38</v>
      </c>
      <c r="O188" t="s">
        <v>38</v>
      </c>
      <c r="P188" t="s">
        <v>38</v>
      </c>
      <c r="Q18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1.1515711560333124</v>
      </c>
      <c r="R18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1.1515711560333124</v>
      </c>
      <c r="U188" s="107" t="str">
        <f>IFERROR(_xlfn.XLOOKUP("*"&amp;TRIM(Fusion[[#This Row],[Confinement Type]])&amp;"*", Map_Conf[From], Map_Conf[To], "", 2), "")</f>
        <v>MCF</v>
      </c>
      <c r="V188" s="108" t="str" cm="1">
        <f t="array" ref="V1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9" spans="1:22" hidden="1">
      <c r="A189">
        <v>220</v>
      </c>
      <c r="B189" t="s">
        <v>261</v>
      </c>
      <c r="C189" t="s">
        <v>61</v>
      </c>
      <c r="D189" t="s">
        <v>62</v>
      </c>
      <c r="E189">
        <v>1600</v>
      </c>
      <c r="F189" t="s">
        <v>493</v>
      </c>
      <c r="G189" t="s">
        <v>57</v>
      </c>
      <c r="H189" t="s">
        <v>76</v>
      </c>
      <c r="I189">
        <v>1</v>
      </c>
      <c r="J189" t="s">
        <v>77</v>
      </c>
      <c r="K189">
        <v>2010</v>
      </c>
      <c r="L189" t="s">
        <v>262</v>
      </c>
      <c r="N189" t="s">
        <v>38</v>
      </c>
      <c r="O189" t="s">
        <v>38</v>
      </c>
      <c r="P189" t="s">
        <v>38</v>
      </c>
      <c r="Q18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1.1515711560333124</v>
      </c>
      <c r="R18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1.1515711560333124</v>
      </c>
      <c r="U189" s="107" t="str">
        <f>IFERROR(_xlfn.XLOOKUP("*"&amp;TRIM(Fusion[[#This Row],[Confinement Type]])&amp;"*", Map_Conf[From], Map_Conf[To], "", 2), "")</f>
        <v>MCF</v>
      </c>
      <c r="V189" s="108" t="str" cm="1">
        <f t="array" ref="V1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0" spans="1:22" hidden="1">
      <c r="A190">
        <v>221</v>
      </c>
      <c r="B190" t="s">
        <v>264</v>
      </c>
      <c r="C190" t="s">
        <v>61</v>
      </c>
      <c r="D190" t="s">
        <v>62</v>
      </c>
      <c r="E190">
        <v>1000</v>
      </c>
      <c r="F190" t="s">
        <v>493</v>
      </c>
      <c r="G190" t="s">
        <v>57</v>
      </c>
      <c r="H190" t="s">
        <v>76</v>
      </c>
      <c r="I190">
        <v>1</v>
      </c>
      <c r="J190" t="s">
        <v>77</v>
      </c>
      <c r="K190">
        <v>2010</v>
      </c>
      <c r="L190" t="s">
        <v>262</v>
      </c>
      <c r="N190" t="s">
        <v>38</v>
      </c>
      <c r="O190" t="s">
        <v>38</v>
      </c>
      <c r="P190" t="s">
        <v>38</v>
      </c>
      <c r="Q19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1.1515711560333124</v>
      </c>
      <c r="R19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1.1515711560333124</v>
      </c>
      <c r="U190" s="107" t="str">
        <f>IFERROR(_xlfn.XLOOKUP("*"&amp;TRIM(Fusion[[#This Row],[Confinement Type]])&amp;"*", Map_Conf[From], Map_Conf[To], "", 2), "")</f>
        <v>MCF</v>
      </c>
      <c r="V190" s="108" t="str" cm="1">
        <f t="array" ref="V1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1" spans="1:22" hidden="1">
      <c r="A191">
        <v>222</v>
      </c>
      <c r="B191" t="s">
        <v>265</v>
      </c>
      <c r="C191" t="s">
        <v>61</v>
      </c>
      <c r="D191" t="s">
        <v>62</v>
      </c>
      <c r="E191">
        <v>1600</v>
      </c>
      <c r="F191" t="s">
        <v>493</v>
      </c>
      <c r="G191" t="s">
        <v>57</v>
      </c>
      <c r="H191" t="s">
        <v>76</v>
      </c>
      <c r="I191">
        <v>1</v>
      </c>
      <c r="J191" t="s">
        <v>77</v>
      </c>
      <c r="K191">
        <v>2010</v>
      </c>
      <c r="L191" t="s">
        <v>262</v>
      </c>
      <c r="N191" t="s">
        <v>38</v>
      </c>
      <c r="O191" t="s">
        <v>38</v>
      </c>
      <c r="P191" t="s">
        <v>38</v>
      </c>
      <c r="Q19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1.1515711560333124</v>
      </c>
      <c r="R19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1.1515711560333124</v>
      </c>
      <c r="U191" s="107" t="str">
        <f>IFERROR(_xlfn.XLOOKUP("*"&amp;TRIM(Fusion[[#This Row],[Confinement Type]])&amp;"*", Map_Conf[From], Map_Conf[To], "", 2), "")</f>
        <v>MCF</v>
      </c>
      <c r="V191" s="108" t="str" cm="1">
        <f t="array" ref="V1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2" spans="1:22" hidden="1">
      <c r="A192">
        <v>223</v>
      </c>
      <c r="B192" t="s">
        <v>686</v>
      </c>
      <c r="C192" t="s">
        <v>61</v>
      </c>
      <c r="D192" t="s">
        <v>62</v>
      </c>
      <c r="E192">
        <v>1000</v>
      </c>
      <c r="F192" t="s">
        <v>493</v>
      </c>
      <c r="G192" t="s">
        <v>57</v>
      </c>
      <c r="H192" t="s">
        <v>76</v>
      </c>
      <c r="I192">
        <v>1</v>
      </c>
      <c r="J192" t="s">
        <v>77</v>
      </c>
      <c r="K192">
        <v>2010</v>
      </c>
      <c r="L192" t="s">
        <v>262</v>
      </c>
      <c r="N192" t="s">
        <v>38</v>
      </c>
      <c r="O192" t="s">
        <v>38</v>
      </c>
      <c r="P192" t="s">
        <v>38</v>
      </c>
      <c r="Q19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1.1515711560333124</v>
      </c>
      <c r="R19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1.1515711560333124</v>
      </c>
      <c r="U192" s="107" t="str">
        <f>IFERROR(_xlfn.XLOOKUP("*"&amp;TRIM(Fusion[[#This Row],[Confinement Type]])&amp;"*", Map_Conf[From], Map_Conf[To], "", 2), "")</f>
        <v>MCF</v>
      </c>
      <c r="V192" s="108" t="str" cm="1">
        <f t="array" ref="V1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3" spans="1:22" hidden="1">
      <c r="A193">
        <v>224</v>
      </c>
      <c r="B193" t="s">
        <v>687</v>
      </c>
      <c r="C193" t="s">
        <v>61</v>
      </c>
      <c r="D193" t="s">
        <v>62</v>
      </c>
      <c r="E193">
        <v>1420</v>
      </c>
      <c r="F193" t="s">
        <v>493</v>
      </c>
      <c r="G193" t="s">
        <v>57</v>
      </c>
      <c r="H193" t="s">
        <v>76</v>
      </c>
      <c r="I193">
        <v>1</v>
      </c>
      <c r="J193" t="s">
        <v>77</v>
      </c>
      <c r="K193">
        <v>2010</v>
      </c>
      <c r="L193" t="s">
        <v>262</v>
      </c>
      <c r="N193" t="s">
        <v>38</v>
      </c>
      <c r="O193" t="s">
        <v>38</v>
      </c>
      <c r="P193" t="s">
        <v>38</v>
      </c>
      <c r="Q19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1.1515711560333124</v>
      </c>
      <c r="R19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1.1515711560333124</v>
      </c>
      <c r="U193" s="107" t="str">
        <f>IFERROR(_xlfn.XLOOKUP("*"&amp;TRIM(Fusion[[#This Row],[Confinement Type]])&amp;"*", Map_Conf[From], Map_Conf[To], "", 2), "")</f>
        <v>MCF</v>
      </c>
      <c r="V193" s="108" t="str" cm="1">
        <f t="array" ref="V1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4" spans="1:22" hidden="1">
      <c r="A194">
        <v>373</v>
      </c>
      <c r="B194" t="s">
        <v>695</v>
      </c>
      <c r="C194" t="s">
        <v>61</v>
      </c>
      <c r="D194" t="s">
        <v>62</v>
      </c>
      <c r="E194">
        <v>1200</v>
      </c>
      <c r="F194" t="s">
        <v>493</v>
      </c>
      <c r="G194" t="s">
        <v>52</v>
      </c>
      <c r="H194" t="s">
        <v>76</v>
      </c>
      <c r="I194" s="127">
        <v>0.6</v>
      </c>
      <c r="J194" t="s">
        <v>77</v>
      </c>
      <c r="K194">
        <v>1990</v>
      </c>
      <c r="L194" t="s">
        <v>369</v>
      </c>
      <c r="N194" t="s">
        <v>38</v>
      </c>
      <c r="O194" t="s">
        <v>38</v>
      </c>
      <c r="P194" t="s">
        <v>38</v>
      </c>
      <c r="Q19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1.1527482785003826</v>
      </c>
      <c r="R19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1.1527482785003826</v>
      </c>
      <c r="U194" s="107" t="str">
        <f>IFERROR(_xlfn.XLOOKUP("*"&amp;TRIM(Fusion[[#This Row],[Confinement Type]])&amp;"*", Map_Conf[From], Map_Conf[To], "", 2), "")</f>
        <v>MCF</v>
      </c>
      <c r="V194" s="108" t="str" cm="1">
        <f t="array" ref="V1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5" spans="1:22" hidden="1">
      <c r="A195">
        <v>512</v>
      </c>
      <c r="B195" t="s">
        <v>483</v>
      </c>
      <c r="C195" t="s">
        <v>470</v>
      </c>
      <c r="D195" t="s">
        <v>471</v>
      </c>
      <c r="E195">
        <v>150</v>
      </c>
      <c r="F195" t="s">
        <v>63</v>
      </c>
      <c r="G195" t="s">
        <v>52</v>
      </c>
      <c r="H195" t="s">
        <v>76</v>
      </c>
      <c r="I195">
        <v>169570</v>
      </c>
      <c r="J195" t="s">
        <v>484</v>
      </c>
      <c r="K195">
        <v>2016</v>
      </c>
      <c r="L195" t="s">
        <v>472</v>
      </c>
      <c r="M195" t="s">
        <v>485</v>
      </c>
      <c r="N195" t="s">
        <v>38</v>
      </c>
      <c r="O195" t="s">
        <v>38</v>
      </c>
      <c r="P195" t="s">
        <v>38</v>
      </c>
      <c r="Q19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1.1827492250920459</v>
      </c>
      <c r="R19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1.1827492250920459</v>
      </c>
      <c r="U195" s="107" t="str">
        <f>IFERROR(_xlfn.XLOOKUP("*"&amp;TRIM(Fusion[[#This Row],[Confinement Type]])&amp;"*", Map_Conf[From], Map_Conf[To], "", 2), "")</f>
        <v>MIF</v>
      </c>
      <c r="V195" s="108" t="str" cm="1">
        <f t="array" ref="V1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196" spans="1:22" hidden="1">
      <c r="A196">
        <v>449</v>
      </c>
      <c r="B196" t="s">
        <v>60</v>
      </c>
      <c r="C196" t="s">
        <v>61</v>
      </c>
      <c r="D196" t="s">
        <v>62</v>
      </c>
      <c r="E196">
        <v>1200</v>
      </c>
      <c r="F196" t="s">
        <v>493</v>
      </c>
      <c r="G196" t="s">
        <v>52</v>
      </c>
      <c r="H196" t="s">
        <v>76</v>
      </c>
      <c r="I196">
        <v>0.5</v>
      </c>
      <c r="J196" t="s">
        <v>77</v>
      </c>
      <c r="K196">
        <v>1983</v>
      </c>
      <c r="L196" t="s">
        <v>428</v>
      </c>
      <c r="N196" t="s">
        <v>38</v>
      </c>
      <c r="O196" t="s">
        <v>38</v>
      </c>
      <c r="P196" t="s">
        <v>38</v>
      </c>
      <c r="Q19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1.2605773092369479</v>
      </c>
      <c r="R19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1.2605773092369479</v>
      </c>
      <c r="U196" s="107" t="str">
        <f>IFERROR(_xlfn.XLOOKUP("*"&amp;TRIM(Fusion[[#This Row],[Confinement Type]])&amp;"*", Map_Conf[From], Map_Conf[To], "", 2), "")</f>
        <v>MCF</v>
      </c>
      <c r="V196" s="108" t="str" cm="1">
        <f t="array" ref="V1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7" spans="1:22" hidden="1">
      <c r="A197">
        <v>138</v>
      </c>
      <c r="B197" t="s">
        <v>188</v>
      </c>
      <c r="C197" t="s">
        <v>61</v>
      </c>
      <c r="D197" t="s">
        <v>62</v>
      </c>
      <c r="E197">
        <v>1000</v>
      </c>
      <c r="F197" t="s">
        <v>493</v>
      </c>
      <c r="G197" t="s">
        <v>52</v>
      </c>
      <c r="H197" t="s">
        <v>76</v>
      </c>
      <c r="I197">
        <v>0.9</v>
      </c>
      <c r="J197" t="s">
        <v>77</v>
      </c>
      <c r="K197">
        <v>1999</v>
      </c>
      <c r="L197" t="s">
        <v>1123</v>
      </c>
      <c r="N197" t="s">
        <v>122</v>
      </c>
      <c r="O197" t="s">
        <v>38</v>
      </c>
      <c r="P197" t="s">
        <v>38</v>
      </c>
      <c r="Q19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1.3565204081632654</v>
      </c>
      <c r="R19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1.3565204081632654</v>
      </c>
      <c r="U197" s="107" t="str">
        <f>IFERROR(_xlfn.XLOOKUP("*"&amp;TRIM(Fusion[[#This Row],[Confinement Type]])&amp;"*", Map_Conf[From], Map_Conf[To], "", 2), "")</f>
        <v>MCF</v>
      </c>
      <c r="V197" s="108" t="str" cm="1">
        <f t="array" ref="V1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8" spans="1:22" hidden="1">
      <c r="A198">
        <v>139</v>
      </c>
      <c r="B198" t="s">
        <v>200</v>
      </c>
      <c r="C198" t="s">
        <v>61</v>
      </c>
      <c r="D198" t="s">
        <v>62</v>
      </c>
      <c r="E198">
        <v>1000</v>
      </c>
      <c r="F198" t="s">
        <v>493</v>
      </c>
      <c r="G198" t="s">
        <v>52</v>
      </c>
      <c r="H198" t="s">
        <v>76</v>
      </c>
      <c r="I198">
        <v>0.9</v>
      </c>
      <c r="J198" t="s">
        <v>77</v>
      </c>
      <c r="K198">
        <v>1999</v>
      </c>
      <c r="L198" t="s">
        <v>1123</v>
      </c>
      <c r="N198" t="s">
        <v>122</v>
      </c>
      <c r="O198" t="s">
        <v>38</v>
      </c>
      <c r="P198" t="s">
        <v>38</v>
      </c>
      <c r="Q19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1.3565204081632654</v>
      </c>
      <c r="R19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1.3565204081632654</v>
      </c>
      <c r="U198" s="107" t="str">
        <f>IFERROR(_xlfn.XLOOKUP("*"&amp;TRIM(Fusion[[#This Row],[Confinement Type]])&amp;"*", Map_Conf[From], Map_Conf[To], "", 2), "")</f>
        <v>MCF</v>
      </c>
      <c r="V198" s="108" t="str" cm="1">
        <f t="array" ref="V1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9" spans="1:22" hidden="1">
      <c r="A199">
        <v>146</v>
      </c>
      <c r="B199" t="s">
        <v>203</v>
      </c>
      <c r="C199" t="s">
        <v>61</v>
      </c>
      <c r="D199" t="s">
        <v>62</v>
      </c>
      <c r="E199">
        <v>1300</v>
      </c>
      <c r="F199" t="s">
        <v>493</v>
      </c>
      <c r="G199" t="s">
        <v>52</v>
      </c>
      <c r="H199" t="s">
        <v>76</v>
      </c>
      <c r="I199">
        <v>0.9</v>
      </c>
      <c r="J199" t="s">
        <v>77</v>
      </c>
      <c r="K199">
        <v>1999</v>
      </c>
      <c r="L199" t="s">
        <v>1123</v>
      </c>
      <c r="N199" t="s">
        <v>38</v>
      </c>
      <c r="O199" t="s">
        <v>38</v>
      </c>
      <c r="P199" t="s">
        <v>38</v>
      </c>
      <c r="Q19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1.3565204081632654</v>
      </c>
      <c r="R19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1.3565204081632654</v>
      </c>
      <c r="U199" s="107" t="str">
        <f>IFERROR(_xlfn.XLOOKUP("*"&amp;TRIM(Fusion[[#This Row],[Confinement Type]])&amp;"*", Map_Conf[From], Map_Conf[To], "", 2), "")</f>
        <v>MCF</v>
      </c>
      <c r="V199" s="108" t="str" cm="1">
        <f t="array" ref="V1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00" spans="1:22" hidden="1">
      <c r="A200">
        <v>147</v>
      </c>
      <c r="B200" t="s">
        <v>204</v>
      </c>
      <c r="C200" t="s">
        <v>61</v>
      </c>
      <c r="D200" t="s">
        <v>62</v>
      </c>
      <c r="E200">
        <v>1000</v>
      </c>
      <c r="F200" t="s">
        <v>493</v>
      </c>
      <c r="G200" t="s">
        <v>52</v>
      </c>
      <c r="H200" t="s">
        <v>76</v>
      </c>
      <c r="I200">
        <v>0.9</v>
      </c>
      <c r="J200" t="s">
        <v>77</v>
      </c>
      <c r="K200">
        <v>1999</v>
      </c>
      <c r="L200" t="s">
        <v>1123</v>
      </c>
      <c r="N200" t="s">
        <v>38</v>
      </c>
      <c r="O200" t="s">
        <v>38</v>
      </c>
      <c r="P200" t="s">
        <v>38</v>
      </c>
      <c r="Q20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1.3565204081632654</v>
      </c>
      <c r="R20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1.3565204081632654</v>
      </c>
      <c r="U200" s="107" t="str">
        <f>IFERROR(_xlfn.XLOOKUP("*"&amp;TRIM(Fusion[[#This Row],[Confinement Type]])&amp;"*", Map_Conf[From], Map_Conf[To], "", 2), "")</f>
        <v>MCF</v>
      </c>
      <c r="V200" s="108" t="str" cm="1">
        <f t="array" ref="V2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01" spans="1:22" hidden="1">
      <c r="A201">
        <v>428</v>
      </c>
      <c r="B201" t="s">
        <v>402</v>
      </c>
      <c r="C201" t="s">
        <v>61</v>
      </c>
      <c r="D201" t="s">
        <v>251</v>
      </c>
      <c r="E201">
        <v>2272</v>
      </c>
      <c r="F201" t="s">
        <v>493</v>
      </c>
      <c r="G201" t="s">
        <v>32</v>
      </c>
      <c r="H201" t="s">
        <v>33</v>
      </c>
      <c r="I201">
        <v>3900000</v>
      </c>
      <c r="J201" t="s">
        <v>34</v>
      </c>
      <c r="K201">
        <v>2023</v>
      </c>
      <c r="L201" t="s">
        <v>399</v>
      </c>
      <c r="N201" t="s">
        <v>38</v>
      </c>
      <c r="O201" t="s">
        <v>38</v>
      </c>
      <c r="P201" t="s">
        <v>38</v>
      </c>
      <c r="Q20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1.4146200025404643</v>
      </c>
      <c r="R20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1.4146200025404643</v>
      </c>
      <c r="U201" s="107" t="str">
        <f>IFERROR(_xlfn.XLOOKUP("*"&amp;TRIM(Fusion[[#This Row],[Confinement Type]])&amp;"*", Map_Conf[From], Map_Conf[To], "", 2), "")</f>
        <v>MCF</v>
      </c>
      <c r="V201" s="108" t="str" cm="1">
        <f t="array" ref="V2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2" spans="1:22" hidden="1">
      <c r="A202">
        <v>424</v>
      </c>
      <c r="B202" t="s">
        <v>406</v>
      </c>
      <c r="C202" t="s">
        <v>61</v>
      </c>
      <c r="D202" t="s">
        <v>251</v>
      </c>
      <c r="E202">
        <v>1945</v>
      </c>
      <c r="F202" t="s">
        <v>493</v>
      </c>
      <c r="G202" t="s">
        <v>32</v>
      </c>
      <c r="H202" t="s">
        <v>33</v>
      </c>
      <c r="I202">
        <v>3900000</v>
      </c>
      <c r="J202" t="s">
        <v>34</v>
      </c>
      <c r="K202">
        <v>2023</v>
      </c>
      <c r="L202" t="s">
        <v>399</v>
      </c>
      <c r="N202" t="s">
        <v>38</v>
      </c>
      <c r="O202" t="s">
        <v>38</v>
      </c>
      <c r="P202" t="s">
        <v>38</v>
      </c>
      <c r="Q20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1.6524507176205319</v>
      </c>
      <c r="R20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1.6524507176205319</v>
      </c>
      <c r="U202" s="107" t="str">
        <f>IFERROR(_xlfn.XLOOKUP("*"&amp;TRIM(Fusion[[#This Row],[Confinement Type]])&amp;"*", Map_Conf[From], Map_Conf[To], "", 2), "")</f>
        <v>MCF</v>
      </c>
      <c r="V202" s="108" t="str" cm="1">
        <f t="array" ref="V2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3" spans="1:22" hidden="1">
      <c r="A203">
        <v>508</v>
      </c>
      <c r="B203" t="s">
        <v>694</v>
      </c>
      <c r="C203" t="s">
        <v>61</v>
      </c>
      <c r="D203" t="s">
        <v>62</v>
      </c>
      <c r="E203">
        <v>1200</v>
      </c>
      <c r="F203" t="s">
        <v>690</v>
      </c>
      <c r="G203" t="s">
        <v>52</v>
      </c>
      <c r="H203" t="s">
        <v>76</v>
      </c>
      <c r="I203">
        <v>1</v>
      </c>
      <c r="J203" t="s">
        <v>77</v>
      </c>
      <c r="K203">
        <v>1986</v>
      </c>
      <c r="L203" t="s">
        <v>472</v>
      </c>
      <c r="M203" t="s">
        <v>692</v>
      </c>
      <c r="N203" t="s">
        <v>38</v>
      </c>
      <c r="O203" t="s">
        <v>38</v>
      </c>
      <c r="P203" t="s">
        <v>38</v>
      </c>
      <c r="Q20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2.2911222627737229</v>
      </c>
      <c r="R20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2.2911222627737229</v>
      </c>
      <c r="U203" s="107" t="str">
        <f>IFERROR(_xlfn.XLOOKUP("*"&amp;TRIM(Fusion[[#This Row],[Confinement Type]])&amp;"*", Map_Conf[From], Map_Conf[To], "", 2), "")</f>
        <v>MCF</v>
      </c>
      <c r="V203" s="108" t="str" cm="1">
        <f t="array" ref="V2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04" spans="1:22" hidden="1">
      <c r="A204">
        <v>429</v>
      </c>
      <c r="B204" t="s">
        <v>403</v>
      </c>
      <c r="C204" t="s">
        <v>61</v>
      </c>
      <c r="D204" t="s">
        <v>251</v>
      </c>
      <c r="E204">
        <v>1368</v>
      </c>
      <c r="F204" t="s">
        <v>493</v>
      </c>
      <c r="G204" t="s">
        <v>32</v>
      </c>
      <c r="H204" t="s">
        <v>33</v>
      </c>
      <c r="I204">
        <v>3900000</v>
      </c>
      <c r="J204" t="s">
        <v>34</v>
      </c>
      <c r="K204">
        <v>2023</v>
      </c>
      <c r="L204" t="s">
        <v>399</v>
      </c>
      <c r="N204" t="s">
        <v>38</v>
      </c>
      <c r="O204" t="s">
        <v>38</v>
      </c>
      <c r="P204" t="s">
        <v>38</v>
      </c>
      <c r="Q20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2.3494273726403034</v>
      </c>
      <c r="R20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2.3494273726403034</v>
      </c>
      <c r="U204" s="107" t="str">
        <f>IFERROR(_xlfn.XLOOKUP("*"&amp;TRIM(Fusion[[#This Row],[Confinement Type]])&amp;"*", Map_Conf[From], Map_Conf[To], "", 2), "")</f>
        <v>MCF</v>
      </c>
      <c r="V204" s="108" t="str" cm="1">
        <f t="array" ref="V2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5" spans="1:22" hidden="1">
      <c r="A205">
        <v>427</v>
      </c>
      <c r="B205" t="s">
        <v>401</v>
      </c>
      <c r="C205" t="s">
        <v>61</v>
      </c>
      <c r="D205" t="s">
        <v>251</v>
      </c>
      <c r="E205">
        <v>1313</v>
      </c>
      <c r="F205" t="s">
        <v>493</v>
      </c>
      <c r="G205" t="s">
        <v>32</v>
      </c>
      <c r="H205" t="s">
        <v>33</v>
      </c>
      <c r="I205">
        <v>3900000</v>
      </c>
      <c r="J205" t="s">
        <v>34</v>
      </c>
      <c r="K205">
        <v>2023</v>
      </c>
      <c r="L205" t="s">
        <v>399</v>
      </c>
      <c r="N205" t="s">
        <v>38</v>
      </c>
      <c r="O205" t="s">
        <v>38</v>
      </c>
      <c r="P205" t="s">
        <v>38</v>
      </c>
      <c r="Q20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2.4478420759877642</v>
      </c>
      <c r="R20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2.4478420759877642</v>
      </c>
      <c r="U205" s="107" t="str">
        <f>IFERROR(_xlfn.XLOOKUP("*"&amp;TRIM(Fusion[[#This Row],[Confinement Type]])&amp;"*", Map_Conf[From], Map_Conf[To], "", 2), "")</f>
        <v>MCF</v>
      </c>
      <c r="V205" s="108" t="str" cm="1">
        <f t="array" ref="V2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6" spans="1:22" hidden="1">
      <c r="A206">
        <v>507</v>
      </c>
      <c r="B206" t="s">
        <v>385</v>
      </c>
      <c r="C206" t="s">
        <v>61</v>
      </c>
      <c r="D206" t="s">
        <v>62</v>
      </c>
      <c r="E206">
        <v>1200</v>
      </c>
      <c r="F206" t="s">
        <v>690</v>
      </c>
      <c r="G206" t="s">
        <v>52</v>
      </c>
      <c r="H206" t="s">
        <v>76</v>
      </c>
      <c r="I206">
        <v>1</v>
      </c>
      <c r="J206" t="s">
        <v>77</v>
      </c>
      <c r="K206">
        <v>1983</v>
      </c>
      <c r="L206" t="s">
        <v>693</v>
      </c>
      <c r="N206" t="s">
        <v>38</v>
      </c>
      <c r="O206" t="s">
        <v>38</v>
      </c>
      <c r="P206" t="s">
        <v>38</v>
      </c>
      <c r="Q20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2.5211546184738958</v>
      </c>
      <c r="R20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2.5211546184738958</v>
      </c>
      <c r="U206" s="107" t="str">
        <f>IFERROR(_xlfn.XLOOKUP("*"&amp;TRIM(Fusion[[#This Row],[Confinement Type]])&amp;"*", Map_Conf[From], Map_Conf[To], "", 2), "")</f>
        <v>MCF</v>
      </c>
      <c r="V206" s="108" t="str" cm="1">
        <f t="array" ref="V2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07" spans="1:22" hidden="1">
      <c r="A207">
        <v>426</v>
      </c>
      <c r="B207" t="s">
        <v>398</v>
      </c>
      <c r="C207" t="s">
        <v>61</v>
      </c>
      <c r="D207" t="s">
        <v>251</v>
      </c>
      <c r="E207">
        <v>1204</v>
      </c>
      <c r="F207" t="s">
        <v>493</v>
      </c>
      <c r="G207" t="s">
        <v>32</v>
      </c>
      <c r="H207" t="s">
        <v>33</v>
      </c>
      <c r="I207">
        <v>3900000</v>
      </c>
      <c r="J207" t="s">
        <v>34</v>
      </c>
      <c r="K207">
        <v>2023</v>
      </c>
      <c r="L207" t="s">
        <v>399</v>
      </c>
      <c r="N207" t="s">
        <v>38</v>
      </c>
      <c r="O207" t="s">
        <v>38</v>
      </c>
      <c r="P207" t="s">
        <v>38</v>
      </c>
      <c r="Q20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2.6694490413388161</v>
      </c>
      <c r="R20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2.6694490413388161</v>
      </c>
      <c r="U207" s="107" t="str">
        <f>IFERROR(_xlfn.XLOOKUP("*"&amp;TRIM(Fusion[[#This Row],[Confinement Type]])&amp;"*", Map_Conf[From], Map_Conf[To], "", 2), "")</f>
        <v>MCF</v>
      </c>
      <c r="V207" s="108" t="str" cm="1">
        <f t="array" ref="V2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8" spans="1:22" hidden="1">
      <c r="A208">
        <v>425</v>
      </c>
      <c r="B208" t="s">
        <v>407</v>
      </c>
      <c r="C208" t="s">
        <v>61</v>
      </c>
      <c r="D208" t="s">
        <v>251</v>
      </c>
      <c r="E208">
        <v>1165</v>
      </c>
      <c r="F208" t="s">
        <v>493</v>
      </c>
      <c r="G208" t="s">
        <v>32</v>
      </c>
      <c r="H208" t="s">
        <v>33</v>
      </c>
      <c r="I208">
        <v>3900000</v>
      </c>
      <c r="J208" t="s">
        <v>34</v>
      </c>
      <c r="K208">
        <v>2023</v>
      </c>
      <c r="L208" t="s">
        <v>399</v>
      </c>
      <c r="N208" t="s">
        <v>38</v>
      </c>
      <c r="O208" t="s">
        <v>38</v>
      </c>
      <c r="P208" t="s">
        <v>38</v>
      </c>
      <c r="Q20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2.7588125714780554</v>
      </c>
      <c r="R20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2.7588125714780554</v>
      </c>
      <c r="U208" s="107" t="str">
        <f>IFERROR(_xlfn.XLOOKUP("*"&amp;TRIM(Fusion[[#This Row],[Confinement Type]])&amp;"*", Map_Conf[From], Map_Conf[To], "", 2), "")</f>
        <v>MCF</v>
      </c>
      <c r="V208" s="108" t="str" cm="1">
        <f t="array" ref="V2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9" spans="1:22" hidden="1">
      <c r="A209">
        <v>422</v>
      </c>
      <c r="B209" t="s">
        <v>404</v>
      </c>
      <c r="C209" t="s">
        <v>61</v>
      </c>
      <c r="D209" t="s">
        <v>251</v>
      </c>
      <c r="E209">
        <v>914</v>
      </c>
      <c r="F209" t="s">
        <v>493</v>
      </c>
      <c r="G209" t="s">
        <v>32</v>
      </c>
      <c r="H209" t="s">
        <v>33</v>
      </c>
      <c r="I209">
        <v>3900000</v>
      </c>
      <c r="J209" t="s">
        <v>34</v>
      </c>
      <c r="K209">
        <v>2023</v>
      </c>
      <c r="L209" t="s">
        <v>399</v>
      </c>
      <c r="N209" t="s">
        <v>38</v>
      </c>
      <c r="O209" t="s">
        <v>38</v>
      </c>
      <c r="P209" t="s">
        <v>38</v>
      </c>
      <c r="Q20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3.516429590560104</v>
      </c>
      <c r="R20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3.516429590560104</v>
      </c>
      <c r="U209" s="107" t="str">
        <f>IFERROR(_xlfn.XLOOKUP("*"&amp;TRIM(Fusion[[#This Row],[Confinement Type]])&amp;"*", Map_Conf[From], Map_Conf[To], "", 2), "")</f>
        <v>MCF</v>
      </c>
      <c r="V209" s="108" t="str" cm="1">
        <f t="array" ref="V2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10" spans="1:22" hidden="1">
      <c r="A210">
        <v>423</v>
      </c>
      <c r="B210" t="s">
        <v>405</v>
      </c>
      <c r="C210" t="s">
        <v>61</v>
      </c>
      <c r="D210" t="s">
        <v>251</v>
      </c>
      <c r="E210">
        <v>774</v>
      </c>
      <c r="F210" t="s">
        <v>493</v>
      </c>
      <c r="G210" t="s">
        <v>32</v>
      </c>
      <c r="H210" t="s">
        <v>33</v>
      </c>
      <c r="I210">
        <v>3900000</v>
      </c>
      <c r="J210" t="s">
        <v>34</v>
      </c>
      <c r="K210">
        <v>2023</v>
      </c>
      <c r="L210" t="s">
        <v>399</v>
      </c>
      <c r="N210" t="s">
        <v>38</v>
      </c>
      <c r="O210" t="s">
        <v>38</v>
      </c>
      <c r="P210" t="s">
        <v>38</v>
      </c>
      <c r="Q21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4.1524762865270475</v>
      </c>
      <c r="R21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4.1524762865270475</v>
      </c>
      <c r="U210" s="107" t="str">
        <f>IFERROR(_xlfn.XLOOKUP("*"&amp;TRIM(Fusion[[#This Row],[Confinement Type]])&amp;"*", Map_Conf[From], Map_Conf[To], "", 2), "")</f>
        <v>MCF</v>
      </c>
      <c r="V210" s="108" t="str" cm="1">
        <f t="array" ref="V2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11" spans="1:22" hidden="1">
      <c r="A211">
        <v>392</v>
      </c>
      <c r="B211" t="s">
        <v>387</v>
      </c>
      <c r="C211" t="s">
        <v>30</v>
      </c>
      <c r="D211" t="s">
        <v>815</v>
      </c>
      <c r="E211">
        <v>1083</v>
      </c>
      <c r="F211" t="s">
        <v>391</v>
      </c>
      <c r="G211" t="s">
        <v>52</v>
      </c>
      <c r="H211" t="s">
        <v>76</v>
      </c>
      <c r="I211">
        <v>2.2400000000000002</v>
      </c>
      <c r="J211" t="s">
        <v>77</v>
      </c>
      <c r="K211">
        <v>1988</v>
      </c>
      <c r="L211" t="s">
        <v>386</v>
      </c>
      <c r="M211" t="s">
        <v>840</v>
      </c>
      <c r="N211" t="s">
        <v>38</v>
      </c>
      <c r="O211" t="s">
        <v>38</v>
      </c>
      <c r="P211" t="s">
        <v>38</v>
      </c>
      <c r="Q21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4.7546887573964502</v>
      </c>
      <c r="R21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4.7546887573964502</v>
      </c>
      <c r="U211" s="107" t="str">
        <f>IFERROR(_xlfn.XLOOKUP("*"&amp;TRIM(Fusion[[#This Row],[Confinement Type]])&amp;"*", Map_Conf[From], Map_Conf[To], "", 2), "")</f>
        <v>ICF</v>
      </c>
      <c r="V211" s="108" t="str" cm="1">
        <f t="array" ref="V2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12" spans="1:22" hidden="1">
      <c r="A212">
        <v>225</v>
      </c>
      <c r="B212" t="s">
        <v>261</v>
      </c>
      <c r="C212" t="s">
        <v>61</v>
      </c>
      <c r="D212" t="s">
        <v>62</v>
      </c>
      <c r="E212">
        <v>1600</v>
      </c>
      <c r="F212" t="s">
        <v>115</v>
      </c>
      <c r="G212" t="s">
        <v>57</v>
      </c>
      <c r="H212" t="s">
        <v>33</v>
      </c>
      <c r="I212">
        <v>7500000</v>
      </c>
      <c r="J212" t="s">
        <v>34</v>
      </c>
      <c r="K212">
        <v>2010</v>
      </c>
      <c r="L212" t="s">
        <v>262</v>
      </c>
      <c r="M212" t="s">
        <v>263</v>
      </c>
      <c r="N212" t="s">
        <v>122</v>
      </c>
      <c r="O212" t="s">
        <v>38</v>
      </c>
      <c r="P212" t="s">
        <v>38</v>
      </c>
      <c r="Q21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5.3979897939061514</v>
      </c>
      <c r="R21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5.3979897939061514</v>
      </c>
      <c r="U212" s="107" t="str">
        <f>IFERROR(_xlfn.XLOOKUP("*"&amp;TRIM(Fusion[[#This Row],[Confinement Type]])&amp;"*", Map_Conf[From], Map_Conf[To], "", 2), "")</f>
        <v>MCF</v>
      </c>
      <c r="V212" s="108" t="str" cm="1">
        <f t="array" ref="V2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3" spans="1:22" hidden="1">
      <c r="A213">
        <v>141</v>
      </c>
      <c r="B213" t="s">
        <v>188</v>
      </c>
      <c r="C213" t="s">
        <v>61</v>
      </c>
      <c r="D213" t="s">
        <v>62</v>
      </c>
      <c r="E213">
        <v>1000</v>
      </c>
      <c r="F213" t="s">
        <v>115</v>
      </c>
      <c r="G213" t="s">
        <v>52</v>
      </c>
      <c r="H213" t="s">
        <v>76</v>
      </c>
      <c r="I213">
        <v>3.8</v>
      </c>
      <c r="J213" t="s">
        <v>77</v>
      </c>
      <c r="K213">
        <v>1999</v>
      </c>
      <c r="L213" t="s">
        <v>1123</v>
      </c>
      <c r="M213" t="s">
        <v>1120</v>
      </c>
      <c r="N213" t="s">
        <v>122</v>
      </c>
      <c r="O213" t="s">
        <v>38</v>
      </c>
      <c r="P213" t="s">
        <v>38</v>
      </c>
      <c r="Q21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5.7275306122448981</v>
      </c>
      <c r="R21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5.7275306122448981</v>
      </c>
      <c r="U213" s="107" t="str">
        <f>IFERROR(_xlfn.XLOOKUP("*"&amp;TRIM(Fusion[[#This Row],[Confinement Type]])&amp;"*", Map_Conf[From], Map_Conf[To], "", 2), "")</f>
        <v>MCF</v>
      </c>
      <c r="V213" s="108" t="str" cm="1">
        <f t="array" ref="V2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4" spans="1:22" hidden="1">
      <c r="A214">
        <v>374</v>
      </c>
      <c r="B214" t="s">
        <v>696</v>
      </c>
      <c r="C214" t="s">
        <v>61</v>
      </c>
      <c r="D214" t="s">
        <v>62</v>
      </c>
      <c r="E214">
        <v>1200</v>
      </c>
      <c r="F214" t="s">
        <v>493</v>
      </c>
      <c r="G214" t="s">
        <v>32</v>
      </c>
      <c r="H214" t="s">
        <v>76</v>
      </c>
      <c r="I214">
        <v>3.1</v>
      </c>
      <c r="J214" t="s">
        <v>77</v>
      </c>
      <c r="K214">
        <v>1990</v>
      </c>
      <c r="L214" t="s">
        <v>369</v>
      </c>
      <c r="N214" t="s">
        <v>38</v>
      </c>
      <c r="O214" t="s">
        <v>38</v>
      </c>
      <c r="P214" t="s">
        <v>38</v>
      </c>
      <c r="Q21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5.9558661055853106</v>
      </c>
      <c r="R21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5.9558661055853106</v>
      </c>
      <c r="U214" s="107" t="str">
        <f>IFERROR(_xlfn.XLOOKUP("*"&amp;TRIM(Fusion[[#This Row],[Confinement Type]])&amp;"*", Map_Conf[From], Map_Conf[To], "", 2), "")</f>
        <v>MCF</v>
      </c>
      <c r="V214" s="108" t="str" cm="1">
        <f t="array" ref="V2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5" spans="1:22" hidden="1">
      <c r="A215">
        <v>565</v>
      </c>
      <c r="B215" t="s">
        <v>506</v>
      </c>
      <c r="C215" t="s">
        <v>61</v>
      </c>
      <c r="D215" t="s">
        <v>62</v>
      </c>
      <c r="E215">
        <v>1000</v>
      </c>
      <c r="F215" t="s">
        <v>115</v>
      </c>
      <c r="G215" t="s">
        <v>57</v>
      </c>
      <c r="H215" t="s">
        <v>76</v>
      </c>
      <c r="I215">
        <v>5.42</v>
      </c>
      <c r="J215" t="s">
        <v>77</v>
      </c>
      <c r="K215">
        <v>2011</v>
      </c>
      <c r="L215" t="s">
        <v>507</v>
      </c>
      <c r="M215" t="s">
        <v>504</v>
      </c>
      <c r="N215" t="s">
        <v>38</v>
      </c>
      <c r="O215" t="s">
        <v>38</v>
      </c>
      <c r="P215" t="s">
        <v>38</v>
      </c>
      <c r="Q21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6.0505289878589315</v>
      </c>
      <c r="R21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6.0505289878589315</v>
      </c>
      <c r="U215" s="107" t="str">
        <f>IFERROR(_xlfn.XLOOKUP("*"&amp;TRIM(Fusion[[#This Row],[Confinement Type]])&amp;"*", Map_Conf[From], Map_Conf[To], "", 2), "")</f>
        <v>MCF</v>
      </c>
      <c r="V215" s="108" t="str" cm="1">
        <f t="array" ref="V2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6" spans="1:22" hidden="1">
      <c r="A216">
        <v>226</v>
      </c>
      <c r="B216" t="s">
        <v>261</v>
      </c>
      <c r="C216" t="s">
        <v>61</v>
      </c>
      <c r="D216" t="s">
        <v>62</v>
      </c>
      <c r="E216">
        <v>1420</v>
      </c>
      <c r="F216" t="s">
        <v>115</v>
      </c>
      <c r="G216" t="s">
        <v>57</v>
      </c>
      <c r="H216" t="s">
        <v>33</v>
      </c>
      <c r="I216">
        <v>7500000</v>
      </c>
      <c r="J216" t="s">
        <v>34</v>
      </c>
      <c r="K216">
        <v>2010</v>
      </c>
      <c r="L216" t="s">
        <v>262</v>
      </c>
      <c r="M216" t="s">
        <v>263</v>
      </c>
      <c r="N216" t="s">
        <v>122</v>
      </c>
      <c r="O216" t="s">
        <v>38</v>
      </c>
      <c r="P216" t="s">
        <v>38</v>
      </c>
      <c r="Q21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6.0822420213027062</v>
      </c>
      <c r="R21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6.0822420213027062</v>
      </c>
      <c r="U216" s="107" t="str">
        <f>IFERROR(_xlfn.XLOOKUP("*"&amp;TRIM(Fusion[[#This Row],[Confinement Type]])&amp;"*", Map_Conf[From], Map_Conf[To], "", 2), "")</f>
        <v>MCF</v>
      </c>
      <c r="V216" s="108" t="str" cm="1">
        <f t="array" ref="V2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7" spans="1:22" hidden="1">
      <c r="A217">
        <v>569</v>
      </c>
      <c r="B217" t="s">
        <v>508</v>
      </c>
      <c r="C217" t="s">
        <v>61</v>
      </c>
      <c r="D217" t="s">
        <v>62</v>
      </c>
      <c r="E217">
        <v>1000</v>
      </c>
      <c r="F217" t="s">
        <v>63</v>
      </c>
      <c r="G217" t="s">
        <v>57</v>
      </c>
      <c r="H217" t="s">
        <v>76</v>
      </c>
      <c r="I217">
        <v>5.54</v>
      </c>
      <c r="J217" t="s">
        <v>77</v>
      </c>
      <c r="K217">
        <v>2011</v>
      </c>
      <c r="L217" t="s">
        <v>507</v>
      </c>
      <c r="M217" t="s">
        <v>504</v>
      </c>
      <c r="N217" t="s">
        <v>38</v>
      </c>
      <c r="O217" t="s">
        <v>38</v>
      </c>
      <c r="P217" t="s">
        <v>38</v>
      </c>
      <c r="Q21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6.184489039250642</v>
      </c>
      <c r="R21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6.184489039250642</v>
      </c>
      <c r="U217" s="107" t="str">
        <f>IFERROR(_xlfn.XLOOKUP("*"&amp;TRIM(Fusion[[#This Row],[Confinement Type]])&amp;"*", Map_Conf[From], Map_Conf[To], "", 2), "")</f>
        <v>MCF</v>
      </c>
      <c r="V217" s="108" t="str" cm="1">
        <f t="array" ref="V2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8" spans="1:22" hidden="1">
      <c r="A218">
        <v>161</v>
      </c>
      <c r="B218" t="s">
        <v>207</v>
      </c>
      <c r="C218" t="s">
        <v>61</v>
      </c>
      <c r="D218" t="s">
        <v>62</v>
      </c>
      <c r="E218">
        <v>1000</v>
      </c>
      <c r="F218" t="s">
        <v>115</v>
      </c>
      <c r="G218" t="s">
        <v>52</v>
      </c>
      <c r="H218" t="s">
        <v>76</v>
      </c>
      <c r="I218">
        <v>3.51</v>
      </c>
      <c r="J218" t="s">
        <v>77</v>
      </c>
      <c r="K218">
        <v>1992</v>
      </c>
      <c r="L218" t="s">
        <v>208</v>
      </c>
      <c r="N218" t="s">
        <v>122</v>
      </c>
      <c r="O218" t="s">
        <v>38</v>
      </c>
      <c r="P218" t="s">
        <v>38</v>
      </c>
      <c r="Q21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6.2821494654312175</v>
      </c>
      <c r="R21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6.2821494654312175</v>
      </c>
      <c r="U218" s="107" t="str">
        <f>IFERROR(_xlfn.XLOOKUP("*"&amp;TRIM(Fusion[[#This Row],[Confinement Type]])&amp;"*", Map_Conf[From], Map_Conf[To], "", 2), "")</f>
        <v>MCF</v>
      </c>
      <c r="V218" s="108" t="str" cm="1">
        <f t="array" ref="V2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9" spans="1:22" hidden="1">
      <c r="A219">
        <v>439</v>
      </c>
      <c r="B219" t="s">
        <v>232</v>
      </c>
      <c r="C219" t="s">
        <v>61</v>
      </c>
      <c r="D219" t="s">
        <v>62</v>
      </c>
      <c r="E219">
        <v>1000</v>
      </c>
      <c r="F219" t="s">
        <v>115</v>
      </c>
      <c r="G219" t="s">
        <v>52</v>
      </c>
      <c r="H219" t="s">
        <v>76</v>
      </c>
      <c r="I219">
        <v>3.51</v>
      </c>
      <c r="J219" t="s">
        <v>77</v>
      </c>
      <c r="K219">
        <v>1992</v>
      </c>
      <c r="L219" t="s">
        <v>420</v>
      </c>
      <c r="M219" t="s">
        <v>665</v>
      </c>
      <c r="N219" t="s">
        <v>122</v>
      </c>
      <c r="O219" t="s">
        <v>38</v>
      </c>
      <c r="P219" t="s">
        <v>38</v>
      </c>
      <c r="Q21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6.2821494654312175</v>
      </c>
      <c r="R21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6.2821494654312175</v>
      </c>
      <c r="U219" s="107" t="str">
        <f>IFERROR(_xlfn.XLOOKUP("*"&amp;TRIM(Fusion[[#This Row],[Confinement Type]])&amp;"*", Map_Conf[From], Map_Conf[To], "", 2), "")</f>
        <v>MCF</v>
      </c>
      <c r="V219" s="108" t="str" cm="1">
        <f t="array" ref="V2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0" spans="1:22" hidden="1">
      <c r="B220" t="s">
        <v>939</v>
      </c>
      <c r="C220" t="s">
        <v>61</v>
      </c>
      <c r="D220" t="s">
        <v>62</v>
      </c>
      <c r="E220">
        <v>1247</v>
      </c>
      <c r="F220" t="s">
        <v>63</v>
      </c>
      <c r="G220" t="s">
        <v>32</v>
      </c>
      <c r="H220" t="s">
        <v>33</v>
      </c>
      <c r="I220">
        <v>3313800</v>
      </c>
      <c r="J220" t="s">
        <v>34</v>
      </c>
      <c r="K220">
        <v>1984</v>
      </c>
      <c r="L220" t="s">
        <v>938</v>
      </c>
      <c r="M220" t="s">
        <v>1101</v>
      </c>
      <c r="N220" t="s">
        <v>122</v>
      </c>
      <c r="O220" t="s">
        <v>38</v>
      </c>
      <c r="Q22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6.4224851991266041</v>
      </c>
      <c r="R22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6.4224851991266041</v>
      </c>
      <c r="U220" s="107" t="str">
        <f>IFERROR(_xlfn.XLOOKUP("*"&amp;TRIM(Fusion[[#This Row],[Confinement Type]])&amp;"*", Map_Conf[From], Map_Conf[To], "", 2), "")</f>
        <v>MCF</v>
      </c>
      <c r="V220" s="108" t="str" cm="1">
        <f t="array" ref="V2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1" spans="1:22" hidden="1">
      <c r="A221">
        <v>299</v>
      </c>
      <c r="B221" t="s">
        <v>126</v>
      </c>
      <c r="C221" t="s">
        <v>61</v>
      </c>
      <c r="D221" t="s">
        <v>62</v>
      </c>
      <c r="E221">
        <v>1000</v>
      </c>
      <c r="F221" t="s">
        <v>115</v>
      </c>
      <c r="G221" t="s">
        <v>52</v>
      </c>
      <c r="H221" t="s">
        <v>76</v>
      </c>
      <c r="I221">
        <v>3.6</v>
      </c>
      <c r="J221" t="s">
        <v>77</v>
      </c>
      <c r="K221">
        <v>1992</v>
      </c>
      <c r="L221" t="s">
        <v>294</v>
      </c>
      <c r="N221" t="s">
        <v>122</v>
      </c>
      <c r="O221" t="s">
        <v>38</v>
      </c>
      <c r="P221" t="s">
        <v>38</v>
      </c>
      <c r="Q22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6.4432302209550958</v>
      </c>
      <c r="R22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6.4432302209550958</v>
      </c>
      <c r="U221" s="107" t="str">
        <f>IFERROR(_xlfn.XLOOKUP("*"&amp;TRIM(Fusion[[#This Row],[Confinement Type]])&amp;"*", Map_Conf[From], Map_Conf[To], "", 2), "")</f>
        <v>MCF</v>
      </c>
      <c r="V221" s="108" t="str" cm="1">
        <f t="array" ref="V2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2" spans="1:22" hidden="1">
      <c r="A222">
        <v>337</v>
      </c>
      <c r="B222" t="s">
        <v>340</v>
      </c>
      <c r="C222" t="s">
        <v>61</v>
      </c>
      <c r="D222" t="s">
        <v>62</v>
      </c>
      <c r="E222">
        <v>500</v>
      </c>
      <c r="F222" t="s">
        <v>670</v>
      </c>
      <c r="G222" t="s">
        <v>57</v>
      </c>
      <c r="H222" t="s">
        <v>76</v>
      </c>
      <c r="I222">
        <v>5.6661000566609996</v>
      </c>
      <c r="J222" t="s">
        <v>77</v>
      </c>
      <c r="K222">
        <v>2010</v>
      </c>
      <c r="L222" t="s">
        <v>331</v>
      </c>
      <c r="M222" t="s">
        <v>726</v>
      </c>
      <c r="N222" t="s">
        <v>122</v>
      </c>
      <c r="O222" t="s">
        <v>38</v>
      </c>
      <c r="P222" t="s">
        <v>38</v>
      </c>
      <c r="Q22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6.5249173924495238</v>
      </c>
      <c r="R22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6.5249173924495238</v>
      </c>
      <c r="U222" s="107" t="str">
        <f>IFERROR(_xlfn.XLOOKUP("*"&amp;TRIM(Fusion[[#This Row],[Confinement Type]])&amp;"*", Map_Conf[From], Map_Conf[To], "", 2), "")</f>
        <v>MCF</v>
      </c>
      <c r="V222" s="108" t="str" cm="1">
        <f t="array" ref="V2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3" spans="1:22" hidden="1">
      <c r="B223" t="s">
        <v>941</v>
      </c>
      <c r="C223" t="s">
        <v>61</v>
      </c>
      <c r="D223" t="s">
        <v>62</v>
      </c>
      <c r="E223">
        <v>1209</v>
      </c>
      <c r="F223" t="s">
        <v>63</v>
      </c>
      <c r="G223" t="s">
        <v>32</v>
      </c>
      <c r="H223" t="s">
        <v>33</v>
      </c>
      <c r="I223">
        <v>3282240</v>
      </c>
      <c r="J223" t="s">
        <v>34</v>
      </c>
      <c r="K223">
        <v>1984</v>
      </c>
      <c r="L223" t="s">
        <v>938</v>
      </c>
      <c r="M223" t="s">
        <v>1101</v>
      </c>
      <c r="N223" t="s">
        <v>122</v>
      </c>
      <c r="O223" t="s">
        <v>38</v>
      </c>
      <c r="Q22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6.5612608649756279</v>
      </c>
      <c r="R22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6.5612608649756279</v>
      </c>
      <c r="U223" s="107" t="str">
        <f>IFERROR(_xlfn.XLOOKUP("*"&amp;TRIM(Fusion[[#This Row],[Confinement Type]])&amp;"*", Map_Conf[From], Map_Conf[To], "", 2), "")</f>
        <v>MCF</v>
      </c>
      <c r="V223" s="108" t="str" cm="1">
        <f t="array" ref="V2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4" spans="1:22" hidden="1">
      <c r="B224" t="s">
        <v>1102</v>
      </c>
      <c r="C224" t="s">
        <v>61</v>
      </c>
      <c r="D224" t="s">
        <v>62</v>
      </c>
      <c r="E224">
        <v>1164</v>
      </c>
      <c r="F224" t="s">
        <v>63</v>
      </c>
      <c r="G224" t="s">
        <v>32</v>
      </c>
      <c r="H224" t="s">
        <v>33</v>
      </c>
      <c r="I224">
        <v>3219120</v>
      </c>
      <c r="J224" t="s">
        <v>34</v>
      </c>
      <c r="K224">
        <v>1984</v>
      </c>
      <c r="L224" t="s">
        <v>938</v>
      </c>
      <c r="M224" t="s">
        <v>1103</v>
      </c>
      <c r="Q22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6.6838617445402493</v>
      </c>
      <c r="R22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6.6838617445402493</v>
      </c>
      <c r="U224" s="107" t="str">
        <f>IFERROR(_xlfn.XLOOKUP("*"&amp;TRIM(Fusion[[#This Row],[Confinement Type]])&amp;"*", Map_Conf[From], Map_Conf[To], "", 2), "")</f>
        <v>MCF</v>
      </c>
      <c r="V224" s="108" t="str" cm="1">
        <f t="array" ref="V2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5" spans="1:22" hidden="1">
      <c r="B225" t="s">
        <v>940</v>
      </c>
      <c r="C225" t="s">
        <v>61</v>
      </c>
      <c r="D225" t="s">
        <v>62</v>
      </c>
      <c r="E225">
        <v>1203</v>
      </c>
      <c r="F225" t="s">
        <v>63</v>
      </c>
      <c r="G225" t="s">
        <v>32</v>
      </c>
      <c r="H225" t="s">
        <v>33</v>
      </c>
      <c r="I225">
        <v>3376920</v>
      </c>
      <c r="J225" t="s">
        <v>34</v>
      </c>
      <c r="K225">
        <v>1984</v>
      </c>
      <c r="L225" t="s">
        <v>938</v>
      </c>
      <c r="M225" t="s">
        <v>1101</v>
      </c>
      <c r="N225" t="s">
        <v>122</v>
      </c>
      <c r="O225" t="s">
        <v>38</v>
      </c>
      <c r="Q22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6.784196474165884</v>
      </c>
      <c r="R22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6.784196474165884</v>
      </c>
      <c r="U225" s="107" t="str">
        <f>IFERROR(_xlfn.XLOOKUP("*"&amp;TRIM(Fusion[[#This Row],[Confinement Type]])&amp;"*", Map_Conf[From], Map_Conf[To], "", 2), "")</f>
        <v>MCF</v>
      </c>
      <c r="V225" s="108" t="str" cm="1">
        <f t="array" ref="V2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6" spans="1:22" hidden="1">
      <c r="A226">
        <v>584</v>
      </c>
      <c r="B226" t="s">
        <v>514</v>
      </c>
      <c r="C226" t="s">
        <v>61</v>
      </c>
      <c r="D226" t="s">
        <v>107</v>
      </c>
      <c r="E226">
        <v>1000</v>
      </c>
      <c r="F226" t="s">
        <v>115</v>
      </c>
      <c r="G226" t="s">
        <v>57</v>
      </c>
      <c r="H226" t="s">
        <v>76</v>
      </c>
      <c r="I226">
        <v>6.18</v>
      </c>
      <c r="J226" t="s">
        <v>77</v>
      </c>
      <c r="K226">
        <v>2010</v>
      </c>
      <c r="L226" t="s">
        <v>507</v>
      </c>
      <c r="M226" t="s">
        <v>504</v>
      </c>
      <c r="N226" t="s">
        <v>38</v>
      </c>
      <c r="O226" t="s">
        <v>38</v>
      </c>
      <c r="P226" t="s">
        <v>38</v>
      </c>
      <c r="Q22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7.1167097442858704</v>
      </c>
      <c r="R22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7.1167097442858704</v>
      </c>
      <c r="U226" s="107" t="str">
        <f>IFERROR(_xlfn.XLOOKUP("*"&amp;TRIM(Fusion[[#This Row],[Confinement Type]])&amp;"*", Map_Conf[From], Map_Conf[To], "", 2), "")</f>
        <v>MCF</v>
      </c>
      <c r="V226" s="108" t="str" cm="1">
        <f t="array" ref="V2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7" spans="1:22" hidden="1">
      <c r="A227">
        <v>61</v>
      </c>
      <c r="B227" t="s">
        <v>112</v>
      </c>
      <c r="C227" t="s">
        <v>61</v>
      </c>
      <c r="D227" t="s">
        <v>113</v>
      </c>
      <c r="E227">
        <v>970</v>
      </c>
      <c r="F227" t="s">
        <v>115</v>
      </c>
      <c r="G227" t="s">
        <v>52</v>
      </c>
      <c r="H227" t="s">
        <v>76</v>
      </c>
      <c r="I227">
        <v>3.5</v>
      </c>
      <c r="J227" t="s">
        <v>77</v>
      </c>
      <c r="K227">
        <v>1988</v>
      </c>
      <c r="L227" t="s">
        <v>120</v>
      </c>
      <c r="M227" t="s">
        <v>1121</v>
      </c>
      <c r="N227" t="s">
        <v>122</v>
      </c>
      <c r="O227" t="s">
        <v>122</v>
      </c>
      <c r="P227" t="s">
        <v>38</v>
      </c>
      <c r="Q22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7.4292011834319522</v>
      </c>
      <c r="R22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7.4292011834319522</v>
      </c>
      <c r="U227" s="107" t="str">
        <f>IFERROR(_xlfn.XLOOKUP("*"&amp;TRIM(Fusion[[#This Row],[Confinement Type]])&amp;"*", Map_Conf[From], Map_Conf[To], "", 2), "")</f>
        <v>MCF</v>
      </c>
      <c r="V227" s="108" t="str" cm="1">
        <f t="array" ref="V2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228" spans="1:22" hidden="1">
      <c r="A228">
        <v>590</v>
      </c>
      <c r="B228" t="s">
        <v>515</v>
      </c>
      <c r="C228" t="s">
        <v>61</v>
      </c>
      <c r="D228" t="s">
        <v>278</v>
      </c>
      <c r="E228">
        <v>1000</v>
      </c>
      <c r="F228" t="s">
        <v>115</v>
      </c>
      <c r="G228" t="s">
        <v>57</v>
      </c>
      <c r="H228" t="s">
        <v>76</v>
      </c>
      <c r="I228">
        <v>6.9</v>
      </c>
      <c r="J228" t="s">
        <v>77</v>
      </c>
      <c r="K228">
        <v>2010</v>
      </c>
      <c r="L228" t="s">
        <v>507</v>
      </c>
      <c r="M228" t="s">
        <v>504</v>
      </c>
      <c r="N228" t="s">
        <v>38</v>
      </c>
      <c r="O228" t="s">
        <v>38</v>
      </c>
      <c r="P228" t="s">
        <v>38</v>
      </c>
      <c r="Q22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7.9458409766298557</v>
      </c>
      <c r="R22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7.9458409766298557</v>
      </c>
      <c r="U228" s="107" t="str">
        <f>IFERROR(_xlfn.XLOOKUP("*"&amp;TRIM(Fusion[[#This Row],[Confinement Type]])&amp;"*", Map_Conf[From], Map_Conf[To], "", 2), "")</f>
        <v>MCF</v>
      </c>
      <c r="V228" s="108" t="str" cm="1">
        <f t="array" ref="V2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29" spans="1:22" hidden="1">
      <c r="A229">
        <v>496</v>
      </c>
      <c r="B229" t="s">
        <v>462</v>
      </c>
      <c r="C229" t="s">
        <v>61</v>
      </c>
      <c r="D229" t="s">
        <v>62</v>
      </c>
      <c r="E229">
        <v>1200</v>
      </c>
      <c r="F229" t="s">
        <v>116</v>
      </c>
      <c r="G229" t="s">
        <v>52</v>
      </c>
      <c r="H229" t="s">
        <v>33</v>
      </c>
      <c r="I229">
        <v>5000000</v>
      </c>
      <c r="J229" t="s">
        <v>34</v>
      </c>
      <c r="K229">
        <v>1990</v>
      </c>
      <c r="L229" t="s">
        <v>55</v>
      </c>
      <c r="M229" t="s">
        <v>1113</v>
      </c>
      <c r="N229" t="s">
        <v>122</v>
      </c>
      <c r="O229" t="s">
        <v>38</v>
      </c>
      <c r="P229" t="s">
        <v>38</v>
      </c>
      <c r="Q22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8.0051963784748796</v>
      </c>
      <c r="R22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8.0051963784748796</v>
      </c>
      <c r="U229" s="107" t="str">
        <f>IFERROR(_xlfn.XLOOKUP("*"&amp;TRIM(Fusion[[#This Row],[Confinement Type]])&amp;"*", Map_Conf[From], Map_Conf[To], "", 2), "")</f>
        <v>MCF</v>
      </c>
      <c r="V229" s="108" t="str" cm="1">
        <f t="array" ref="V2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0" spans="1:22" hidden="1">
      <c r="A230">
        <v>142</v>
      </c>
      <c r="B230" t="s">
        <v>200</v>
      </c>
      <c r="C230" t="s">
        <v>61</v>
      </c>
      <c r="D230" t="s">
        <v>62</v>
      </c>
      <c r="E230">
        <v>1000</v>
      </c>
      <c r="F230" t="s">
        <v>115</v>
      </c>
      <c r="G230" t="s">
        <v>52</v>
      </c>
      <c r="H230" t="s">
        <v>76</v>
      </c>
      <c r="I230">
        <v>5.4</v>
      </c>
      <c r="J230" t="s">
        <v>77</v>
      </c>
      <c r="K230">
        <v>1999</v>
      </c>
      <c r="L230" t="s">
        <v>1123</v>
      </c>
      <c r="M230" t="s">
        <v>1120</v>
      </c>
      <c r="N230" t="s">
        <v>122</v>
      </c>
      <c r="O230" t="s">
        <v>38</v>
      </c>
      <c r="P230" t="s">
        <v>38</v>
      </c>
      <c r="Q23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8.1391224489795917</v>
      </c>
      <c r="R23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8.1391224489795917</v>
      </c>
      <c r="U230" s="107" t="str">
        <f>IFERROR(_xlfn.XLOOKUP("*"&amp;TRIM(Fusion[[#This Row],[Confinement Type]])&amp;"*", Map_Conf[From], Map_Conf[To], "", 2), "")</f>
        <v>MCF</v>
      </c>
      <c r="V230" s="108" t="str" cm="1">
        <f t="array" ref="V2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1" spans="1:22" hidden="1">
      <c r="B231" t="s">
        <v>797</v>
      </c>
      <c r="C231" t="s">
        <v>30</v>
      </c>
      <c r="D231" t="s">
        <v>798</v>
      </c>
      <c r="E231">
        <v>999</v>
      </c>
      <c r="F231" t="s">
        <v>493</v>
      </c>
      <c r="G231" t="s">
        <v>52</v>
      </c>
      <c r="H231" t="s">
        <v>33</v>
      </c>
      <c r="I231">
        <v>4560000</v>
      </c>
      <c r="J231" t="s">
        <v>34</v>
      </c>
      <c r="K231">
        <v>1991</v>
      </c>
      <c r="L231" t="s">
        <v>799</v>
      </c>
      <c r="M231" t="s">
        <v>802</v>
      </c>
      <c r="P231" t="s">
        <v>38</v>
      </c>
      <c r="Q23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8.4155221300595748</v>
      </c>
      <c r="R23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8.4155221300595748</v>
      </c>
      <c r="U231" s="107" t="str">
        <f>IFERROR(_xlfn.XLOOKUP("*"&amp;TRIM(Fusion[[#This Row],[Confinement Type]])&amp;"*", Map_Conf[From], Map_Conf[To], "", 2), "")</f>
        <v>ICF</v>
      </c>
      <c r="V231" s="108" t="str" cm="1">
        <f t="array" ref="V2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32" spans="1:22" hidden="1">
      <c r="A232">
        <v>556</v>
      </c>
      <c r="B232" t="s">
        <v>505</v>
      </c>
      <c r="C232" t="s">
        <v>61</v>
      </c>
      <c r="D232" t="s">
        <v>107</v>
      </c>
      <c r="E232">
        <v>1000</v>
      </c>
      <c r="F232" t="s">
        <v>115</v>
      </c>
      <c r="G232" t="s">
        <v>57</v>
      </c>
      <c r="H232" t="s">
        <v>76</v>
      </c>
      <c r="I232">
        <v>6.18</v>
      </c>
      <c r="J232" t="s">
        <v>77</v>
      </c>
      <c r="K232">
        <v>2003</v>
      </c>
      <c r="L232" t="s">
        <v>503</v>
      </c>
      <c r="M232" t="s">
        <v>504</v>
      </c>
      <c r="N232" t="s">
        <v>122</v>
      </c>
      <c r="O232" t="s">
        <v>38</v>
      </c>
      <c r="P232" t="s">
        <v>38</v>
      </c>
      <c r="Q23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8.4339198913043472</v>
      </c>
      <c r="R23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8.4339198913043472</v>
      </c>
      <c r="U232" s="107" t="str">
        <f>IFERROR(_xlfn.XLOOKUP("*"&amp;TRIM(Fusion[[#This Row],[Confinement Type]])&amp;"*", Map_Conf[From], Map_Conf[To], "", 2), "")</f>
        <v>MCF</v>
      </c>
      <c r="V232" s="108" t="str" cm="1">
        <f t="array" ref="V2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3" spans="1:22" hidden="1">
      <c r="A233">
        <v>195</v>
      </c>
      <c r="B233" t="s">
        <v>237</v>
      </c>
      <c r="C233" t="s">
        <v>61</v>
      </c>
      <c r="D233" t="s">
        <v>62</v>
      </c>
      <c r="E233">
        <v>1000</v>
      </c>
      <c r="F233" t="s">
        <v>670</v>
      </c>
      <c r="G233" t="s">
        <v>755</v>
      </c>
      <c r="H233" t="s">
        <v>76</v>
      </c>
      <c r="I233">
        <v>5.9</v>
      </c>
      <c r="J233" t="s">
        <v>77</v>
      </c>
      <c r="K233">
        <v>2000</v>
      </c>
      <c r="L233" t="s">
        <v>233</v>
      </c>
      <c r="M233" t="s">
        <v>241</v>
      </c>
      <c r="N233" t="s">
        <v>38</v>
      </c>
      <c r="O233" t="s">
        <v>38</v>
      </c>
      <c r="P233" t="s">
        <v>38</v>
      </c>
      <c r="Q23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8.6035499419279926</v>
      </c>
      <c r="R23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8.6035499419279926</v>
      </c>
      <c r="U233" s="107" t="str">
        <f>IFERROR(_xlfn.XLOOKUP("*"&amp;TRIM(Fusion[[#This Row],[Confinement Type]])&amp;"*", Map_Conf[From], Map_Conf[To], "", 2), "")</f>
        <v>MCF</v>
      </c>
      <c r="V233" s="108" t="str" cm="1">
        <f t="array" ref="V2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4" spans="1:22" hidden="1">
      <c r="A234">
        <v>197</v>
      </c>
      <c r="B234" t="s">
        <v>240</v>
      </c>
      <c r="C234" t="s">
        <v>61</v>
      </c>
      <c r="D234" t="s">
        <v>62</v>
      </c>
      <c r="E234">
        <v>1000</v>
      </c>
      <c r="F234" t="s">
        <v>670</v>
      </c>
      <c r="G234" t="s">
        <v>755</v>
      </c>
      <c r="H234" t="s">
        <v>76</v>
      </c>
      <c r="I234">
        <v>5.9</v>
      </c>
      <c r="J234" t="s">
        <v>77</v>
      </c>
      <c r="K234">
        <v>2000</v>
      </c>
      <c r="L234" t="s">
        <v>233</v>
      </c>
      <c r="M234" t="s">
        <v>241</v>
      </c>
      <c r="N234" t="s">
        <v>38</v>
      </c>
      <c r="O234" t="s">
        <v>38</v>
      </c>
      <c r="P234" t="s">
        <v>38</v>
      </c>
      <c r="Q23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8.6035499419279926</v>
      </c>
      <c r="R23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8.6035499419279926</v>
      </c>
      <c r="U234" s="107" t="str">
        <f>IFERROR(_xlfn.XLOOKUP("*"&amp;TRIM(Fusion[[#This Row],[Confinement Type]])&amp;"*", Map_Conf[From], Map_Conf[To], "", 2), "")</f>
        <v>MCF</v>
      </c>
      <c r="V234" s="108" t="str" cm="1">
        <f t="array" ref="V2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5" spans="1:22" hidden="1">
      <c r="A235">
        <v>227</v>
      </c>
      <c r="B235" t="s">
        <v>261</v>
      </c>
      <c r="C235" t="s">
        <v>61</v>
      </c>
      <c r="D235" t="s">
        <v>62</v>
      </c>
      <c r="E235">
        <v>1000</v>
      </c>
      <c r="F235" t="s">
        <v>115</v>
      </c>
      <c r="G235" t="s">
        <v>57</v>
      </c>
      <c r="H235" t="s">
        <v>33</v>
      </c>
      <c r="I235">
        <v>7500000</v>
      </c>
      <c r="J235" t="s">
        <v>34</v>
      </c>
      <c r="K235">
        <v>2010</v>
      </c>
      <c r="L235" t="s">
        <v>262</v>
      </c>
      <c r="M235" t="s">
        <v>263</v>
      </c>
      <c r="N235" t="s">
        <v>122</v>
      </c>
      <c r="O235" t="s">
        <v>38</v>
      </c>
      <c r="P235" t="s">
        <v>38</v>
      </c>
      <c r="Q23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8.6367836702498426</v>
      </c>
      <c r="R23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8.6367836702498426</v>
      </c>
      <c r="U235" s="107" t="str">
        <f>IFERROR(_xlfn.XLOOKUP("*"&amp;TRIM(Fusion[[#This Row],[Confinement Type]])&amp;"*", Map_Conf[From], Map_Conf[To], "", 2), "")</f>
        <v>MCF</v>
      </c>
      <c r="V235" s="108" t="str" cm="1">
        <f t="array" ref="V2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6" spans="1:22" hidden="1">
      <c r="B236" t="s">
        <v>795</v>
      </c>
      <c r="C236" t="s">
        <v>30</v>
      </c>
      <c r="D236" t="s">
        <v>796</v>
      </c>
      <c r="E236">
        <v>972</v>
      </c>
      <c r="F236" t="s">
        <v>493</v>
      </c>
      <c r="G236" t="s">
        <v>52</v>
      </c>
      <c r="H236" t="s">
        <v>33</v>
      </c>
      <c r="I236">
        <v>4560000</v>
      </c>
      <c r="J236" t="s">
        <v>34</v>
      </c>
      <c r="K236">
        <v>1991</v>
      </c>
      <c r="L236" t="s">
        <v>799</v>
      </c>
      <c r="M236" t="s">
        <v>802</v>
      </c>
      <c r="P236" t="s">
        <v>38</v>
      </c>
      <c r="Q23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8.6492866336723413</v>
      </c>
      <c r="R23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8.6492866336723413</v>
      </c>
      <c r="U236" s="107" t="str">
        <f>IFERROR(_xlfn.XLOOKUP("*"&amp;TRIM(Fusion[[#This Row],[Confinement Type]])&amp;"*", Map_Conf[From], Map_Conf[To], "", 2), "")</f>
        <v>ICF</v>
      </c>
      <c r="V236" s="108" t="str" cm="1">
        <f t="array" ref="V2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37" spans="1:22" hidden="1">
      <c r="A237">
        <v>338</v>
      </c>
      <c r="B237" t="s">
        <v>337</v>
      </c>
      <c r="C237" t="s">
        <v>61</v>
      </c>
      <c r="D237" t="s">
        <v>62</v>
      </c>
      <c r="E237">
        <v>500</v>
      </c>
      <c r="F237" t="s">
        <v>670</v>
      </c>
      <c r="G237" t="s">
        <v>32</v>
      </c>
      <c r="H237" t="s">
        <v>76</v>
      </c>
      <c r="I237">
        <v>7.6659000766589998</v>
      </c>
      <c r="J237" t="s">
        <v>77</v>
      </c>
      <c r="K237">
        <v>2010</v>
      </c>
      <c r="L237" t="s">
        <v>331</v>
      </c>
      <c r="M237" t="s">
        <v>725</v>
      </c>
      <c r="N237" t="s">
        <v>122</v>
      </c>
      <c r="O237" t="s">
        <v>38</v>
      </c>
      <c r="P237" t="s">
        <v>38</v>
      </c>
      <c r="Q23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8.8278294133140616</v>
      </c>
      <c r="R23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8.8278294133140616</v>
      </c>
      <c r="U237" s="107" t="str">
        <f>IFERROR(_xlfn.XLOOKUP("*"&amp;TRIM(Fusion[[#This Row],[Confinement Type]])&amp;"*", Map_Conf[From], Map_Conf[To], "", 2), "")</f>
        <v>MCF</v>
      </c>
      <c r="V237" s="108" t="str" cm="1">
        <f t="array" ref="V2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8" spans="1:22" hidden="1">
      <c r="A238">
        <v>343</v>
      </c>
      <c r="B238" t="s">
        <v>342</v>
      </c>
      <c r="C238" t="s">
        <v>61</v>
      </c>
      <c r="D238" t="s">
        <v>62</v>
      </c>
      <c r="E238">
        <v>500</v>
      </c>
      <c r="F238" t="s">
        <v>670</v>
      </c>
      <c r="G238" t="s">
        <v>32</v>
      </c>
      <c r="H238" t="s">
        <v>76</v>
      </c>
      <c r="I238">
        <v>7.6659000766589998</v>
      </c>
      <c r="J238" t="s">
        <v>77</v>
      </c>
      <c r="K238">
        <v>2010</v>
      </c>
      <c r="L238" t="s">
        <v>331</v>
      </c>
      <c r="M238" t="s">
        <v>725</v>
      </c>
      <c r="N238" t="s">
        <v>122</v>
      </c>
      <c r="O238" t="s">
        <v>38</v>
      </c>
      <c r="P238" t="s">
        <v>38</v>
      </c>
      <c r="Q23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8.8278294133140616</v>
      </c>
      <c r="R23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8.8278294133140616</v>
      </c>
      <c r="U238" s="107" t="str">
        <f>IFERROR(_xlfn.XLOOKUP("*"&amp;TRIM(Fusion[[#This Row],[Confinement Type]])&amp;"*", Map_Conf[From], Map_Conf[To], "", 2), "")</f>
        <v>MCF</v>
      </c>
      <c r="V238" s="108" t="str" cm="1">
        <f t="array" ref="V2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9" spans="1:22" hidden="1">
      <c r="A239">
        <v>298</v>
      </c>
      <c r="B239" t="s">
        <v>114</v>
      </c>
      <c r="C239" t="s">
        <v>61</v>
      </c>
      <c r="D239" t="s">
        <v>62</v>
      </c>
      <c r="E239">
        <v>1000</v>
      </c>
      <c r="F239" t="s">
        <v>115</v>
      </c>
      <c r="G239" t="s">
        <v>52</v>
      </c>
      <c r="H239" t="s">
        <v>76</v>
      </c>
      <c r="I239">
        <v>5</v>
      </c>
      <c r="J239" t="s">
        <v>77</v>
      </c>
      <c r="K239">
        <v>1992</v>
      </c>
      <c r="L239" t="s">
        <v>294</v>
      </c>
      <c r="N239" t="s">
        <v>122</v>
      </c>
      <c r="O239" t="s">
        <v>38</v>
      </c>
      <c r="P239" t="s">
        <v>38</v>
      </c>
      <c r="Q23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8.9489308624376331</v>
      </c>
      <c r="R23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8.9489308624376331</v>
      </c>
      <c r="U239" s="107" t="str">
        <f>IFERROR(_xlfn.XLOOKUP("*"&amp;TRIM(Fusion[[#This Row],[Confinement Type]])&amp;"*", Map_Conf[From], Map_Conf[To], "", 2), "")</f>
        <v>MCF</v>
      </c>
      <c r="V239" s="108" t="str" cm="1">
        <f t="array" ref="V2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0" spans="1:22" hidden="1">
      <c r="A240">
        <v>557</v>
      </c>
      <c r="B240" t="s">
        <v>501</v>
      </c>
      <c r="C240" t="s">
        <v>61</v>
      </c>
      <c r="D240" t="s">
        <v>278</v>
      </c>
      <c r="E240">
        <v>1000</v>
      </c>
      <c r="F240" t="s">
        <v>115</v>
      </c>
      <c r="G240" t="s">
        <v>57</v>
      </c>
      <c r="H240" t="s">
        <v>76</v>
      </c>
      <c r="I240">
        <v>6.9</v>
      </c>
      <c r="J240" t="s">
        <v>77</v>
      </c>
      <c r="K240">
        <v>2003</v>
      </c>
      <c r="L240" t="s">
        <v>503</v>
      </c>
      <c r="M240" t="s">
        <v>504</v>
      </c>
      <c r="N240" t="s">
        <v>122</v>
      </c>
      <c r="O240" t="s">
        <v>38</v>
      </c>
      <c r="P240" t="s">
        <v>38</v>
      </c>
      <c r="Q24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9.4165125000000014</v>
      </c>
      <c r="R24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9.4165125000000014</v>
      </c>
      <c r="U240" s="107" t="str">
        <f>IFERROR(_xlfn.XLOOKUP("*"&amp;TRIM(Fusion[[#This Row],[Confinement Type]])&amp;"*", Map_Conf[From], Map_Conf[To], "", 2), "")</f>
        <v>MCF</v>
      </c>
      <c r="V240" s="108" t="str" cm="1">
        <f t="array" ref="V2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41" spans="1:22" hidden="1">
      <c r="A241">
        <v>578</v>
      </c>
      <c r="B241" t="s">
        <v>513</v>
      </c>
      <c r="C241" t="s">
        <v>61</v>
      </c>
      <c r="D241" t="s">
        <v>62</v>
      </c>
      <c r="E241">
        <v>1000</v>
      </c>
      <c r="F241" t="s">
        <v>115</v>
      </c>
      <c r="G241" t="s">
        <v>57</v>
      </c>
      <c r="H241" t="s">
        <v>76</v>
      </c>
      <c r="I241">
        <v>8.89</v>
      </c>
      <c r="J241" t="s">
        <v>77</v>
      </c>
      <c r="K241">
        <v>2011</v>
      </c>
      <c r="L241" t="s">
        <v>507</v>
      </c>
      <c r="M241" t="s">
        <v>504</v>
      </c>
      <c r="N241" t="s">
        <v>38</v>
      </c>
      <c r="O241" t="s">
        <v>38</v>
      </c>
      <c r="P241" t="s">
        <v>38</v>
      </c>
      <c r="Q24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9.9242071406025651</v>
      </c>
      <c r="R24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9.9242071406025651</v>
      </c>
      <c r="U241" s="107" t="str">
        <f>IFERROR(_xlfn.XLOOKUP("*"&amp;TRIM(Fusion[[#This Row],[Confinement Type]])&amp;"*", Map_Conf[From], Map_Conf[To], "", 2), "")</f>
        <v>MCF</v>
      </c>
      <c r="V241" s="108" t="str" cm="1">
        <f t="array" ref="V2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2" spans="1:22" hidden="1">
      <c r="A242">
        <v>382</v>
      </c>
      <c r="B242" t="s">
        <v>696</v>
      </c>
      <c r="C242" t="s">
        <v>61</v>
      </c>
      <c r="D242" t="s">
        <v>62</v>
      </c>
      <c r="E242">
        <v>1200</v>
      </c>
      <c r="F242" t="s">
        <v>116</v>
      </c>
      <c r="G242" t="s">
        <v>32</v>
      </c>
      <c r="H242" t="s">
        <v>76</v>
      </c>
      <c r="I242">
        <v>5.2</v>
      </c>
      <c r="J242" t="s">
        <v>77</v>
      </c>
      <c r="K242">
        <v>1990</v>
      </c>
      <c r="L242" t="s">
        <v>369</v>
      </c>
      <c r="M242" t="s">
        <v>375</v>
      </c>
      <c r="N242" t="s">
        <v>122</v>
      </c>
      <c r="O242" t="s">
        <v>38</v>
      </c>
      <c r="P242" t="s">
        <v>38</v>
      </c>
      <c r="Q24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9.9904850803366507</v>
      </c>
      <c r="R24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9.9904850803366507</v>
      </c>
      <c r="U242" s="107" t="str">
        <f>IFERROR(_xlfn.XLOOKUP("*"&amp;TRIM(Fusion[[#This Row],[Confinement Type]])&amp;"*", Map_Conf[From], Map_Conf[To], "", 2), "")</f>
        <v>MCF</v>
      </c>
      <c r="V242" s="108" t="str" cm="1">
        <f t="array" ref="V2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3" spans="1:22" hidden="1">
      <c r="A243">
        <v>182</v>
      </c>
      <c r="B243" t="s">
        <v>222</v>
      </c>
      <c r="C243" t="s">
        <v>61</v>
      </c>
      <c r="D243" t="s">
        <v>62</v>
      </c>
      <c r="E243">
        <v>953</v>
      </c>
      <c r="F243" t="s">
        <v>116</v>
      </c>
      <c r="G243" t="s">
        <v>32</v>
      </c>
      <c r="H243" t="s">
        <v>76</v>
      </c>
      <c r="I243">
        <v>9.81</v>
      </c>
      <c r="J243" t="s">
        <v>77</v>
      </c>
      <c r="K243">
        <v>2015</v>
      </c>
      <c r="L243" t="s">
        <v>223</v>
      </c>
      <c r="N243" t="s">
        <v>38</v>
      </c>
      <c r="O243" t="s">
        <v>38</v>
      </c>
      <c r="P243" t="s">
        <v>38</v>
      </c>
      <c r="Q24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10.393177156068974</v>
      </c>
      <c r="R24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10.393177156068974</v>
      </c>
      <c r="U243" s="107" t="str">
        <f>IFERROR(_xlfn.XLOOKUP("*"&amp;TRIM(Fusion[[#This Row],[Confinement Type]])&amp;"*", Map_Conf[From], Map_Conf[To], "", 2), "")</f>
        <v>MCF</v>
      </c>
      <c r="V243" s="108" t="str" cm="1">
        <f t="array" ref="V2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4" spans="1:22" hidden="1">
      <c r="A244">
        <v>335</v>
      </c>
      <c r="B244" t="s">
        <v>335</v>
      </c>
      <c r="C244" t="s">
        <v>61</v>
      </c>
      <c r="D244" t="s">
        <v>62</v>
      </c>
      <c r="E244">
        <v>250</v>
      </c>
      <c r="F244" t="s">
        <v>670</v>
      </c>
      <c r="G244" t="s">
        <v>57</v>
      </c>
      <c r="H244" t="s">
        <v>76</v>
      </c>
      <c r="I244">
        <v>9.332400093323999</v>
      </c>
      <c r="J244" t="s">
        <v>77</v>
      </c>
      <c r="K244">
        <v>2010</v>
      </c>
      <c r="L244" t="s">
        <v>331</v>
      </c>
      <c r="M244" t="s">
        <v>724</v>
      </c>
      <c r="N244" t="s">
        <v>122</v>
      </c>
      <c r="O244" t="s">
        <v>38</v>
      </c>
      <c r="P244" t="s">
        <v>38</v>
      </c>
      <c r="Q24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10.74692276403451</v>
      </c>
      <c r="R24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10.74692276403451</v>
      </c>
      <c r="U244" s="107" t="str">
        <f>IFERROR(_xlfn.XLOOKUP("*"&amp;TRIM(Fusion[[#This Row],[Confinement Type]])&amp;"*", Map_Conf[From], Map_Conf[To], "", 2), "")</f>
        <v>MCF</v>
      </c>
      <c r="V244" s="108" t="str" cm="1">
        <f t="array" ref="V2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5" spans="1:22" hidden="1">
      <c r="A245">
        <v>196</v>
      </c>
      <c r="B245" t="s">
        <v>239</v>
      </c>
      <c r="C245" t="s">
        <v>61</v>
      </c>
      <c r="D245" t="s">
        <v>62</v>
      </c>
      <c r="E245">
        <v>1000</v>
      </c>
      <c r="F245" t="s">
        <v>670</v>
      </c>
      <c r="G245" t="s">
        <v>52</v>
      </c>
      <c r="H245" t="s">
        <v>76</v>
      </c>
      <c r="I245">
        <v>7.7</v>
      </c>
      <c r="J245" t="s">
        <v>77</v>
      </c>
      <c r="K245">
        <v>2000</v>
      </c>
      <c r="L245" t="s">
        <v>233</v>
      </c>
      <c r="M245" t="s">
        <v>241</v>
      </c>
      <c r="N245" t="s">
        <v>38</v>
      </c>
      <c r="O245" t="s">
        <v>38</v>
      </c>
      <c r="P245" t="s">
        <v>38</v>
      </c>
      <c r="Q24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11.228361788617887</v>
      </c>
      <c r="R24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11.228361788617887</v>
      </c>
      <c r="U245" s="107" t="str">
        <f>IFERROR(_xlfn.XLOOKUP("*"&amp;TRIM(Fusion[[#This Row],[Confinement Type]])&amp;"*", Map_Conf[From], Map_Conf[To], "", 2), "")</f>
        <v>MCF</v>
      </c>
      <c r="V245" s="108" t="str" cm="1">
        <f t="array" ref="V2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6" spans="1:22" hidden="1">
      <c r="A246">
        <v>81</v>
      </c>
      <c r="B246" t="s">
        <v>114</v>
      </c>
      <c r="C246" t="s">
        <v>61</v>
      </c>
      <c r="D246" t="s">
        <v>62</v>
      </c>
      <c r="E246">
        <v>1200</v>
      </c>
      <c r="F246" t="s">
        <v>115</v>
      </c>
      <c r="G246" t="s">
        <v>52</v>
      </c>
      <c r="H246" t="s">
        <v>76</v>
      </c>
      <c r="I246">
        <v>5.9</v>
      </c>
      <c r="J246" t="s">
        <v>77</v>
      </c>
      <c r="K246">
        <v>1990</v>
      </c>
      <c r="L246" t="s">
        <v>140</v>
      </c>
      <c r="N246" t="s">
        <v>122</v>
      </c>
      <c r="O246" t="s">
        <v>38</v>
      </c>
      <c r="P246" t="s">
        <v>38</v>
      </c>
      <c r="Q24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11.33535807192043</v>
      </c>
      <c r="R24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11.33535807192043</v>
      </c>
      <c r="U246" s="107" t="str">
        <f>IFERROR(_xlfn.XLOOKUP("*"&amp;TRIM(Fusion[[#This Row],[Confinement Type]])&amp;"*", Map_Conf[From], Map_Conf[To], "", 2), "")</f>
        <v>MCF</v>
      </c>
      <c r="V246" s="108" t="str" cm="1">
        <f t="array" ref="V2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7" spans="1:22" hidden="1">
      <c r="A247">
        <v>194</v>
      </c>
      <c r="B247" t="s">
        <v>235</v>
      </c>
      <c r="C247" t="s">
        <v>61</v>
      </c>
      <c r="D247" t="s">
        <v>62</v>
      </c>
      <c r="E247">
        <v>1000</v>
      </c>
      <c r="F247" t="s">
        <v>670</v>
      </c>
      <c r="G247" t="s">
        <v>52</v>
      </c>
      <c r="H247" t="s">
        <v>76</v>
      </c>
      <c r="I247">
        <v>7.78</v>
      </c>
      <c r="J247" t="s">
        <v>77</v>
      </c>
      <c r="K247">
        <v>2000</v>
      </c>
      <c r="L247" t="s">
        <v>233</v>
      </c>
      <c r="M247" t="s">
        <v>241</v>
      </c>
      <c r="N247" t="s">
        <v>38</v>
      </c>
      <c r="O247" t="s">
        <v>38</v>
      </c>
      <c r="P247" t="s">
        <v>38</v>
      </c>
      <c r="Q24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11.345020092915217</v>
      </c>
      <c r="R24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11.345020092915217</v>
      </c>
      <c r="U247" s="107" t="str">
        <f>IFERROR(_xlfn.XLOOKUP("*"&amp;TRIM(Fusion[[#This Row],[Confinement Type]])&amp;"*", Map_Conf[From], Map_Conf[To], "", 2), "")</f>
        <v>MCF</v>
      </c>
      <c r="V247" s="108" t="str" cm="1">
        <f t="array" ref="V2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8" spans="1:22" hidden="1">
      <c r="A248">
        <v>265</v>
      </c>
      <c r="B248" t="s">
        <v>286</v>
      </c>
      <c r="C248" t="s">
        <v>61</v>
      </c>
      <c r="D248" t="s">
        <v>278</v>
      </c>
      <c r="E248">
        <v>1604</v>
      </c>
      <c r="F248" t="s">
        <v>115</v>
      </c>
      <c r="G248" t="s">
        <v>57</v>
      </c>
      <c r="H248" t="s">
        <v>76</v>
      </c>
      <c r="I248">
        <v>8.18</v>
      </c>
      <c r="J248" t="s">
        <v>77</v>
      </c>
      <c r="K248">
        <v>2002</v>
      </c>
      <c r="L248" t="s">
        <v>287</v>
      </c>
      <c r="N248" t="s">
        <v>122</v>
      </c>
      <c r="O248" t="s">
        <v>38</v>
      </c>
      <c r="P248" t="s">
        <v>38</v>
      </c>
      <c r="Q24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11.417761311839911</v>
      </c>
      <c r="R24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11.417761311839911</v>
      </c>
      <c r="U248" s="107" t="str">
        <f>IFERROR(_xlfn.XLOOKUP("*"&amp;TRIM(Fusion[[#This Row],[Confinement Type]])&amp;"*", Map_Conf[From], Map_Conf[To], "", 2), "")</f>
        <v>MCF</v>
      </c>
      <c r="V248" s="108" t="str" cm="1">
        <f t="array" ref="V2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49" spans="1:22" hidden="1">
      <c r="A249">
        <v>266</v>
      </c>
      <c r="B249" t="s">
        <v>286</v>
      </c>
      <c r="C249" t="s">
        <v>61</v>
      </c>
      <c r="D249" t="s">
        <v>278</v>
      </c>
      <c r="E249">
        <v>1601</v>
      </c>
      <c r="F249" t="s">
        <v>115</v>
      </c>
      <c r="G249" t="s">
        <v>57</v>
      </c>
      <c r="H249" t="s">
        <v>76</v>
      </c>
      <c r="I249">
        <v>8.19</v>
      </c>
      <c r="J249" t="s">
        <v>77</v>
      </c>
      <c r="K249">
        <v>2002</v>
      </c>
      <c r="L249" t="s">
        <v>287</v>
      </c>
      <c r="N249" t="s">
        <v>122</v>
      </c>
      <c r="O249" t="s">
        <v>38</v>
      </c>
      <c r="P249" t="s">
        <v>38</v>
      </c>
      <c r="Q24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11.431719455252917</v>
      </c>
      <c r="R24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11.431719455252917</v>
      </c>
      <c r="U249" s="107" t="str">
        <f>IFERROR(_xlfn.XLOOKUP("*"&amp;TRIM(Fusion[[#This Row],[Confinement Type]])&amp;"*", Map_Conf[From], Map_Conf[To], "", 2), "")</f>
        <v>MCF</v>
      </c>
      <c r="V249" s="108" t="str" cm="1">
        <f t="array" ref="V2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50" spans="1:22" hidden="1">
      <c r="A250">
        <v>267</v>
      </c>
      <c r="B250" t="s">
        <v>286</v>
      </c>
      <c r="C250" t="s">
        <v>61</v>
      </c>
      <c r="D250" t="s">
        <v>278</v>
      </c>
      <c r="E250">
        <v>1598</v>
      </c>
      <c r="F250" t="s">
        <v>115</v>
      </c>
      <c r="G250" t="s">
        <v>57</v>
      </c>
      <c r="H250" t="s">
        <v>76</v>
      </c>
      <c r="I250">
        <v>8.2100000000000009</v>
      </c>
      <c r="J250" t="s">
        <v>77</v>
      </c>
      <c r="K250">
        <v>2002</v>
      </c>
      <c r="L250" t="s">
        <v>287</v>
      </c>
      <c r="N250" t="s">
        <v>122</v>
      </c>
      <c r="O250" t="s">
        <v>38</v>
      </c>
      <c r="P250" t="s">
        <v>38</v>
      </c>
      <c r="Q25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11.459635742078934</v>
      </c>
      <c r="R25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11.459635742078934</v>
      </c>
      <c r="U250" s="107" t="str">
        <f>IFERROR(_xlfn.XLOOKUP("*"&amp;TRIM(Fusion[[#This Row],[Confinement Type]])&amp;"*", Map_Conf[From], Map_Conf[To], "", 2), "")</f>
        <v>MCF</v>
      </c>
      <c r="V250" s="108" t="str" cm="1">
        <f t="array" ref="V2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51" spans="1:22" hidden="1">
      <c r="A251">
        <v>268</v>
      </c>
      <c r="B251" t="s">
        <v>286</v>
      </c>
      <c r="C251" t="s">
        <v>61</v>
      </c>
      <c r="D251" t="s">
        <v>278</v>
      </c>
      <c r="E251">
        <v>1598</v>
      </c>
      <c r="F251" t="s">
        <v>115</v>
      </c>
      <c r="G251" t="s">
        <v>57</v>
      </c>
      <c r="H251" t="s">
        <v>76</v>
      </c>
      <c r="I251">
        <v>8.24</v>
      </c>
      <c r="J251" t="s">
        <v>77</v>
      </c>
      <c r="K251">
        <v>2002</v>
      </c>
      <c r="L251" t="s">
        <v>287</v>
      </c>
      <c r="N251" t="s">
        <v>122</v>
      </c>
      <c r="O251" t="s">
        <v>38</v>
      </c>
      <c r="P251" t="s">
        <v>38</v>
      </c>
      <c r="Q25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11.501510172317955</v>
      </c>
      <c r="R25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11.501510172317955</v>
      </c>
      <c r="U251" s="107" t="str">
        <f>IFERROR(_xlfn.XLOOKUP("*"&amp;TRIM(Fusion[[#This Row],[Confinement Type]])&amp;"*", Map_Conf[From], Map_Conf[To], "", 2), "")</f>
        <v>MCF</v>
      </c>
      <c r="V251" s="108" t="str" cm="1">
        <f t="array" ref="V2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52" spans="1:22" hidden="1">
      <c r="A252">
        <v>301</v>
      </c>
      <c r="B252" t="s">
        <v>304</v>
      </c>
      <c r="C252" t="s">
        <v>61</v>
      </c>
      <c r="D252" t="s">
        <v>62</v>
      </c>
      <c r="E252">
        <v>1000</v>
      </c>
      <c r="F252" t="s">
        <v>115</v>
      </c>
      <c r="G252" t="s">
        <v>52</v>
      </c>
      <c r="H252" t="s">
        <v>76</v>
      </c>
      <c r="I252">
        <v>6.6</v>
      </c>
      <c r="J252" t="s">
        <v>77</v>
      </c>
      <c r="K252">
        <v>1992</v>
      </c>
      <c r="L252" t="s">
        <v>294</v>
      </c>
      <c r="N252" t="s">
        <v>122</v>
      </c>
      <c r="O252" t="s">
        <v>38</v>
      </c>
      <c r="P252" t="s">
        <v>38</v>
      </c>
      <c r="Q25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11.812588738417675</v>
      </c>
      <c r="R25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11.812588738417675</v>
      </c>
      <c r="U252" s="107" t="str">
        <f>IFERROR(_xlfn.XLOOKUP("*"&amp;TRIM(Fusion[[#This Row],[Confinement Type]])&amp;"*", Map_Conf[From], Map_Conf[To], "", 2), "")</f>
        <v>MCF</v>
      </c>
      <c r="V252" s="108" t="str" cm="1">
        <f t="array" ref="V2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3" spans="1:22" hidden="1">
      <c r="A253">
        <v>129</v>
      </c>
      <c r="B253" t="s">
        <v>183</v>
      </c>
      <c r="C253" t="s">
        <v>61</v>
      </c>
      <c r="D253" t="s">
        <v>62</v>
      </c>
      <c r="E253">
        <v>1200</v>
      </c>
      <c r="F253" t="s">
        <v>115</v>
      </c>
      <c r="G253" t="s">
        <v>52</v>
      </c>
      <c r="H253" t="s">
        <v>33</v>
      </c>
      <c r="I253">
        <v>6220000</v>
      </c>
      <c r="J253" t="s">
        <v>34</v>
      </c>
      <c r="K253">
        <v>1986</v>
      </c>
      <c r="L253" t="s">
        <v>147</v>
      </c>
      <c r="M253" t="s">
        <v>691</v>
      </c>
      <c r="N253" t="s">
        <v>122</v>
      </c>
      <c r="O253" t="s">
        <v>38</v>
      </c>
      <c r="P253" t="s">
        <v>38</v>
      </c>
      <c r="Q25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11.87565039537713</v>
      </c>
      <c r="R25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11.87565039537713</v>
      </c>
      <c r="U253" s="107" t="str">
        <f>IFERROR(_xlfn.XLOOKUP("*"&amp;TRIM(Fusion[[#This Row],[Confinement Type]])&amp;"*", Map_Conf[From], Map_Conf[To], "", 2), "")</f>
        <v>MCF</v>
      </c>
      <c r="V253" s="108" t="str" cm="1">
        <f t="array" ref="V2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4" spans="1:22" hidden="1">
      <c r="A254">
        <v>38</v>
      </c>
      <c r="B254" t="s">
        <v>114</v>
      </c>
      <c r="C254" t="s">
        <v>61</v>
      </c>
      <c r="D254" t="s">
        <v>62</v>
      </c>
      <c r="E254">
        <v>1000</v>
      </c>
      <c r="F254" t="s">
        <v>115</v>
      </c>
      <c r="G254" t="s">
        <v>52</v>
      </c>
      <c r="H254" t="s">
        <v>76</v>
      </c>
      <c r="I254">
        <v>5.6</v>
      </c>
      <c r="J254" t="s">
        <v>77</v>
      </c>
      <c r="K254">
        <v>1988</v>
      </c>
      <c r="L254" t="s">
        <v>597</v>
      </c>
      <c r="N254" t="s">
        <v>38</v>
      </c>
      <c r="O254" t="s">
        <v>38</v>
      </c>
      <c r="P254" t="s">
        <v>38</v>
      </c>
      <c r="Q25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11.886721893491123</v>
      </c>
      <c r="R25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11.886721893491123</v>
      </c>
      <c r="U254" s="107" t="str">
        <f>IFERROR(_xlfn.XLOOKUP("*"&amp;TRIM(Fusion[[#This Row],[Confinement Type]])&amp;"*", Map_Conf[From], Map_Conf[To], "", 2), "")</f>
        <v>MCF</v>
      </c>
      <c r="V254" s="108" t="str" cm="1">
        <f t="array" ref="V2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5" spans="1:22" hidden="1">
      <c r="A255">
        <v>555</v>
      </c>
      <c r="B255" t="s">
        <v>497</v>
      </c>
      <c r="C255" t="s">
        <v>61</v>
      </c>
      <c r="D255" t="s">
        <v>62</v>
      </c>
      <c r="E255">
        <v>1000</v>
      </c>
      <c r="F255" t="s">
        <v>115</v>
      </c>
      <c r="G255" t="s">
        <v>57</v>
      </c>
      <c r="H255" t="s">
        <v>76</v>
      </c>
      <c r="I255">
        <v>8.89</v>
      </c>
      <c r="J255" t="s">
        <v>77</v>
      </c>
      <c r="K255">
        <v>2003</v>
      </c>
      <c r="L255" t="s">
        <v>503</v>
      </c>
      <c r="M255" t="s">
        <v>504</v>
      </c>
      <c r="N255" t="s">
        <v>122</v>
      </c>
      <c r="O255" t="s">
        <v>38</v>
      </c>
      <c r="P255" t="s">
        <v>38</v>
      </c>
      <c r="Q25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12.132289293478262</v>
      </c>
      <c r="R25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12.132289293478262</v>
      </c>
      <c r="U255" s="107" t="str">
        <f>IFERROR(_xlfn.XLOOKUP("*"&amp;TRIM(Fusion[[#This Row],[Confinement Type]])&amp;"*", Map_Conf[From], Map_Conf[To], "", 2), "")</f>
        <v>MCF</v>
      </c>
      <c r="V255" s="108" t="str" cm="1">
        <f t="array" ref="V2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6" spans="1:22" hidden="1">
      <c r="A256">
        <v>162</v>
      </c>
      <c r="B256" t="s">
        <v>207</v>
      </c>
      <c r="C256" t="s">
        <v>61</v>
      </c>
      <c r="D256" t="s">
        <v>62</v>
      </c>
      <c r="E256">
        <v>1000</v>
      </c>
      <c r="F256" t="s">
        <v>116</v>
      </c>
      <c r="G256" t="s">
        <v>52</v>
      </c>
      <c r="H256" t="s">
        <v>76</v>
      </c>
      <c r="I256">
        <v>6.87</v>
      </c>
      <c r="J256" t="s">
        <v>77</v>
      </c>
      <c r="K256">
        <v>1992</v>
      </c>
      <c r="L256" t="s">
        <v>208</v>
      </c>
      <c r="N256" t="s">
        <v>122</v>
      </c>
      <c r="O256" t="s">
        <v>38</v>
      </c>
      <c r="P256" t="s">
        <v>38</v>
      </c>
      <c r="Q25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12.295831004989308</v>
      </c>
      <c r="R25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12.295831004989308</v>
      </c>
      <c r="U256" s="107" t="str">
        <f>IFERROR(_xlfn.XLOOKUP("*"&amp;TRIM(Fusion[[#This Row],[Confinement Type]])&amp;"*", Map_Conf[From], Map_Conf[To], "", 2), "")</f>
        <v>MCF</v>
      </c>
      <c r="V256" s="108" t="str" cm="1">
        <f t="array" ref="V2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7" spans="1:22" hidden="1">
      <c r="A257">
        <v>438</v>
      </c>
      <c r="B257" t="s">
        <v>232</v>
      </c>
      <c r="C257" t="s">
        <v>61</v>
      </c>
      <c r="D257" t="s">
        <v>62</v>
      </c>
      <c r="E257">
        <v>1000</v>
      </c>
      <c r="F257" t="s">
        <v>116</v>
      </c>
      <c r="G257" t="s">
        <v>52</v>
      </c>
      <c r="H257" t="s">
        <v>76</v>
      </c>
      <c r="I257">
        <v>6.87</v>
      </c>
      <c r="J257" t="s">
        <v>77</v>
      </c>
      <c r="K257">
        <v>1992</v>
      </c>
      <c r="L257" t="s">
        <v>420</v>
      </c>
      <c r="N257" t="s">
        <v>122</v>
      </c>
      <c r="O257" t="s">
        <v>38</v>
      </c>
      <c r="P257" t="s">
        <v>38</v>
      </c>
      <c r="Q25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12.295831004989308</v>
      </c>
      <c r="R25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12.295831004989308</v>
      </c>
      <c r="U257" s="107" t="str">
        <f>IFERROR(_xlfn.XLOOKUP("*"&amp;TRIM(Fusion[[#This Row],[Confinement Type]])&amp;"*", Map_Conf[From], Map_Conf[To], "", 2), "")</f>
        <v>MCF</v>
      </c>
      <c r="V257" s="108" t="str" cm="1">
        <f t="array" ref="V2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8" spans="1:22" hidden="1">
      <c r="A258">
        <v>59</v>
      </c>
      <c r="B258" t="s">
        <v>126</v>
      </c>
      <c r="C258" t="s">
        <v>61</v>
      </c>
      <c r="D258" t="s">
        <v>62</v>
      </c>
      <c r="E258">
        <v>1000</v>
      </c>
      <c r="F258" t="s">
        <v>115</v>
      </c>
      <c r="G258" t="s">
        <v>52</v>
      </c>
      <c r="H258" t="s">
        <v>76</v>
      </c>
      <c r="I258">
        <v>6</v>
      </c>
      <c r="J258" t="s">
        <v>77</v>
      </c>
      <c r="K258">
        <v>1988</v>
      </c>
      <c r="L258" t="s">
        <v>120</v>
      </c>
      <c r="M258" t="s">
        <v>1121</v>
      </c>
      <c r="N258" t="s">
        <v>122</v>
      </c>
      <c r="O258" t="s">
        <v>122</v>
      </c>
      <c r="P258" t="s">
        <v>38</v>
      </c>
      <c r="Q25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12.735773457311918</v>
      </c>
      <c r="R25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12.735773457311918</v>
      </c>
      <c r="U258" s="107" t="str">
        <f>IFERROR(_xlfn.XLOOKUP("*"&amp;TRIM(Fusion[[#This Row],[Confinement Type]])&amp;"*", Map_Conf[From], Map_Conf[To], "", 2), "")</f>
        <v>MCF</v>
      </c>
      <c r="V258" s="108" t="str" cm="1">
        <f t="array" ref="V2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9" spans="1:22" hidden="1">
      <c r="A259">
        <v>64</v>
      </c>
      <c r="B259" t="s">
        <v>114</v>
      </c>
      <c r="C259" t="s">
        <v>61</v>
      </c>
      <c r="D259" t="s">
        <v>62</v>
      </c>
      <c r="E259">
        <v>1000</v>
      </c>
      <c r="F259" t="s">
        <v>115</v>
      </c>
      <c r="G259" t="s">
        <v>52</v>
      </c>
      <c r="H259" t="s">
        <v>76</v>
      </c>
      <c r="I259">
        <v>6</v>
      </c>
      <c r="J259" t="s">
        <v>77</v>
      </c>
      <c r="K259">
        <v>1988</v>
      </c>
      <c r="L259" t="s">
        <v>120</v>
      </c>
      <c r="M259" t="s">
        <v>127</v>
      </c>
      <c r="N259" t="s">
        <v>122</v>
      </c>
      <c r="O259" t="s">
        <v>122</v>
      </c>
      <c r="P259" t="s">
        <v>38</v>
      </c>
      <c r="Q25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12.735773457311918</v>
      </c>
      <c r="R25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12.735773457311918</v>
      </c>
      <c r="U259" s="107" t="str">
        <f>IFERROR(_xlfn.XLOOKUP("*"&amp;TRIM(Fusion[[#This Row],[Confinement Type]])&amp;"*", Map_Conf[From], Map_Conf[To], "", 2), "")</f>
        <v>MCF</v>
      </c>
      <c r="V259" s="108" t="str" cm="1">
        <f t="array" ref="V2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0" spans="1:22" hidden="1">
      <c r="A260">
        <v>378</v>
      </c>
      <c r="B260" t="s">
        <v>695</v>
      </c>
      <c r="C260" t="s">
        <v>61</v>
      </c>
      <c r="D260" t="s">
        <v>62</v>
      </c>
      <c r="E260">
        <v>1200</v>
      </c>
      <c r="F260" t="s">
        <v>116</v>
      </c>
      <c r="G260" t="s">
        <v>52</v>
      </c>
      <c r="H260" t="s">
        <v>76</v>
      </c>
      <c r="I260">
        <v>6.7</v>
      </c>
      <c r="J260" t="s">
        <v>77</v>
      </c>
      <c r="K260">
        <v>1990</v>
      </c>
      <c r="L260" t="s">
        <v>369</v>
      </c>
      <c r="N260" t="s">
        <v>122</v>
      </c>
      <c r="O260" t="s">
        <v>38</v>
      </c>
      <c r="P260" t="s">
        <v>38</v>
      </c>
      <c r="Q26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12.872355776587607</v>
      </c>
      <c r="R26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12.872355776587607</v>
      </c>
      <c r="U260" s="107" t="str">
        <f>IFERROR(_xlfn.XLOOKUP("*"&amp;TRIM(Fusion[[#This Row],[Confinement Type]])&amp;"*", Map_Conf[From], Map_Conf[To], "", 2), "")</f>
        <v>MCF</v>
      </c>
      <c r="V260" s="108" t="str" cm="1">
        <f t="array" ref="V2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1" spans="1:22" hidden="1">
      <c r="A261">
        <v>88</v>
      </c>
      <c r="B261" t="s">
        <v>146</v>
      </c>
      <c r="C261" t="s">
        <v>61</v>
      </c>
      <c r="D261" t="s">
        <v>62</v>
      </c>
      <c r="E261">
        <v>1200</v>
      </c>
      <c r="F261" t="s">
        <v>690</v>
      </c>
      <c r="G261" t="s">
        <v>52</v>
      </c>
      <c r="H261" t="s">
        <v>33</v>
      </c>
      <c r="I261">
        <v>6830000</v>
      </c>
      <c r="J261" t="s">
        <v>34</v>
      </c>
      <c r="K261">
        <v>1986</v>
      </c>
      <c r="L261" t="s">
        <v>147</v>
      </c>
      <c r="M261" t="s">
        <v>689</v>
      </c>
      <c r="N261" t="s">
        <v>122</v>
      </c>
      <c r="O261" t="s">
        <v>38</v>
      </c>
      <c r="P261" t="s">
        <v>38</v>
      </c>
      <c r="Q26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13.040304212287106</v>
      </c>
      <c r="R26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13.040304212287106</v>
      </c>
      <c r="U261" s="107" t="str">
        <f>IFERROR(_xlfn.XLOOKUP("*"&amp;TRIM(Fusion[[#This Row],[Confinement Type]])&amp;"*", Map_Conf[From], Map_Conf[To], "", 2), "")</f>
        <v>MCF</v>
      </c>
      <c r="V261" s="108" t="str" cm="1">
        <f t="array" ref="V2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2" spans="1:22" hidden="1">
      <c r="A262">
        <v>95</v>
      </c>
      <c r="B262" t="s">
        <v>165</v>
      </c>
      <c r="C262" t="s">
        <v>61</v>
      </c>
      <c r="D262" t="s">
        <v>62</v>
      </c>
      <c r="E262">
        <v>1200</v>
      </c>
      <c r="F262" t="s">
        <v>690</v>
      </c>
      <c r="G262" t="s">
        <v>52</v>
      </c>
      <c r="H262" t="s">
        <v>33</v>
      </c>
      <c r="I262">
        <v>6830000</v>
      </c>
      <c r="J262" t="s">
        <v>34</v>
      </c>
      <c r="K262">
        <v>1986</v>
      </c>
      <c r="L262" t="s">
        <v>147</v>
      </c>
      <c r="M262" t="s">
        <v>689</v>
      </c>
      <c r="N262" t="s">
        <v>122</v>
      </c>
      <c r="O262" t="s">
        <v>38</v>
      </c>
      <c r="P262" t="s">
        <v>38</v>
      </c>
      <c r="Q26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13.040304212287106</v>
      </c>
      <c r="R26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13.040304212287106</v>
      </c>
      <c r="U262" s="107" t="str">
        <f>IFERROR(_xlfn.XLOOKUP("*"&amp;TRIM(Fusion[[#This Row],[Confinement Type]])&amp;"*", Map_Conf[From], Map_Conf[To], "", 2), "")</f>
        <v>MCF</v>
      </c>
      <c r="V262" s="108" t="str" cm="1">
        <f t="array" ref="V2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3" spans="1:22" hidden="1">
      <c r="A263">
        <v>100</v>
      </c>
      <c r="B263" t="s">
        <v>170</v>
      </c>
      <c r="C263" t="s">
        <v>61</v>
      </c>
      <c r="D263" t="s">
        <v>113</v>
      </c>
      <c r="E263">
        <v>1200</v>
      </c>
      <c r="F263" t="s">
        <v>690</v>
      </c>
      <c r="G263" t="s">
        <v>52</v>
      </c>
      <c r="H263" t="s">
        <v>33</v>
      </c>
      <c r="I263">
        <v>6830000</v>
      </c>
      <c r="J263" t="s">
        <v>34</v>
      </c>
      <c r="K263">
        <v>1986</v>
      </c>
      <c r="L263" t="s">
        <v>147</v>
      </c>
      <c r="M263" t="s">
        <v>689</v>
      </c>
      <c r="N263" t="s">
        <v>122</v>
      </c>
      <c r="O263" t="s">
        <v>38</v>
      </c>
      <c r="P263" t="s">
        <v>38</v>
      </c>
      <c r="Q26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13.040304212287106</v>
      </c>
      <c r="R26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13.040304212287106</v>
      </c>
      <c r="U263" s="107" t="str">
        <f>IFERROR(_xlfn.XLOOKUP("*"&amp;TRIM(Fusion[[#This Row],[Confinement Type]])&amp;"*", Map_Conf[From], Map_Conf[To], "", 2), "")</f>
        <v>MCF</v>
      </c>
      <c r="V263" s="108" t="str" cm="1">
        <f t="array" ref="V2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264" spans="1:22" hidden="1">
      <c r="A264">
        <v>110</v>
      </c>
      <c r="B264" t="s">
        <v>172</v>
      </c>
      <c r="C264" t="s">
        <v>61</v>
      </c>
      <c r="D264" t="s">
        <v>113</v>
      </c>
      <c r="E264">
        <v>1200</v>
      </c>
      <c r="F264" t="s">
        <v>690</v>
      </c>
      <c r="G264" t="s">
        <v>52</v>
      </c>
      <c r="H264" t="s">
        <v>33</v>
      </c>
      <c r="I264">
        <v>6830000</v>
      </c>
      <c r="J264" t="s">
        <v>34</v>
      </c>
      <c r="K264">
        <v>1986</v>
      </c>
      <c r="L264" t="s">
        <v>147</v>
      </c>
      <c r="M264" t="s">
        <v>689</v>
      </c>
      <c r="N264" t="s">
        <v>122</v>
      </c>
      <c r="O264" t="s">
        <v>38</v>
      </c>
      <c r="P264" t="s">
        <v>38</v>
      </c>
      <c r="Q26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13.040304212287106</v>
      </c>
      <c r="R26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13.040304212287106</v>
      </c>
      <c r="U264" s="107" t="str">
        <f>IFERROR(_xlfn.XLOOKUP("*"&amp;TRIM(Fusion[[#This Row],[Confinement Type]])&amp;"*", Map_Conf[From], Map_Conf[To], "", 2), "")</f>
        <v>MCF</v>
      </c>
      <c r="V264" s="108" t="str" cm="1">
        <f t="array" ref="V2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265" spans="1:22" hidden="1">
      <c r="A265">
        <v>115</v>
      </c>
      <c r="B265" t="s">
        <v>174</v>
      </c>
      <c r="C265" t="s">
        <v>61</v>
      </c>
      <c r="D265" t="s">
        <v>62</v>
      </c>
      <c r="E265">
        <v>1200</v>
      </c>
      <c r="F265" t="s">
        <v>690</v>
      </c>
      <c r="G265" t="s">
        <v>52</v>
      </c>
      <c r="H265" t="s">
        <v>33</v>
      </c>
      <c r="I265">
        <v>6830000</v>
      </c>
      <c r="J265" t="s">
        <v>34</v>
      </c>
      <c r="K265">
        <v>1986</v>
      </c>
      <c r="L265" t="s">
        <v>147</v>
      </c>
      <c r="M265" t="s">
        <v>689</v>
      </c>
      <c r="N265" t="s">
        <v>122</v>
      </c>
      <c r="O265" t="s">
        <v>38</v>
      </c>
      <c r="P265" t="s">
        <v>38</v>
      </c>
      <c r="Q26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13.040304212287106</v>
      </c>
      <c r="R26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13.040304212287106</v>
      </c>
      <c r="U265" s="107" t="str">
        <f>IFERROR(_xlfn.XLOOKUP("*"&amp;TRIM(Fusion[[#This Row],[Confinement Type]])&amp;"*", Map_Conf[From], Map_Conf[To], "", 2), "")</f>
        <v>MCF</v>
      </c>
      <c r="V265" s="108" t="str" cm="1">
        <f t="array" ref="V2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6" spans="1:22" hidden="1">
      <c r="A266">
        <v>119</v>
      </c>
      <c r="B266" t="s">
        <v>176</v>
      </c>
      <c r="C266" t="s">
        <v>61</v>
      </c>
      <c r="D266" t="s">
        <v>62</v>
      </c>
      <c r="E266">
        <v>1200</v>
      </c>
      <c r="F266" t="s">
        <v>690</v>
      </c>
      <c r="G266" t="s">
        <v>52</v>
      </c>
      <c r="H266" t="s">
        <v>33</v>
      </c>
      <c r="I266">
        <v>6830000</v>
      </c>
      <c r="J266" t="s">
        <v>34</v>
      </c>
      <c r="K266">
        <v>1986</v>
      </c>
      <c r="L266" t="s">
        <v>147</v>
      </c>
      <c r="M266" t="s">
        <v>689</v>
      </c>
      <c r="N266" t="s">
        <v>122</v>
      </c>
      <c r="O266" t="s">
        <v>38</v>
      </c>
      <c r="P266" t="s">
        <v>38</v>
      </c>
      <c r="Q26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13.040304212287106</v>
      </c>
      <c r="R26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13.040304212287106</v>
      </c>
      <c r="U266" s="107" t="str">
        <f>IFERROR(_xlfn.XLOOKUP("*"&amp;TRIM(Fusion[[#This Row],[Confinement Type]])&amp;"*", Map_Conf[From], Map_Conf[To], "", 2), "")</f>
        <v>MCF</v>
      </c>
      <c r="V266" s="108" t="str" cm="1">
        <f t="array" ref="V2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7" spans="1:22" hidden="1">
      <c r="A267">
        <v>562</v>
      </c>
      <c r="B267" t="s">
        <v>506</v>
      </c>
      <c r="C267" t="s">
        <v>61</v>
      </c>
      <c r="D267" t="s">
        <v>62</v>
      </c>
      <c r="E267">
        <v>1000</v>
      </c>
      <c r="F267" t="s">
        <v>116</v>
      </c>
      <c r="G267" t="s">
        <v>57</v>
      </c>
      <c r="H267" t="s">
        <v>76</v>
      </c>
      <c r="I267">
        <v>11.7</v>
      </c>
      <c r="J267" t="s">
        <v>77</v>
      </c>
      <c r="K267">
        <v>2011</v>
      </c>
      <c r="L267" t="s">
        <v>507</v>
      </c>
      <c r="M267" t="s">
        <v>504</v>
      </c>
      <c r="N267" t="s">
        <v>38</v>
      </c>
      <c r="O267" t="s">
        <v>38</v>
      </c>
      <c r="P267" t="s">
        <v>38</v>
      </c>
      <c r="Q26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13.061105010691788</v>
      </c>
      <c r="R26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13.061105010691788</v>
      </c>
      <c r="U267" s="107" t="str">
        <f>IFERROR(_xlfn.XLOOKUP("*"&amp;TRIM(Fusion[[#This Row],[Confinement Type]])&amp;"*", Map_Conf[From], Map_Conf[To], "", 2), "")</f>
        <v>MCF</v>
      </c>
      <c r="V267" s="108" t="str" cm="1">
        <f t="array" ref="V2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8" spans="1:22" hidden="1">
      <c r="A268">
        <v>568</v>
      </c>
      <c r="B268" t="s">
        <v>508</v>
      </c>
      <c r="C268" t="s">
        <v>61</v>
      </c>
      <c r="D268" t="s">
        <v>62</v>
      </c>
      <c r="E268">
        <v>1000</v>
      </c>
      <c r="F268" t="s">
        <v>116</v>
      </c>
      <c r="G268" t="s">
        <v>57</v>
      </c>
      <c r="H268" t="s">
        <v>76</v>
      </c>
      <c r="I268">
        <v>11.9</v>
      </c>
      <c r="J268" t="s">
        <v>77</v>
      </c>
      <c r="K268">
        <v>2011</v>
      </c>
      <c r="L268" t="s">
        <v>507</v>
      </c>
      <c r="M268" t="s">
        <v>504</v>
      </c>
      <c r="N268" t="s">
        <v>38</v>
      </c>
      <c r="O268" t="s">
        <v>38</v>
      </c>
      <c r="P268" t="s">
        <v>38</v>
      </c>
      <c r="Q26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13.284371763011308</v>
      </c>
      <c r="R26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13.284371763011308</v>
      </c>
      <c r="U268" s="107" t="str">
        <f>IFERROR(_xlfn.XLOOKUP("*"&amp;TRIM(Fusion[[#This Row],[Confinement Type]])&amp;"*", Map_Conf[From], Map_Conf[To], "", 2), "")</f>
        <v>MCF</v>
      </c>
      <c r="V268" s="108" t="str" cm="1">
        <f t="array" ref="V2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9" spans="1:22" hidden="1">
      <c r="A269">
        <v>587</v>
      </c>
      <c r="B269" t="s">
        <v>515</v>
      </c>
      <c r="C269" t="s">
        <v>61</v>
      </c>
      <c r="D269" t="s">
        <v>278</v>
      </c>
      <c r="E269">
        <v>1000</v>
      </c>
      <c r="F269" t="s">
        <v>116</v>
      </c>
      <c r="G269" t="s">
        <v>57</v>
      </c>
      <c r="H269" t="s">
        <v>76</v>
      </c>
      <c r="I269">
        <v>11</v>
      </c>
      <c r="J269" t="s">
        <v>77</v>
      </c>
      <c r="K269">
        <v>2007</v>
      </c>
      <c r="L269" t="s">
        <v>507</v>
      </c>
      <c r="M269" t="s">
        <v>504</v>
      </c>
      <c r="N269" t="s">
        <v>38</v>
      </c>
      <c r="O269" t="s">
        <v>38</v>
      </c>
      <c r="P269" t="s">
        <v>38</v>
      </c>
      <c r="Q26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13.321840244620001</v>
      </c>
      <c r="R26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13.321840244620001</v>
      </c>
      <c r="U269" s="107" t="str">
        <f>IFERROR(_xlfn.XLOOKUP("*"&amp;TRIM(Fusion[[#This Row],[Confinement Type]])&amp;"*", Map_Conf[From], Map_Conf[To], "", 2), "")</f>
        <v>MCF</v>
      </c>
      <c r="V269" s="108" t="str" cm="1">
        <f t="array" ref="V2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70" spans="1:22" hidden="1">
      <c r="A270">
        <v>309</v>
      </c>
      <c r="B270" t="s">
        <v>304</v>
      </c>
      <c r="C270" t="s">
        <v>61</v>
      </c>
      <c r="D270" t="s">
        <v>62</v>
      </c>
      <c r="E270">
        <v>1000</v>
      </c>
      <c r="F270" t="s">
        <v>670</v>
      </c>
      <c r="G270" t="s">
        <v>52</v>
      </c>
      <c r="H270" t="s">
        <v>76</v>
      </c>
      <c r="I270">
        <v>7.5</v>
      </c>
      <c r="J270" t="s">
        <v>77</v>
      </c>
      <c r="K270">
        <v>1992</v>
      </c>
      <c r="L270" t="s">
        <v>294</v>
      </c>
      <c r="M270" t="s">
        <v>307</v>
      </c>
      <c r="N270" t="s">
        <v>122</v>
      </c>
      <c r="O270" t="s">
        <v>38</v>
      </c>
      <c r="P270" t="s">
        <v>38</v>
      </c>
      <c r="Q27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13.423396293656449</v>
      </c>
      <c r="R27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13.423396293656449</v>
      </c>
      <c r="U270" s="107" t="str">
        <f>IFERROR(_xlfn.XLOOKUP("*"&amp;TRIM(Fusion[[#This Row],[Confinement Type]])&amp;"*", Map_Conf[From], Map_Conf[To], "", 2), "")</f>
        <v>MCF</v>
      </c>
      <c r="V270" s="108" t="str" cm="1">
        <f t="array" ref="V2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1" spans="1:22" hidden="1">
      <c r="A271">
        <v>310</v>
      </c>
      <c r="B271" t="s">
        <v>114</v>
      </c>
      <c r="C271" t="s">
        <v>61</v>
      </c>
      <c r="D271" t="s">
        <v>62</v>
      </c>
      <c r="E271">
        <v>1000</v>
      </c>
      <c r="F271" t="s">
        <v>670</v>
      </c>
      <c r="G271" t="s">
        <v>52</v>
      </c>
      <c r="H271" t="s">
        <v>76</v>
      </c>
      <c r="I271">
        <v>7.5</v>
      </c>
      <c r="J271" t="s">
        <v>77</v>
      </c>
      <c r="K271">
        <v>1992</v>
      </c>
      <c r="L271" t="s">
        <v>294</v>
      </c>
      <c r="M271" t="s">
        <v>307</v>
      </c>
      <c r="N271" t="s">
        <v>122</v>
      </c>
      <c r="O271" t="s">
        <v>38</v>
      </c>
      <c r="P271" t="s">
        <v>38</v>
      </c>
      <c r="Q27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13.423396293656449</v>
      </c>
      <c r="R27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13.423396293656449</v>
      </c>
      <c r="U271" s="107" t="str">
        <f>IFERROR(_xlfn.XLOOKUP("*"&amp;TRIM(Fusion[[#This Row],[Confinement Type]])&amp;"*", Map_Conf[From], Map_Conf[To], "", 2), "")</f>
        <v>MCF</v>
      </c>
      <c r="V271" s="108" t="str" cm="1">
        <f t="array" ref="V2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2" spans="1:22" hidden="1">
      <c r="A272">
        <v>39</v>
      </c>
      <c r="B272" t="s">
        <v>114</v>
      </c>
      <c r="C272" t="s">
        <v>61</v>
      </c>
      <c r="D272" t="s">
        <v>62</v>
      </c>
      <c r="E272">
        <v>1000</v>
      </c>
      <c r="F272" t="s">
        <v>116</v>
      </c>
      <c r="G272" t="s">
        <v>52</v>
      </c>
      <c r="H272" t="s">
        <v>76</v>
      </c>
      <c r="I272">
        <v>6.7</v>
      </c>
      <c r="J272" t="s">
        <v>77</v>
      </c>
      <c r="K272">
        <v>1988</v>
      </c>
      <c r="L272" t="s">
        <v>597</v>
      </c>
      <c r="N272" t="s">
        <v>38</v>
      </c>
      <c r="O272" t="s">
        <v>38</v>
      </c>
      <c r="P272" t="s">
        <v>38</v>
      </c>
      <c r="Q27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14.221613693998309</v>
      </c>
      <c r="R27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14.221613693998309</v>
      </c>
      <c r="U272" s="107" t="str">
        <f>IFERROR(_xlfn.XLOOKUP("*"&amp;TRIM(Fusion[[#This Row],[Confinement Type]])&amp;"*", Map_Conf[From], Map_Conf[To], "", 2), "")</f>
        <v>MCF</v>
      </c>
      <c r="V272" s="108" t="str" cm="1">
        <f t="array" ref="V2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3" spans="1:22" hidden="1">
      <c r="A273">
        <v>80</v>
      </c>
      <c r="B273" t="s">
        <v>144</v>
      </c>
      <c r="C273" t="s">
        <v>61</v>
      </c>
      <c r="D273" t="s">
        <v>62</v>
      </c>
      <c r="E273">
        <v>1200</v>
      </c>
      <c r="F273" t="s">
        <v>115</v>
      </c>
      <c r="G273" t="s">
        <v>52</v>
      </c>
      <c r="H273" t="s">
        <v>76</v>
      </c>
      <c r="I273">
        <v>7.5</v>
      </c>
      <c r="J273" t="s">
        <v>77</v>
      </c>
      <c r="K273">
        <v>1990</v>
      </c>
      <c r="L273" t="s">
        <v>140</v>
      </c>
      <c r="M273" t="s">
        <v>145</v>
      </c>
      <c r="N273" t="s">
        <v>122</v>
      </c>
      <c r="O273" t="s">
        <v>38</v>
      </c>
      <c r="P273" t="s">
        <v>38</v>
      </c>
      <c r="Q27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14.409353481254783</v>
      </c>
      <c r="R27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14.409353481254783</v>
      </c>
      <c r="U273" s="107" t="str">
        <f>IFERROR(_xlfn.XLOOKUP("*"&amp;TRIM(Fusion[[#This Row],[Confinement Type]])&amp;"*", Map_Conf[From], Map_Conf[To], "", 2), "")</f>
        <v>MCF</v>
      </c>
      <c r="V273" s="108" t="str" cm="1">
        <f t="array" ref="V2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4" spans="1:22" hidden="1">
      <c r="A274">
        <v>183</v>
      </c>
      <c r="B274" t="s">
        <v>222</v>
      </c>
      <c r="C274" t="s">
        <v>61</v>
      </c>
      <c r="D274" t="s">
        <v>62</v>
      </c>
      <c r="E274">
        <v>953</v>
      </c>
      <c r="F274" t="s">
        <v>115</v>
      </c>
      <c r="G274" t="s">
        <v>32</v>
      </c>
      <c r="H274" t="s">
        <v>76</v>
      </c>
      <c r="I274">
        <v>13.61</v>
      </c>
      <c r="J274" t="s">
        <v>77</v>
      </c>
      <c r="K274">
        <v>2015</v>
      </c>
      <c r="L274" t="s">
        <v>223</v>
      </c>
      <c r="M274" t="s">
        <v>224</v>
      </c>
      <c r="N274" t="s">
        <v>38</v>
      </c>
      <c r="O274" t="s">
        <v>38</v>
      </c>
      <c r="P274" t="s">
        <v>38</v>
      </c>
      <c r="Q27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14.419076564128311</v>
      </c>
      <c r="R27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14.419076564128311</v>
      </c>
      <c r="U274" s="107" t="str">
        <f>IFERROR(_xlfn.XLOOKUP("*"&amp;TRIM(Fusion[[#This Row],[Confinement Type]])&amp;"*", Map_Conf[From], Map_Conf[To], "", 2), "")</f>
        <v>MCF</v>
      </c>
      <c r="V274" s="108" t="str" cm="1">
        <f t="array" ref="V2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5" spans="1:22" hidden="1">
      <c r="A275">
        <v>575</v>
      </c>
      <c r="B275" t="s">
        <v>513</v>
      </c>
      <c r="C275" t="s">
        <v>61</v>
      </c>
      <c r="D275" t="s">
        <v>62</v>
      </c>
      <c r="E275">
        <v>1000</v>
      </c>
      <c r="F275" t="s">
        <v>116</v>
      </c>
      <c r="G275" t="s">
        <v>57</v>
      </c>
      <c r="H275" t="s">
        <v>76</v>
      </c>
      <c r="I275">
        <v>13</v>
      </c>
      <c r="J275" t="s">
        <v>77</v>
      </c>
      <c r="K275">
        <v>2011</v>
      </c>
      <c r="L275" t="s">
        <v>507</v>
      </c>
      <c r="M275" t="s">
        <v>504</v>
      </c>
      <c r="N275" t="s">
        <v>38</v>
      </c>
      <c r="O275" t="s">
        <v>38</v>
      </c>
      <c r="P275" t="s">
        <v>38</v>
      </c>
      <c r="Q27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14.512338900768654</v>
      </c>
      <c r="R27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14.512338900768654</v>
      </c>
      <c r="U275" s="107" t="str">
        <f>IFERROR(_xlfn.XLOOKUP("*"&amp;TRIM(Fusion[[#This Row],[Confinement Type]])&amp;"*", Map_Conf[From], Map_Conf[To], "", 2), "")</f>
        <v>MCF</v>
      </c>
      <c r="V275" s="108" t="str" cm="1">
        <f t="array" ref="V2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6" spans="1:22" hidden="1">
      <c r="A276">
        <v>55</v>
      </c>
      <c r="B276" t="s">
        <v>125</v>
      </c>
      <c r="C276" t="s">
        <v>30</v>
      </c>
      <c r="D276" t="s">
        <v>796</v>
      </c>
      <c r="E276">
        <v>815</v>
      </c>
      <c r="F276" t="s">
        <v>116</v>
      </c>
      <c r="G276" t="s">
        <v>52</v>
      </c>
      <c r="H276" t="s">
        <v>76</v>
      </c>
      <c r="I276">
        <v>7</v>
      </c>
      <c r="J276" t="s">
        <v>77</v>
      </c>
      <c r="K276">
        <v>1988</v>
      </c>
      <c r="L276" t="s">
        <v>120</v>
      </c>
      <c r="M276" t="s">
        <v>121</v>
      </c>
      <c r="N276" t="s">
        <v>122</v>
      </c>
      <c r="O276" t="s">
        <v>122</v>
      </c>
      <c r="P276" t="s">
        <v>38</v>
      </c>
      <c r="Q27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14.858402366863904</v>
      </c>
      <c r="R27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14.858402366863904</v>
      </c>
      <c r="U276" s="107" t="str">
        <f>IFERROR(_xlfn.XLOOKUP("*"&amp;TRIM(Fusion[[#This Row],[Confinement Type]])&amp;"*", Map_Conf[From], Map_Conf[To], "", 2), "")</f>
        <v>ICF</v>
      </c>
      <c r="V276" s="108" t="str" cm="1">
        <f t="array" ref="V2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77" spans="1:22" hidden="1">
      <c r="A277">
        <v>58</v>
      </c>
      <c r="B277" t="s">
        <v>124</v>
      </c>
      <c r="C277" t="s">
        <v>30</v>
      </c>
      <c r="D277" t="s">
        <v>796</v>
      </c>
      <c r="E277">
        <v>1010</v>
      </c>
      <c r="F277" t="s">
        <v>116</v>
      </c>
      <c r="G277" t="s">
        <v>52</v>
      </c>
      <c r="H277" t="s">
        <v>76</v>
      </c>
      <c r="I277">
        <v>7</v>
      </c>
      <c r="J277" t="s">
        <v>77</v>
      </c>
      <c r="K277">
        <v>1988</v>
      </c>
      <c r="L277" t="s">
        <v>120</v>
      </c>
      <c r="M277" t="s">
        <v>121</v>
      </c>
      <c r="N277" t="s">
        <v>122</v>
      </c>
      <c r="O277" t="s">
        <v>122</v>
      </c>
      <c r="P277" t="s">
        <v>38</v>
      </c>
      <c r="Q27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14.858402366863904</v>
      </c>
      <c r="R27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14.858402366863904</v>
      </c>
      <c r="U277" s="107" t="str">
        <f>IFERROR(_xlfn.XLOOKUP("*"&amp;TRIM(Fusion[[#This Row],[Confinement Type]])&amp;"*", Map_Conf[From], Map_Conf[To], "", 2), "")</f>
        <v>ICF</v>
      </c>
      <c r="V277" s="108" t="str" cm="1">
        <f t="array" ref="V2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78" spans="1:22" hidden="1">
      <c r="A278">
        <v>63</v>
      </c>
      <c r="B278" t="s">
        <v>112</v>
      </c>
      <c r="C278" t="s">
        <v>61</v>
      </c>
      <c r="D278" t="s">
        <v>113</v>
      </c>
      <c r="E278">
        <v>970</v>
      </c>
      <c r="F278" t="s">
        <v>116</v>
      </c>
      <c r="G278" t="s">
        <v>52</v>
      </c>
      <c r="H278" t="s">
        <v>76</v>
      </c>
      <c r="I278">
        <v>7</v>
      </c>
      <c r="J278" t="s">
        <v>77</v>
      </c>
      <c r="K278">
        <v>1988</v>
      </c>
      <c r="L278" t="s">
        <v>120</v>
      </c>
      <c r="M278" t="s">
        <v>121</v>
      </c>
      <c r="N278" t="s">
        <v>122</v>
      </c>
      <c r="O278" t="s">
        <v>122</v>
      </c>
      <c r="P278" t="s">
        <v>38</v>
      </c>
      <c r="Q27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14.858402366863904</v>
      </c>
      <c r="R27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14.858402366863904</v>
      </c>
      <c r="U278" s="107" t="str">
        <f>IFERROR(_xlfn.XLOOKUP("*"&amp;TRIM(Fusion[[#This Row],[Confinement Type]])&amp;"*", Map_Conf[From], Map_Conf[To], "", 2), "")</f>
        <v>MCF</v>
      </c>
      <c r="V278" s="108" t="str" cm="1">
        <f t="array" ref="V2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279" spans="1:22" hidden="1">
      <c r="A279">
        <v>60</v>
      </c>
      <c r="B279" t="s">
        <v>126</v>
      </c>
      <c r="C279" t="s">
        <v>61</v>
      </c>
      <c r="D279" t="s">
        <v>62</v>
      </c>
      <c r="E279">
        <v>1000</v>
      </c>
      <c r="F279" t="s">
        <v>116</v>
      </c>
      <c r="G279" t="s">
        <v>52</v>
      </c>
      <c r="H279" t="s">
        <v>76</v>
      </c>
      <c r="I279">
        <v>7</v>
      </c>
      <c r="J279" t="s">
        <v>77</v>
      </c>
      <c r="K279">
        <v>1988</v>
      </c>
      <c r="L279" t="s">
        <v>120</v>
      </c>
      <c r="M279" t="s">
        <v>121</v>
      </c>
      <c r="N279" t="s">
        <v>122</v>
      </c>
      <c r="O279" t="s">
        <v>122</v>
      </c>
      <c r="P279" t="s">
        <v>38</v>
      </c>
      <c r="Q27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14.858402366863904</v>
      </c>
      <c r="R27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14.858402366863904</v>
      </c>
      <c r="U279" s="107" t="str">
        <f>IFERROR(_xlfn.XLOOKUP("*"&amp;TRIM(Fusion[[#This Row],[Confinement Type]])&amp;"*", Map_Conf[From], Map_Conf[To], "", 2), "")</f>
        <v>MCF</v>
      </c>
      <c r="V279" s="108" t="str" cm="1">
        <f t="array" ref="V2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0" spans="1:22" hidden="1">
      <c r="A280">
        <v>62</v>
      </c>
      <c r="B280" t="s">
        <v>114</v>
      </c>
      <c r="C280" t="s">
        <v>61</v>
      </c>
      <c r="D280" t="s">
        <v>62</v>
      </c>
      <c r="E280">
        <v>1000</v>
      </c>
      <c r="F280" t="s">
        <v>116</v>
      </c>
      <c r="G280" t="s">
        <v>52</v>
      </c>
      <c r="H280" t="s">
        <v>76</v>
      </c>
      <c r="I280">
        <v>7</v>
      </c>
      <c r="J280" t="s">
        <v>77</v>
      </c>
      <c r="K280">
        <v>1988</v>
      </c>
      <c r="L280" t="s">
        <v>120</v>
      </c>
      <c r="M280" t="s">
        <v>121</v>
      </c>
      <c r="N280" t="s">
        <v>122</v>
      </c>
      <c r="O280" t="s">
        <v>122</v>
      </c>
      <c r="P280" t="s">
        <v>38</v>
      </c>
      <c r="Q28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14.858402366863904</v>
      </c>
      <c r="R28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14.858402366863904</v>
      </c>
      <c r="U280" s="107" t="str">
        <f>IFERROR(_xlfn.XLOOKUP("*"&amp;TRIM(Fusion[[#This Row],[Confinement Type]])&amp;"*", Map_Conf[From], Map_Conf[To], "", 2), "")</f>
        <v>MCF</v>
      </c>
      <c r="V280" s="108" t="str" cm="1">
        <f t="array" ref="V2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1" spans="1:22" hidden="1">
      <c r="A281">
        <v>548</v>
      </c>
      <c r="B281" t="s">
        <v>501</v>
      </c>
      <c r="C281" t="s">
        <v>61</v>
      </c>
      <c r="D281" t="s">
        <v>278</v>
      </c>
      <c r="E281">
        <v>1000</v>
      </c>
      <c r="F281" t="s">
        <v>116</v>
      </c>
      <c r="G281" t="s">
        <v>57</v>
      </c>
      <c r="H281" t="s">
        <v>76</v>
      </c>
      <c r="I281">
        <v>11</v>
      </c>
      <c r="J281" t="s">
        <v>77</v>
      </c>
      <c r="K281">
        <v>2003</v>
      </c>
      <c r="L281" t="s">
        <v>503</v>
      </c>
      <c r="M281" t="s">
        <v>504</v>
      </c>
      <c r="N281" t="s">
        <v>122</v>
      </c>
      <c r="O281" t="s">
        <v>38</v>
      </c>
      <c r="P281" t="s">
        <v>38</v>
      </c>
      <c r="Q28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15.011831521739131</v>
      </c>
      <c r="R28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15.011831521739131</v>
      </c>
      <c r="U281" s="107" t="str">
        <f>IFERROR(_xlfn.XLOOKUP("*"&amp;TRIM(Fusion[[#This Row],[Confinement Type]])&amp;"*", Map_Conf[From], Map_Conf[To], "", 2), "")</f>
        <v>MCF</v>
      </c>
      <c r="V281" s="108" t="str" cm="1">
        <f t="array" ref="V2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82" spans="1:22" hidden="1">
      <c r="A282">
        <v>123</v>
      </c>
      <c r="B282" t="s">
        <v>182</v>
      </c>
      <c r="C282" t="s">
        <v>61</v>
      </c>
      <c r="D282" t="s">
        <v>62</v>
      </c>
      <c r="E282">
        <v>1200</v>
      </c>
      <c r="F282" t="s">
        <v>690</v>
      </c>
      <c r="G282" t="s">
        <v>52</v>
      </c>
      <c r="H282" t="s">
        <v>33</v>
      </c>
      <c r="I282">
        <v>7880000</v>
      </c>
      <c r="J282" t="s">
        <v>34</v>
      </c>
      <c r="K282">
        <v>1986</v>
      </c>
      <c r="L282" t="s">
        <v>147</v>
      </c>
      <c r="M282" t="s">
        <v>689</v>
      </c>
      <c r="N282" t="s">
        <v>122</v>
      </c>
      <c r="O282" t="s">
        <v>38</v>
      </c>
      <c r="P282" t="s">
        <v>38</v>
      </c>
      <c r="Q28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15.045036192214113</v>
      </c>
      <c r="R28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15.045036192214113</v>
      </c>
      <c r="U282" s="107" t="str">
        <f>IFERROR(_xlfn.XLOOKUP("*"&amp;TRIM(Fusion[[#This Row],[Confinement Type]])&amp;"*", Map_Conf[From], Map_Conf[To], "", 2), "")</f>
        <v>MCF</v>
      </c>
      <c r="V282" s="108" t="str" cm="1">
        <f t="array" ref="V2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3" spans="1:22" hidden="1">
      <c r="A283">
        <v>128</v>
      </c>
      <c r="B283" t="s">
        <v>183</v>
      </c>
      <c r="C283" t="s">
        <v>61</v>
      </c>
      <c r="D283" t="s">
        <v>62</v>
      </c>
      <c r="E283">
        <v>1200</v>
      </c>
      <c r="F283" t="s">
        <v>690</v>
      </c>
      <c r="G283" t="s">
        <v>52</v>
      </c>
      <c r="H283" t="s">
        <v>33</v>
      </c>
      <c r="I283">
        <v>7880000</v>
      </c>
      <c r="J283" t="s">
        <v>34</v>
      </c>
      <c r="K283">
        <v>1986</v>
      </c>
      <c r="L283" t="s">
        <v>147</v>
      </c>
      <c r="M283" t="s">
        <v>691</v>
      </c>
      <c r="N283" t="s">
        <v>122</v>
      </c>
      <c r="O283" t="s">
        <v>38</v>
      </c>
      <c r="P283" t="s">
        <v>38</v>
      </c>
      <c r="Q28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15.045036192214113</v>
      </c>
      <c r="R28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15.045036192214113</v>
      </c>
      <c r="U283" s="107" t="str">
        <f>IFERROR(_xlfn.XLOOKUP("*"&amp;TRIM(Fusion[[#This Row],[Confinement Type]])&amp;"*", Map_Conf[From], Map_Conf[To], "", 2), "")</f>
        <v>MCF</v>
      </c>
      <c r="V283" s="108" t="str" cm="1">
        <f t="array" ref="V2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4" spans="1:22" hidden="1">
      <c r="A284">
        <v>523</v>
      </c>
      <c r="B284" t="s">
        <v>488</v>
      </c>
      <c r="C284" t="s">
        <v>470</v>
      </c>
      <c r="D284" t="s">
        <v>471</v>
      </c>
      <c r="E284">
        <v>383.1</v>
      </c>
      <c r="F284" t="s">
        <v>115</v>
      </c>
      <c r="G284" t="s">
        <v>754</v>
      </c>
      <c r="H284" t="s">
        <v>33</v>
      </c>
      <c r="I284">
        <v>6100000</v>
      </c>
      <c r="J284" t="s">
        <v>34</v>
      </c>
      <c r="K284">
        <v>2020</v>
      </c>
      <c r="L284" t="s">
        <v>486</v>
      </c>
      <c r="N284" t="s">
        <v>122</v>
      </c>
      <c r="O284" t="s">
        <v>38</v>
      </c>
      <c r="P284" t="s">
        <v>38</v>
      </c>
      <c r="Q28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15.448765171609974</v>
      </c>
      <c r="R28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15.448765171609974</v>
      </c>
      <c r="U284" s="107" t="str">
        <f>IFERROR(_xlfn.XLOOKUP("*"&amp;TRIM(Fusion[[#This Row],[Confinement Type]])&amp;"*", Map_Conf[From], Map_Conf[To], "", 2), "")</f>
        <v>MIF</v>
      </c>
      <c r="V284" s="108" t="str" cm="1">
        <f t="array" ref="V2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285" spans="1:22" hidden="1">
      <c r="B285" t="s">
        <v>1102</v>
      </c>
      <c r="C285" t="s">
        <v>61</v>
      </c>
      <c r="D285" t="s">
        <v>62</v>
      </c>
      <c r="E285">
        <v>1164</v>
      </c>
      <c r="F285" t="s">
        <v>493</v>
      </c>
      <c r="G285" t="s">
        <v>32</v>
      </c>
      <c r="H285" t="s">
        <v>33</v>
      </c>
      <c r="I285">
        <v>7763760</v>
      </c>
      <c r="J285" t="s">
        <v>34</v>
      </c>
      <c r="K285">
        <v>1984</v>
      </c>
      <c r="L285" t="s">
        <v>938</v>
      </c>
      <c r="M285" t="s">
        <v>1104</v>
      </c>
      <c r="Q28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16.119901854479426</v>
      </c>
      <c r="R28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16.119901854479426</v>
      </c>
      <c r="U285" s="107" t="str">
        <f>IFERROR(_xlfn.XLOOKUP("*"&amp;TRIM(Fusion[[#This Row],[Confinement Type]])&amp;"*", Map_Conf[From], Map_Conf[To], "", 2), "")</f>
        <v>MCF</v>
      </c>
      <c r="V285" s="108" t="str" cm="1">
        <f t="array" ref="V2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6" spans="1:22" hidden="1">
      <c r="A286">
        <v>308</v>
      </c>
      <c r="B286" t="s">
        <v>301</v>
      </c>
      <c r="C286" t="s">
        <v>61</v>
      </c>
      <c r="D286" t="s">
        <v>62</v>
      </c>
      <c r="E286">
        <v>1000</v>
      </c>
      <c r="F286" t="s">
        <v>670</v>
      </c>
      <c r="G286" t="s">
        <v>52</v>
      </c>
      <c r="H286" t="s">
        <v>76</v>
      </c>
      <c r="I286">
        <v>9.1999999999999993</v>
      </c>
      <c r="J286" t="s">
        <v>77</v>
      </c>
      <c r="K286">
        <v>1992</v>
      </c>
      <c r="L286" t="s">
        <v>294</v>
      </c>
      <c r="M286" t="s">
        <v>307</v>
      </c>
      <c r="N286" t="s">
        <v>122</v>
      </c>
      <c r="O286" t="s">
        <v>38</v>
      </c>
      <c r="P286" t="s">
        <v>38</v>
      </c>
      <c r="Q28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16.466032786885243</v>
      </c>
      <c r="R28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16.466032786885243</v>
      </c>
      <c r="U286" s="107" t="str">
        <f>IFERROR(_xlfn.XLOOKUP("*"&amp;TRIM(Fusion[[#This Row],[Confinement Type]])&amp;"*", Map_Conf[From], Map_Conf[To], "", 2), "")</f>
        <v>MCF</v>
      </c>
      <c r="V286" s="108" t="str" cm="1">
        <f t="array" ref="V2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7" spans="1:22" hidden="1">
      <c r="A287">
        <v>311</v>
      </c>
      <c r="B287" t="s">
        <v>126</v>
      </c>
      <c r="C287" t="s">
        <v>61</v>
      </c>
      <c r="D287" t="s">
        <v>62</v>
      </c>
      <c r="E287">
        <v>1000</v>
      </c>
      <c r="F287" t="s">
        <v>670</v>
      </c>
      <c r="G287" t="s">
        <v>52</v>
      </c>
      <c r="H287" t="s">
        <v>76</v>
      </c>
      <c r="I287">
        <v>9.1999999999999993</v>
      </c>
      <c r="J287" t="s">
        <v>77</v>
      </c>
      <c r="K287">
        <v>1992</v>
      </c>
      <c r="L287" t="s">
        <v>294</v>
      </c>
      <c r="M287" t="s">
        <v>307</v>
      </c>
      <c r="N287" t="s">
        <v>122</v>
      </c>
      <c r="O287" t="s">
        <v>38</v>
      </c>
      <c r="P287" t="s">
        <v>38</v>
      </c>
      <c r="Q28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16.466032786885243</v>
      </c>
      <c r="R28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16.466032786885243</v>
      </c>
      <c r="U287" s="107" t="str">
        <f>IFERROR(_xlfn.XLOOKUP("*"&amp;TRIM(Fusion[[#This Row],[Confinement Type]])&amp;"*", Map_Conf[From], Map_Conf[To], "", 2), "")</f>
        <v>MCF</v>
      </c>
      <c r="V287" s="108" t="str" cm="1">
        <f t="array" ref="V2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8" spans="1:22" hidden="1">
      <c r="A288">
        <v>84</v>
      </c>
      <c r="B288" t="s">
        <v>144</v>
      </c>
      <c r="C288" t="s">
        <v>61</v>
      </c>
      <c r="D288" t="s">
        <v>62</v>
      </c>
      <c r="E288">
        <v>1200</v>
      </c>
      <c r="F288" t="s">
        <v>116</v>
      </c>
      <c r="G288" t="s">
        <v>52</v>
      </c>
      <c r="H288" t="s">
        <v>76</v>
      </c>
      <c r="I288">
        <v>8.6999999999999993</v>
      </c>
      <c r="J288" t="s">
        <v>77</v>
      </c>
      <c r="K288">
        <v>1990</v>
      </c>
      <c r="L288" t="s">
        <v>140</v>
      </c>
      <c r="N288" t="s">
        <v>122</v>
      </c>
      <c r="O288" t="s">
        <v>38</v>
      </c>
      <c r="P288" t="s">
        <v>38</v>
      </c>
      <c r="Q28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16.714850038255548</v>
      </c>
      <c r="R28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16.714850038255548</v>
      </c>
      <c r="U288" s="107" t="str">
        <f>IFERROR(_xlfn.XLOOKUP("*"&amp;TRIM(Fusion[[#This Row],[Confinement Type]])&amp;"*", Map_Conf[From], Map_Conf[To], "", 2), "")</f>
        <v>MCF</v>
      </c>
      <c r="V288" s="108" t="str" cm="1">
        <f t="array" ref="V2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9" spans="1:22" hidden="1">
      <c r="A289">
        <v>85</v>
      </c>
      <c r="B289" t="s">
        <v>114</v>
      </c>
      <c r="C289" t="s">
        <v>61</v>
      </c>
      <c r="D289" t="s">
        <v>62</v>
      </c>
      <c r="E289">
        <v>1200</v>
      </c>
      <c r="F289" t="s">
        <v>116</v>
      </c>
      <c r="G289" t="s">
        <v>52</v>
      </c>
      <c r="H289" t="s">
        <v>76</v>
      </c>
      <c r="I289">
        <v>8.6999999999999993</v>
      </c>
      <c r="J289" t="s">
        <v>77</v>
      </c>
      <c r="K289">
        <v>1990</v>
      </c>
      <c r="L289" t="s">
        <v>140</v>
      </c>
      <c r="N289" t="s">
        <v>122</v>
      </c>
      <c r="O289" t="s">
        <v>38</v>
      </c>
      <c r="P289" t="s">
        <v>38</v>
      </c>
      <c r="Q28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16.714850038255548</v>
      </c>
      <c r="R28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16.714850038255548</v>
      </c>
      <c r="U289" s="107" t="str">
        <f>IFERROR(_xlfn.XLOOKUP("*"&amp;TRIM(Fusion[[#This Row],[Confinement Type]])&amp;"*", Map_Conf[From], Map_Conf[To], "", 2), "")</f>
        <v>MCF</v>
      </c>
      <c r="V289" s="108" t="str" cm="1">
        <f t="array" ref="V2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0" spans="1:22" hidden="1">
      <c r="A290">
        <v>581</v>
      </c>
      <c r="B290" t="s">
        <v>514</v>
      </c>
      <c r="C290" t="s">
        <v>61</v>
      </c>
      <c r="D290" t="s">
        <v>107</v>
      </c>
      <c r="E290">
        <v>1000</v>
      </c>
      <c r="F290" t="s">
        <v>116</v>
      </c>
      <c r="G290" t="s">
        <v>57</v>
      </c>
      <c r="H290" t="s">
        <v>76</v>
      </c>
      <c r="I290">
        <v>14.4</v>
      </c>
      <c r="J290" t="s">
        <v>77</v>
      </c>
      <c r="K290">
        <v>2007</v>
      </c>
      <c r="L290" t="s">
        <v>507</v>
      </c>
      <c r="M290" t="s">
        <v>504</v>
      </c>
      <c r="N290" t="s">
        <v>38</v>
      </c>
      <c r="O290" t="s">
        <v>38</v>
      </c>
      <c r="P290" t="s">
        <v>38</v>
      </c>
      <c r="Q29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17.439499956593455</v>
      </c>
      <c r="R29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17.439499956593455</v>
      </c>
      <c r="U290" s="107" t="str">
        <f>IFERROR(_xlfn.XLOOKUP("*"&amp;TRIM(Fusion[[#This Row],[Confinement Type]])&amp;"*", Map_Conf[From], Map_Conf[To], "", 2), "")</f>
        <v>MCF</v>
      </c>
      <c r="V290" s="108" t="str" cm="1">
        <f t="array" ref="V2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1" spans="1:22" hidden="1">
      <c r="A291">
        <v>546</v>
      </c>
      <c r="B291" t="s">
        <v>497</v>
      </c>
      <c r="C291" t="s">
        <v>61</v>
      </c>
      <c r="D291" t="s">
        <v>62</v>
      </c>
      <c r="E291">
        <v>1000</v>
      </c>
      <c r="F291" t="s">
        <v>116</v>
      </c>
      <c r="G291" t="s">
        <v>57</v>
      </c>
      <c r="H291" t="s">
        <v>76</v>
      </c>
      <c r="I291">
        <v>13</v>
      </c>
      <c r="J291" t="s">
        <v>77</v>
      </c>
      <c r="K291">
        <v>2003</v>
      </c>
      <c r="L291" t="s">
        <v>503</v>
      </c>
      <c r="M291" t="s">
        <v>504</v>
      </c>
      <c r="N291" t="s">
        <v>122</v>
      </c>
      <c r="O291" t="s">
        <v>38</v>
      </c>
      <c r="P291" t="s">
        <v>38</v>
      </c>
      <c r="Q29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17.741255434782609</v>
      </c>
      <c r="R29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17.741255434782609</v>
      </c>
      <c r="U291" s="107" t="str">
        <f>IFERROR(_xlfn.XLOOKUP("*"&amp;TRIM(Fusion[[#This Row],[Confinement Type]])&amp;"*", Map_Conf[From], Map_Conf[To], "", 2), "")</f>
        <v>MCF</v>
      </c>
      <c r="V291" s="108" t="str" cm="1">
        <f t="array" ref="V2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2" spans="1:22" hidden="1">
      <c r="A292">
        <v>464</v>
      </c>
      <c r="B292" t="s">
        <v>81</v>
      </c>
      <c r="C292" t="s">
        <v>61</v>
      </c>
      <c r="D292" t="s">
        <v>62</v>
      </c>
      <c r="E292">
        <v>1000</v>
      </c>
      <c r="F292" t="s">
        <v>116</v>
      </c>
      <c r="G292" t="s">
        <v>57</v>
      </c>
      <c r="H292" t="s">
        <v>76</v>
      </c>
      <c r="I292">
        <v>14</v>
      </c>
      <c r="J292" t="s">
        <v>77</v>
      </c>
      <c r="K292">
        <v>2003</v>
      </c>
      <c r="L292" t="s">
        <v>440</v>
      </c>
      <c r="M292" t="s">
        <v>441</v>
      </c>
      <c r="N292" t="s">
        <v>38</v>
      </c>
      <c r="O292" t="s">
        <v>38</v>
      </c>
      <c r="P292" t="s">
        <v>38</v>
      </c>
      <c r="Q29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19.105967391304347</v>
      </c>
      <c r="R29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19.105967391304347</v>
      </c>
      <c r="U292" s="107" t="str">
        <f>IFERROR(_xlfn.XLOOKUP("*"&amp;TRIM(Fusion[[#This Row],[Confinement Type]])&amp;"*", Map_Conf[From], Map_Conf[To], "", 2), "")</f>
        <v>MCF</v>
      </c>
      <c r="V292" s="108" t="str" cm="1">
        <f t="array" ref="V2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3" spans="1:22" hidden="1">
      <c r="A293">
        <v>391</v>
      </c>
      <c r="B293" t="s">
        <v>387</v>
      </c>
      <c r="C293" t="s">
        <v>30</v>
      </c>
      <c r="D293" t="s">
        <v>815</v>
      </c>
      <c r="E293">
        <v>1083</v>
      </c>
      <c r="F293" t="s">
        <v>108</v>
      </c>
      <c r="G293" t="s">
        <v>52</v>
      </c>
      <c r="H293" t="s">
        <v>76</v>
      </c>
      <c r="I293">
        <v>9.0399999999999991</v>
      </c>
      <c r="J293" t="s">
        <v>77</v>
      </c>
      <c r="K293">
        <v>1988</v>
      </c>
      <c r="L293" t="s">
        <v>386</v>
      </c>
      <c r="M293" t="s">
        <v>390</v>
      </c>
      <c r="N293" t="s">
        <v>38</v>
      </c>
      <c r="O293" t="s">
        <v>38</v>
      </c>
      <c r="P293" t="s">
        <v>38</v>
      </c>
      <c r="Q29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19.188565342349953</v>
      </c>
      <c r="R29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19.188565342349953</v>
      </c>
      <c r="U293" s="107" t="str">
        <f>IFERROR(_xlfn.XLOOKUP("*"&amp;TRIM(Fusion[[#This Row],[Confinement Type]])&amp;"*", Map_Conf[From], Map_Conf[To], "", 2), "")</f>
        <v>ICF</v>
      </c>
      <c r="V293" s="108" t="str" cm="1">
        <f t="array" ref="V2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94" spans="1:22" hidden="1">
      <c r="A294">
        <v>547</v>
      </c>
      <c r="B294" t="s">
        <v>505</v>
      </c>
      <c r="C294" t="s">
        <v>61</v>
      </c>
      <c r="D294" t="s">
        <v>107</v>
      </c>
      <c r="E294">
        <v>1000</v>
      </c>
      <c r="F294" t="s">
        <v>116</v>
      </c>
      <c r="G294" t="s">
        <v>57</v>
      </c>
      <c r="H294" t="s">
        <v>76</v>
      </c>
      <c r="I294">
        <v>14.4</v>
      </c>
      <c r="J294" t="s">
        <v>77</v>
      </c>
      <c r="K294">
        <v>2003</v>
      </c>
      <c r="L294" t="s">
        <v>503</v>
      </c>
      <c r="M294" t="s">
        <v>504</v>
      </c>
      <c r="N294" t="s">
        <v>122</v>
      </c>
      <c r="O294" t="s">
        <v>38</v>
      </c>
      <c r="P294" t="s">
        <v>38</v>
      </c>
      <c r="Q29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19.651852173913046</v>
      </c>
      <c r="R29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19.651852173913046</v>
      </c>
      <c r="U294" s="107" t="str">
        <f>IFERROR(_xlfn.XLOOKUP("*"&amp;TRIM(Fusion[[#This Row],[Confinement Type]])&amp;"*", Map_Conf[From], Map_Conf[To], "", 2), "")</f>
        <v>MCF</v>
      </c>
      <c r="V294" s="108" t="str" cm="1">
        <f t="array" ref="V2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5" spans="1:22" hidden="1">
      <c r="B295" t="s">
        <v>828</v>
      </c>
      <c r="C295" t="s">
        <v>30</v>
      </c>
      <c r="D295" t="s">
        <v>796</v>
      </c>
      <c r="E295">
        <v>2000</v>
      </c>
      <c r="F295" t="s">
        <v>116</v>
      </c>
      <c r="G295" t="s">
        <v>52</v>
      </c>
      <c r="H295" t="s">
        <v>76</v>
      </c>
      <c r="I295">
        <v>8</v>
      </c>
      <c r="J295" t="s">
        <v>77</v>
      </c>
      <c r="K295">
        <v>1983</v>
      </c>
      <c r="L295" t="s">
        <v>825</v>
      </c>
      <c r="Q29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20.169236947791166</v>
      </c>
      <c r="R29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20.169236947791166</v>
      </c>
      <c r="U295" s="107" t="str">
        <f>IFERROR(_xlfn.XLOOKUP("*"&amp;TRIM(Fusion[[#This Row],[Confinement Type]])&amp;"*", Map_Conf[From], Map_Conf[To], "", 2), "")</f>
        <v>ICF</v>
      </c>
      <c r="V295" s="108" t="str" cm="1">
        <f t="array" ref="V2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96" spans="1:22" hidden="1">
      <c r="A296">
        <v>505</v>
      </c>
      <c r="B296" t="s">
        <v>479</v>
      </c>
      <c r="C296" t="s">
        <v>61</v>
      </c>
      <c r="D296" t="s">
        <v>62</v>
      </c>
      <c r="E296">
        <v>1200</v>
      </c>
      <c r="F296" t="s">
        <v>116</v>
      </c>
      <c r="G296" t="s">
        <v>52</v>
      </c>
      <c r="H296" t="s">
        <v>76</v>
      </c>
      <c r="I296">
        <v>8.9</v>
      </c>
      <c r="J296" t="s">
        <v>77</v>
      </c>
      <c r="K296">
        <v>1986</v>
      </c>
      <c r="L296" t="s">
        <v>480</v>
      </c>
      <c r="N296" t="s">
        <v>38</v>
      </c>
      <c r="O296" t="s">
        <v>38</v>
      </c>
      <c r="P296" t="s">
        <v>38</v>
      </c>
      <c r="Q29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20.390988138686133</v>
      </c>
      <c r="R29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20.390988138686133</v>
      </c>
      <c r="U296" s="107" t="str">
        <f>IFERROR(_xlfn.XLOOKUP("*"&amp;TRIM(Fusion[[#This Row],[Confinement Type]])&amp;"*", Map_Conf[From], Map_Conf[To], "", 2), "")</f>
        <v>MCF</v>
      </c>
      <c r="V296" s="108" t="str" cm="1">
        <f t="array" ref="V2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7" spans="1:22" hidden="1">
      <c r="B297" t="s">
        <v>1100</v>
      </c>
      <c r="C297" t="s">
        <v>61</v>
      </c>
      <c r="D297" t="s">
        <v>62</v>
      </c>
      <c r="E297">
        <v>1200</v>
      </c>
      <c r="F297" t="s">
        <v>116</v>
      </c>
      <c r="G297" t="s">
        <v>52</v>
      </c>
      <c r="H297" t="s">
        <v>76</v>
      </c>
      <c r="I297">
        <v>8.9</v>
      </c>
      <c r="J297" t="s">
        <v>77</v>
      </c>
      <c r="K297">
        <v>1986</v>
      </c>
      <c r="L297" t="s">
        <v>1105</v>
      </c>
      <c r="M297" t="s">
        <v>1099</v>
      </c>
      <c r="Q29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20.390988138686133</v>
      </c>
      <c r="R29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20.390988138686133</v>
      </c>
      <c r="U297" s="107" t="str">
        <f>IFERROR(_xlfn.XLOOKUP("*"&amp;TRIM(Fusion[[#This Row],[Confinement Type]])&amp;"*", Map_Conf[From], Map_Conf[To], "", 2), "")</f>
        <v>MCF</v>
      </c>
      <c r="V297" s="108" t="str" cm="1">
        <f t="array" ref="V2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8" spans="1:22" hidden="1">
      <c r="A298">
        <v>57</v>
      </c>
      <c r="B298" t="s">
        <v>119</v>
      </c>
      <c r="C298" t="s">
        <v>61</v>
      </c>
      <c r="D298" t="s">
        <v>113</v>
      </c>
      <c r="E298">
        <v>1200</v>
      </c>
      <c r="F298" t="s">
        <v>115</v>
      </c>
      <c r="G298" t="s">
        <v>52</v>
      </c>
      <c r="H298" t="s">
        <v>76</v>
      </c>
      <c r="I298">
        <v>10</v>
      </c>
      <c r="J298" t="s">
        <v>77</v>
      </c>
      <c r="K298">
        <v>1988</v>
      </c>
      <c r="L298" t="s">
        <v>120</v>
      </c>
      <c r="M298" t="s">
        <v>1121</v>
      </c>
      <c r="N298" t="s">
        <v>122</v>
      </c>
      <c r="O298" t="s">
        <v>122</v>
      </c>
      <c r="P298" t="s">
        <v>38</v>
      </c>
      <c r="Q29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21.226289095519864</v>
      </c>
      <c r="R29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21.226289095519864</v>
      </c>
      <c r="U298" s="107" t="str">
        <f>IFERROR(_xlfn.XLOOKUP("*"&amp;TRIM(Fusion[[#This Row],[Confinement Type]])&amp;"*", Map_Conf[From], Map_Conf[To], "", 2), "")</f>
        <v>MCF</v>
      </c>
      <c r="V298" s="108" t="str" cm="1">
        <f t="array" ref="V2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299" spans="1:22" hidden="1">
      <c r="A299">
        <v>56</v>
      </c>
      <c r="B299" t="s">
        <v>119</v>
      </c>
      <c r="C299" t="s">
        <v>61</v>
      </c>
      <c r="D299" t="s">
        <v>113</v>
      </c>
      <c r="E299">
        <v>1200</v>
      </c>
      <c r="F299" t="s">
        <v>116</v>
      </c>
      <c r="G299" t="s">
        <v>52</v>
      </c>
      <c r="H299" t="s">
        <v>76</v>
      </c>
      <c r="I299">
        <v>10</v>
      </c>
      <c r="J299" t="s">
        <v>77</v>
      </c>
      <c r="K299">
        <v>1988</v>
      </c>
      <c r="L299" t="s">
        <v>120</v>
      </c>
      <c r="M299" t="s">
        <v>121</v>
      </c>
      <c r="N299" t="s">
        <v>122</v>
      </c>
      <c r="O299" t="s">
        <v>122</v>
      </c>
      <c r="P299" t="s">
        <v>38</v>
      </c>
      <c r="Q29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21.226289095519864</v>
      </c>
      <c r="R29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21.226289095519864</v>
      </c>
      <c r="U299" s="107" t="str">
        <f>IFERROR(_xlfn.XLOOKUP("*"&amp;TRIM(Fusion[[#This Row],[Confinement Type]])&amp;"*", Map_Conf[From], Map_Conf[To], "", 2), "")</f>
        <v>MCF</v>
      </c>
      <c r="V299" s="108" t="str" cm="1">
        <f t="array" ref="V2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00" spans="1:22" hidden="1">
      <c r="B300" t="s">
        <v>940</v>
      </c>
      <c r="C300" t="s">
        <v>61</v>
      </c>
      <c r="D300" t="s">
        <v>62</v>
      </c>
      <c r="E300">
        <v>1203</v>
      </c>
      <c r="F300" t="s">
        <v>493</v>
      </c>
      <c r="G300" t="s">
        <v>32</v>
      </c>
      <c r="H300" t="s">
        <v>33</v>
      </c>
      <c r="I300">
        <v>11456280</v>
      </c>
      <c r="J300" t="s">
        <v>34</v>
      </c>
      <c r="K300">
        <v>1984</v>
      </c>
      <c r="L300" t="s">
        <v>938</v>
      </c>
      <c r="M300" t="s">
        <v>1098</v>
      </c>
      <c r="N300" t="s">
        <v>122</v>
      </c>
      <c r="O300" t="s">
        <v>38</v>
      </c>
      <c r="Q30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23.015545047871178</v>
      </c>
      <c r="R30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23.015545047871178</v>
      </c>
      <c r="U300" s="107" t="str">
        <f>IFERROR(_xlfn.XLOOKUP("*"&amp;TRIM(Fusion[[#This Row],[Confinement Type]])&amp;"*", Map_Conf[From], Map_Conf[To], "", 2), "")</f>
        <v>MCF</v>
      </c>
      <c r="V300" s="108" t="str" cm="1">
        <f t="array" ref="V3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01" spans="1:22" hidden="1">
      <c r="B301" t="s">
        <v>939</v>
      </c>
      <c r="C301" t="s">
        <v>61</v>
      </c>
      <c r="D301" t="s">
        <v>62</v>
      </c>
      <c r="E301">
        <v>1247</v>
      </c>
      <c r="F301" t="s">
        <v>493</v>
      </c>
      <c r="G301" t="s">
        <v>32</v>
      </c>
      <c r="H301" t="s">
        <v>33</v>
      </c>
      <c r="I301">
        <v>12024360</v>
      </c>
      <c r="J301" t="s">
        <v>34</v>
      </c>
      <c r="K301">
        <v>1984</v>
      </c>
      <c r="L301" t="s">
        <v>938</v>
      </c>
      <c r="M301" t="s">
        <v>1098</v>
      </c>
      <c r="N301" t="s">
        <v>122</v>
      </c>
      <c r="O301" t="s">
        <v>38</v>
      </c>
      <c r="Q30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23.304446293973676</v>
      </c>
      <c r="R30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23.304446293973676</v>
      </c>
      <c r="U301" s="107" t="str">
        <f>IFERROR(_xlfn.XLOOKUP("*"&amp;TRIM(Fusion[[#This Row],[Confinement Type]])&amp;"*", Map_Conf[From], Map_Conf[To], "", 2), "")</f>
        <v>MCF</v>
      </c>
      <c r="V301" s="108" t="str" cm="1">
        <f t="array" ref="V3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02" spans="1:22" hidden="1">
      <c r="A302">
        <v>376</v>
      </c>
      <c r="B302" t="s">
        <v>695</v>
      </c>
      <c r="C302" t="s">
        <v>61</v>
      </c>
      <c r="D302" t="s">
        <v>62</v>
      </c>
      <c r="E302">
        <v>1200</v>
      </c>
      <c r="F302" t="s">
        <v>115</v>
      </c>
      <c r="G302" t="s">
        <v>52</v>
      </c>
      <c r="H302" t="s">
        <v>76</v>
      </c>
      <c r="I302">
        <v>13.4</v>
      </c>
      <c r="J302" t="s">
        <v>77</v>
      </c>
      <c r="K302">
        <v>1990</v>
      </c>
      <c r="L302" t="s">
        <v>369</v>
      </c>
      <c r="M302" t="s">
        <v>372</v>
      </c>
      <c r="N302" t="s">
        <v>122</v>
      </c>
      <c r="O302" t="s">
        <v>38</v>
      </c>
      <c r="P302" t="s">
        <v>38</v>
      </c>
      <c r="Q30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25.744711553175215</v>
      </c>
      <c r="R30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25.744711553175215</v>
      </c>
      <c r="U302" s="107" t="str">
        <f>IFERROR(_xlfn.XLOOKUP("*"&amp;TRIM(Fusion[[#This Row],[Confinement Type]])&amp;"*", Map_Conf[From], Map_Conf[To], "", 2), "")</f>
        <v>MCF</v>
      </c>
      <c r="V302" s="108" t="str" cm="1">
        <f t="array" ref="V3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03" spans="1:22" hidden="1">
      <c r="A303">
        <v>111</v>
      </c>
      <c r="B303" t="s">
        <v>172</v>
      </c>
      <c r="C303" t="s">
        <v>61</v>
      </c>
      <c r="D303" t="s">
        <v>113</v>
      </c>
      <c r="E303">
        <v>1200</v>
      </c>
      <c r="F303" t="s">
        <v>115</v>
      </c>
      <c r="G303" t="s">
        <v>52</v>
      </c>
      <c r="H303" t="s">
        <v>33</v>
      </c>
      <c r="I303">
        <v>14519999.999999998</v>
      </c>
      <c r="J303" t="s">
        <v>34</v>
      </c>
      <c r="K303">
        <v>1986</v>
      </c>
      <c r="L303" t="s">
        <v>147</v>
      </c>
      <c r="M303" t="s">
        <v>691</v>
      </c>
      <c r="N303" t="s">
        <v>122</v>
      </c>
      <c r="O303" t="s">
        <v>38</v>
      </c>
      <c r="P303" t="s">
        <v>38</v>
      </c>
      <c r="Q30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27.722579379562042</v>
      </c>
      <c r="R30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27.722579379562042</v>
      </c>
      <c r="U303" s="107" t="str">
        <f>IFERROR(_xlfn.XLOOKUP("*"&amp;TRIM(Fusion[[#This Row],[Confinement Type]])&amp;"*", Map_Conf[From], Map_Conf[To], "", 2), "")</f>
        <v>MCF</v>
      </c>
      <c r="V303" s="108" t="str" cm="1">
        <f t="array" ref="V3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04" spans="1:22" hidden="1">
      <c r="B304" t="s">
        <v>827</v>
      </c>
      <c r="C304" t="s">
        <v>30</v>
      </c>
      <c r="D304" t="s">
        <v>796</v>
      </c>
      <c r="E304">
        <v>1010</v>
      </c>
      <c r="F304" t="s">
        <v>116</v>
      </c>
      <c r="G304" t="s">
        <v>52</v>
      </c>
      <c r="H304" t="s">
        <v>76</v>
      </c>
      <c r="I304">
        <v>11</v>
      </c>
      <c r="J304" t="s">
        <v>77</v>
      </c>
      <c r="K304">
        <v>1983</v>
      </c>
      <c r="L304" t="s">
        <v>825</v>
      </c>
      <c r="Q30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27.732700803212854</v>
      </c>
      <c r="R30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27.732700803212854</v>
      </c>
      <c r="U304" s="107" t="str">
        <f>IFERROR(_xlfn.XLOOKUP("*"&amp;TRIM(Fusion[[#This Row],[Confinement Type]])&amp;"*", Map_Conf[From], Map_Conf[To], "", 2), "")</f>
        <v>ICF</v>
      </c>
      <c r="V304" s="108" t="str" cm="1">
        <f t="array" ref="V3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305" spans="1:22" hidden="1">
      <c r="B305" t="s">
        <v>172</v>
      </c>
      <c r="C305" t="s">
        <v>61</v>
      </c>
      <c r="D305" t="s">
        <v>113</v>
      </c>
      <c r="E305">
        <v>970</v>
      </c>
      <c r="F305" t="s">
        <v>116</v>
      </c>
      <c r="G305" t="s">
        <v>52</v>
      </c>
      <c r="H305" t="s">
        <v>76</v>
      </c>
      <c r="I305">
        <v>12.8</v>
      </c>
      <c r="J305" t="s">
        <v>77</v>
      </c>
      <c r="K305">
        <v>1986</v>
      </c>
      <c r="L305" t="s">
        <v>1105</v>
      </c>
      <c r="M305" t="s">
        <v>1099</v>
      </c>
      <c r="Q30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29.326364963503654</v>
      </c>
      <c r="R30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29.326364963503654</v>
      </c>
      <c r="U305" s="107" t="str">
        <f>IFERROR(_xlfn.XLOOKUP("*"&amp;TRIM(Fusion[[#This Row],[Confinement Type]])&amp;"*", Map_Conf[From], Map_Conf[To], "", 2), "")</f>
        <v>MCF</v>
      </c>
      <c r="V305" s="108" t="str" cm="1">
        <f t="array" ref="V3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06" spans="1:22" hidden="1">
      <c r="B306" t="s">
        <v>165</v>
      </c>
      <c r="C306" t="s">
        <v>61</v>
      </c>
      <c r="D306" t="s">
        <v>62</v>
      </c>
      <c r="E306">
        <v>1200</v>
      </c>
      <c r="F306" t="s">
        <v>116</v>
      </c>
      <c r="G306" t="s">
        <v>52</v>
      </c>
      <c r="H306" t="s">
        <v>76</v>
      </c>
      <c r="I306">
        <v>13.2</v>
      </c>
      <c r="J306" t="s">
        <v>77</v>
      </c>
      <c r="K306">
        <v>1986</v>
      </c>
      <c r="L306" t="s">
        <v>1105</v>
      </c>
      <c r="M306" t="s">
        <v>1099</v>
      </c>
      <c r="Q30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30.24281386861314</v>
      </c>
      <c r="R30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30.24281386861314</v>
      </c>
      <c r="U306" s="107" t="str">
        <f>IFERROR(_xlfn.XLOOKUP("*"&amp;TRIM(Fusion[[#This Row],[Confinement Type]])&amp;"*", Map_Conf[From], Map_Conf[To], "", 2), "")</f>
        <v>MCF</v>
      </c>
      <c r="V306" s="108" t="str" cm="1">
        <f t="array" ref="V3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07" spans="1:22" hidden="1">
      <c r="A307">
        <v>250</v>
      </c>
      <c r="B307" t="s">
        <v>281</v>
      </c>
      <c r="C307" t="s">
        <v>61</v>
      </c>
      <c r="D307" t="s">
        <v>278</v>
      </c>
      <c r="E307">
        <v>1940</v>
      </c>
      <c r="F307" t="s">
        <v>115</v>
      </c>
      <c r="G307" t="s">
        <v>57</v>
      </c>
      <c r="H307" t="s">
        <v>33</v>
      </c>
      <c r="I307">
        <v>43171000</v>
      </c>
      <c r="J307" t="s">
        <v>34</v>
      </c>
      <c r="K307">
        <v>2003</v>
      </c>
      <c r="L307" t="s">
        <v>279</v>
      </c>
      <c r="M307" t="s">
        <v>282</v>
      </c>
      <c r="N307" t="s">
        <v>122</v>
      </c>
      <c r="O307" t="s">
        <v>38</v>
      </c>
      <c r="P307" t="s">
        <v>38</v>
      </c>
      <c r="Q30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30.369061791237115</v>
      </c>
      <c r="R30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30.369061791237115</v>
      </c>
      <c r="U307" s="107" t="str">
        <f>IFERROR(_xlfn.XLOOKUP("*"&amp;TRIM(Fusion[[#This Row],[Confinement Type]])&amp;"*", Map_Conf[From], Map_Conf[To], "", 2), "")</f>
        <v>MCF</v>
      </c>
      <c r="V307" s="108" t="str" cm="1">
        <f t="array" ref="V3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08" spans="1:22" hidden="1">
      <c r="B308" t="s">
        <v>174</v>
      </c>
      <c r="C308" t="s">
        <v>61</v>
      </c>
      <c r="D308" t="s">
        <v>62</v>
      </c>
      <c r="E308">
        <v>1200</v>
      </c>
      <c r="F308" t="s">
        <v>116</v>
      </c>
      <c r="G308" t="s">
        <v>52</v>
      </c>
      <c r="H308" t="s">
        <v>76</v>
      </c>
      <c r="I308">
        <v>13.4</v>
      </c>
      <c r="J308" t="s">
        <v>77</v>
      </c>
      <c r="K308">
        <v>1986</v>
      </c>
      <c r="L308" t="s">
        <v>1105</v>
      </c>
      <c r="M308" t="s">
        <v>1099</v>
      </c>
      <c r="Q30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30.701038321167889</v>
      </c>
      <c r="R30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30.701038321167889</v>
      </c>
      <c r="U308" s="107" t="str">
        <f>IFERROR(_xlfn.XLOOKUP("*"&amp;TRIM(Fusion[[#This Row],[Confinement Type]])&amp;"*", Map_Conf[From], Map_Conf[To], "", 2), "")</f>
        <v>MCF</v>
      </c>
      <c r="V308" s="108" t="str" cm="1">
        <f t="array" ref="V3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09" spans="1:22" hidden="1">
      <c r="B309" t="s">
        <v>170</v>
      </c>
      <c r="C309" t="s">
        <v>61</v>
      </c>
      <c r="D309" t="s">
        <v>113</v>
      </c>
      <c r="E309">
        <v>970</v>
      </c>
      <c r="F309" t="s">
        <v>116</v>
      </c>
      <c r="G309" t="s">
        <v>52</v>
      </c>
      <c r="H309" t="s">
        <v>76</v>
      </c>
      <c r="I309">
        <v>13.5</v>
      </c>
      <c r="J309" t="s">
        <v>77</v>
      </c>
      <c r="K309">
        <v>1986</v>
      </c>
      <c r="L309" t="s">
        <v>1105</v>
      </c>
      <c r="M309" t="s">
        <v>1099</v>
      </c>
      <c r="Q30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30.930150547445258</v>
      </c>
      <c r="R30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30.930150547445258</v>
      </c>
      <c r="U309" s="107" t="str">
        <f>IFERROR(_xlfn.XLOOKUP("*"&amp;TRIM(Fusion[[#This Row],[Confinement Type]])&amp;"*", Map_Conf[From], Map_Conf[To], "", 2), "")</f>
        <v>MCF</v>
      </c>
      <c r="V309" s="108" t="str" cm="1">
        <f t="array" ref="V3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10" spans="1:22" hidden="1">
      <c r="A310">
        <v>296</v>
      </c>
      <c r="B310" t="s">
        <v>301</v>
      </c>
      <c r="C310" t="s">
        <v>61</v>
      </c>
      <c r="D310" t="s">
        <v>62</v>
      </c>
      <c r="E310">
        <v>1000</v>
      </c>
      <c r="F310" t="s">
        <v>63</v>
      </c>
      <c r="G310" t="s">
        <v>52</v>
      </c>
      <c r="H310" t="s">
        <v>76</v>
      </c>
      <c r="I310">
        <v>17.5</v>
      </c>
      <c r="J310" t="s">
        <v>77</v>
      </c>
      <c r="K310">
        <v>1992</v>
      </c>
      <c r="L310" t="s">
        <v>294</v>
      </c>
      <c r="M310" t="s">
        <v>306</v>
      </c>
      <c r="N310" t="s">
        <v>122</v>
      </c>
      <c r="O310" t="s">
        <v>38</v>
      </c>
      <c r="P310" t="s">
        <v>38</v>
      </c>
      <c r="Q31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31.321258018531715</v>
      </c>
      <c r="R31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31.321258018531715</v>
      </c>
      <c r="U310" s="107" t="str">
        <f>IFERROR(_xlfn.XLOOKUP("*"&amp;TRIM(Fusion[[#This Row],[Confinement Type]])&amp;"*", Map_Conf[From], Map_Conf[To], "", 2), "")</f>
        <v>MCF</v>
      </c>
      <c r="V310" s="108" t="str" cm="1">
        <f t="array" ref="V3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11" spans="1:22" hidden="1">
      <c r="A311">
        <v>533</v>
      </c>
      <c r="B311" t="s">
        <v>488</v>
      </c>
      <c r="C311" t="s">
        <v>470</v>
      </c>
      <c r="D311" t="s">
        <v>471</v>
      </c>
      <c r="E311">
        <v>383.1</v>
      </c>
      <c r="F311" t="s">
        <v>75</v>
      </c>
      <c r="G311" t="s">
        <v>754</v>
      </c>
      <c r="H311" t="s">
        <v>76</v>
      </c>
      <c r="I311">
        <v>33.799999999999997</v>
      </c>
      <c r="J311" t="s">
        <v>77</v>
      </c>
      <c r="K311">
        <v>2020</v>
      </c>
      <c r="L311" t="s">
        <v>486</v>
      </c>
      <c r="M311" t="s">
        <v>495</v>
      </c>
      <c r="N311">
        <v>0.9</v>
      </c>
      <c r="O311" t="s">
        <v>350</v>
      </c>
      <c r="P311" t="s">
        <v>38</v>
      </c>
      <c r="Q31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32.793878930957341</v>
      </c>
      <c r="R31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32.793878930957341</v>
      </c>
      <c r="U311" s="107" t="str">
        <f>IFERROR(_xlfn.XLOOKUP("*"&amp;TRIM(Fusion[[#This Row],[Confinement Type]])&amp;"*", Map_Conf[From], Map_Conf[To], "", 2), "")</f>
        <v>MIF</v>
      </c>
      <c r="V311" s="108" t="str" cm="1">
        <f t="array" ref="V3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12" spans="1:22" hidden="1">
      <c r="A312">
        <v>381</v>
      </c>
      <c r="B312" t="s">
        <v>696</v>
      </c>
      <c r="C312" t="s">
        <v>61</v>
      </c>
      <c r="D312" t="s">
        <v>62</v>
      </c>
      <c r="E312">
        <v>1200</v>
      </c>
      <c r="F312" t="s">
        <v>115</v>
      </c>
      <c r="G312" t="s">
        <v>32</v>
      </c>
      <c r="H312" t="s">
        <v>76</v>
      </c>
      <c r="I312">
        <v>17.2</v>
      </c>
      <c r="J312" t="s">
        <v>77</v>
      </c>
      <c r="K312">
        <v>1990</v>
      </c>
      <c r="L312" t="s">
        <v>369</v>
      </c>
      <c r="N312" t="s">
        <v>122</v>
      </c>
      <c r="O312" t="s">
        <v>38</v>
      </c>
      <c r="P312" t="s">
        <v>38</v>
      </c>
      <c r="Q31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33.0454506503443</v>
      </c>
      <c r="R31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33.0454506503443</v>
      </c>
      <c r="U312" s="107" t="str">
        <f>IFERROR(_xlfn.XLOOKUP("*"&amp;TRIM(Fusion[[#This Row],[Confinement Type]])&amp;"*", Map_Conf[From], Map_Conf[To], "", 2), "")</f>
        <v>MCF</v>
      </c>
      <c r="V312" s="108" t="str" cm="1">
        <f t="array" ref="V3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13" spans="1:22" hidden="1">
      <c r="A313">
        <v>109</v>
      </c>
      <c r="B313" t="s">
        <v>170</v>
      </c>
      <c r="C313" t="s">
        <v>61</v>
      </c>
      <c r="D313" t="s">
        <v>113</v>
      </c>
      <c r="E313">
        <v>1200</v>
      </c>
      <c r="F313" t="s">
        <v>115</v>
      </c>
      <c r="G313" t="s">
        <v>52</v>
      </c>
      <c r="H313" t="s">
        <v>33</v>
      </c>
      <c r="I313">
        <v>17920000</v>
      </c>
      <c r="J313" t="s">
        <v>34</v>
      </c>
      <c r="K313">
        <v>1986</v>
      </c>
      <c r="L313" t="s">
        <v>147</v>
      </c>
      <c r="M313" t="s">
        <v>691</v>
      </c>
      <c r="N313" t="s">
        <v>122</v>
      </c>
      <c r="O313" t="s">
        <v>38</v>
      </c>
      <c r="P313" t="s">
        <v>38</v>
      </c>
      <c r="Q31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34.214092457420932</v>
      </c>
      <c r="R31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34.214092457420932</v>
      </c>
      <c r="U313" s="107" t="str">
        <f>IFERROR(_xlfn.XLOOKUP("*"&amp;TRIM(Fusion[[#This Row],[Confinement Type]])&amp;"*", Map_Conf[From], Map_Conf[To], "", 2), "")</f>
        <v>MCF</v>
      </c>
      <c r="V313" s="108" t="str" cm="1">
        <f t="array" ref="V3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14" spans="1:22" hidden="1">
      <c r="A314">
        <v>529</v>
      </c>
      <c r="B314" t="s">
        <v>492</v>
      </c>
      <c r="C314" t="s">
        <v>470</v>
      </c>
      <c r="D314" t="s">
        <v>471</v>
      </c>
      <c r="E314">
        <v>814.4</v>
      </c>
      <c r="F314" t="s">
        <v>115</v>
      </c>
      <c r="G314" t="s">
        <v>754</v>
      </c>
      <c r="H314" t="s">
        <v>33</v>
      </c>
      <c r="I314">
        <v>29500000</v>
      </c>
      <c r="J314" t="s">
        <v>34</v>
      </c>
      <c r="K314">
        <v>2020</v>
      </c>
      <c r="L314" t="s">
        <v>486</v>
      </c>
      <c r="N314" t="s">
        <v>122</v>
      </c>
      <c r="O314" t="s">
        <v>38</v>
      </c>
      <c r="P314" t="s">
        <v>38</v>
      </c>
      <c r="Q31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35.144740399991051</v>
      </c>
      <c r="R31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35.144740399991051</v>
      </c>
      <c r="U314" s="107" t="str">
        <f>IFERROR(_xlfn.XLOOKUP("*"&amp;TRIM(Fusion[[#This Row],[Confinement Type]])&amp;"*", Map_Conf[From], Map_Conf[To], "", 2), "")</f>
        <v>MIF</v>
      </c>
      <c r="V314" s="108" t="str" cm="1">
        <f t="array" ref="V3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15" spans="1:22" hidden="1">
      <c r="B315" t="s">
        <v>182</v>
      </c>
      <c r="C315" t="s">
        <v>61</v>
      </c>
      <c r="D315" t="s">
        <v>62</v>
      </c>
      <c r="E315">
        <v>1200</v>
      </c>
      <c r="F315" t="s">
        <v>116</v>
      </c>
      <c r="G315" t="s">
        <v>52</v>
      </c>
      <c r="H315" t="s">
        <v>76</v>
      </c>
      <c r="I315">
        <v>16.100000000000001</v>
      </c>
      <c r="J315" t="s">
        <v>77</v>
      </c>
      <c r="K315">
        <v>1986</v>
      </c>
      <c r="L315" t="s">
        <v>1105</v>
      </c>
      <c r="M315" t="s">
        <v>1099</v>
      </c>
      <c r="Q31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36.887068430656939</v>
      </c>
      <c r="R31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36.887068430656939</v>
      </c>
      <c r="U315" s="107" t="str">
        <f>IFERROR(_xlfn.XLOOKUP("*"&amp;TRIM(Fusion[[#This Row],[Confinement Type]])&amp;"*", Map_Conf[From], Map_Conf[To], "", 2), "")</f>
        <v>MCF</v>
      </c>
      <c r="V315" s="108" t="str" cm="1">
        <f t="array" ref="V3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16" spans="1:22" hidden="1">
      <c r="B316" t="s">
        <v>797</v>
      </c>
      <c r="C316" t="s">
        <v>30</v>
      </c>
      <c r="D316" t="s">
        <v>798</v>
      </c>
      <c r="E316">
        <v>999</v>
      </c>
      <c r="F316" t="s">
        <v>115</v>
      </c>
      <c r="G316" t="s">
        <v>52</v>
      </c>
      <c r="H316" t="s">
        <v>33</v>
      </c>
      <c r="I316">
        <v>20170000</v>
      </c>
      <c r="J316" t="s">
        <v>34</v>
      </c>
      <c r="K316">
        <v>1991</v>
      </c>
      <c r="L316" t="s">
        <v>799</v>
      </c>
      <c r="M316" t="s">
        <v>801</v>
      </c>
      <c r="N316" t="s">
        <v>38</v>
      </c>
      <c r="O316" t="s">
        <v>38</v>
      </c>
      <c r="P316" t="s">
        <v>38</v>
      </c>
      <c r="Q31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37.223921351601234</v>
      </c>
      <c r="R31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37.223921351601234</v>
      </c>
      <c r="U316" s="107" t="str">
        <f>IFERROR(_xlfn.XLOOKUP("*"&amp;TRIM(Fusion[[#This Row],[Confinement Type]])&amp;"*", Map_Conf[From], Map_Conf[To], "", 2), "")</f>
        <v>ICF</v>
      </c>
      <c r="V316" s="108" t="str" cm="1">
        <f t="array" ref="V3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317" spans="1:22" hidden="1">
      <c r="A317">
        <v>261</v>
      </c>
      <c r="B317" t="s">
        <v>286</v>
      </c>
      <c r="C317" t="s">
        <v>61</v>
      </c>
      <c r="D317" t="s">
        <v>278</v>
      </c>
      <c r="E317">
        <v>1604</v>
      </c>
      <c r="F317" t="s">
        <v>116</v>
      </c>
      <c r="G317" t="s">
        <v>57</v>
      </c>
      <c r="H317" t="s">
        <v>76</v>
      </c>
      <c r="I317">
        <v>26.8</v>
      </c>
      <c r="J317" t="s">
        <v>77</v>
      </c>
      <c r="K317">
        <v>2002</v>
      </c>
      <c r="L317" t="s">
        <v>287</v>
      </c>
      <c r="N317" t="s">
        <v>122</v>
      </c>
      <c r="O317" t="s">
        <v>38</v>
      </c>
      <c r="P317" t="s">
        <v>38</v>
      </c>
      <c r="Q31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37.407824346859371</v>
      </c>
      <c r="R31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37.407824346859371</v>
      </c>
      <c r="U317" s="107" t="str">
        <f>IFERROR(_xlfn.XLOOKUP("*"&amp;TRIM(Fusion[[#This Row],[Confinement Type]])&amp;"*", Map_Conf[From], Map_Conf[To], "", 2), "")</f>
        <v>MCF</v>
      </c>
      <c r="V317" s="108" t="str" cm="1">
        <f t="array" ref="V3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18" spans="1:22" hidden="1">
      <c r="A318">
        <v>262</v>
      </c>
      <c r="B318" t="s">
        <v>286</v>
      </c>
      <c r="C318" t="s">
        <v>61</v>
      </c>
      <c r="D318" t="s">
        <v>278</v>
      </c>
      <c r="E318">
        <v>1601</v>
      </c>
      <c r="F318" t="s">
        <v>116</v>
      </c>
      <c r="G318" t="s">
        <v>57</v>
      </c>
      <c r="H318" t="s">
        <v>76</v>
      </c>
      <c r="I318">
        <v>27.1</v>
      </c>
      <c r="J318" t="s">
        <v>77</v>
      </c>
      <c r="K318">
        <v>2002</v>
      </c>
      <c r="L318" t="s">
        <v>287</v>
      </c>
      <c r="N318" t="s">
        <v>122</v>
      </c>
      <c r="O318" t="s">
        <v>38</v>
      </c>
      <c r="P318" t="s">
        <v>38</v>
      </c>
      <c r="Q31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37.826568649249587</v>
      </c>
      <c r="R31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37.826568649249587</v>
      </c>
      <c r="U318" s="107" t="str">
        <f>IFERROR(_xlfn.XLOOKUP("*"&amp;TRIM(Fusion[[#This Row],[Confinement Type]])&amp;"*", Map_Conf[From], Map_Conf[To], "", 2), "")</f>
        <v>MCF</v>
      </c>
      <c r="V318" s="108" t="str" cm="1">
        <f t="array" ref="V3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19" spans="1:22" hidden="1">
      <c r="A319">
        <v>525</v>
      </c>
      <c r="B319" t="s">
        <v>488</v>
      </c>
      <c r="C319" t="s">
        <v>470</v>
      </c>
      <c r="D319" t="s">
        <v>471</v>
      </c>
      <c r="E319">
        <v>383.1</v>
      </c>
      <c r="F319" t="s">
        <v>75</v>
      </c>
      <c r="G319" t="s">
        <v>754</v>
      </c>
      <c r="H319" t="s">
        <v>76</v>
      </c>
      <c r="I319">
        <v>39.700000000000003</v>
      </c>
      <c r="J319" t="s">
        <v>77</v>
      </c>
      <c r="K319">
        <v>2020</v>
      </c>
      <c r="L319" t="s">
        <v>486</v>
      </c>
      <c r="M319" t="s">
        <v>491</v>
      </c>
      <c r="N319">
        <v>0.9</v>
      </c>
      <c r="O319" t="s">
        <v>350</v>
      </c>
      <c r="P319" t="s">
        <v>38</v>
      </c>
      <c r="Q31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38.518254247307887</v>
      </c>
      <c r="R31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38.518254247307887</v>
      </c>
      <c r="U319" s="107" t="str">
        <f>IFERROR(_xlfn.XLOOKUP("*"&amp;TRIM(Fusion[[#This Row],[Confinement Type]])&amp;"*", Map_Conf[From], Map_Conf[To], "", 2), "")</f>
        <v>MIF</v>
      </c>
      <c r="V319" s="108" t="str" cm="1">
        <f t="array" ref="V3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20" spans="1:22" hidden="1">
      <c r="A320">
        <v>96</v>
      </c>
      <c r="B320" t="s">
        <v>165</v>
      </c>
      <c r="C320" t="s">
        <v>61</v>
      </c>
      <c r="D320" t="s">
        <v>62</v>
      </c>
      <c r="E320">
        <v>1200</v>
      </c>
      <c r="F320" t="s">
        <v>115</v>
      </c>
      <c r="G320" t="s">
        <v>52</v>
      </c>
      <c r="H320" t="s">
        <v>33</v>
      </c>
      <c r="I320">
        <v>20470000.000000007</v>
      </c>
      <c r="J320" t="s">
        <v>34</v>
      </c>
      <c r="K320">
        <v>1986</v>
      </c>
      <c r="L320" t="s">
        <v>147</v>
      </c>
      <c r="M320" t="s">
        <v>691</v>
      </c>
      <c r="N320" t="s">
        <v>122</v>
      </c>
      <c r="O320" t="s">
        <v>38</v>
      </c>
      <c r="P320" t="s">
        <v>38</v>
      </c>
      <c r="Q32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39.082727265815109</v>
      </c>
      <c r="R32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39.082727265815109</v>
      </c>
      <c r="U320" s="107" t="str">
        <f>IFERROR(_xlfn.XLOOKUP("*"&amp;TRIM(Fusion[[#This Row],[Confinement Type]])&amp;"*", Map_Conf[From], Map_Conf[To], "", 2), "")</f>
        <v>MCF</v>
      </c>
      <c r="V320" s="108" t="str" cm="1">
        <f t="array" ref="V3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1" spans="1:22" hidden="1">
      <c r="A321">
        <v>263</v>
      </c>
      <c r="B321" t="s">
        <v>286</v>
      </c>
      <c r="C321" t="s">
        <v>61</v>
      </c>
      <c r="D321" t="s">
        <v>278</v>
      </c>
      <c r="E321">
        <v>1598</v>
      </c>
      <c r="F321" t="s">
        <v>116</v>
      </c>
      <c r="G321" t="s">
        <v>57</v>
      </c>
      <c r="H321" t="s">
        <v>76</v>
      </c>
      <c r="I321">
        <v>28.2</v>
      </c>
      <c r="J321" t="s">
        <v>77</v>
      </c>
      <c r="K321">
        <v>2002</v>
      </c>
      <c r="L321" t="s">
        <v>287</v>
      </c>
      <c r="N321" t="s">
        <v>122</v>
      </c>
      <c r="O321" t="s">
        <v>38</v>
      </c>
      <c r="P321" t="s">
        <v>38</v>
      </c>
      <c r="Q32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39.36196442468038</v>
      </c>
      <c r="R32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39.36196442468038</v>
      </c>
      <c r="U321" s="107" t="str">
        <f>IFERROR(_xlfn.XLOOKUP("*"&amp;TRIM(Fusion[[#This Row],[Confinement Type]])&amp;"*", Map_Conf[From], Map_Conf[To], "", 2), "")</f>
        <v>MCF</v>
      </c>
      <c r="V321" s="108" t="str" cm="1">
        <f t="array" ref="V3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22" spans="1:22" hidden="1">
      <c r="B322" t="s">
        <v>176</v>
      </c>
      <c r="C322" t="s">
        <v>61</v>
      </c>
      <c r="D322" t="s">
        <v>62</v>
      </c>
      <c r="E322">
        <v>1200</v>
      </c>
      <c r="F322" t="s">
        <v>116</v>
      </c>
      <c r="G322" t="s">
        <v>52</v>
      </c>
      <c r="H322" t="s">
        <v>76</v>
      </c>
      <c r="I322">
        <v>17.8</v>
      </c>
      <c r="J322" t="s">
        <v>77</v>
      </c>
      <c r="K322">
        <v>1986</v>
      </c>
      <c r="L322" t="s">
        <v>1105</v>
      </c>
      <c r="M322" t="s">
        <v>1099</v>
      </c>
      <c r="Q32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40.781976277372266</v>
      </c>
      <c r="R32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40.781976277372266</v>
      </c>
      <c r="U322" s="107" t="str">
        <f>IFERROR(_xlfn.XLOOKUP("*"&amp;TRIM(Fusion[[#This Row],[Confinement Type]])&amp;"*", Map_Conf[From], Map_Conf[To], "", 2), "")</f>
        <v>MCF</v>
      </c>
      <c r="V322" s="108" t="str" cm="1">
        <f t="array" ref="V3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3" spans="1:22" hidden="1">
      <c r="B323" t="s">
        <v>187</v>
      </c>
      <c r="C323" t="s">
        <v>61</v>
      </c>
      <c r="D323" t="s">
        <v>62</v>
      </c>
      <c r="E323">
        <v>1200</v>
      </c>
      <c r="F323" t="s">
        <v>116</v>
      </c>
      <c r="G323" t="s">
        <v>52</v>
      </c>
      <c r="H323" t="s">
        <v>76</v>
      </c>
      <c r="I323">
        <v>18.100000000000001</v>
      </c>
      <c r="J323" t="s">
        <v>77</v>
      </c>
      <c r="K323">
        <v>1986</v>
      </c>
      <c r="L323" t="s">
        <v>1105</v>
      </c>
      <c r="M323" t="s">
        <v>1099</v>
      </c>
      <c r="Q32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41.469312956204391</v>
      </c>
      <c r="R32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41.469312956204391</v>
      </c>
      <c r="U323" s="107" t="str">
        <f>IFERROR(_xlfn.XLOOKUP("*"&amp;TRIM(Fusion[[#This Row],[Confinement Type]])&amp;"*", Map_Conf[From], Map_Conf[To], "", 2), "")</f>
        <v>MCF</v>
      </c>
      <c r="V323" s="108" t="str" cm="1">
        <f t="array" ref="V3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4" spans="1:22" hidden="1">
      <c r="A324">
        <v>116</v>
      </c>
      <c r="B324" t="s">
        <v>174</v>
      </c>
      <c r="C324" t="s">
        <v>61</v>
      </c>
      <c r="D324" t="s">
        <v>62</v>
      </c>
      <c r="E324">
        <v>1200</v>
      </c>
      <c r="F324" t="s">
        <v>115</v>
      </c>
      <c r="G324" t="s">
        <v>52</v>
      </c>
      <c r="H324" t="s">
        <v>33</v>
      </c>
      <c r="I324">
        <v>22490000.000000004</v>
      </c>
      <c r="J324" t="s">
        <v>34</v>
      </c>
      <c r="K324">
        <v>1986</v>
      </c>
      <c r="L324" t="s">
        <v>147</v>
      </c>
      <c r="M324" t="s">
        <v>691</v>
      </c>
      <c r="N324" t="s">
        <v>122</v>
      </c>
      <c r="O324" t="s">
        <v>38</v>
      </c>
      <c r="P324" t="s">
        <v>38</v>
      </c>
      <c r="Q32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42.939449741484196</v>
      </c>
      <c r="R32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42.939449741484196</v>
      </c>
      <c r="U324" s="107" t="str">
        <f>IFERROR(_xlfn.XLOOKUP("*"&amp;TRIM(Fusion[[#This Row],[Confinement Type]])&amp;"*", Map_Conf[From], Map_Conf[To], "", 2), "")</f>
        <v>MCF</v>
      </c>
      <c r="V324" s="108" t="str" cm="1">
        <f t="array" ref="V3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5" spans="1:22" hidden="1">
      <c r="A325">
        <v>264</v>
      </c>
      <c r="B325" t="s">
        <v>286</v>
      </c>
      <c r="C325" t="s">
        <v>61</v>
      </c>
      <c r="D325" t="s">
        <v>278</v>
      </c>
      <c r="E325">
        <v>1598</v>
      </c>
      <c r="F325" t="s">
        <v>116</v>
      </c>
      <c r="G325" t="s">
        <v>57</v>
      </c>
      <c r="H325" t="s">
        <v>76</v>
      </c>
      <c r="I325">
        <v>31.4</v>
      </c>
      <c r="J325" t="s">
        <v>77</v>
      </c>
      <c r="K325">
        <v>2002</v>
      </c>
      <c r="L325" t="s">
        <v>287</v>
      </c>
      <c r="N325" t="s">
        <v>122</v>
      </c>
      <c r="O325" t="s">
        <v>38</v>
      </c>
      <c r="P325" t="s">
        <v>38</v>
      </c>
      <c r="Q32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43.828570316842693</v>
      </c>
      <c r="R32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43.828570316842693</v>
      </c>
      <c r="U325" s="107" t="str">
        <f>IFERROR(_xlfn.XLOOKUP("*"&amp;TRIM(Fusion[[#This Row],[Confinement Type]])&amp;"*", Map_Conf[From], Map_Conf[To], "", 2), "")</f>
        <v>MCF</v>
      </c>
      <c r="V325" s="108" t="str" cm="1">
        <f t="array" ref="V3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26" spans="1:22" hidden="1">
      <c r="A326">
        <v>6</v>
      </c>
      <c r="B326" t="s">
        <v>60</v>
      </c>
      <c r="C326" t="s">
        <v>61</v>
      </c>
      <c r="D326" t="s">
        <v>62</v>
      </c>
      <c r="E326">
        <v>1200</v>
      </c>
      <c r="F326" t="s">
        <v>115</v>
      </c>
      <c r="G326" t="s">
        <v>52</v>
      </c>
      <c r="H326" t="s">
        <v>33</v>
      </c>
      <c r="I326">
        <v>17360000</v>
      </c>
      <c r="J326" t="s">
        <v>34</v>
      </c>
      <c r="K326">
        <v>1980</v>
      </c>
      <c r="L326" t="s">
        <v>975</v>
      </c>
      <c r="M326" t="s">
        <v>78</v>
      </c>
      <c r="N326" t="s">
        <v>38</v>
      </c>
      <c r="O326" t="s">
        <v>38</v>
      </c>
      <c r="P326" t="s">
        <v>38</v>
      </c>
      <c r="Q32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44.085937702265369</v>
      </c>
      <c r="R32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44.085937702265369</v>
      </c>
      <c r="U326" s="107" t="str">
        <f>IFERROR(_xlfn.XLOOKUP("*"&amp;TRIM(Fusion[[#This Row],[Confinement Type]])&amp;"*", Map_Conf[From], Map_Conf[To], "", 2), "")</f>
        <v>MCF</v>
      </c>
      <c r="V326" s="108" t="str" cm="1">
        <f t="array" ref="V3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7" spans="1:22" hidden="1">
      <c r="B327" t="s">
        <v>795</v>
      </c>
      <c r="C327" t="s">
        <v>30</v>
      </c>
      <c r="D327" t="s">
        <v>796</v>
      </c>
      <c r="E327">
        <v>972</v>
      </c>
      <c r="F327" t="s">
        <v>115</v>
      </c>
      <c r="G327" t="s">
        <v>52</v>
      </c>
      <c r="H327" t="s">
        <v>33</v>
      </c>
      <c r="I327">
        <v>24290000</v>
      </c>
      <c r="J327" t="s">
        <v>34</v>
      </c>
      <c r="K327">
        <v>1991</v>
      </c>
      <c r="L327" t="s">
        <v>799</v>
      </c>
      <c r="M327" t="s">
        <v>801</v>
      </c>
      <c r="N327" t="s">
        <v>38</v>
      </c>
      <c r="O327" t="s">
        <v>38</v>
      </c>
      <c r="P327" t="s">
        <v>38</v>
      </c>
      <c r="Q32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46.072625511381837</v>
      </c>
      <c r="R32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46.072625511381837</v>
      </c>
      <c r="U327" s="107" t="str">
        <f>IFERROR(_xlfn.XLOOKUP("*"&amp;TRIM(Fusion[[#This Row],[Confinement Type]])&amp;"*", Map_Conf[From], Map_Conf[To], "", 2), "")</f>
        <v>ICF</v>
      </c>
      <c r="V327" s="108" t="str" cm="1">
        <f t="array" ref="V3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328" spans="1:22" hidden="1">
      <c r="A328">
        <v>8</v>
      </c>
      <c r="B328" t="s">
        <v>60</v>
      </c>
      <c r="C328" t="s">
        <v>61</v>
      </c>
      <c r="D328" t="s">
        <v>62</v>
      </c>
      <c r="E328">
        <v>1200</v>
      </c>
      <c r="F328" t="s">
        <v>116</v>
      </c>
      <c r="G328" t="s">
        <v>52</v>
      </c>
      <c r="H328" t="s">
        <v>33</v>
      </c>
      <c r="I328">
        <v>19410000</v>
      </c>
      <c r="J328" t="s">
        <v>34</v>
      </c>
      <c r="K328">
        <v>1980</v>
      </c>
      <c r="L328" t="s">
        <v>975</v>
      </c>
      <c r="N328" t="s">
        <v>38</v>
      </c>
      <c r="O328" t="s">
        <v>38</v>
      </c>
      <c r="P328" t="s">
        <v>38</v>
      </c>
      <c r="Q32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49.29193841019417</v>
      </c>
      <c r="R32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49.29193841019417</v>
      </c>
      <c r="U328" s="107" t="str">
        <f>IFERROR(_xlfn.XLOOKUP("*"&amp;TRIM(Fusion[[#This Row],[Confinement Type]])&amp;"*", Map_Conf[From], Map_Conf[To], "", 2), "")</f>
        <v>MCF</v>
      </c>
      <c r="V328" s="108" t="str" cm="1">
        <f t="array" ref="V3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9" spans="1:22" hidden="1">
      <c r="A329">
        <v>465</v>
      </c>
      <c r="B329" t="s">
        <v>81</v>
      </c>
      <c r="C329" t="s">
        <v>61</v>
      </c>
      <c r="D329" t="s">
        <v>62</v>
      </c>
      <c r="E329">
        <v>1000</v>
      </c>
      <c r="F329" t="s">
        <v>116</v>
      </c>
      <c r="G329" t="s">
        <v>32</v>
      </c>
      <c r="H329" t="s">
        <v>76</v>
      </c>
      <c r="I329">
        <v>38</v>
      </c>
      <c r="J329" t="s">
        <v>77</v>
      </c>
      <c r="K329">
        <v>2003</v>
      </c>
      <c r="L329" t="s">
        <v>440</v>
      </c>
      <c r="M329" t="s">
        <v>442</v>
      </c>
      <c r="N329" t="s">
        <v>38</v>
      </c>
      <c r="O329" t="s">
        <v>38</v>
      </c>
      <c r="P329" t="s">
        <v>38</v>
      </c>
      <c r="Q32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51.859054347826088</v>
      </c>
      <c r="R32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51.859054347826088</v>
      </c>
      <c r="U329" s="107" t="str">
        <f>IFERROR(_xlfn.XLOOKUP("*"&amp;TRIM(Fusion[[#This Row],[Confinement Type]])&amp;"*", Map_Conf[From], Map_Conf[To], "", 2), "")</f>
        <v>MCF</v>
      </c>
      <c r="V329" s="108" t="str" cm="1">
        <f t="array" ref="V3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0" spans="1:22" hidden="1">
      <c r="A330">
        <v>531</v>
      </c>
      <c r="B330" t="s">
        <v>492</v>
      </c>
      <c r="C330" t="s">
        <v>470</v>
      </c>
      <c r="D330" t="s">
        <v>471</v>
      </c>
      <c r="E330">
        <v>814.4</v>
      </c>
      <c r="F330" t="s">
        <v>75</v>
      </c>
      <c r="G330" t="s">
        <v>754</v>
      </c>
      <c r="H330" t="s">
        <v>76</v>
      </c>
      <c r="I330">
        <v>53.7</v>
      </c>
      <c r="J330" t="s">
        <v>77</v>
      </c>
      <c r="K330">
        <v>2020</v>
      </c>
      <c r="L330" t="s">
        <v>486</v>
      </c>
      <c r="M330" t="s">
        <v>495</v>
      </c>
      <c r="N330">
        <v>0.9</v>
      </c>
      <c r="O330" t="s">
        <v>350</v>
      </c>
      <c r="P330" t="s">
        <v>38</v>
      </c>
      <c r="Q33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52.101517709834596</v>
      </c>
      <c r="R33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52.101517709834596</v>
      </c>
      <c r="U330" s="107" t="str">
        <f>IFERROR(_xlfn.XLOOKUP("*"&amp;TRIM(Fusion[[#This Row],[Confinement Type]])&amp;"*", Map_Conf[From], Map_Conf[To], "", 2), "")</f>
        <v>MIF</v>
      </c>
      <c r="V330" s="108" t="str" cm="1">
        <f t="array" ref="V3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31" spans="1:22" hidden="1">
      <c r="A331">
        <v>400</v>
      </c>
      <c r="B331" t="s">
        <v>402</v>
      </c>
      <c r="C331" t="s">
        <v>61</v>
      </c>
      <c r="D331" t="s">
        <v>251</v>
      </c>
      <c r="E331">
        <v>2272</v>
      </c>
      <c r="F331" t="s">
        <v>116</v>
      </c>
      <c r="G331" t="s">
        <v>32</v>
      </c>
      <c r="H331" t="s">
        <v>33</v>
      </c>
      <c r="I331">
        <v>155700000</v>
      </c>
      <c r="J331" t="s">
        <v>34</v>
      </c>
      <c r="K331">
        <v>2023</v>
      </c>
      <c r="L331" t="s">
        <v>399</v>
      </c>
      <c r="M331" t="s">
        <v>1106</v>
      </c>
      <c r="N331" t="s">
        <v>122</v>
      </c>
      <c r="O331" t="s">
        <v>38</v>
      </c>
      <c r="P331" t="s">
        <v>38</v>
      </c>
      <c r="Q33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56.475983178346219</v>
      </c>
      <c r="R33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56.475983178346219</v>
      </c>
      <c r="U331" s="107" t="str">
        <f>IFERROR(_xlfn.XLOOKUP("*"&amp;TRIM(Fusion[[#This Row],[Confinement Type]])&amp;"*", Map_Conf[From], Map_Conf[To], "", 2), "")</f>
        <v>MCF</v>
      </c>
      <c r="V331" s="108" t="str" cm="1">
        <f t="array" ref="V3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32" spans="1:22" hidden="1">
      <c r="A332">
        <v>404</v>
      </c>
      <c r="B332" t="s">
        <v>406</v>
      </c>
      <c r="C332" t="s">
        <v>61</v>
      </c>
      <c r="D332" t="s">
        <v>251</v>
      </c>
      <c r="E332">
        <v>1945</v>
      </c>
      <c r="F332" t="s">
        <v>116</v>
      </c>
      <c r="G332" t="s">
        <v>32</v>
      </c>
      <c r="H332" t="s">
        <v>33</v>
      </c>
      <c r="I332">
        <v>143850000</v>
      </c>
      <c r="J332" t="s">
        <v>34</v>
      </c>
      <c r="K332">
        <v>2023</v>
      </c>
      <c r="L332" t="s">
        <v>399</v>
      </c>
      <c r="M332" t="s">
        <v>1106</v>
      </c>
      <c r="N332" t="s">
        <v>122</v>
      </c>
      <c r="O332" t="s">
        <v>38</v>
      </c>
      <c r="P332" t="s">
        <v>38</v>
      </c>
      <c r="Q33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60.950009161464997</v>
      </c>
      <c r="R33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60.950009161464997</v>
      </c>
      <c r="U332" s="107" t="str">
        <f>IFERROR(_xlfn.XLOOKUP("*"&amp;TRIM(Fusion[[#This Row],[Confinement Type]])&amp;"*", Map_Conf[From], Map_Conf[To], "", 2), "")</f>
        <v>MCF</v>
      </c>
      <c r="V332" s="108" t="str" cm="1">
        <f t="array" ref="V3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33" spans="1:22" hidden="1">
      <c r="B333" t="s">
        <v>737</v>
      </c>
      <c r="C333" t="s">
        <v>61</v>
      </c>
      <c r="D333" t="s">
        <v>62</v>
      </c>
      <c r="E333">
        <v>1000</v>
      </c>
      <c r="F333" t="s">
        <v>115</v>
      </c>
      <c r="G333" t="s">
        <v>52</v>
      </c>
      <c r="H333" t="s">
        <v>33</v>
      </c>
      <c r="I333">
        <v>55000000</v>
      </c>
      <c r="J333" t="s">
        <v>34</v>
      </c>
      <c r="K333">
        <v>2010</v>
      </c>
      <c r="L333" t="s">
        <v>732</v>
      </c>
      <c r="Q33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63.336413581832183</v>
      </c>
      <c r="R33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63.336413581832183</v>
      </c>
      <c r="U333" s="107" t="str">
        <f>IFERROR(_xlfn.XLOOKUP("*"&amp;TRIM(Fusion[[#This Row],[Confinement Type]])&amp;"*", Map_Conf[From], Map_Conf[To], "", 2), "")</f>
        <v>MCF</v>
      </c>
      <c r="V333" s="108" t="str" cm="1">
        <f t="array" ref="V3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4" spans="1:22" hidden="1">
      <c r="B334" t="s">
        <v>736</v>
      </c>
      <c r="C334" t="s">
        <v>61</v>
      </c>
      <c r="D334" t="s">
        <v>62</v>
      </c>
      <c r="E334">
        <v>1000</v>
      </c>
      <c r="F334" t="s">
        <v>115</v>
      </c>
      <c r="G334" t="s">
        <v>52</v>
      </c>
      <c r="H334" t="s">
        <v>33</v>
      </c>
      <c r="I334">
        <v>55000000</v>
      </c>
      <c r="J334" t="s">
        <v>34</v>
      </c>
      <c r="K334">
        <v>2010</v>
      </c>
      <c r="L334" t="s">
        <v>732</v>
      </c>
      <c r="Q33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63.336413581832183</v>
      </c>
      <c r="R33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63.336413581832183</v>
      </c>
      <c r="U334" s="107" t="str">
        <f>IFERROR(_xlfn.XLOOKUP("*"&amp;TRIM(Fusion[[#This Row],[Confinement Type]])&amp;"*", Map_Conf[From], Map_Conf[To], "", 2), "")</f>
        <v>MCF</v>
      </c>
      <c r="V334" s="108" t="str" cm="1">
        <f t="array" ref="V3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5" spans="1:22" hidden="1">
      <c r="A335">
        <v>530</v>
      </c>
      <c r="B335" t="s">
        <v>492</v>
      </c>
      <c r="C335" t="s">
        <v>470</v>
      </c>
      <c r="D335" t="s">
        <v>471</v>
      </c>
      <c r="E335">
        <v>814.4</v>
      </c>
      <c r="F335" t="s">
        <v>75</v>
      </c>
      <c r="G335" t="s">
        <v>754</v>
      </c>
      <c r="H335" t="s">
        <v>76</v>
      </c>
      <c r="I335">
        <v>66.8</v>
      </c>
      <c r="J335" t="s">
        <v>77</v>
      </c>
      <c r="K335">
        <v>2020</v>
      </c>
      <c r="L335" t="s">
        <v>486</v>
      </c>
      <c r="M335" t="s">
        <v>494</v>
      </c>
      <c r="N335">
        <v>0.9</v>
      </c>
      <c r="O335" t="s">
        <v>350</v>
      </c>
      <c r="P335" t="s">
        <v>38</v>
      </c>
      <c r="Q33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64.811571378341725</v>
      </c>
      <c r="R33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64.811571378341725</v>
      </c>
      <c r="U335" s="107" t="str">
        <f>IFERROR(_xlfn.XLOOKUP("*"&amp;TRIM(Fusion[[#This Row],[Confinement Type]])&amp;"*", Map_Conf[From], Map_Conf[To], "", 2), "")</f>
        <v>MIF</v>
      </c>
      <c r="V335" s="108" t="str" cm="1">
        <f t="array" ref="V3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36" spans="1:22" hidden="1">
      <c r="B336" t="s">
        <v>741</v>
      </c>
      <c r="C336" t="s">
        <v>61</v>
      </c>
      <c r="D336" t="s">
        <v>62</v>
      </c>
      <c r="E336">
        <v>3000</v>
      </c>
      <c r="F336" t="s">
        <v>116</v>
      </c>
      <c r="G336" t="s">
        <v>52</v>
      </c>
      <c r="H336" t="s">
        <v>33</v>
      </c>
      <c r="I336">
        <v>171000000</v>
      </c>
      <c r="J336" t="s">
        <v>34</v>
      </c>
      <c r="K336">
        <v>2010</v>
      </c>
      <c r="L336" t="s">
        <v>732</v>
      </c>
      <c r="Q33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65.639555893898802</v>
      </c>
      <c r="R33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65.639555893898802</v>
      </c>
      <c r="U336" s="107" t="str">
        <f>IFERROR(_xlfn.XLOOKUP("*"&amp;TRIM(Fusion[[#This Row],[Confinement Type]])&amp;"*", Map_Conf[From], Map_Conf[To], "", 2), "")</f>
        <v>MCF</v>
      </c>
      <c r="V336" s="108" t="str" cm="1">
        <f t="array" ref="V3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7" spans="1:22" hidden="1">
      <c r="A337">
        <v>536</v>
      </c>
      <c r="B337" t="s">
        <v>500</v>
      </c>
      <c r="C337" t="s">
        <v>61</v>
      </c>
      <c r="D337" t="s">
        <v>62</v>
      </c>
      <c r="E337">
        <v>2000</v>
      </c>
      <c r="F337" t="s">
        <v>108</v>
      </c>
      <c r="G337" t="s">
        <v>57</v>
      </c>
      <c r="H337" t="s">
        <v>76</v>
      </c>
      <c r="I337">
        <v>49.87332</v>
      </c>
      <c r="J337" t="s">
        <v>77</v>
      </c>
      <c r="K337">
        <v>2003</v>
      </c>
      <c r="L337" t="s">
        <v>498</v>
      </c>
      <c r="M337" t="s">
        <v>499</v>
      </c>
      <c r="N337">
        <v>0.75</v>
      </c>
      <c r="O337" t="s">
        <v>38</v>
      </c>
      <c r="P337" t="s">
        <v>38</v>
      </c>
      <c r="Q33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68.062716115434782</v>
      </c>
      <c r="R33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68.062716115434782</v>
      </c>
      <c r="U337" s="107" t="str">
        <f>IFERROR(_xlfn.XLOOKUP("*"&amp;TRIM(Fusion[[#This Row],[Confinement Type]])&amp;"*", Map_Conf[From], Map_Conf[To], "", 2), "")</f>
        <v>MCF</v>
      </c>
      <c r="V337" s="108" t="str" cm="1">
        <f t="array" ref="V3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8" spans="1:22" hidden="1">
      <c r="A338">
        <v>244</v>
      </c>
      <c r="B338" t="s">
        <v>269</v>
      </c>
      <c r="C338" t="s">
        <v>61</v>
      </c>
      <c r="D338" t="s">
        <v>62</v>
      </c>
      <c r="E338">
        <v>1013.2</v>
      </c>
      <c r="F338" t="s">
        <v>108</v>
      </c>
      <c r="G338" t="s">
        <v>52</v>
      </c>
      <c r="H338" t="s">
        <v>76</v>
      </c>
      <c r="I338">
        <v>64.3</v>
      </c>
      <c r="J338" t="s">
        <v>77</v>
      </c>
      <c r="K338">
        <v>2015</v>
      </c>
      <c r="L338" t="s">
        <v>289</v>
      </c>
      <c r="M338" t="s">
        <v>270</v>
      </c>
      <c r="N338" t="s">
        <v>38</v>
      </c>
      <c r="O338" t="s">
        <v>84</v>
      </c>
      <c r="P338" t="s">
        <v>38</v>
      </c>
      <c r="Q33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68.122455773214583</v>
      </c>
      <c r="R33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68.122455773214583</v>
      </c>
      <c r="U338" s="107" t="str">
        <f>IFERROR(_xlfn.XLOOKUP("*"&amp;TRIM(Fusion[[#This Row],[Confinement Type]])&amp;"*", Map_Conf[From], Map_Conf[To], "", 2), "")</f>
        <v>MCF</v>
      </c>
      <c r="V338" s="108" t="str" cm="1">
        <f t="array" ref="V3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9" spans="1:22" hidden="1">
      <c r="A339">
        <v>538</v>
      </c>
      <c r="B339" t="s">
        <v>502</v>
      </c>
      <c r="C339" t="s">
        <v>61</v>
      </c>
      <c r="D339" t="s">
        <v>278</v>
      </c>
      <c r="E339">
        <v>2000</v>
      </c>
      <c r="F339" t="s">
        <v>108</v>
      </c>
      <c r="G339" t="s">
        <v>57</v>
      </c>
      <c r="H339" t="s">
        <v>76</v>
      </c>
      <c r="I339">
        <v>50.893920000000001</v>
      </c>
      <c r="J339" t="s">
        <v>77</v>
      </c>
      <c r="K339">
        <v>2003</v>
      </c>
      <c r="L339" t="s">
        <v>498</v>
      </c>
      <c r="M339" t="s">
        <v>499</v>
      </c>
      <c r="N339">
        <v>0.75</v>
      </c>
      <c r="O339" t="s">
        <v>430</v>
      </c>
      <c r="P339" t="s">
        <v>38</v>
      </c>
      <c r="Q33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69.45554113826087</v>
      </c>
      <c r="R33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69.45554113826087</v>
      </c>
      <c r="U339" s="107" t="str">
        <f>IFERROR(_xlfn.XLOOKUP("*"&amp;TRIM(Fusion[[#This Row],[Confinement Type]])&amp;"*", Map_Conf[From], Map_Conf[To], "", 2), "")</f>
        <v>MCF</v>
      </c>
      <c r="V339" s="108" t="str" cm="1">
        <f t="array" ref="V3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40" spans="1:22" hidden="1">
      <c r="A340">
        <v>251</v>
      </c>
      <c r="B340" t="s">
        <v>281</v>
      </c>
      <c r="C340" t="s">
        <v>61</v>
      </c>
      <c r="D340" t="s">
        <v>278</v>
      </c>
      <c r="E340">
        <v>1940</v>
      </c>
      <c r="F340" t="s">
        <v>116</v>
      </c>
      <c r="G340" t="s">
        <v>57</v>
      </c>
      <c r="H340" t="s">
        <v>33</v>
      </c>
      <c r="I340">
        <v>100364000</v>
      </c>
      <c r="J340" t="s">
        <v>34</v>
      </c>
      <c r="K340">
        <v>2003</v>
      </c>
      <c r="L340" t="s">
        <v>279</v>
      </c>
      <c r="N340" t="s">
        <v>122</v>
      </c>
      <c r="O340" t="s">
        <v>38</v>
      </c>
      <c r="P340" t="s">
        <v>38</v>
      </c>
      <c r="Q34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70.602036497086502</v>
      </c>
      <c r="R34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70.602036497086502</v>
      </c>
      <c r="U340" s="107" t="str">
        <f>IFERROR(_xlfn.XLOOKUP("*"&amp;TRIM(Fusion[[#This Row],[Confinement Type]])&amp;"*", Map_Conf[From], Map_Conf[To], "", 2), "")</f>
        <v>MCF</v>
      </c>
      <c r="V340" s="108" t="str" cm="1">
        <f t="array" ref="V3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41" spans="1:22" hidden="1">
      <c r="B341" t="s">
        <v>741</v>
      </c>
      <c r="C341" t="s">
        <v>61</v>
      </c>
      <c r="D341" t="s">
        <v>62</v>
      </c>
      <c r="E341">
        <v>2500</v>
      </c>
      <c r="F341" t="s">
        <v>116</v>
      </c>
      <c r="G341" t="s">
        <v>52</v>
      </c>
      <c r="H341" t="s">
        <v>33</v>
      </c>
      <c r="I341">
        <v>156000000</v>
      </c>
      <c r="J341" t="s">
        <v>34</v>
      </c>
      <c r="K341">
        <v>2010</v>
      </c>
      <c r="L341" t="s">
        <v>732</v>
      </c>
      <c r="Q34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71.858040136478692</v>
      </c>
      <c r="R34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71.858040136478692</v>
      </c>
      <c r="U341" s="107" t="str">
        <f>IFERROR(_xlfn.XLOOKUP("*"&amp;TRIM(Fusion[[#This Row],[Confinement Type]])&amp;"*", Map_Conf[From], Map_Conf[To], "", 2), "")</f>
        <v>MCF</v>
      </c>
      <c r="V341" s="108" t="str" cm="1">
        <f t="array" ref="V3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42" spans="1:22" hidden="1">
      <c r="A342">
        <v>401</v>
      </c>
      <c r="B342" t="s">
        <v>403</v>
      </c>
      <c r="C342" t="s">
        <v>61</v>
      </c>
      <c r="D342" t="s">
        <v>251</v>
      </c>
      <c r="E342">
        <v>1368</v>
      </c>
      <c r="F342" t="s">
        <v>116</v>
      </c>
      <c r="G342" t="s">
        <v>32</v>
      </c>
      <c r="H342" t="s">
        <v>33</v>
      </c>
      <c r="I342">
        <v>120650000</v>
      </c>
      <c r="J342" t="s">
        <v>34</v>
      </c>
      <c r="K342">
        <v>2023</v>
      </c>
      <c r="L342" t="s">
        <v>399</v>
      </c>
      <c r="M342" t="s">
        <v>1106</v>
      </c>
      <c r="N342" t="s">
        <v>122</v>
      </c>
      <c r="O342" t="s">
        <v>38</v>
      </c>
      <c r="P342" t="s">
        <v>38</v>
      </c>
      <c r="Q34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72.681644233090395</v>
      </c>
      <c r="R34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72.681644233090395</v>
      </c>
      <c r="U342" s="107" t="str">
        <f>IFERROR(_xlfn.XLOOKUP("*"&amp;TRIM(Fusion[[#This Row],[Confinement Type]])&amp;"*", Map_Conf[From], Map_Conf[To], "", 2), "")</f>
        <v>MCF</v>
      </c>
      <c r="V342" s="108" t="str" cm="1">
        <f t="array" ref="V3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43" spans="1:22" hidden="1">
      <c r="A343">
        <v>526</v>
      </c>
      <c r="B343" t="s">
        <v>492</v>
      </c>
      <c r="C343" t="s">
        <v>470</v>
      </c>
      <c r="D343" t="s">
        <v>471</v>
      </c>
      <c r="E343">
        <v>814.4</v>
      </c>
      <c r="F343" t="s">
        <v>116</v>
      </c>
      <c r="G343" t="s">
        <v>754</v>
      </c>
      <c r="H343" t="s">
        <v>33</v>
      </c>
      <c r="I343">
        <v>61300000</v>
      </c>
      <c r="J343" t="s">
        <v>34</v>
      </c>
      <c r="K343">
        <v>2020</v>
      </c>
      <c r="L343" t="s">
        <v>486</v>
      </c>
      <c r="N343" t="s">
        <v>122</v>
      </c>
      <c r="O343" t="s">
        <v>38</v>
      </c>
      <c r="P343" t="s">
        <v>38</v>
      </c>
      <c r="Q34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73.029579204049199</v>
      </c>
      <c r="R34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73.029579204049199</v>
      </c>
      <c r="U343" s="107" t="str">
        <f>IFERROR(_xlfn.XLOOKUP("*"&amp;TRIM(Fusion[[#This Row],[Confinement Type]])&amp;"*", Map_Conf[From], Map_Conf[To], "", 2), "")</f>
        <v>MIF</v>
      </c>
      <c r="V343" s="108" t="str" cm="1">
        <f t="array" ref="V3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44" spans="1:22" hidden="1">
      <c r="A344">
        <v>459</v>
      </c>
      <c r="B344" t="s">
        <v>434</v>
      </c>
      <c r="C344" t="s">
        <v>61</v>
      </c>
      <c r="D344" t="s">
        <v>62</v>
      </c>
      <c r="E344">
        <v>1000</v>
      </c>
      <c r="F344" t="s">
        <v>75</v>
      </c>
      <c r="G344" t="s">
        <v>57</v>
      </c>
      <c r="H344" t="s">
        <v>76</v>
      </c>
      <c r="I344">
        <v>52.35</v>
      </c>
      <c r="J344" t="s">
        <v>77</v>
      </c>
      <c r="K344">
        <v>2002</v>
      </c>
      <c r="L344" t="s">
        <v>435</v>
      </c>
      <c r="M344" t="s">
        <v>436</v>
      </c>
      <c r="N344">
        <v>0.83</v>
      </c>
      <c r="O344" t="s">
        <v>38</v>
      </c>
      <c r="P344" t="s">
        <v>38</v>
      </c>
      <c r="Q34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73.070880767092831</v>
      </c>
      <c r="R34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73.070880767092831</v>
      </c>
      <c r="U344" s="107" t="str">
        <f>IFERROR(_xlfn.XLOOKUP("*"&amp;TRIM(Fusion[[#This Row],[Confinement Type]])&amp;"*", Map_Conf[From], Map_Conf[To], "", 2), "")</f>
        <v>MCF</v>
      </c>
      <c r="V344" s="108" t="str" cm="1">
        <f t="array" ref="V3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45" spans="1:22" hidden="1">
      <c r="B345" t="s">
        <v>200</v>
      </c>
      <c r="C345" t="s">
        <v>61</v>
      </c>
      <c r="D345" t="s">
        <v>62</v>
      </c>
      <c r="E345">
        <v>1000</v>
      </c>
      <c r="F345" t="s">
        <v>115</v>
      </c>
      <c r="G345" t="s">
        <v>52</v>
      </c>
      <c r="H345" t="s">
        <v>33</v>
      </c>
      <c r="I345">
        <v>63900000</v>
      </c>
      <c r="J345" t="s">
        <v>34</v>
      </c>
      <c r="K345">
        <v>2010</v>
      </c>
      <c r="L345" t="s">
        <v>732</v>
      </c>
      <c r="Q34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73.585396870528655</v>
      </c>
      <c r="R34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73.585396870528655</v>
      </c>
      <c r="U345" s="107" t="str">
        <f>IFERROR(_xlfn.XLOOKUP("*"&amp;TRIM(Fusion[[#This Row],[Confinement Type]])&amp;"*", Map_Conf[From], Map_Conf[To], "", 2), "")</f>
        <v>MCF</v>
      </c>
      <c r="V345" s="108" t="str" cm="1">
        <f t="array" ref="V3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46" spans="1:22" hidden="1">
      <c r="A346">
        <v>399</v>
      </c>
      <c r="B346" t="s">
        <v>401</v>
      </c>
      <c r="C346" t="s">
        <v>61</v>
      </c>
      <c r="D346" t="s">
        <v>251</v>
      </c>
      <c r="E346">
        <v>1313</v>
      </c>
      <c r="F346" t="s">
        <v>116</v>
      </c>
      <c r="G346" t="s">
        <v>32</v>
      </c>
      <c r="H346" t="s">
        <v>33</v>
      </c>
      <c r="I346">
        <v>118100000</v>
      </c>
      <c r="J346" t="s">
        <v>34</v>
      </c>
      <c r="K346">
        <v>2023</v>
      </c>
      <c r="L346" t="s">
        <v>399</v>
      </c>
      <c r="M346" t="s">
        <v>1106</v>
      </c>
      <c r="N346" t="s">
        <v>122</v>
      </c>
      <c r="O346" t="s">
        <v>38</v>
      </c>
      <c r="P346" t="s">
        <v>38</v>
      </c>
      <c r="Q34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74.125679275424346</v>
      </c>
      <c r="R34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74.125679275424346</v>
      </c>
      <c r="U346" s="107" t="str">
        <f>IFERROR(_xlfn.XLOOKUP("*"&amp;TRIM(Fusion[[#This Row],[Confinement Type]])&amp;"*", Map_Conf[From], Map_Conf[To], "", 2), "")</f>
        <v>MCF</v>
      </c>
      <c r="V346" s="108" t="str" cm="1">
        <f t="array" ref="V3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47" spans="1:22" hidden="1">
      <c r="A347">
        <v>473</v>
      </c>
      <c r="B347" t="s">
        <v>445</v>
      </c>
      <c r="C347" t="s">
        <v>61</v>
      </c>
      <c r="D347" t="s">
        <v>62</v>
      </c>
      <c r="E347" t="s">
        <v>81</v>
      </c>
      <c r="F347" t="s">
        <v>669</v>
      </c>
      <c r="G347" t="s">
        <v>57</v>
      </c>
      <c r="H347" t="s">
        <v>76</v>
      </c>
      <c r="I347">
        <v>51</v>
      </c>
      <c r="J347" t="s">
        <v>189</v>
      </c>
      <c r="K347">
        <v>2000</v>
      </c>
      <c r="L347" t="s">
        <v>446</v>
      </c>
      <c r="M347" t="s">
        <v>672</v>
      </c>
      <c r="N347" t="s">
        <v>38</v>
      </c>
      <c r="O347" t="s">
        <v>38</v>
      </c>
      <c r="P347" t="s">
        <v>38</v>
      </c>
      <c r="Q34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74.369668989547037</v>
      </c>
      <c r="R34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74.369668989547037</v>
      </c>
      <c r="U347" s="107" t="str">
        <f>IFERROR(_xlfn.XLOOKUP("*"&amp;TRIM(Fusion[[#This Row],[Confinement Type]])&amp;"*", Map_Conf[From], Map_Conf[To], "", 2), "")</f>
        <v>MCF</v>
      </c>
      <c r="V347" s="108" t="str" cm="1">
        <f t="array" ref="V3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48" spans="1:22" hidden="1">
      <c r="B348" t="s">
        <v>337</v>
      </c>
      <c r="C348" t="s">
        <v>61</v>
      </c>
      <c r="D348" t="s">
        <v>62</v>
      </c>
      <c r="E348">
        <v>500</v>
      </c>
      <c r="F348" t="s">
        <v>669</v>
      </c>
      <c r="G348" t="s">
        <v>32</v>
      </c>
      <c r="H348" t="s">
        <v>33</v>
      </c>
      <c r="I348">
        <v>33000000</v>
      </c>
      <c r="J348" t="s">
        <v>34</v>
      </c>
      <c r="K348">
        <v>2010</v>
      </c>
      <c r="L348" t="s">
        <v>331</v>
      </c>
      <c r="M348" t="s">
        <v>341</v>
      </c>
      <c r="N348" t="s">
        <v>122</v>
      </c>
      <c r="O348" t="s">
        <v>38</v>
      </c>
      <c r="P348" t="s">
        <v>38</v>
      </c>
      <c r="Q34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76.003696298198619</v>
      </c>
      <c r="R34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76.003696298198619</v>
      </c>
      <c r="U348" s="107" t="str">
        <f>IFERROR(_xlfn.XLOOKUP("*"&amp;TRIM(Fusion[[#This Row],[Confinement Type]])&amp;"*", Map_Conf[From], Map_Conf[To], "", 2), "")</f>
        <v>MCF</v>
      </c>
      <c r="V348" s="108" t="str" cm="1">
        <f t="array" ref="V3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49" spans="1:22" hidden="1">
      <c r="A349">
        <v>340</v>
      </c>
      <c r="B349" t="s">
        <v>340</v>
      </c>
      <c r="C349" t="s">
        <v>61</v>
      </c>
      <c r="D349" t="s">
        <v>62</v>
      </c>
      <c r="E349">
        <v>500</v>
      </c>
      <c r="F349" t="s">
        <v>669</v>
      </c>
      <c r="G349" t="s">
        <v>57</v>
      </c>
      <c r="H349" t="s">
        <v>33</v>
      </c>
      <c r="I349">
        <v>33000000</v>
      </c>
      <c r="J349" t="s">
        <v>34</v>
      </c>
      <c r="K349">
        <v>2010</v>
      </c>
      <c r="L349" t="s">
        <v>331</v>
      </c>
      <c r="M349" t="s">
        <v>341</v>
      </c>
      <c r="N349" t="s">
        <v>122</v>
      </c>
      <c r="O349" t="s">
        <v>38</v>
      </c>
      <c r="P349" t="s">
        <v>38</v>
      </c>
      <c r="Q34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76.003696298198619</v>
      </c>
      <c r="R34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76.003696298198619</v>
      </c>
      <c r="U349" s="107" t="str">
        <f>IFERROR(_xlfn.XLOOKUP("*"&amp;TRIM(Fusion[[#This Row],[Confinement Type]])&amp;"*", Map_Conf[From], Map_Conf[To], "", 2), "")</f>
        <v>MCF</v>
      </c>
      <c r="V349" s="108" t="str" cm="1">
        <f t="array" ref="V3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0" spans="1:22" hidden="1">
      <c r="A350">
        <v>342</v>
      </c>
      <c r="B350" t="s">
        <v>342</v>
      </c>
      <c r="C350" t="s">
        <v>61</v>
      </c>
      <c r="D350" t="s">
        <v>62</v>
      </c>
      <c r="E350">
        <v>500</v>
      </c>
      <c r="F350" t="s">
        <v>669</v>
      </c>
      <c r="G350" t="s">
        <v>32</v>
      </c>
      <c r="H350" t="s">
        <v>33</v>
      </c>
      <c r="I350">
        <v>33000000</v>
      </c>
      <c r="J350" t="s">
        <v>34</v>
      </c>
      <c r="K350">
        <v>2010</v>
      </c>
      <c r="L350" t="s">
        <v>331</v>
      </c>
      <c r="M350" t="s">
        <v>338</v>
      </c>
      <c r="N350" t="s">
        <v>122</v>
      </c>
      <c r="O350" t="s">
        <v>38</v>
      </c>
      <c r="P350" t="s">
        <v>38</v>
      </c>
      <c r="Q35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76.003696298198619</v>
      </c>
      <c r="R35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76.003696298198619</v>
      </c>
      <c r="U350" s="107" t="str">
        <f>IFERROR(_xlfn.XLOOKUP("*"&amp;TRIM(Fusion[[#This Row],[Confinement Type]])&amp;"*", Map_Conf[From], Map_Conf[To], "", 2), "")</f>
        <v>MCF</v>
      </c>
      <c r="V350" s="108" t="str" cm="1">
        <f t="array" ref="V3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1" spans="1:22" hidden="1">
      <c r="A351">
        <v>535</v>
      </c>
      <c r="B351" t="s">
        <v>497</v>
      </c>
      <c r="C351" t="s">
        <v>61</v>
      </c>
      <c r="D351" t="s">
        <v>62</v>
      </c>
      <c r="E351">
        <v>1000</v>
      </c>
      <c r="F351" t="s">
        <v>108</v>
      </c>
      <c r="G351" t="s">
        <v>57</v>
      </c>
      <c r="H351" t="s">
        <v>76</v>
      </c>
      <c r="I351">
        <v>56.269080000000002</v>
      </c>
      <c r="J351" t="s">
        <v>77</v>
      </c>
      <c r="K351">
        <v>2003</v>
      </c>
      <c r="L351" t="s">
        <v>498</v>
      </c>
      <c r="M351" t="s">
        <v>499</v>
      </c>
      <c r="N351">
        <v>0.75</v>
      </c>
      <c r="O351" t="s">
        <v>38</v>
      </c>
      <c r="P351" t="s">
        <v>38</v>
      </c>
      <c r="Q35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76.791086258478259</v>
      </c>
      <c r="R35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76.791086258478259</v>
      </c>
      <c r="U351" s="107" t="str">
        <f>IFERROR(_xlfn.XLOOKUP("*"&amp;TRIM(Fusion[[#This Row],[Confinement Type]])&amp;"*", Map_Conf[From], Map_Conf[To], "", 2), "")</f>
        <v>MCF</v>
      </c>
      <c r="V351" s="108" t="str" cm="1">
        <f t="array" ref="V3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2" spans="1:22" hidden="1">
      <c r="A352">
        <v>279</v>
      </c>
      <c r="B352" t="s">
        <v>298</v>
      </c>
      <c r="C352" t="s">
        <v>61</v>
      </c>
      <c r="D352" t="s">
        <v>251</v>
      </c>
      <c r="E352">
        <v>1000</v>
      </c>
      <c r="F352" t="s">
        <v>75</v>
      </c>
      <c r="G352" t="s">
        <v>52</v>
      </c>
      <c r="H352" t="s">
        <v>76</v>
      </c>
      <c r="I352">
        <v>43</v>
      </c>
      <c r="J352" t="s">
        <v>77</v>
      </c>
      <c r="K352">
        <v>1992</v>
      </c>
      <c r="L352" t="s">
        <v>294</v>
      </c>
      <c r="M352" t="s">
        <v>295</v>
      </c>
      <c r="N352">
        <v>0.75</v>
      </c>
      <c r="O352" t="s">
        <v>84</v>
      </c>
      <c r="P352" t="s">
        <v>38</v>
      </c>
      <c r="Q35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76.960805416963638</v>
      </c>
      <c r="R35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76.960805416963638</v>
      </c>
      <c r="U352" s="107" t="str">
        <f>IFERROR(_xlfn.XLOOKUP("*"&amp;TRIM(Fusion[[#This Row],[Confinement Type]])&amp;"*", Map_Conf[From], Map_Conf[To], "", 2), "")</f>
        <v>MCF</v>
      </c>
      <c r="V352" s="108" t="str" cm="1">
        <f t="array" ref="V3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53" spans="1:22" hidden="1">
      <c r="A353">
        <v>126</v>
      </c>
      <c r="B353" t="s">
        <v>183</v>
      </c>
      <c r="C353" t="s">
        <v>61</v>
      </c>
      <c r="D353" t="s">
        <v>62</v>
      </c>
      <c r="E353">
        <v>1200</v>
      </c>
      <c r="F353" t="s">
        <v>116</v>
      </c>
      <c r="G353" t="s">
        <v>52</v>
      </c>
      <c r="H353" t="s">
        <v>33</v>
      </c>
      <c r="I353">
        <v>40500000</v>
      </c>
      <c r="J353" t="s">
        <v>34</v>
      </c>
      <c r="K353">
        <v>1986</v>
      </c>
      <c r="L353" t="s">
        <v>147</v>
      </c>
      <c r="M353" t="s">
        <v>184</v>
      </c>
      <c r="N353" t="s">
        <v>122</v>
      </c>
      <c r="O353" t="s">
        <v>38</v>
      </c>
      <c r="P353" t="s">
        <v>38</v>
      </c>
      <c r="Q35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77.325376368613149</v>
      </c>
      <c r="R35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77.325376368613149</v>
      </c>
      <c r="U353" s="107" t="str">
        <f>IFERROR(_xlfn.XLOOKUP("*"&amp;TRIM(Fusion[[#This Row],[Confinement Type]])&amp;"*", Map_Conf[From], Map_Conf[To], "", 2), "")</f>
        <v>MCF</v>
      </c>
      <c r="V353" s="108" t="str" cm="1">
        <f t="array" ref="V3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4" spans="1:22" hidden="1">
      <c r="A354">
        <v>246</v>
      </c>
      <c r="B354" t="s">
        <v>273</v>
      </c>
      <c r="C354" t="s">
        <v>61</v>
      </c>
      <c r="D354" t="s">
        <v>62</v>
      </c>
      <c r="E354">
        <v>1010</v>
      </c>
      <c r="F354" t="s">
        <v>108</v>
      </c>
      <c r="G354" t="s">
        <v>52</v>
      </c>
      <c r="H354" t="s">
        <v>76</v>
      </c>
      <c r="I354">
        <v>73.2</v>
      </c>
      <c r="J354" t="s">
        <v>77</v>
      </c>
      <c r="K354">
        <v>2015</v>
      </c>
      <c r="L354" t="s">
        <v>289</v>
      </c>
      <c r="M354" t="s">
        <v>274</v>
      </c>
      <c r="N354" t="s">
        <v>38</v>
      </c>
      <c r="O354" t="s">
        <v>84</v>
      </c>
      <c r="P354" t="s">
        <v>38</v>
      </c>
      <c r="Q35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77.551535965774605</v>
      </c>
      <c r="R35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77.551535965774605</v>
      </c>
      <c r="U354" s="107" t="str">
        <f>IFERROR(_xlfn.XLOOKUP("*"&amp;TRIM(Fusion[[#This Row],[Confinement Type]])&amp;"*", Map_Conf[From], Map_Conf[To], "", 2), "")</f>
        <v>MCF</v>
      </c>
      <c r="V354" s="108" t="str" cm="1">
        <f t="array" ref="V3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5" spans="1:22" hidden="1">
      <c r="A355">
        <v>460</v>
      </c>
      <c r="B355" t="s">
        <v>437</v>
      </c>
      <c r="C355" t="s">
        <v>61</v>
      </c>
      <c r="D355" t="s">
        <v>62</v>
      </c>
      <c r="E355">
        <v>1000</v>
      </c>
      <c r="F355" t="s">
        <v>75</v>
      </c>
      <c r="G355" t="s">
        <v>57</v>
      </c>
      <c r="H355" t="s">
        <v>76</v>
      </c>
      <c r="I355">
        <v>55.73</v>
      </c>
      <c r="J355" t="s">
        <v>77</v>
      </c>
      <c r="K355">
        <v>2002</v>
      </c>
      <c r="L355" t="s">
        <v>435</v>
      </c>
      <c r="M355" t="s">
        <v>436</v>
      </c>
      <c r="N355">
        <v>0.78</v>
      </c>
      <c r="O355" t="s">
        <v>38</v>
      </c>
      <c r="P355" t="s">
        <v>38</v>
      </c>
      <c r="Q35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77.788733240689268</v>
      </c>
      <c r="R35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77.788733240689268</v>
      </c>
      <c r="U355" s="107" t="str">
        <f>IFERROR(_xlfn.XLOOKUP("*"&amp;TRIM(Fusion[[#This Row],[Confinement Type]])&amp;"*", Map_Conf[From], Map_Conf[To], "", 2), "")</f>
        <v>MCF</v>
      </c>
      <c r="V355" s="108" t="str" cm="1">
        <f t="array" ref="V3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6" spans="1:22" hidden="1">
      <c r="A356">
        <v>398</v>
      </c>
      <c r="B356" t="s">
        <v>398</v>
      </c>
      <c r="C356" t="s">
        <v>61</v>
      </c>
      <c r="D356" t="s">
        <v>251</v>
      </c>
      <c r="E356">
        <v>1204</v>
      </c>
      <c r="F356" t="s">
        <v>116</v>
      </c>
      <c r="G356" t="s">
        <v>32</v>
      </c>
      <c r="H356" t="s">
        <v>33</v>
      </c>
      <c r="I356">
        <v>113800000</v>
      </c>
      <c r="J356" t="s">
        <v>34</v>
      </c>
      <c r="K356">
        <v>2023</v>
      </c>
      <c r="L356" t="s">
        <v>399</v>
      </c>
      <c r="M356" t="s">
        <v>1107</v>
      </c>
      <c r="N356" t="s">
        <v>122</v>
      </c>
      <c r="O356" t="s">
        <v>38</v>
      </c>
      <c r="P356" t="s">
        <v>38</v>
      </c>
      <c r="Q35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77.893154078040325</v>
      </c>
      <c r="R35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77.893154078040325</v>
      </c>
      <c r="U356" s="107" t="str">
        <f>IFERROR(_xlfn.XLOOKUP("*"&amp;TRIM(Fusion[[#This Row],[Confinement Type]])&amp;"*", Map_Conf[From], Map_Conf[To], "", 2), "")</f>
        <v>MCF</v>
      </c>
      <c r="V356" s="108" t="str" cm="1">
        <f t="array" ref="V3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57" spans="1:22" hidden="1">
      <c r="A357">
        <v>278</v>
      </c>
      <c r="B357" t="s">
        <v>296</v>
      </c>
      <c r="C357" t="s">
        <v>61</v>
      </c>
      <c r="D357" t="s">
        <v>297</v>
      </c>
      <c r="E357">
        <v>1000</v>
      </c>
      <c r="F357" t="s">
        <v>75</v>
      </c>
      <c r="G357" t="s">
        <v>52</v>
      </c>
      <c r="H357" t="s">
        <v>76</v>
      </c>
      <c r="I357">
        <v>44</v>
      </c>
      <c r="J357" t="s">
        <v>77</v>
      </c>
      <c r="K357">
        <v>1992</v>
      </c>
      <c r="L357" t="s">
        <v>294</v>
      </c>
      <c r="M357" t="s">
        <v>295</v>
      </c>
      <c r="N357">
        <v>0.75</v>
      </c>
      <c r="O357" t="s">
        <v>84</v>
      </c>
      <c r="P357" t="s">
        <v>38</v>
      </c>
      <c r="Q35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78.750591589451176</v>
      </c>
      <c r="R35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78.750591589451176</v>
      </c>
      <c r="U357" s="107" t="str">
        <f>IFERROR(_xlfn.XLOOKUP("*"&amp;TRIM(Fusion[[#This Row],[Confinement Type]])&amp;"*", Map_Conf[From], Map_Conf[To], "", 2), "")</f>
        <v>MCF</v>
      </c>
      <c r="V357" s="108" t="str" cm="1">
        <f t="array" ref="V3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Spheromak</v>
      </c>
    </row>
    <row r="358" spans="1:22" hidden="1">
      <c r="A358">
        <v>405</v>
      </c>
      <c r="B358" t="s">
        <v>407</v>
      </c>
      <c r="C358" t="s">
        <v>61</v>
      </c>
      <c r="D358" t="s">
        <v>251</v>
      </c>
      <c r="E358">
        <v>1165</v>
      </c>
      <c r="F358" t="s">
        <v>116</v>
      </c>
      <c r="G358" t="s">
        <v>32</v>
      </c>
      <c r="H358" t="s">
        <v>33</v>
      </c>
      <c r="I358">
        <v>111340000</v>
      </c>
      <c r="J358" t="s">
        <v>34</v>
      </c>
      <c r="K358">
        <v>2023</v>
      </c>
      <c r="L358" t="s">
        <v>399</v>
      </c>
      <c r="M358" t="s">
        <v>1106</v>
      </c>
      <c r="N358" t="s">
        <v>122</v>
      </c>
      <c r="O358" t="s">
        <v>38</v>
      </c>
      <c r="P358" t="s">
        <v>38</v>
      </c>
      <c r="Q35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78.760561976504277</v>
      </c>
      <c r="R35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78.760561976504277</v>
      </c>
      <c r="U358" s="107" t="str">
        <f>IFERROR(_xlfn.XLOOKUP("*"&amp;TRIM(Fusion[[#This Row],[Confinement Type]])&amp;"*", Map_Conf[From], Map_Conf[To], "", 2), "")</f>
        <v>MCF</v>
      </c>
      <c r="V358" s="108" t="str" cm="1">
        <f t="array" ref="V3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59" spans="1:22" hidden="1">
      <c r="B359" t="s">
        <v>735</v>
      </c>
      <c r="C359" t="s">
        <v>61</v>
      </c>
      <c r="D359" t="s">
        <v>62</v>
      </c>
      <c r="E359">
        <v>1450</v>
      </c>
      <c r="F359" t="s">
        <v>115</v>
      </c>
      <c r="G359" t="s">
        <v>52</v>
      </c>
      <c r="H359" t="s">
        <v>33</v>
      </c>
      <c r="I359">
        <v>99800000</v>
      </c>
      <c r="J359" t="s">
        <v>34</v>
      </c>
      <c r="K359">
        <v>2010</v>
      </c>
      <c r="L359" t="s">
        <v>732</v>
      </c>
      <c r="Q35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79.259863015258333</v>
      </c>
      <c r="R35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79.259863015258333</v>
      </c>
      <c r="U359" s="107" t="str">
        <f>IFERROR(_xlfn.XLOOKUP("*"&amp;TRIM(Fusion[[#This Row],[Confinement Type]])&amp;"*", Map_Conf[From], Map_Conf[To], "", 2), "")</f>
        <v>MCF</v>
      </c>
      <c r="V359" s="108" t="str" cm="1">
        <f t="array" ref="V3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0" spans="1:22" hidden="1">
      <c r="B360" t="s">
        <v>741</v>
      </c>
      <c r="C360" t="s">
        <v>61</v>
      </c>
      <c r="D360" t="s">
        <v>62</v>
      </c>
      <c r="E360">
        <v>2000</v>
      </c>
      <c r="F360" t="s">
        <v>116</v>
      </c>
      <c r="G360" t="s">
        <v>52</v>
      </c>
      <c r="H360" t="s">
        <v>33</v>
      </c>
      <c r="I360">
        <v>139000000</v>
      </c>
      <c r="J360" t="s">
        <v>34</v>
      </c>
      <c r="K360">
        <v>2010</v>
      </c>
      <c r="L360" t="s">
        <v>732</v>
      </c>
      <c r="Q36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80.034195344315208</v>
      </c>
      <c r="R36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80.034195344315208</v>
      </c>
      <c r="U360" s="107" t="str">
        <f>IFERROR(_xlfn.XLOOKUP("*"&amp;TRIM(Fusion[[#This Row],[Confinement Type]])&amp;"*", Map_Conf[From], Map_Conf[To], "", 2), "")</f>
        <v>MCF</v>
      </c>
      <c r="V360" s="108" t="str" cm="1">
        <f t="array" ref="V3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1" spans="1:22" hidden="1">
      <c r="B361" t="s">
        <v>741</v>
      </c>
      <c r="C361" t="s">
        <v>61</v>
      </c>
      <c r="D361" t="s">
        <v>62</v>
      </c>
      <c r="E361">
        <v>1000</v>
      </c>
      <c r="F361" t="s">
        <v>115</v>
      </c>
      <c r="G361" t="s">
        <v>52</v>
      </c>
      <c r="H361" t="s">
        <v>33</v>
      </c>
      <c r="I361">
        <v>70100000</v>
      </c>
      <c r="J361" t="s">
        <v>34</v>
      </c>
      <c r="K361">
        <v>2010</v>
      </c>
      <c r="L361" t="s">
        <v>732</v>
      </c>
      <c r="Q36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80.725138037935196</v>
      </c>
      <c r="R36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80.725138037935196</v>
      </c>
      <c r="U361" s="107" t="str">
        <f>IFERROR(_xlfn.XLOOKUP("*"&amp;TRIM(Fusion[[#This Row],[Confinement Type]])&amp;"*", Map_Conf[From], Map_Conf[To], "", 2), "")</f>
        <v>MCF</v>
      </c>
      <c r="V361" s="108" t="str" cm="1">
        <f t="array" ref="V3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2" spans="1:22" hidden="1">
      <c r="A362">
        <v>131</v>
      </c>
      <c r="B362" t="s">
        <v>182</v>
      </c>
      <c r="C362" t="s">
        <v>61</v>
      </c>
      <c r="D362" t="s">
        <v>62</v>
      </c>
      <c r="E362">
        <v>1200</v>
      </c>
      <c r="F362" t="s">
        <v>75</v>
      </c>
      <c r="G362" t="s">
        <v>52</v>
      </c>
      <c r="H362" t="s">
        <v>76</v>
      </c>
      <c r="I362">
        <v>35.369999999999997</v>
      </c>
      <c r="J362" t="s">
        <v>77</v>
      </c>
      <c r="K362">
        <v>1986</v>
      </c>
      <c r="L362" t="s">
        <v>147</v>
      </c>
      <c r="M362" t="s">
        <v>186</v>
      </c>
      <c r="N362" t="s">
        <v>708</v>
      </c>
      <c r="O362" t="s">
        <v>84</v>
      </c>
      <c r="P362" t="s">
        <v>38</v>
      </c>
      <c r="Q36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81.036994434306578</v>
      </c>
      <c r="R36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81.036994434306578</v>
      </c>
      <c r="U362" s="107" t="str">
        <f>IFERROR(_xlfn.XLOOKUP("*"&amp;TRIM(Fusion[[#This Row],[Confinement Type]])&amp;"*", Map_Conf[From], Map_Conf[To], "", 2), "")</f>
        <v>MCF</v>
      </c>
      <c r="V362" s="108" t="str" cm="1">
        <f t="array" ref="V3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3" spans="1:22" hidden="1">
      <c r="A363">
        <v>282</v>
      </c>
      <c r="B363" t="s">
        <v>300</v>
      </c>
      <c r="C363" t="s">
        <v>61</v>
      </c>
      <c r="D363" t="s">
        <v>113</v>
      </c>
      <c r="E363">
        <v>1000</v>
      </c>
      <c r="F363" t="s">
        <v>75</v>
      </c>
      <c r="G363" t="s">
        <v>52</v>
      </c>
      <c r="H363" t="s">
        <v>76</v>
      </c>
      <c r="I363">
        <v>46</v>
      </c>
      <c r="J363" t="s">
        <v>77</v>
      </c>
      <c r="K363">
        <v>1992</v>
      </c>
      <c r="L363" t="s">
        <v>294</v>
      </c>
      <c r="M363" t="s">
        <v>295</v>
      </c>
      <c r="N363">
        <v>0.75</v>
      </c>
      <c r="O363" t="s">
        <v>84</v>
      </c>
      <c r="P363" t="s">
        <v>38</v>
      </c>
      <c r="Q36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82.330163934426224</v>
      </c>
      <c r="R36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82.330163934426224</v>
      </c>
      <c r="U363" s="107" t="str">
        <f>IFERROR(_xlfn.XLOOKUP("*"&amp;TRIM(Fusion[[#This Row],[Confinement Type]])&amp;"*", Map_Conf[From], Map_Conf[To], "", 2), "")</f>
        <v>MCF</v>
      </c>
      <c r="V363" s="108" t="str" cm="1">
        <f t="array" ref="V3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64" spans="1:22" hidden="1">
      <c r="A364">
        <v>163</v>
      </c>
      <c r="B364" t="s">
        <v>207</v>
      </c>
      <c r="C364" t="s">
        <v>61</v>
      </c>
      <c r="D364" t="s">
        <v>62</v>
      </c>
      <c r="E364">
        <v>1000</v>
      </c>
      <c r="F364" t="s">
        <v>108</v>
      </c>
      <c r="G364" t="s">
        <v>52</v>
      </c>
      <c r="H364" t="s">
        <v>76</v>
      </c>
      <c r="I364">
        <v>47.12</v>
      </c>
      <c r="J364" t="s">
        <v>77</v>
      </c>
      <c r="K364">
        <v>1992</v>
      </c>
      <c r="L364" t="s">
        <v>208</v>
      </c>
      <c r="M364" t="s">
        <v>210</v>
      </c>
      <c r="N364" t="s">
        <v>713</v>
      </c>
      <c r="O364" t="s">
        <v>84</v>
      </c>
      <c r="P364" t="s">
        <v>38</v>
      </c>
      <c r="Q36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84.334724447612246</v>
      </c>
      <c r="R36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84.334724447612246</v>
      </c>
      <c r="U364" s="107" t="str">
        <f>IFERROR(_xlfn.XLOOKUP("*"&amp;TRIM(Fusion[[#This Row],[Confinement Type]])&amp;"*", Map_Conf[From], Map_Conf[To], "", 2), "")</f>
        <v>MCF</v>
      </c>
      <c r="V364" s="108" t="str" cm="1">
        <f t="array" ref="V3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5" spans="1:22" hidden="1">
      <c r="A365">
        <v>68</v>
      </c>
      <c r="B365" t="s">
        <v>112</v>
      </c>
      <c r="C365" t="s">
        <v>61</v>
      </c>
      <c r="D365" t="s">
        <v>113</v>
      </c>
      <c r="E365">
        <v>970</v>
      </c>
      <c r="F365" t="s">
        <v>108</v>
      </c>
      <c r="G365" t="s">
        <v>52</v>
      </c>
      <c r="H365" t="s">
        <v>76</v>
      </c>
      <c r="I365">
        <v>40</v>
      </c>
      <c r="J365" t="s">
        <v>77</v>
      </c>
      <c r="K365">
        <v>1988</v>
      </c>
      <c r="L365" t="s">
        <v>120</v>
      </c>
      <c r="M365" t="s">
        <v>121</v>
      </c>
      <c r="N365">
        <v>0.76</v>
      </c>
      <c r="O365" t="s">
        <v>122</v>
      </c>
      <c r="P365" t="s">
        <v>38</v>
      </c>
      <c r="Q36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84.905156382079454</v>
      </c>
      <c r="R36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84.905156382079454</v>
      </c>
      <c r="U365" s="107" t="str">
        <f>IFERROR(_xlfn.XLOOKUP("*"&amp;TRIM(Fusion[[#This Row],[Confinement Type]])&amp;"*", Map_Conf[From], Map_Conf[To], "", 2), "")</f>
        <v>MCF</v>
      </c>
      <c r="V365" s="108" t="str" cm="1">
        <f t="array" ref="V3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66" spans="1:22" hidden="1">
      <c r="A366">
        <v>445</v>
      </c>
      <c r="B366" t="s">
        <v>232</v>
      </c>
      <c r="C366" t="s">
        <v>61</v>
      </c>
      <c r="D366" t="s">
        <v>421</v>
      </c>
      <c r="E366">
        <v>1000</v>
      </c>
      <c r="F366" t="s">
        <v>108</v>
      </c>
      <c r="G366" t="s">
        <v>52</v>
      </c>
      <c r="H366" t="s">
        <v>76</v>
      </c>
      <c r="I366">
        <v>47.53</v>
      </c>
      <c r="J366" t="s">
        <v>77</v>
      </c>
      <c r="K366">
        <v>1992</v>
      </c>
      <c r="L366" t="s">
        <v>420</v>
      </c>
      <c r="N366">
        <v>0.85</v>
      </c>
      <c r="O366" t="s">
        <v>38</v>
      </c>
      <c r="P366" t="s">
        <v>38</v>
      </c>
      <c r="Q36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85.068536778332145</v>
      </c>
      <c r="R36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85.068536778332145</v>
      </c>
      <c r="U366" s="107" t="str">
        <f>IFERROR(_xlfn.XLOOKUP("*"&amp;TRIM(Fusion[[#This Row],[Confinement Type]])&amp;"*", Map_Conf[From], Map_Conf[To], "", 2), "")</f>
        <v>MCF</v>
      </c>
      <c r="V366" s="108" t="str" cm="1">
        <f t="array" ref="V3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7" spans="1:22" hidden="1">
      <c r="A367">
        <v>247</v>
      </c>
      <c r="B367" t="s">
        <v>275</v>
      </c>
      <c r="C367" t="s">
        <v>61</v>
      </c>
      <c r="D367" t="s">
        <v>62</v>
      </c>
      <c r="E367">
        <v>999.2</v>
      </c>
      <c r="F367" t="s">
        <v>108</v>
      </c>
      <c r="G367" t="s">
        <v>52</v>
      </c>
      <c r="H367" t="s">
        <v>76</v>
      </c>
      <c r="I367">
        <v>80.5</v>
      </c>
      <c r="J367" t="s">
        <v>77</v>
      </c>
      <c r="K367">
        <v>2015</v>
      </c>
      <c r="L367" t="s">
        <v>289</v>
      </c>
      <c r="M367" t="s">
        <v>276</v>
      </c>
      <c r="N367" t="s">
        <v>38</v>
      </c>
      <c r="O367" t="s">
        <v>84</v>
      </c>
      <c r="P367" t="s">
        <v>38</v>
      </c>
      <c r="Q36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85.285500618099121</v>
      </c>
      <c r="R36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85.285500618099121</v>
      </c>
      <c r="U367" s="107" t="str">
        <f>IFERROR(_xlfn.XLOOKUP("*"&amp;TRIM(Fusion[[#This Row],[Confinement Type]])&amp;"*", Map_Conf[From], Map_Conf[To], "", 2), "")</f>
        <v>MCF</v>
      </c>
      <c r="V367" s="108" t="str" cm="1">
        <f t="array" ref="V3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8" spans="1:22" hidden="1">
      <c r="A368">
        <v>136</v>
      </c>
      <c r="B368" t="s">
        <v>172</v>
      </c>
      <c r="C368" t="s">
        <v>61</v>
      </c>
      <c r="D368" t="s">
        <v>113</v>
      </c>
      <c r="E368">
        <v>1200</v>
      </c>
      <c r="F368" t="s">
        <v>75</v>
      </c>
      <c r="G368" t="s">
        <v>52</v>
      </c>
      <c r="H368" t="s">
        <v>76</v>
      </c>
      <c r="I368">
        <v>37.299999999999997</v>
      </c>
      <c r="J368" t="s">
        <v>77</v>
      </c>
      <c r="K368">
        <v>1986</v>
      </c>
      <c r="L368" t="s">
        <v>147</v>
      </c>
      <c r="M368" t="s">
        <v>186</v>
      </c>
      <c r="N368" t="s">
        <v>709</v>
      </c>
      <c r="O368" t="s">
        <v>84</v>
      </c>
      <c r="P368" t="s">
        <v>38</v>
      </c>
      <c r="Q36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85.458860401459859</v>
      </c>
      <c r="R36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85.458860401459859</v>
      </c>
      <c r="U368" s="107" t="str">
        <f>IFERROR(_xlfn.XLOOKUP("*"&amp;TRIM(Fusion[[#This Row],[Confinement Type]])&amp;"*", Map_Conf[From], Map_Conf[To], "", 2), "")</f>
        <v>MCF</v>
      </c>
      <c r="V368" s="108" t="str" cm="1">
        <f t="array" ref="V3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69" spans="1:22" hidden="1">
      <c r="A369">
        <v>133</v>
      </c>
      <c r="B369" t="s">
        <v>170</v>
      </c>
      <c r="C369" t="s">
        <v>61</v>
      </c>
      <c r="D369" t="s">
        <v>113</v>
      </c>
      <c r="E369">
        <v>1200</v>
      </c>
      <c r="F369" t="s">
        <v>75</v>
      </c>
      <c r="G369" t="s">
        <v>52</v>
      </c>
      <c r="H369" t="s">
        <v>76</v>
      </c>
      <c r="I369">
        <v>37.69</v>
      </c>
      <c r="J369" t="s">
        <v>77</v>
      </c>
      <c r="K369">
        <v>1986</v>
      </c>
      <c r="L369" t="s">
        <v>147</v>
      </c>
      <c r="M369" t="s">
        <v>186</v>
      </c>
      <c r="N369" t="s">
        <v>709</v>
      </c>
      <c r="O369" t="s">
        <v>84</v>
      </c>
      <c r="P369" t="s">
        <v>38</v>
      </c>
      <c r="Q36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86.352398083941608</v>
      </c>
      <c r="R36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86.352398083941608</v>
      </c>
      <c r="U369" s="107" t="str">
        <f>IFERROR(_xlfn.XLOOKUP("*"&amp;TRIM(Fusion[[#This Row],[Confinement Type]])&amp;"*", Map_Conf[From], Map_Conf[To], "", 2), "")</f>
        <v>MCF</v>
      </c>
      <c r="V369" s="108" t="str" cm="1">
        <f t="array" ref="V3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70" spans="1:22" hidden="1">
      <c r="A370">
        <v>120</v>
      </c>
      <c r="B370" t="s">
        <v>176</v>
      </c>
      <c r="C370" t="s">
        <v>61</v>
      </c>
      <c r="D370" t="s">
        <v>62</v>
      </c>
      <c r="E370">
        <v>1200</v>
      </c>
      <c r="F370" t="s">
        <v>115</v>
      </c>
      <c r="G370" t="s">
        <v>52</v>
      </c>
      <c r="H370" t="s">
        <v>33</v>
      </c>
      <c r="I370">
        <v>46110000</v>
      </c>
      <c r="J370" t="s">
        <v>34</v>
      </c>
      <c r="K370">
        <v>1986</v>
      </c>
      <c r="L370" t="s">
        <v>147</v>
      </c>
      <c r="M370" t="s">
        <v>691</v>
      </c>
      <c r="N370" t="s">
        <v>122</v>
      </c>
      <c r="O370" t="s">
        <v>38</v>
      </c>
      <c r="P370" t="s">
        <v>38</v>
      </c>
      <c r="Q37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88.036372947080295</v>
      </c>
      <c r="R37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88.036372947080295</v>
      </c>
      <c r="U370" s="107" t="str">
        <f>IFERROR(_xlfn.XLOOKUP("*"&amp;TRIM(Fusion[[#This Row],[Confinement Type]])&amp;"*", Map_Conf[From], Map_Conf[To], "", 2), "")</f>
        <v>MCF</v>
      </c>
      <c r="V370" s="108" t="str" cm="1">
        <f t="array" ref="V3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1" spans="1:22" hidden="1">
      <c r="A371">
        <v>537</v>
      </c>
      <c r="B371" t="s">
        <v>501</v>
      </c>
      <c r="C371" t="s">
        <v>61</v>
      </c>
      <c r="D371" t="s">
        <v>278</v>
      </c>
      <c r="E371">
        <v>1000</v>
      </c>
      <c r="F371" t="s">
        <v>108</v>
      </c>
      <c r="G371" t="s">
        <v>57</v>
      </c>
      <c r="H371" t="s">
        <v>76</v>
      </c>
      <c r="I371">
        <v>64.774079999999998</v>
      </c>
      <c r="J371" t="s">
        <v>77</v>
      </c>
      <c r="K371">
        <v>2003</v>
      </c>
      <c r="L371" t="s">
        <v>498</v>
      </c>
      <c r="M371" t="s">
        <v>499</v>
      </c>
      <c r="N371">
        <v>0.75</v>
      </c>
      <c r="O371" t="s">
        <v>430</v>
      </c>
      <c r="P371" t="s">
        <v>38</v>
      </c>
      <c r="Q37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88.397961448695654</v>
      </c>
      <c r="R37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88.397961448695654</v>
      </c>
      <c r="U371" s="107" t="str">
        <f>IFERROR(_xlfn.XLOOKUP("*"&amp;TRIM(Fusion[[#This Row],[Confinement Type]])&amp;"*", Map_Conf[From], Map_Conf[To], "", 2), "")</f>
        <v>MCF</v>
      </c>
      <c r="V371" s="108" t="str" cm="1">
        <f t="array" ref="V3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72" spans="1:22" hidden="1">
      <c r="A372">
        <v>402</v>
      </c>
      <c r="B372" t="s">
        <v>404</v>
      </c>
      <c r="C372" t="s">
        <v>61</v>
      </c>
      <c r="D372" t="s">
        <v>251</v>
      </c>
      <c r="E372">
        <v>914</v>
      </c>
      <c r="F372" t="s">
        <v>116</v>
      </c>
      <c r="G372" t="s">
        <v>32</v>
      </c>
      <c r="H372" t="s">
        <v>33</v>
      </c>
      <c r="I372">
        <v>98610000</v>
      </c>
      <c r="J372" t="s">
        <v>34</v>
      </c>
      <c r="K372">
        <v>2023</v>
      </c>
      <c r="L372" t="s">
        <v>399</v>
      </c>
      <c r="M372" t="s">
        <v>1106</v>
      </c>
      <c r="N372" t="s">
        <v>122</v>
      </c>
      <c r="O372" t="s">
        <v>38</v>
      </c>
      <c r="P372" t="s">
        <v>38</v>
      </c>
      <c r="Q37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88.911569724392777</v>
      </c>
      <c r="R37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88.911569724392777</v>
      </c>
      <c r="U372" s="107" t="str">
        <f>IFERROR(_xlfn.XLOOKUP("*"&amp;TRIM(Fusion[[#This Row],[Confinement Type]])&amp;"*", Map_Conf[From], Map_Conf[To], "", 2), "")</f>
        <v>MCF</v>
      </c>
      <c r="V372" s="108" t="str" cm="1">
        <f t="array" ref="V3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73" spans="1:22" hidden="1">
      <c r="A373">
        <v>233</v>
      </c>
      <c r="B373" t="s">
        <v>265</v>
      </c>
      <c r="C373" t="s">
        <v>61</v>
      </c>
      <c r="D373" t="s">
        <v>62</v>
      </c>
      <c r="E373">
        <v>1600</v>
      </c>
      <c r="F373" t="s">
        <v>116</v>
      </c>
      <c r="G373" t="s">
        <v>57</v>
      </c>
      <c r="H373" t="s">
        <v>33</v>
      </c>
      <c r="I373">
        <v>124707658.14495915</v>
      </c>
      <c r="J373" t="s">
        <v>34</v>
      </c>
      <c r="K373">
        <v>2010</v>
      </c>
      <c r="L373" t="s">
        <v>262</v>
      </c>
      <c r="N373" t="s">
        <v>38</v>
      </c>
      <c r="O373" t="s">
        <v>38</v>
      </c>
      <c r="P373" t="s">
        <v>38</v>
      </c>
      <c r="Q37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89.75608878512358</v>
      </c>
      <c r="R37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89.75608878512358</v>
      </c>
      <c r="U373" s="107" t="str">
        <f>IFERROR(_xlfn.XLOOKUP("*"&amp;TRIM(Fusion[[#This Row],[Confinement Type]])&amp;"*", Map_Conf[From], Map_Conf[To], "", 2), "")</f>
        <v>MCF</v>
      </c>
      <c r="V373" s="108" t="str" cm="1">
        <f t="array" ref="V3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4" spans="1:22" hidden="1">
      <c r="A374">
        <v>140</v>
      </c>
      <c r="B374" t="s">
        <v>188</v>
      </c>
      <c r="C374" t="s">
        <v>61</v>
      </c>
      <c r="D374" t="s">
        <v>62</v>
      </c>
      <c r="E374">
        <v>1000</v>
      </c>
      <c r="F374" t="s">
        <v>669</v>
      </c>
      <c r="G374" t="s">
        <v>52</v>
      </c>
      <c r="H374" t="s">
        <v>33</v>
      </c>
      <c r="I374">
        <v>60000000</v>
      </c>
      <c r="J374" t="s">
        <v>34</v>
      </c>
      <c r="K374">
        <v>1999</v>
      </c>
      <c r="L374" t="s">
        <v>1123</v>
      </c>
      <c r="M374" t="s">
        <v>190</v>
      </c>
      <c r="N374" t="s">
        <v>122</v>
      </c>
      <c r="O374" t="s">
        <v>38</v>
      </c>
      <c r="P374" t="s">
        <v>38</v>
      </c>
      <c r="Q37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90.434693877551027</v>
      </c>
      <c r="R37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90.434693877551027</v>
      </c>
      <c r="U374" s="107" t="str">
        <f>IFERROR(_xlfn.XLOOKUP("*"&amp;TRIM(Fusion[[#This Row],[Confinement Type]])&amp;"*", Map_Conf[From], Map_Conf[To], "", 2), "")</f>
        <v>MCF</v>
      </c>
      <c r="V374" s="108" t="str" cm="1">
        <f t="array" ref="V3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5" spans="1:22" hidden="1">
      <c r="A375">
        <v>144</v>
      </c>
      <c r="B375" t="s">
        <v>200</v>
      </c>
      <c r="C375" t="s">
        <v>61</v>
      </c>
      <c r="D375" t="s">
        <v>62</v>
      </c>
      <c r="E375">
        <v>1000</v>
      </c>
      <c r="F375" t="s">
        <v>669</v>
      </c>
      <c r="G375" t="s">
        <v>52</v>
      </c>
      <c r="H375" t="s">
        <v>33</v>
      </c>
      <c r="I375">
        <v>60000000</v>
      </c>
      <c r="J375" t="s">
        <v>34</v>
      </c>
      <c r="K375">
        <v>1999</v>
      </c>
      <c r="L375" t="s">
        <v>1123</v>
      </c>
      <c r="M375" t="s">
        <v>190</v>
      </c>
      <c r="N375" t="s">
        <v>122</v>
      </c>
      <c r="O375" t="s">
        <v>38</v>
      </c>
      <c r="P375" t="s">
        <v>38</v>
      </c>
      <c r="Q37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90.434693877551027</v>
      </c>
      <c r="R37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90.434693877551027</v>
      </c>
      <c r="U375" s="107" t="str">
        <f>IFERROR(_xlfn.XLOOKUP("*"&amp;TRIM(Fusion[[#This Row],[Confinement Type]])&amp;"*", Map_Conf[From], Map_Conf[To], "", 2), "")</f>
        <v>MCF</v>
      </c>
      <c r="V375" s="108" t="str" cm="1">
        <f t="array" ref="V3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6" spans="1:22" hidden="1">
      <c r="A376">
        <v>245</v>
      </c>
      <c r="B376" t="s">
        <v>271</v>
      </c>
      <c r="C376" t="s">
        <v>61</v>
      </c>
      <c r="D376" t="s">
        <v>62</v>
      </c>
      <c r="E376">
        <v>999.7</v>
      </c>
      <c r="F376" t="s">
        <v>108</v>
      </c>
      <c r="G376" t="s">
        <v>52</v>
      </c>
      <c r="H376" t="s">
        <v>76</v>
      </c>
      <c r="I376">
        <v>86.2</v>
      </c>
      <c r="J376" t="s">
        <v>77</v>
      </c>
      <c r="K376">
        <v>2015</v>
      </c>
      <c r="L376" t="s">
        <v>289</v>
      </c>
      <c r="M376" t="s">
        <v>272</v>
      </c>
      <c r="N376" t="s">
        <v>38</v>
      </c>
      <c r="O376" t="s">
        <v>84</v>
      </c>
      <c r="P376" t="s">
        <v>38</v>
      </c>
      <c r="Q37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91.324349730188132</v>
      </c>
      <c r="R37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91.324349730188132</v>
      </c>
      <c r="U376" s="107" t="str">
        <f>IFERROR(_xlfn.XLOOKUP("*"&amp;TRIM(Fusion[[#This Row],[Confinement Type]])&amp;"*", Map_Conf[From], Map_Conf[To], "", 2), "")</f>
        <v>MCF</v>
      </c>
      <c r="V376" s="108" t="str" cm="1">
        <f t="array" ref="V3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7" spans="1:22" hidden="1">
      <c r="A377">
        <v>92</v>
      </c>
      <c r="B377" t="s">
        <v>146</v>
      </c>
      <c r="C377" t="s">
        <v>61</v>
      </c>
      <c r="D377" t="s">
        <v>62</v>
      </c>
      <c r="E377">
        <v>1200</v>
      </c>
      <c r="F377" t="s">
        <v>115</v>
      </c>
      <c r="G377" t="s">
        <v>52</v>
      </c>
      <c r="H377" t="s">
        <v>33</v>
      </c>
      <c r="I377">
        <v>48370000</v>
      </c>
      <c r="J377" t="s">
        <v>34</v>
      </c>
      <c r="K377">
        <v>1986</v>
      </c>
      <c r="L377" t="s">
        <v>147</v>
      </c>
      <c r="M377" t="s">
        <v>691</v>
      </c>
      <c r="N377" t="s">
        <v>122</v>
      </c>
      <c r="O377" t="s">
        <v>38</v>
      </c>
      <c r="P377" t="s">
        <v>38</v>
      </c>
      <c r="Q37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92.351319875304142</v>
      </c>
      <c r="R37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92.351319875304142</v>
      </c>
      <c r="U377" s="107" t="str">
        <f>IFERROR(_xlfn.XLOOKUP("*"&amp;TRIM(Fusion[[#This Row],[Confinement Type]])&amp;"*", Map_Conf[From], Map_Conf[To], "", 2), "")</f>
        <v>MCF</v>
      </c>
      <c r="V377" s="108" t="str" cm="1">
        <f t="array" ref="V3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8" spans="1:22" hidden="1">
      <c r="B378" t="s">
        <v>741</v>
      </c>
      <c r="C378" t="s">
        <v>61</v>
      </c>
      <c r="D378" t="s">
        <v>62</v>
      </c>
      <c r="E378">
        <v>1500</v>
      </c>
      <c r="F378" t="s">
        <v>116</v>
      </c>
      <c r="G378" t="s">
        <v>52</v>
      </c>
      <c r="H378" t="s">
        <v>33</v>
      </c>
      <c r="I378">
        <v>121000000</v>
      </c>
      <c r="J378" t="s">
        <v>34</v>
      </c>
      <c r="K378">
        <v>2010</v>
      </c>
      <c r="L378" t="s">
        <v>732</v>
      </c>
      <c r="Q37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92.893406586687206</v>
      </c>
      <c r="R37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92.893406586687206</v>
      </c>
      <c r="U378" s="107" t="str">
        <f>IFERROR(_xlfn.XLOOKUP("*"&amp;TRIM(Fusion[[#This Row],[Confinement Type]])&amp;"*", Map_Conf[From], Map_Conf[To], "", 2), "")</f>
        <v>MCF</v>
      </c>
      <c r="V378" s="108" t="str" cm="1">
        <f t="array" ref="V3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9" spans="1:22" hidden="1">
      <c r="A379">
        <v>281</v>
      </c>
      <c r="B379" t="s">
        <v>112</v>
      </c>
      <c r="C379" t="s">
        <v>61</v>
      </c>
      <c r="D379" t="s">
        <v>113</v>
      </c>
      <c r="E379">
        <v>1000</v>
      </c>
      <c r="F379" t="s">
        <v>75</v>
      </c>
      <c r="G379" t="s">
        <v>52</v>
      </c>
      <c r="H379" t="s">
        <v>76</v>
      </c>
      <c r="I379">
        <v>52</v>
      </c>
      <c r="J379" t="s">
        <v>77</v>
      </c>
      <c r="K379">
        <v>1992</v>
      </c>
      <c r="L379" t="s">
        <v>294</v>
      </c>
      <c r="M379" t="s">
        <v>295</v>
      </c>
      <c r="N379">
        <v>0.75</v>
      </c>
      <c r="O379" t="s">
        <v>84</v>
      </c>
      <c r="P379" t="s">
        <v>38</v>
      </c>
      <c r="Q37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93.068880969351383</v>
      </c>
      <c r="R37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93.068880969351383</v>
      </c>
      <c r="U379" s="107" t="str">
        <f>IFERROR(_xlfn.XLOOKUP("*"&amp;TRIM(Fusion[[#This Row],[Confinement Type]])&amp;"*", Map_Conf[From], Map_Conf[To], "", 2), "")</f>
        <v>MCF</v>
      </c>
      <c r="V379" s="108" t="str" cm="1">
        <f t="array" ref="V3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80" spans="1:22" hidden="1">
      <c r="A380">
        <v>66</v>
      </c>
      <c r="B380" t="s">
        <v>125</v>
      </c>
      <c r="C380" t="s">
        <v>30</v>
      </c>
      <c r="D380" t="s">
        <v>796</v>
      </c>
      <c r="E380">
        <v>815</v>
      </c>
      <c r="F380" t="s">
        <v>108</v>
      </c>
      <c r="G380" t="s">
        <v>52</v>
      </c>
      <c r="H380" t="s">
        <v>76</v>
      </c>
      <c r="I380">
        <v>44</v>
      </c>
      <c r="J380" t="s">
        <v>77</v>
      </c>
      <c r="K380">
        <v>1988</v>
      </c>
      <c r="L380" t="s">
        <v>120</v>
      </c>
      <c r="M380" t="s">
        <v>121</v>
      </c>
      <c r="N380">
        <v>0.76</v>
      </c>
      <c r="O380" t="s">
        <v>122</v>
      </c>
      <c r="P380" t="s">
        <v>38</v>
      </c>
      <c r="Q38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93.395672020287407</v>
      </c>
      <c r="R38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93.395672020287407</v>
      </c>
      <c r="U380" s="107" t="str">
        <f>IFERROR(_xlfn.XLOOKUP("*"&amp;TRIM(Fusion[[#This Row],[Confinement Type]])&amp;"*", Map_Conf[From], Map_Conf[To], "", 2), "")</f>
        <v>ICF</v>
      </c>
      <c r="V380" s="108" t="str" cm="1">
        <f t="array" ref="V3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381" spans="1:22" hidden="1">
      <c r="B381" t="s">
        <v>735</v>
      </c>
      <c r="C381" t="s">
        <v>61</v>
      </c>
      <c r="D381" t="s">
        <v>62</v>
      </c>
      <c r="E381">
        <v>1450</v>
      </c>
      <c r="F381" t="s">
        <v>116</v>
      </c>
      <c r="G381" t="s">
        <v>52</v>
      </c>
      <c r="H381" t="s">
        <v>33</v>
      </c>
      <c r="I381">
        <v>119000000</v>
      </c>
      <c r="J381" t="s">
        <v>34</v>
      </c>
      <c r="K381">
        <v>2010</v>
      </c>
      <c r="L381" t="s">
        <v>732</v>
      </c>
      <c r="Q38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94.508253495147713</v>
      </c>
      <c r="R38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94.508253495147713</v>
      </c>
      <c r="U381" s="107" t="str">
        <f>IFERROR(_xlfn.XLOOKUP("*"&amp;TRIM(Fusion[[#This Row],[Confinement Type]])&amp;"*", Map_Conf[From], Map_Conf[To], "", 2), "")</f>
        <v>MCF</v>
      </c>
      <c r="V381" s="108" t="str" cm="1">
        <f t="array" ref="V3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2" spans="1:22" hidden="1">
      <c r="A382">
        <v>192</v>
      </c>
      <c r="B382" t="s">
        <v>239</v>
      </c>
      <c r="C382" t="s">
        <v>61</v>
      </c>
      <c r="D382" t="s">
        <v>62</v>
      </c>
      <c r="E382">
        <v>1000</v>
      </c>
      <c r="F382" t="s">
        <v>669</v>
      </c>
      <c r="G382" t="s">
        <v>52</v>
      </c>
      <c r="H382" t="s">
        <v>33</v>
      </c>
      <c r="I382">
        <v>65300000</v>
      </c>
      <c r="J382" t="s">
        <v>34</v>
      </c>
      <c r="K382">
        <v>2000</v>
      </c>
      <c r="L382" t="s">
        <v>233</v>
      </c>
      <c r="M382" t="s">
        <v>236</v>
      </c>
      <c r="N382" t="s">
        <v>38</v>
      </c>
      <c r="O382" t="s">
        <v>38</v>
      </c>
      <c r="P382" t="s">
        <v>38</v>
      </c>
      <c r="Q38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95.222340882694539</v>
      </c>
      <c r="R38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95.222340882694539</v>
      </c>
      <c r="U382" s="107" t="str">
        <f>IFERROR(_xlfn.XLOOKUP("*"&amp;TRIM(Fusion[[#This Row],[Confinement Type]])&amp;"*", Map_Conf[From], Map_Conf[To], "", 2), "")</f>
        <v>MCF</v>
      </c>
      <c r="V382" s="108" t="str" cm="1">
        <f t="array" ref="V3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3" spans="1:22" hidden="1">
      <c r="A383">
        <v>193</v>
      </c>
      <c r="B383" t="s">
        <v>240</v>
      </c>
      <c r="C383" t="s">
        <v>61</v>
      </c>
      <c r="D383" t="s">
        <v>62</v>
      </c>
      <c r="E383">
        <v>1000</v>
      </c>
      <c r="F383" t="s">
        <v>669</v>
      </c>
      <c r="G383" t="s">
        <v>755</v>
      </c>
      <c r="H383" t="s">
        <v>33</v>
      </c>
      <c r="I383">
        <v>65300000</v>
      </c>
      <c r="J383" t="s">
        <v>34</v>
      </c>
      <c r="K383">
        <v>2000</v>
      </c>
      <c r="L383" t="s">
        <v>233</v>
      </c>
      <c r="M383" t="s">
        <v>236</v>
      </c>
      <c r="N383" t="s">
        <v>38</v>
      </c>
      <c r="O383" t="s">
        <v>38</v>
      </c>
      <c r="P383" t="s">
        <v>38</v>
      </c>
      <c r="Q38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95.222340882694539</v>
      </c>
      <c r="R38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95.222340882694539</v>
      </c>
      <c r="U383" s="107" t="str">
        <f>IFERROR(_xlfn.XLOOKUP("*"&amp;TRIM(Fusion[[#This Row],[Confinement Type]])&amp;"*", Map_Conf[From], Map_Conf[To], "", 2), "")</f>
        <v>MCF</v>
      </c>
      <c r="V383" s="108" t="str" cm="1">
        <f t="array" ref="V3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4" spans="1:22" hidden="1">
      <c r="A384">
        <v>235</v>
      </c>
      <c r="B384" t="s">
        <v>687</v>
      </c>
      <c r="C384" t="s">
        <v>61</v>
      </c>
      <c r="D384" t="s">
        <v>62</v>
      </c>
      <c r="E384">
        <v>1420</v>
      </c>
      <c r="F384" t="s">
        <v>116</v>
      </c>
      <c r="G384" t="s">
        <v>57</v>
      </c>
      <c r="H384" t="s">
        <v>33</v>
      </c>
      <c r="I384">
        <v>117483615.87898119</v>
      </c>
      <c r="J384" t="s">
        <v>34</v>
      </c>
      <c r="K384">
        <v>2010</v>
      </c>
      <c r="L384" t="s">
        <v>262</v>
      </c>
      <c r="N384" t="s">
        <v>38</v>
      </c>
      <c r="O384" t="s">
        <v>38</v>
      </c>
      <c r="P384" t="s">
        <v>38</v>
      </c>
      <c r="Q38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95.275171375163382</v>
      </c>
      <c r="R38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95.275171375163382</v>
      </c>
      <c r="U384" s="107" t="str">
        <f>IFERROR(_xlfn.XLOOKUP("*"&amp;TRIM(Fusion[[#This Row],[Confinement Type]])&amp;"*", Map_Conf[From], Map_Conf[To], "", 2), "")</f>
        <v>MCF</v>
      </c>
      <c r="V384" s="108" t="str" cm="1">
        <f t="array" ref="V3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5" spans="1:22" hidden="1">
      <c r="A385">
        <v>468</v>
      </c>
      <c r="B385" t="s">
        <v>81</v>
      </c>
      <c r="C385" t="s">
        <v>61</v>
      </c>
      <c r="D385" t="s">
        <v>62</v>
      </c>
      <c r="E385">
        <v>1000</v>
      </c>
      <c r="F385" t="s">
        <v>75</v>
      </c>
      <c r="G385" t="s">
        <v>57</v>
      </c>
      <c r="H385" t="s">
        <v>76</v>
      </c>
      <c r="I385">
        <v>70</v>
      </c>
      <c r="J385" t="s">
        <v>77</v>
      </c>
      <c r="K385">
        <v>2003</v>
      </c>
      <c r="L385" t="s">
        <v>440</v>
      </c>
      <c r="M385" t="s">
        <v>638</v>
      </c>
      <c r="N385" t="s">
        <v>38</v>
      </c>
      <c r="O385" t="s">
        <v>38</v>
      </c>
      <c r="P385" t="s">
        <v>38</v>
      </c>
      <c r="Q38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95.529836956521734</v>
      </c>
      <c r="R38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95.529836956521734</v>
      </c>
      <c r="U385" s="107" t="str">
        <f>IFERROR(_xlfn.XLOOKUP("*"&amp;TRIM(Fusion[[#This Row],[Confinement Type]])&amp;"*", Map_Conf[From], Map_Conf[To], "", 2), "")</f>
        <v>MCF</v>
      </c>
      <c r="V385" s="108" t="str" cm="1">
        <f t="array" ref="V3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6" spans="1:22" hidden="1">
      <c r="A386">
        <v>190</v>
      </c>
      <c r="B386" t="s">
        <v>235</v>
      </c>
      <c r="C386" t="s">
        <v>61</v>
      </c>
      <c r="D386" t="s">
        <v>62</v>
      </c>
      <c r="E386">
        <v>1000</v>
      </c>
      <c r="F386" t="s">
        <v>669</v>
      </c>
      <c r="G386" t="s">
        <v>52</v>
      </c>
      <c r="H386" t="s">
        <v>33</v>
      </c>
      <c r="I386">
        <v>65800000</v>
      </c>
      <c r="J386" t="s">
        <v>34</v>
      </c>
      <c r="K386">
        <v>2000</v>
      </c>
      <c r="L386" t="s">
        <v>233</v>
      </c>
      <c r="M386" t="s">
        <v>236</v>
      </c>
      <c r="N386" t="s">
        <v>38</v>
      </c>
      <c r="O386" t="s">
        <v>38</v>
      </c>
      <c r="P386" t="s">
        <v>38</v>
      </c>
      <c r="Q38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95.95145528455285</v>
      </c>
      <c r="R38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95.95145528455285</v>
      </c>
      <c r="U386" s="107" t="str">
        <f>IFERROR(_xlfn.XLOOKUP("*"&amp;TRIM(Fusion[[#This Row],[Confinement Type]])&amp;"*", Map_Conf[From], Map_Conf[To], "", 2), "")</f>
        <v>MCF</v>
      </c>
      <c r="V386" s="108" t="str" cm="1">
        <f t="array" ref="V3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7" spans="1:22" hidden="1">
      <c r="A387">
        <v>403</v>
      </c>
      <c r="B387" t="s">
        <v>405</v>
      </c>
      <c r="C387" t="s">
        <v>61</v>
      </c>
      <c r="D387" t="s">
        <v>251</v>
      </c>
      <c r="E387">
        <v>774</v>
      </c>
      <c r="F387" t="s">
        <v>116</v>
      </c>
      <c r="G387" t="s">
        <v>32</v>
      </c>
      <c r="H387" t="s">
        <v>33</v>
      </c>
      <c r="I387">
        <v>90750000</v>
      </c>
      <c r="J387" t="s">
        <v>34</v>
      </c>
      <c r="K387">
        <v>2023</v>
      </c>
      <c r="L387" t="s">
        <v>399</v>
      </c>
      <c r="M387" t="s">
        <v>1106</v>
      </c>
      <c r="N387" t="s">
        <v>122</v>
      </c>
      <c r="O387" t="s">
        <v>38</v>
      </c>
      <c r="P387" t="s">
        <v>38</v>
      </c>
      <c r="Q38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96.624928974956291</v>
      </c>
      <c r="R38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96.624928974956291</v>
      </c>
      <c r="U387" s="107" t="str">
        <f>IFERROR(_xlfn.XLOOKUP("*"&amp;TRIM(Fusion[[#This Row],[Confinement Type]])&amp;"*", Map_Conf[From], Map_Conf[To], "", 2), "")</f>
        <v>MCF</v>
      </c>
      <c r="V387" s="108" t="str" cm="1">
        <f t="array" ref="V3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88" spans="1:22" hidden="1">
      <c r="A388">
        <v>567</v>
      </c>
      <c r="B388" t="s">
        <v>506</v>
      </c>
      <c r="C388" t="s">
        <v>61</v>
      </c>
      <c r="D388" t="s">
        <v>62</v>
      </c>
      <c r="E388">
        <v>1000</v>
      </c>
      <c r="F388" t="s">
        <v>108</v>
      </c>
      <c r="G388" t="s">
        <v>57</v>
      </c>
      <c r="H388" t="s">
        <v>76</v>
      </c>
      <c r="I388">
        <v>87</v>
      </c>
      <c r="J388" t="s">
        <v>77</v>
      </c>
      <c r="K388">
        <v>2011</v>
      </c>
      <c r="L388" t="s">
        <v>507</v>
      </c>
      <c r="M388" t="s">
        <v>509</v>
      </c>
      <c r="N388">
        <v>0.75</v>
      </c>
      <c r="O388" t="s">
        <v>38</v>
      </c>
      <c r="P388" t="s">
        <v>38</v>
      </c>
      <c r="Q38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97.121037258990228</v>
      </c>
      <c r="R38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97.121037258990228</v>
      </c>
      <c r="U388" s="107" t="str">
        <f>IFERROR(_xlfn.XLOOKUP("*"&amp;TRIM(Fusion[[#This Row],[Confinement Type]])&amp;"*", Map_Conf[From], Map_Conf[To], "", 2), "")</f>
        <v>MCF</v>
      </c>
      <c r="V388" s="108" t="str" cm="1">
        <f t="array" ref="V3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9" spans="1:22" hidden="1">
      <c r="A389">
        <v>255</v>
      </c>
      <c r="B389" t="s">
        <v>281</v>
      </c>
      <c r="C389" t="s">
        <v>61</v>
      </c>
      <c r="D389" t="s">
        <v>278</v>
      </c>
      <c r="E389">
        <v>1940</v>
      </c>
      <c r="F389" t="s">
        <v>493</v>
      </c>
      <c r="G389" t="s">
        <v>57</v>
      </c>
      <c r="H389" t="s">
        <v>76</v>
      </c>
      <c r="I389">
        <v>71.599999999999994</v>
      </c>
      <c r="J389" t="s">
        <v>77</v>
      </c>
      <c r="K389">
        <v>2003</v>
      </c>
      <c r="L389" t="s">
        <v>279</v>
      </c>
      <c r="M389" t="s">
        <v>285</v>
      </c>
      <c r="N389" t="s">
        <v>122</v>
      </c>
      <c r="O389" t="s">
        <v>38</v>
      </c>
      <c r="P389" t="s">
        <v>38</v>
      </c>
      <c r="Q38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97.713376086956515</v>
      </c>
      <c r="R38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97.713376086956515</v>
      </c>
      <c r="U389" s="107" t="str">
        <f>IFERROR(_xlfn.XLOOKUP("*"&amp;TRIM(Fusion[[#This Row],[Confinement Type]])&amp;"*", Map_Conf[From], Map_Conf[To], "", 2), "")</f>
        <v>MCF</v>
      </c>
      <c r="V389" s="108" t="str" cm="1">
        <f t="array" ref="V3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90" spans="1:22" hidden="1">
      <c r="A390">
        <v>154</v>
      </c>
      <c r="B390" t="s">
        <v>205</v>
      </c>
      <c r="C390" t="s">
        <v>61</v>
      </c>
      <c r="D390" t="s">
        <v>62</v>
      </c>
      <c r="E390">
        <v>1300</v>
      </c>
      <c r="F390" t="s">
        <v>75</v>
      </c>
      <c r="G390" t="s">
        <v>52</v>
      </c>
      <c r="H390" t="s">
        <v>76</v>
      </c>
      <c r="I390">
        <v>65</v>
      </c>
      <c r="J390" t="s">
        <v>77</v>
      </c>
      <c r="K390">
        <v>1999</v>
      </c>
      <c r="L390" t="s">
        <v>1123</v>
      </c>
      <c r="M390" t="s">
        <v>202</v>
      </c>
      <c r="N390" t="s">
        <v>715</v>
      </c>
      <c r="O390" t="s">
        <v>84</v>
      </c>
      <c r="P390" t="s">
        <v>38</v>
      </c>
      <c r="Q39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97.97091836734694</v>
      </c>
      <c r="R39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97.97091836734694</v>
      </c>
      <c r="U390" s="107" t="str">
        <f>IFERROR(_xlfn.XLOOKUP("*"&amp;TRIM(Fusion[[#This Row],[Confinement Type]])&amp;"*", Map_Conf[From], Map_Conf[To], "", 2), "")</f>
        <v>MCF</v>
      </c>
      <c r="V390" s="108" t="str" cm="1">
        <f t="array" ref="V3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1" spans="1:22" hidden="1">
      <c r="A391">
        <v>284</v>
      </c>
      <c r="B391" t="s">
        <v>302</v>
      </c>
      <c r="C391" t="s">
        <v>61</v>
      </c>
      <c r="D391" t="s">
        <v>62</v>
      </c>
      <c r="E391">
        <v>1000</v>
      </c>
      <c r="F391" t="s">
        <v>75</v>
      </c>
      <c r="G391" t="s">
        <v>52</v>
      </c>
      <c r="H391" t="s">
        <v>76</v>
      </c>
      <c r="I391">
        <v>56</v>
      </c>
      <c r="J391" t="s">
        <v>77</v>
      </c>
      <c r="K391">
        <v>1992</v>
      </c>
      <c r="L391" t="s">
        <v>294</v>
      </c>
      <c r="M391" t="s">
        <v>303</v>
      </c>
      <c r="N391">
        <v>0.75</v>
      </c>
      <c r="O391" t="s">
        <v>84</v>
      </c>
      <c r="P391" t="s">
        <v>38</v>
      </c>
      <c r="Q39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100.22802565930149</v>
      </c>
      <c r="R39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100.22802565930149</v>
      </c>
      <c r="U391" s="107" t="str">
        <f>IFERROR(_xlfn.XLOOKUP("*"&amp;TRIM(Fusion[[#This Row],[Confinement Type]])&amp;"*", Map_Conf[From], Map_Conf[To], "", 2), "")</f>
        <v>MCF</v>
      </c>
      <c r="V391" s="108" t="str" cm="1">
        <f t="array" ref="V3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2" spans="1:22" hidden="1">
      <c r="A392">
        <v>67</v>
      </c>
      <c r="B392" t="s">
        <v>126</v>
      </c>
      <c r="C392" t="s">
        <v>61</v>
      </c>
      <c r="D392" t="s">
        <v>62</v>
      </c>
      <c r="E392">
        <v>1000</v>
      </c>
      <c r="F392" t="s">
        <v>108</v>
      </c>
      <c r="G392" t="s">
        <v>52</v>
      </c>
      <c r="H392" t="s">
        <v>76</v>
      </c>
      <c r="I392">
        <v>48</v>
      </c>
      <c r="J392" t="s">
        <v>77</v>
      </c>
      <c r="K392">
        <v>1988</v>
      </c>
      <c r="L392" t="s">
        <v>120</v>
      </c>
      <c r="M392" t="s">
        <v>121</v>
      </c>
      <c r="N392">
        <v>0.76</v>
      </c>
      <c r="O392" t="s">
        <v>122</v>
      </c>
      <c r="P392" t="s">
        <v>38</v>
      </c>
      <c r="Q39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101.88618765849534</v>
      </c>
      <c r="R39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101.88618765849534</v>
      </c>
      <c r="U392" s="107" t="str">
        <f>IFERROR(_xlfn.XLOOKUP("*"&amp;TRIM(Fusion[[#This Row],[Confinement Type]])&amp;"*", Map_Conf[From], Map_Conf[To], "", 2), "")</f>
        <v>MCF</v>
      </c>
      <c r="V392" s="108" t="str" cm="1">
        <f t="array" ref="V3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3" spans="1:22" hidden="1">
      <c r="B393" t="s">
        <v>232</v>
      </c>
      <c r="C393" t="s">
        <v>61</v>
      </c>
      <c r="D393" t="s">
        <v>62</v>
      </c>
      <c r="E393">
        <v>1000</v>
      </c>
      <c r="F393" t="s">
        <v>75</v>
      </c>
      <c r="G393" t="s">
        <v>52</v>
      </c>
      <c r="H393" t="s">
        <v>76</v>
      </c>
      <c r="I393">
        <v>88.9</v>
      </c>
      <c r="J393" t="s">
        <v>77</v>
      </c>
      <c r="K393">
        <v>2010</v>
      </c>
      <c r="L393" t="s">
        <v>732</v>
      </c>
      <c r="M393" t="s">
        <v>743</v>
      </c>
      <c r="N393">
        <v>0.85</v>
      </c>
      <c r="O393" t="s">
        <v>84</v>
      </c>
      <c r="Q39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102.37467577136148</v>
      </c>
      <c r="R39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102.37467577136148</v>
      </c>
      <c r="U393" s="107" t="str">
        <f>IFERROR(_xlfn.XLOOKUP("*"&amp;TRIM(Fusion[[#This Row],[Confinement Type]])&amp;"*", Map_Conf[From], Map_Conf[To], "", 2), "")</f>
        <v>MCF</v>
      </c>
      <c r="V393" s="108" t="str" cm="1">
        <f t="array" ref="V3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4" spans="1:22" hidden="1">
      <c r="A394">
        <v>151</v>
      </c>
      <c r="B394" t="s">
        <v>203</v>
      </c>
      <c r="C394" t="s">
        <v>61</v>
      </c>
      <c r="D394" t="s">
        <v>62</v>
      </c>
      <c r="E394">
        <v>1300</v>
      </c>
      <c r="F394" t="s">
        <v>75</v>
      </c>
      <c r="G394" t="s">
        <v>52</v>
      </c>
      <c r="H394" t="s">
        <v>76</v>
      </c>
      <c r="I394">
        <v>68</v>
      </c>
      <c r="J394" t="s">
        <v>77</v>
      </c>
      <c r="K394">
        <v>1999</v>
      </c>
      <c r="L394" t="s">
        <v>1123</v>
      </c>
      <c r="M394" t="s">
        <v>202</v>
      </c>
      <c r="N394" t="s">
        <v>715</v>
      </c>
      <c r="O394" t="s">
        <v>84</v>
      </c>
      <c r="P394" t="s">
        <v>38</v>
      </c>
      <c r="Q39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102.49265306122449</v>
      </c>
      <c r="R39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102.49265306122449</v>
      </c>
      <c r="U394" s="107" t="str">
        <f>IFERROR(_xlfn.XLOOKUP("*"&amp;TRIM(Fusion[[#This Row],[Confinement Type]])&amp;"*", Map_Conf[From], Map_Conf[To], "", 2), "")</f>
        <v>MCF</v>
      </c>
      <c r="V394" s="108" t="str" cm="1">
        <f t="array" ref="V3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5" spans="1:22" hidden="1">
      <c r="A395">
        <v>447</v>
      </c>
      <c r="B395" t="s">
        <v>423</v>
      </c>
      <c r="C395" t="s">
        <v>61</v>
      </c>
      <c r="D395" t="s">
        <v>251</v>
      </c>
      <c r="E395">
        <v>1000</v>
      </c>
      <c r="F395" t="s">
        <v>75</v>
      </c>
      <c r="G395" t="s">
        <v>52</v>
      </c>
      <c r="H395" t="s">
        <v>76</v>
      </c>
      <c r="I395">
        <v>77.599999999999994</v>
      </c>
      <c r="J395" t="s">
        <v>77</v>
      </c>
      <c r="K395">
        <v>2004</v>
      </c>
      <c r="L395" t="s">
        <v>424</v>
      </c>
      <c r="M395" t="s">
        <v>425</v>
      </c>
      <c r="N395" t="s">
        <v>38</v>
      </c>
      <c r="O395" t="s">
        <v>84</v>
      </c>
      <c r="P395" t="s">
        <v>38</v>
      </c>
      <c r="Q39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103.15459608258337</v>
      </c>
      <c r="R39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103.15459608258337</v>
      </c>
      <c r="U395" s="107" t="str">
        <f>IFERROR(_xlfn.XLOOKUP("*"&amp;TRIM(Fusion[[#This Row],[Confinement Type]])&amp;"*", Map_Conf[From], Map_Conf[To], "", 2), "")</f>
        <v>MCF</v>
      </c>
      <c r="V395" s="108" t="str" cm="1">
        <f t="array" ref="V3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96" spans="1:22" hidden="1">
      <c r="A396">
        <v>234</v>
      </c>
      <c r="B396" t="s">
        <v>686</v>
      </c>
      <c r="C396" t="s">
        <v>61</v>
      </c>
      <c r="D396" t="s">
        <v>62</v>
      </c>
      <c r="E396">
        <v>1200</v>
      </c>
      <c r="F396" t="s">
        <v>116</v>
      </c>
      <c r="G396" t="s">
        <v>57</v>
      </c>
      <c r="H396" t="s">
        <v>33</v>
      </c>
      <c r="I396">
        <v>108000000</v>
      </c>
      <c r="J396" s="17" t="s">
        <v>34</v>
      </c>
      <c r="K396">
        <v>2010</v>
      </c>
      <c r="L396" t="s">
        <v>262</v>
      </c>
      <c r="N396" t="s">
        <v>38</v>
      </c>
      <c r="O396" t="s">
        <v>38</v>
      </c>
      <c r="P396" t="s">
        <v>38</v>
      </c>
      <c r="Q39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103.64140404299812</v>
      </c>
      <c r="R39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103.64140404299812</v>
      </c>
      <c r="U396" s="107" t="str">
        <f>IFERROR(_xlfn.XLOOKUP("*"&amp;TRIM(Fusion[[#This Row],[Confinement Type]])&amp;"*", Map_Conf[From], Map_Conf[To], "", 2), "")</f>
        <v>MCF</v>
      </c>
      <c r="V396" s="108" t="str" cm="1">
        <f t="array" ref="V3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7" spans="1:22" hidden="1">
      <c r="B397" t="s">
        <v>741</v>
      </c>
      <c r="C397" t="s">
        <v>61</v>
      </c>
      <c r="D397" t="s">
        <v>62</v>
      </c>
      <c r="E397">
        <v>1200</v>
      </c>
      <c r="F397" t="s">
        <v>116</v>
      </c>
      <c r="G397" t="s">
        <v>52</v>
      </c>
      <c r="H397" t="s">
        <v>33</v>
      </c>
      <c r="I397">
        <v>108000000</v>
      </c>
      <c r="J397" t="s">
        <v>34</v>
      </c>
      <c r="K397">
        <v>2010</v>
      </c>
      <c r="L397" t="s">
        <v>732</v>
      </c>
      <c r="Q39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103.64140404299812</v>
      </c>
      <c r="R39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103.64140404299812</v>
      </c>
      <c r="U397" s="107" t="str">
        <f>IFERROR(_xlfn.XLOOKUP("*"&amp;TRIM(Fusion[[#This Row],[Confinement Type]])&amp;"*", Map_Conf[From], Map_Conf[To], "", 2), "")</f>
        <v>MCF</v>
      </c>
      <c r="V397" s="108" t="str" cm="1">
        <f t="array" ref="V3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8" spans="1:22" hidden="1">
      <c r="A398">
        <v>572</v>
      </c>
      <c r="B398" t="s">
        <v>508</v>
      </c>
      <c r="C398" t="s">
        <v>61</v>
      </c>
      <c r="D398" t="s">
        <v>62</v>
      </c>
      <c r="E398">
        <v>1000</v>
      </c>
      <c r="F398" t="s">
        <v>108</v>
      </c>
      <c r="G398" t="s">
        <v>57</v>
      </c>
      <c r="H398" t="s">
        <v>76</v>
      </c>
      <c r="I398">
        <v>94</v>
      </c>
      <c r="J398" t="s">
        <v>77</v>
      </c>
      <c r="K398">
        <v>2011</v>
      </c>
      <c r="L398" t="s">
        <v>507</v>
      </c>
      <c r="M398" t="s">
        <v>511</v>
      </c>
      <c r="N398">
        <v>0.75</v>
      </c>
      <c r="O398" t="s">
        <v>38</v>
      </c>
      <c r="P398" t="s">
        <v>38</v>
      </c>
      <c r="Q39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104.93537359017334</v>
      </c>
      <c r="R39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104.93537359017334</v>
      </c>
      <c r="U398" s="107" t="str">
        <f>IFERROR(_xlfn.XLOOKUP("*"&amp;TRIM(Fusion[[#This Row],[Confinement Type]])&amp;"*", Map_Conf[From], Map_Conf[To], "", 2), "")</f>
        <v>MCF</v>
      </c>
      <c r="V398" s="108" t="str" cm="1">
        <f t="array" ref="V3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9" spans="1:22" hidden="1">
      <c r="A399">
        <v>517</v>
      </c>
      <c r="B399" t="s">
        <v>488</v>
      </c>
      <c r="C399" t="s">
        <v>470</v>
      </c>
      <c r="D399" t="s">
        <v>471</v>
      </c>
      <c r="E399">
        <v>383.1</v>
      </c>
      <c r="F399" t="s">
        <v>116</v>
      </c>
      <c r="G399" t="s">
        <v>754</v>
      </c>
      <c r="H399" t="s">
        <v>33</v>
      </c>
      <c r="I399">
        <v>42000000</v>
      </c>
      <c r="J399" t="s">
        <v>34</v>
      </c>
      <c r="K399">
        <v>2020</v>
      </c>
      <c r="L399" t="s">
        <v>486</v>
      </c>
      <c r="N399" t="s">
        <v>122</v>
      </c>
      <c r="O399" t="s">
        <v>38</v>
      </c>
      <c r="P399" t="s">
        <v>38</v>
      </c>
      <c r="Q39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106.36854708321621</v>
      </c>
      <c r="R39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106.36854708321621</v>
      </c>
      <c r="U399" s="107" t="str">
        <f>IFERROR(_xlfn.XLOOKUP("*"&amp;TRIM(Fusion[[#This Row],[Confinement Type]])&amp;"*", Map_Conf[From], Map_Conf[To], "", 2), "")</f>
        <v>MIF</v>
      </c>
      <c r="V399" s="108" t="str" cm="1">
        <f t="array" ref="V3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400" spans="1:22" hidden="1">
      <c r="A400">
        <v>389</v>
      </c>
      <c r="B400" t="s">
        <v>385</v>
      </c>
      <c r="C400" t="s">
        <v>61</v>
      </c>
      <c r="D400" t="s">
        <v>62</v>
      </c>
      <c r="E400">
        <v>1200</v>
      </c>
      <c r="F400" t="s">
        <v>116</v>
      </c>
      <c r="G400" t="s">
        <v>52</v>
      </c>
      <c r="H400" t="s">
        <v>33</v>
      </c>
      <c r="I400">
        <v>49100000</v>
      </c>
      <c r="J400" t="s">
        <v>34</v>
      </c>
      <c r="K400">
        <v>1982</v>
      </c>
      <c r="L400" t="s">
        <v>693</v>
      </c>
      <c r="N400" t="s">
        <v>122</v>
      </c>
      <c r="O400" t="s">
        <v>38</v>
      </c>
      <c r="P400" t="s">
        <v>38</v>
      </c>
      <c r="Q40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106.47110276338515</v>
      </c>
      <c r="R40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106.47110276338515</v>
      </c>
      <c r="U400" s="107" t="str">
        <f>IFERROR(_xlfn.XLOOKUP("*"&amp;TRIM(Fusion[[#This Row],[Confinement Type]])&amp;"*", Map_Conf[From], Map_Conf[To], "", 2), "")</f>
        <v>MCF</v>
      </c>
      <c r="V400" s="108" t="str" cm="1">
        <f t="array" ref="V4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1" spans="1:22" hidden="1">
      <c r="A401">
        <v>5</v>
      </c>
      <c r="B401" t="s">
        <v>60</v>
      </c>
      <c r="C401" t="s">
        <v>61</v>
      </c>
      <c r="D401" t="s">
        <v>62</v>
      </c>
      <c r="E401">
        <v>1200</v>
      </c>
      <c r="F401" t="s">
        <v>75</v>
      </c>
      <c r="G401" t="s">
        <v>52</v>
      </c>
      <c r="H401" t="s">
        <v>76</v>
      </c>
      <c r="I401">
        <v>35.1</v>
      </c>
      <c r="J401" t="s">
        <v>77</v>
      </c>
      <c r="K401">
        <v>1980</v>
      </c>
      <c r="L401" t="s">
        <v>975</v>
      </c>
      <c r="M401" t="s">
        <v>791</v>
      </c>
      <c r="N401" t="s">
        <v>65</v>
      </c>
      <c r="O401" t="s">
        <v>66</v>
      </c>
      <c r="P401" t="s">
        <v>38</v>
      </c>
      <c r="Q40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106.96426820388349</v>
      </c>
      <c r="R40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106.96426820388349</v>
      </c>
      <c r="U401" s="107" t="str">
        <f>IFERROR(_xlfn.XLOOKUP("*"&amp;TRIM(Fusion[[#This Row],[Confinement Type]])&amp;"*", Map_Conf[From], Map_Conf[To], "", 2), "")</f>
        <v>MCF</v>
      </c>
      <c r="V401" s="108" t="str" cm="1">
        <f t="array" ref="V4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2" spans="1:22" hidden="1">
      <c r="A402">
        <v>124</v>
      </c>
      <c r="B402" t="s">
        <v>182</v>
      </c>
      <c r="C402" t="s">
        <v>61</v>
      </c>
      <c r="D402" t="s">
        <v>62</v>
      </c>
      <c r="E402">
        <v>1200</v>
      </c>
      <c r="F402" t="s">
        <v>115</v>
      </c>
      <c r="G402" t="s">
        <v>52</v>
      </c>
      <c r="H402" t="s">
        <v>33</v>
      </c>
      <c r="I402">
        <v>56159999.999999993</v>
      </c>
      <c r="J402" t="s">
        <v>34</v>
      </c>
      <c r="K402">
        <v>1986</v>
      </c>
      <c r="L402" t="s">
        <v>147</v>
      </c>
      <c r="M402" t="s">
        <v>691</v>
      </c>
      <c r="N402" t="s">
        <v>122</v>
      </c>
      <c r="O402" t="s">
        <v>38</v>
      </c>
      <c r="P402" t="s">
        <v>38</v>
      </c>
      <c r="Q40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107.22452189781022</v>
      </c>
      <c r="R40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107.22452189781022</v>
      </c>
      <c r="U402" s="107" t="str">
        <f>IFERROR(_xlfn.XLOOKUP("*"&amp;TRIM(Fusion[[#This Row],[Confinement Type]])&amp;"*", Map_Conf[From], Map_Conf[To], "", 2), "")</f>
        <v>MCF</v>
      </c>
      <c r="V402" s="108" t="str" cm="1">
        <f t="array" ref="V4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3" spans="1:22" hidden="1">
      <c r="A403">
        <v>130</v>
      </c>
      <c r="B403" t="s">
        <v>183</v>
      </c>
      <c r="C403" t="s">
        <v>61</v>
      </c>
      <c r="D403" t="s">
        <v>62</v>
      </c>
      <c r="E403">
        <v>1200</v>
      </c>
      <c r="F403" t="s">
        <v>75</v>
      </c>
      <c r="G403" t="s">
        <v>52</v>
      </c>
      <c r="H403" t="s">
        <v>76</v>
      </c>
      <c r="I403">
        <v>47.79</v>
      </c>
      <c r="J403" t="s">
        <v>77</v>
      </c>
      <c r="K403">
        <v>1986</v>
      </c>
      <c r="L403" t="s">
        <v>147</v>
      </c>
      <c r="M403" t="s">
        <v>186</v>
      </c>
      <c r="N403" t="s">
        <v>708</v>
      </c>
      <c r="O403" t="s">
        <v>84</v>
      </c>
      <c r="P403" t="s">
        <v>38</v>
      </c>
      <c r="Q40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109.49273293795622</v>
      </c>
      <c r="R40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109.49273293795622</v>
      </c>
      <c r="U403" s="107" t="str">
        <f>IFERROR(_xlfn.XLOOKUP("*"&amp;TRIM(Fusion[[#This Row],[Confinement Type]])&amp;"*", Map_Conf[From], Map_Conf[To], "", 2), "")</f>
        <v>MCF</v>
      </c>
      <c r="V403" s="108" t="str" cm="1">
        <f t="array" ref="V4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4" spans="1:22" hidden="1">
      <c r="A404">
        <v>499</v>
      </c>
      <c r="B404" t="s">
        <v>456</v>
      </c>
      <c r="C404" t="s">
        <v>61</v>
      </c>
      <c r="D404" t="s">
        <v>62</v>
      </c>
      <c r="E404">
        <v>1424</v>
      </c>
      <c r="F404" t="s">
        <v>108</v>
      </c>
      <c r="G404" t="s">
        <v>52</v>
      </c>
      <c r="H404" t="s">
        <v>76</v>
      </c>
      <c r="I404">
        <v>57</v>
      </c>
      <c r="J404" t="s">
        <v>77</v>
      </c>
      <c r="K404">
        <v>1990</v>
      </c>
      <c r="L404" t="s">
        <v>55</v>
      </c>
      <c r="M404" t="s">
        <v>466</v>
      </c>
      <c r="N404" t="s">
        <v>709</v>
      </c>
      <c r="O404" t="s">
        <v>84</v>
      </c>
      <c r="P404" t="s">
        <v>38</v>
      </c>
      <c r="Q40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109.51108645753635</v>
      </c>
      <c r="R40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109.51108645753635</v>
      </c>
      <c r="U404" s="107" t="str">
        <f>IFERROR(_xlfn.XLOOKUP("*"&amp;TRIM(Fusion[[#This Row],[Confinement Type]])&amp;"*", Map_Conf[From], Map_Conf[To], "", 2), "")</f>
        <v>MCF</v>
      </c>
      <c r="V404" s="108" t="str" cm="1">
        <f t="array" ref="V4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5" spans="1:22" hidden="1">
      <c r="A405">
        <v>501</v>
      </c>
      <c r="B405" t="s">
        <v>457</v>
      </c>
      <c r="C405" t="s">
        <v>61</v>
      </c>
      <c r="D405" t="s">
        <v>62</v>
      </c>
      <c r="E405">
        <v>1200</v>
      </c>
      <c r="F405" t="s">
        <v>108</v>
      </c>
      <c r="G405" t="s">
        <v>52</v>
      </c>
      <c r="H405" t="s">
        <v>76</v>
      </c>
      <c r="I405">
        <v>57</v>
      </c>
      <c r="J405" t="s">
        <v>77</v>
      </c>
      <c r="K405">
        <v>1990</v>
      </c>
      <c r="L405" t="s">
        <v>55</v>
      </c>
      <c r="M405" t="s">
        <v>467</v>
      </c>
      <c r="N405" t="s">
        <v>709</v>
      </c>
      <c r="O405" t="s">
        <v>84</v>
      </c>
      <c r="P405" t="s">
        <v>38</v>
      </c>
      <c r="Q40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109.51108645753635</v>
      </c>
      <c r="R40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109.51108645753635</v>
      </c>
      <c r="U405" s="107" t="str">
        <f>IFERROR(_xlfn.XLOOKUP("*"&amp;TRIM(Fusion[[#This Row],[Confinement Type]])&amp;"*", Map_Conf[From], Map_Conf[To], "", 2), "")</f>
        <v>MCF</v>
      </c>
      <c r="V405" s="108" t="str" cm="1">
        <f t="array" ref="V4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6" spans="1:22" hidden="1">
      <c r="A406">
        <v>274</v>
      </c>
      <c r="B406" t="s">
        <v>286</v>
      </c>
      <c r="C406" t="s">
        <v>61</v>
      </c>
      <c r="D406" t="s">
        <v>278</v>
      </c>
      <c r="E406">
        <v>1601</v>
      </c>
      <c r="F406" t="s">
        <v>75</v>
      </c>
      <c r="G406" t="s">
        <v>57</v>
      </c>
      <c r="H406" t="s">
        <v>76</v>
      </c>
      <c r="I406">
        <v>78.5</v>
      </c>
      <c r="J406" t="s">
        <v>77</v>
      </c>
      <c r="K406">
        <v>2002</v>
      </c>
      <c r="L406" t="s">
        <v>287</v>
      </c>
      <c r="M406" t="s">
        <v>292</v>
      </c>
      <c r="N406">
        <v>0.70599999999999996</v>
      </c>
      <c r="O406" t="s">
        <v>84</v>
      </c>
      <c r="P406" t="s">
        <v>38</v>
      </c>
      <c r="Q40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109.57142579210674</v>
      </c>
      <c r="R40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109.57142579210674</v>
      </c>
      <c r="U406" s="107" t="str">
        <f>IFERROR(_xlfn.XLOOKUP("*"&amp;TRIM(Fusion[[#This Row],[Confinement Type]])&amp;"*", Map_Conf[From], Map_Conf[To], "", 2), "")</f>
        <v>MCF</v>
      </c>
      <c r="V406" s="108" t="str" cm="1">
        <f t="array" ref="V4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07" spans="1:22" hidden="1">
      <c r="A407">
        <v>135</v>
      </c>
      <c r="B407" t="s">
        <v>176</v>
      </c>
      <c r="C407" t="s">
        <v>61</v>
      </c>
      <c r="D407" t="s">
        <v>62</v>
      </c>
      <c r="E407">
        <v>1200</v>
      </c>
      <c r="F407" t="s">
        <v>75</v>
      </c>
      <c r="G407" t="s">
        <v>52</v>
      </c>
      <c r="H407" t="s">
        <v>76</v>
      </c>
      <c r="I407">
        <v>47.91</v>
      </c>
      <c r="J407" t="s">
        <v>77</v>
      </c>
      <c r="K407">
        <v>1986</v>
      </c>
      <c r="L407" t="s">
        <v>147</v>
      </c>
      <c r="M407" t="s">
        <v>186</v>
      </c>
      <c r="N407" t="s">
        <v>709</v>
      </c>
      <c r="O407" t="s">
        <v>84</v>
      </c>
      <c r="P407" t="s">
        <v>38</v>
      </c>
      <c r="Q40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109.76766760948905</v>
      </c>
      <c r="R40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109.76766760948905</v>
      </c>
      <c r="U407" s="107" t="str">
        <f>IFERROR(_xlfn.XLOOKUP("*"&amp;TRIM(Fusion[[#This Row],[Confinement Type]])&amp;"*", Map_Conf[From], Map_Conf[To], "", 2), "")</f>
        <v>MCF</v>
      </c>
      <c r="V407" s="108" t="str" cm="1">
        <f t="array" ref="V4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8" spans="1:22" hidden="1">
      <c r="A408">
        <v>93</v>
      </c>
      <c r="B408" t="s">
        <v>146</v>
      </c>
      <c r="C408" t="s">
        <v>61</v>
      </c>
      <c r="D408" t="s">
        <v>62</v>
      </c>
      <c r="E408">
        <v>1200</v>
      </c>
      <c r="F408" t="s">
        <v>669</v>
      </c>
      <c r="G408" t="s">
        <v>52</v>
      </c>
      <c r="H408" t="s">
        <v>33</v>
      </c>
      <c r="I408">
        <v>57700000</v>
      </c>
      <c r="J408" t="s">
        <v>34</v>
      </c>
      <c r="K408">
        <v>1986</v>
      </c>
      <c r="L408" t="s">
        <v>147</v>
      </c>
      <c r="M408" t="s">
        <v>162</v>
      </c>
      <c r="N408" t="s">
        <v>122</v>
      </c>
      <c r="O408" t="s">
        <v>38</v>
      </c>
      <c r="P408" t="s">
        <v>38</v>
      </c>
      <c r="Q40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110.16479546836985</v>
      </c>
      <c r="R40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110.16479546836985</v>
      </c>
      <c r="U408" s="107" t="str">
        <f>IFERROR(_xlfn.XLOOKUP("*"&amp;TRIM(Fusion[[#This Row],[Confinement Type]])&amp;"*", Map_Conf[From], Map_Conf[To], "", 2), "")</f>
        <v>MCF</v>
      </c>
      <c r="V408" s="108" t="str" cm="1">
        <f t="array" ref="V4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9" spans="1:22" hidden="1">
      <c r="A409">
        <v>273</v>
      </c>
      <c r="B409" t="s">
        <v>286</v>
      </c>
      <c r="C409" t="s">
        <v>61</v>
      </c>
      <c r="D409" t="s">
        <v>278</v>
      </c>
      <c r="E409">
        <v>1604</v>
      </c>
      <c r="F409" t="s">
        <v>75</v>
      </c>
      <c r="G409" t="s">
        <v>57</v>
      </c>
      <c r="H409" t="s">
        <v>76</v>
      </c>
      <c r="I409">
        <v>79</v>
      </c>
      <c r="J409" t="s">
        <v>77</v>
      </c>
      <c r="K409">
        <v>2002</v>
      </c>
      <c r="L409" t="s">
        <v>287</v>
      </c>
      <c r="M409" t="s">
        <v>292</v>
      </c>
      <c r="N409">
        <v>0.68</v>
      </c>
      <c r="O409" t="s">
        <v>84</v>
      </c>
      <c r="P409" t="s">
        <v>38</v>
      </c>
      <c r="Q40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110.26933296275709</v>
      </c>
      <c r="R40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110.26933296275709</v>
      </c>
      <c r="U409" s="107" t="str">
        <f>IFERROR(_xlfn.XLOOKUP("*"&amp;TRIM(Fusion[[#This Row],[Confinement Type]])&amp;"*", Map_Conf[From], Map_Conf[To], "", 2), "")</f>
        <v>MCF</v>
      </c>
      <c r="V409" s="108" t="str" cm="1">
        <f t="array" ref="V4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10" spans="1:22" hidden="1">
      <c r="A410">
        <v>132</v>
      </c>
      <c r="B410" t="s">
        <v>165</v>
      </c>
      <c r="C410" t="s">
        <v>61</v>
      </c>
      <c r="D410" t="s">
        <v>62</v>
      </c>
      <c r="E410">
        <v>1200</v>
      </c>
      <c r="F410" t="s">
        <v>75</v>
      </c>
      <c r="G410" t="s">
        <v>52</v>
      </c>
      <c r="H410" t="s">
        <v>76</v>
      </c>
      <c r="I410">
        <v>48.51</v>
      </c>
      <c r="J410" t="s">
        <v>77</v>
      </c>
      <c r="K410">
        <v>1986</v>
      </c>
      <c r="L410" t="s">
        <v>147</v>
      </c>
      <c r="M410" t="s">
        <v>186</v>
      </c>
      <c r="N410" t="s">
        <v>709</v>
      </c>
      <c r="O410" t="s">
        <v>84</v>
      </c>
      <c r="P410" t="s">
        <v>38</v>
      </c>
      <c r="Q41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111.14234096715329</v>
      </c>
      <c r="R41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111.14234096715329</v>
      </c>
      <c r="U410" s="107" t="str">
        <f>IFERROR(_xlfn.XLOOKUP("*"&amp;TRIM(Fusion[[#This Row],[Confinement Type]])&amp;"*", Map_Conf[From], Map_Conf[To], "", 2), "")</f>
        <v>MCF</v>
      </c>
      <c r="V410" s="108" t="str" cm="1">
        <f t="array" ref="V4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1" spans="1:22" hidden="1">
      <c r="A411">
        <v>275</v>
      </c>
      <c r="B411" t="s">
        <v>286</v>
      </c>
      <c r="C411" t="s">
        <v>61</v>
      </c>
      <c r="D411" t="s">
        <v>278</v>
      </c>
      <c r="E411">
        <v>1598</v>
      </c>
      <c r="F411" t="s">
        <v>75</v>
      </c>
      <c r="G411" t="s">
        <v>57</v>
      </c>
      <c r="H411" t="s">
        <v>76</v>
      </c>
      <c r="I411">
        <v>80.3</v>
      </c>
      <c r="J411" t="s">
        <v>77</v>
      </c>
      <c r="K411">
        <v>2002</v>
      </c>
      <c r="L411" t="s">
        <v>287</v>
      </c>
      <c r="M411" t="s">
        <v>292</v>
      </c>
      <c r="N411">
        <v>0.72699999999999998</v>
      </c>
      <c r="O411" t="s">
        <v>84</v>
      </c>
      <c r="P411" t="s">
        <v>38</v>
      </c>
      <c r="Q41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112.08389160644803</v>
      </c>
      <c r="R41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112.08389160644803</v>
      </c>
      <c r="U411" s="107" t="str">
        <f>IFERROR(_xlfn.XLOOKUP("*"&amp;TRIM(Fusion[[#This Row],[Confinement Type]])&amp;"*", Map_Conf[From], Map_Conf[To], "", 2), "")</f>
        <v>MCF</v>
      </c>
      <c r="V411" s="108" t="str" cm="1">
        <f t="array" ref="V4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12" spans="1:22" hidden="1">
      <c r="A412">
        <v>474</v>
      </c>
      <c r="B412" t="s">
        <v>445</v>
      </c>
      <c r="C412" t="s">
        <v>61</v>
      </c>
      <c r="D412" t="s">
        <v>62</v>
      </c>
      <c r="E412" t="s">
        <v>81</v>
      </c>
      <c r="F412" t="s">
        <v>669</v>
      </c>
      <c r="G412" t="s">
        <v>57</v>
      </c>
      <c r="H412" t="s">
        <v>76</v>
      </c>
      <c r="I412">
        <v>77</v>
      </c>
      <c r="J412" t="s">
        <v>189</v>
      </c>
      <c r="K412">
        <v>2000</v>
      </c>
      <c r="L412" t="s">
        <v>446</v>
      </c>
      <c r="M412" t="s">
        <v>673</v>
      </c>
      <c r="N412" t="s">
        <v>38</v>
      </c>
      <c r="O412" t="s">
        <v>38</v>
      </c>
      <c r="P412" t="s">
        <v>38</v>
      </c>
      <c r="Q41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112.28361788617887</v>
      </c>
      <c r="R41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112.28361788617887</v>
      </c>
      <c r="U412" s="107" t="str">
        <f>IFERROR(_xlfn.XLOOKUP("*"&amp;TRIM(Fusion[[#This Row],[Confinement Type]])&amp;"*", Map_Conf[From], Map_Conf[To], "", 2), "")</f>
        <v>MCF</v>
      </c>
      <c r="V412" s="108" t="str" cm="1">
        <f t="array" ref="V4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3" spans="1:22" hidden="1">
      <c r="A413">
        <v>242</v>
      </c>
      <c r="B413" t="s">
        <v>686</v>
      </c>
      <c r="C413" t="s">
        <v>61</v>
      </c>
      <c r="D413" t="s">
        <v>62</v>
      </c>
      <c r="E413">
        <v>1000</v>
      </c>
      <c r="F413" t="s">
        <v>75</v>
      </c>
      <c r="G413" t="s">
        <v>57</v>
      </c>
      <c r="H413" t="s">
        <v>76</v>
      </c>
      <c r="I413">
        <v>98</v>
      </c>
      <c r="J413" t="s">
        <v>77</v>
      </c>
      <c r="K413">
        <v>2010</v>
      </c>
      <c r="L413" t="s">
        <v>262</v>
      </c>
      <c r="M413" t="s">
        <v>268</v>
      </c>
      <c r="N413">
        <v>0.75</v>
      </c>
      <c r="O413" t="s">
        <v>84</v>
      </c>
      <c r="P413" t="s">
        <v>38</v>
      </c>
      <c r="Q41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112.85397329126461</v>
      </c>
      <c r="R41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112.85397329126461</v>
      </c>
      <c r="U413" s="107" t="str">
        <f>IFERROR(_xlfn.XLOOKUP("*"&amp;TRIM(Fusion[[#This Row],[Confinement Type]])&amp;"*", Map_Conf[From], Map_Conf[To], "", 2), "")</f>
        <v>MCF</v>
      </c>
      <c r="V413" s="108" t="str" cm="1">
        <f t="array" ref="V4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4" spans="1:22" hidden="1">
      <c r="B414" t="s">
        <v>1102</v>
      </c>
      <c r="C414" t="s">
        <v>61</v>
      </c>
      <c r="D414" t="s">
        <v>62</v>
      </c>
      <c r="E414">
        <v>1164</v>
      </c>
      <c r="F414" t="s">
        <v>116</v>
      </c>
      <c r="G414" t="s">
        <v>32</v>
      </c>
      <c r="H414" t="s">
        <v>33</v>
      </c>
      <c r="I414">
        <v>54598800</v>
      </c>
      <c r="J414" t="s">
        <v>34</v>
      </c>
      <c r="K414">
        <v>1984</v>
      </c>
      <c r="L414" t="s">
        <v>938</v>
      </c>
      <c r="M414" t="s">
        <v>1103</v>
      </c>
      <c r="Q41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113.36353743190816</v>
      </c>
      <c r="R41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113.36353743190816</v>
      </c>
      <c r="U414" s="107" t="str">
        <f>IFERROR(_xlfn.XLOOKUP("*"&amp;TRIM(Fusion[[#This Row],[Confinement Type]])&amp;"*", Map_Conf[From], Map_Conf[To], "", 2), "")</f>
        <v>MCF</v>
      </c>
      <c r="V414" s="108" t="str" cm="1">
        <f t="array" ref="V4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5" spans="1:22" hidden="1">
      <c r="A415">
        <v>232</v>
      </c>
      <c r="B415" t="s">
        <v>264</v>
      </c>
      <c r="C415" t="s">
        <v>61</v>
      </c>
      <c r="D415" t="s">
        <v>62</v>
      </c>
      <c r="E415">
        <v>1000</v>
      </c>
      <c r="F415" t="s">
        <v>116</v>
      </c>
      <c r="G415" t="s">
        <v>57</v>
      </c>
      <c r="H415" t="s">
        <v>33</v>
      </c>
      <c r="I415">
        <v>98590060.350929901</v>
      </c>
      <c r="J415" t="s">
        <v>34</v>
      </c>
      <c r="K415">
        <v>2010</v>
      </c>
      <c r="L415" t="s">
        <v>262</v>
      </c>
      <c r="N415" t="s">
        <v>38</v>
      </c>
      <c r="O415" t="s">
        <v>38</v>
      </c>
      <c r="P415" t="s">
        <v>38</v>
      </c>
      <c r="Q41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113.53346977171438</v>
      </c>
      <c r="R41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113.53346977171438</v>
      </c>
      <c r="U415" s="107" t="str">
        <f>IFERROR(_xlfn.XLOOKUP("*"&amp;TRIM(Fusion[[#This Row],[Confinement Type]])&amp;"*", Map_Conf[From], Map_Conf[To], "", 2), "")</f>
        <v>MCF</v>
      </c>
      <c r="V415" s="108" t="str" cm="1">
        <f t="array" ref="V4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6" spans="1:22" hidden="1">
      <c r="B416" t="s">
        <v>941</v>
      </c>
      <c r="C416" t="s">
        <v>61</v>
      </c>
      <c r="D416" t="s">
        <v>62</v>
      </c>
      <c r="E416">
        <v>1209</v>
      </c>
      <c r="F416" t="s">
        <v>116</v>
      </c>
      <c r="G416" t="s">
        <v>32</v>
      </c>
      <c r="H416" t="s">
        <v>33</v>
      </c>
      <c r="I416">
        <v>56997360</v>
      </c>
      <c r="J416" t="s">
        <v>34</v>
      </c>
      <c r="K416">
        <v>1984</v>
      </c>
      <c r="L416" t="s">
        <v>938</v>
      </c>
      <c r="M416" t="s">
        <v>1101</v>
      </c>
      <c r="N416" t="s">
        <v>122</v>
      </c>
      <c r="O416" t="s">
        <v>38</v>
      </c>
      <c r="Q41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113.93881848217292</v>
      </c>
      <c r="R41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113.93881848217292</v>
      </c>
      <c r="U416" s="107" t="str">
        <f>IFERROR(_xlfn.XLOOKUP("*"&amp;TRIM(Fusion[[#This Row],[Confinement Type]])&amp;"*", Map_Conf[From], Map_Conf[To], "", 2), "")</f>
        <v>MCF</v>
      </c>
      <c r="V416" s="108" t="str" cm="1">
        <f t="array" ref="V4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7" spans="1:22" hidden="1">
      <c r="B417" t="s">
        <v>741</v>
      </c>
      <c r="C417" t="s">
        <v>61</v>
      </c>
      <c r="D417" t="s">
        <v>62</v>
      </c>
      <c r="E417">
        <v>1000</v>
      </c>
      <c r="F417" t="s">
        <v>116</v>
      </c>
      <c r="G417" t="s">
        <v>52</v>
      </c>
      <c r="H417" t="s">
        <v>33</v>
      </c>
      <c r="I417">
        <v>99000000</v>
      </c>
      <c r="J417" t="s">
        <v>34</v>
      </c>
      <c r="K417">
        <v>2010</v>
      </c>
      <c r="L417" t="s">
        <v>732</v>
      </c>
      <c r="Q41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114.00554444729792</v>
      </c>
      <c r="R41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114.00554444729792</v>
      </c>
      <c r="U417" s="107" t="str">
        <f>IFERROR(_xlfn.XLOOKUP("*"&amp;TRIM(Fusion[[#This Row],[Confinement Type]])&amp;"*", Map_Conf[From], Map_Conf[To], "", 2), "")</f>
        <v>MCF</v>
      </c>
      <c r="V417" s="108" t="str" cm="1">
        <f t="array" ref="V4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8" spans="1:22" hidden="1">
      <c r="B418" t="s">
        <v>200</v>
      </c>
      <c r="C418" t="s">
        <v>61</v>
      </c>
      <c r="D418" t="s">
        <v>62</v>
      </c>
      <c r="E418">
        <v>1000</v>
      </c>
      <c r="F418" t="s">
        <v>116</v>
      </c>
      <c r="G418" t="s">
        <v>52</v>
      </c>
      <c r="H418" t="s">
        <v>33</v>
      </c>
      <c r="I418">
        <v>99000000</v>
      </c>
      <c r="J418" t="s">
        <v>34</v>
      </c>
      <c r="K418">
        <v>2010</v>
      </c>
      <c r="L418" t="s">
        <v>732</v>
      </c>
      <c r="Q41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114.00554444729792</v>
      </c>
      <c r="R41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114.00554444729792</v>
      </c>
      <c r="U418" s="107" t="str">
        <f>IFERROR(_xlfn.XLOOKUP("*"&amp;TRIM(Fusion[[#This Row],[Confinement Type]])&amp;"*", Map_Conf[From], Map_Conf[To], "", 2), "")</f>
        <v>MCF</v>
      </c>
      <c r="V418" s="108" t="str" cm="1">
        <f t="array" ref="V4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9" spans="1:22" hidden="1">
      <c r="B419" t="s">
        <v>737</v>
      </c>
      <c r="C419" t="s">
        <v>61</v>
      </c>
      <c r="D419" t="s">
        <v>62</v>
      </c>
      <c r="E419">
        <v>1000</v>
      </c>
      <c r="F419" t="s">
        <v>116</v>
      </c>
      <c r="G419" t="s">
        <v>52</v>
      </c>
      <c r="H419" t="s">
        <v>33</v>
      </c>
      <c r="I419">
        <v>99000000</v>
      </c>
      <c r="J419" t="s">
        <v>34</v>
      </c>
      <c r="K419">
        <v>2010</v>
      </c>
      <c r="L419" t="s">
        <v>732</v>
      </c>
      <c r="Q41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114.00554444729792</v>
      </c>
      <c r="R41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114.00554444729792</v>
      </c>
      <c r="U419" s="107" t="str">
        <f>IFERROR(_xlfn.XLOOKUP("*"&amp;TRIM(Fusion[[#This Row],[Confinement Type]])&amp;"*", Map_Conf[From], Map_Conf[To], "", 2), "")</f>
        <v>MCF</v>
      </c>
      <c r="V419" s="108" t="str" cm="1">
        <f t="array" ref="V4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0" spans="1:22" hidden="1">
      <c r="B420" t="s">
        <v>736</v>
      </c>
      <c r="C420" t="s">
        <v>61</v>
      </c>
      <c r="D420" t="s">
        <v>62</v>
      </c>
      <c r="E420">
        <v>1000</v>
      </c>
      <c r="F420" t="s">
        <v>116</v>
      </c>
      <c r="G420" t="s">
        <v>52</v>
      </c>
      <c r="H420" t="s">
        <v>33</v>
      </c>
      <c r="I420">
        <v>99000000</v>
      </c>
      <c r="J420" t="s">
        <v>34</v>
      </c>
      <c r="K420">
        <v>2010</v>
      </c>
      <c r="L420" t="s">
        <v>732</v>
      </c>
      <c r="Q42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114.00554444729792</v>
      </c>
      <c r="R42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114.00554444729792</v>
      </c>
      <c r="U420" s="107" t="str">
        <f>IFERROR(_xlfn.XLOOKUP("*"&amp;TRIM(Fusion[[#This Row],[Confinement Type]])&amp;"*", Map_Conf[From], Map_Conf[To], "", 2), "")</f>
        <v>MCF</v>
      </c>
      <c r="V420" s="108" t="str" cm="1">
        <f t="array" ref="V4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1" spans="1:22" hidden="1">
      <c r="A421">
        <v>114</v>
      </c>
      <c r="B421" t="s">
        <v>174</v>
      </c>
      <c r="C421" t="s">
        <v>61</v>
      </c>
      <c r="D421" t="s">
        <v>62</v>
      </c>
      <c r="E421">
        <v>1200</v>
      </c>
      <c r="F421" t="s">
        <v>116</v>
      </c>
      <c r="G421" t="s">
        <v>52</v>
      </c>
      <c r="H421" t="s">
        <v>33</v>
      </c>
      <c r="I421">
        <v>59750000</v>
      </c>
      <c r="J421" t="s">
        <v>34</v>
      </c>
      <c r="K421">
        <v>1986</v>
      </c>
      <c r="L421" t="s">
        <v>147</v>
      </c>
      <c r="M421" t="s">
        <v>148</v>
      </c>
      <c r="N421" t="s">
        <v>122</v>
      </c>
      <c r="O421" t="s">
        <v>38</v>
      </c>
      <c r="P421" t="s">
        <v>38</v>
      </c>
      <c r="Q42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114.07879600060828</v>
      </c>
      <c r="R42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114.07879600060828</v>
      </c>
      <c r="U421" s="107" t="str">
        <f>IFERROR(_xlfn.XLOOKUP("*"&amp;TRIM(Fusion[[#This Row],[Confinement Type]])&amp;"*", Map_Conf[From], Map_Conf[To], "", 2), "")</f>
        <v>MCF</v>
      </c>
      <c r="V421" s="108" t="str" cm="1">
        <f t="array" ref="V4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2" spans="1:22" hidden="1">
      <c r="B422" t="s">
        <v>797</v>
      </c>
      <c r="C422" t="s">
        <v>30</v>
      </c>
      <c r="D422" t="s">
        <v>798</v>
      </c>
      <c r="E422">
        <v>999</v>
      </c>
      <c r="F422" t="s">
        <v>116</v>
      </c>
      <c r="G422" t="s">
        <v>52</v>
      </c>
      <c r="H422" t="s">
        <v>33</v>
      </c>
      <c r="I422">
        <v>62190000</v>
      </c>
      <c r="J422" t="s">
        <v>34</v>
      </c>
      <c r="K422">
        <v>1991</v>
      </c>
      <c r="L422" t="s">
        <v>799</v>
      </c>
      <c r="M422" t="s">
        <v>807</v>
      </c>
      <c r="N422" t="s">
        <v>38</v>
      </c>
      <c r="O422" t="s">
        <v>38</v>
      </c>
      <c r="P422" t="s">
        <v>38</v>
      </c>
      <c r="Q42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114.77221957640461</v>
      </c>
      <c r="R42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114.77221957640461</v>
      </c>
      <c r="U422" s="107" t="str">
        <f>IFERROR(_xlfn.XLOOKUP("*"&amp;TRIM(Fusion[[#This Row],[Confinement Type]])&amp;"*", Map_Conf[From], Map_Conf[To], "", 2), "")</f>
        <v>ICF</v>
      </c>
      <c r="V422" s="108" t="str" cm="1">
        <f t="array" ref="V4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23" spans="1:22" hidden="1">
      <c r="A423">
        <v>86</v>
      </c>
      <c r="B423" t="s">
        <v>144</v>
      </c>
      <c r="C423" t="s">
        <v>61</v>
      </c>
      <c r="D423" t="s">
        <v>62</v>
      </c>
      <c r="E423">
        <v>1200</v>
      </c>
      <c r="F423" t="s">
        <v>108</v>
      </c>
      <c r="G423" t="s">
        <v>52</v>
      </c>
      <c r="H423" t="s">
        <v>76</v>
      </c>
      <c r="I423">
        <v>60</v>
      </c>
      <c r="J423" t="s">
        <v>77</v>
      </c>
      <c r="K423">
        <v>1990</v>
      </c>
      <c r="L423" t="s">
        <v>140</v>
      </c>
      <c r="N423" t="s">
        <v>708</v>
      </c>
      <c r="O423" t="s">
        <v>84</v>
      </c>
      <c r="P423" t="s">
        <v>38</v>
      </c>
      <c r="Q42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115.27482785003826</v>
      </c>
      <c r="R42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115.27482785003826</v>
      </c>
      <c r="U423" s="107" t="str">
        <f>IFERROR(_xlfn.XLOOKUP("*"&amp;TRIM(Fusion[[#This Row],[Confinement Type]])&amp;"*", Map_Conf[From], Map_Conf[To], "", 2), "")</f>
        <v>MCF</v>
      </c>
      <c r="V423" s="108" t="str" cm="1">
        <f t="array" ref="V4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4" spans="1:22" hidden="1">
      <c r="A424">
        <v>87</v>
      </c>
      <c r="B424" t="s">
        <v>114</v>
      </c>
      <c r="C424" t="s">
        <v>61</v>
      </c>
      <c r="D424" t="s">
        <v>62</v>
      </c>
      <c r="E424">
        <v>1200</v>
      </c>
      <c r="F424" t="s">
        <v>108</v>
      </c>
      <c r="G424" t="s">
        <v>52</v>
      </c>
      <c r="H424" t="s">
        <v>76</v>
      </c>
      <c r="I424">
        <v>60</v>
      </c>
      <c r="J424" t="s">
        <v>77</v>
      </c>
      <c r="K424">
        <v>1990</v>
      </c>
      <c r="L424" t="s">
        <v>140</v>
      </c>
      <c r="N424" t="s">
        <v>708</v>
      </c>
      <c r="O424" t="s">
        <v>84</v>
      </c>
      <c r="P424" t="s">
        <v>38</v>
      </c>
      <c r="Q42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115.27482785003826</v>
      </c>
      <c r="R42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115.27482785003826</v>
      </c>
      <c r="U424" s="107" t="str">
        <f>IFERROR(_xlfn.XLOOKUP("*"&amp;TRIM(Fusion[[#This Row],[Confinement Type]])&amp;"*", Map_Conf[From], Map_Conf[To], "", 2), "")</f>
        <v>MCF</v>
      </c>
      <c r="V424" s="108" t="str" cm="1">
        <f t="array" ref="V4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5" spans="1:22" hidden="1">
      <c r="A425">
        <v>98</v>
      </c>
      <c r="B425" t="s">
        <v>165</v>
      </c>
      <c r="C425" t="s">
        <v>61</v>
      </c>
      <c r="D425" t="s">
        <v>62</v>
      </c>
      <c r="E425">
        <v>1200</v>
      </c>
      <c r="F425" t="s">
        <v>116</v>
      </c>
      <c r="G425" t="s">
        <v>52</v>
      </c>
      <c r="H425" t="s">
        <v>33</v>
      </c>
      <c r="I425">
        <v>60559999.999999993</v>
      </c>
      <c r="J425" t="s">
        <v>34</v>
      </c>
      <c r="K425">
        <v>1986</v>
      </c>
      <c r="L425" t="s">
        <v>147</v>
      </c>
      <c r="M425" t="s">
        <v>148</v>
      </c>
      <c r="N425" t="s">
        <v>122</v>
      </c>
      <c r="O425" t="s">
        <v>38</v>
      </c>
      <c r="P425" t="s">
        <v>38</v>
      </c>
      <c r="Q42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115.62530352798053</v>
      </c>
      <c r="R42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115.62530352798053</v>
      </c>
      <c r="U425" s="107" t="str">
        <f>IFERROR(_xlfn.XLOOKUP("*"&amp;TRIM(Fusion[[#This Row],[Confinement Type]])&amp;"*", Map_Conf[From], Map_Conf[To], "", 2), "")</f>
        <v>MCF</v>
      </c>
      <c r="V425" s="108" t="str" cm="1">
        <f t="array" ref="V4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6" spans="1:22" hidden="1">
      <c r="A426">
        <v>122</v>
      </c>
      <c r="B426" t="s">
        <v>182</v>
      </c>
      <c r="C426" t="s">
        <v>61</v>
      </c>
      <c r="D426" t="s">
        <v>62</v>
      </c>
      <c r="E426">
        <v>1200</v>
      </c>
      <c r="F426" t="s">
        <v>116</v>
      </c>
      <c r="G426" t="s">
        <v>52</v>
      </c>
      <c r="H426" t="s">
        <v>33</v>
      </c>
      <c r="I426">
        <v>60700000</v>
      </c>
      <c r="J426" t="s">
        <v>34</v>
      </c>
      <c r="K426">
        <v>1986</v>
      </c>
      <c r="L426" t="s">
        <v>147</v>
      </c>
      <c r="M426" t="s">
        <v>148</v>
      </c>
      <c r="N426" t="s">
        <v>122</v>
      </c>
      <c r="O426" t="s">
        <v>38</v>
      </c>
      <c r="P426" t="s">
        <v>38</v>
      </c>
      <c r="Q42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115.89260112530415</v>
      </c>
      <c r="R42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115.89260112530415</v>
      </c>
      <c r="U426" s="107" t="str">
        <f>IFERROR(_xlfn.XLOOKUP("*"&amp;TRIM(Fusion[[#This Row],[Confinement Type]])&amp;"*", Map_Conf[From], Map_Conf[To], "", 2), "")</f>
        <v>MCF</v>
      </c>
      <c r="V426" s="108" t="str" cm="1">
        <f t="array" ref="V4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7" spans="1:22" hidden="1">
      <c r="A427">
        <v>585</v>
      </c>
      <c r="B427" t="s">
        <v>514</v>
      </c>
      <c r="C427" t="s">
        <v>61</v>
      </c>
      <c r="D427" t="s">
        <v>107</v>
      </c>
      <c r="E427">
        <v>1000</v>
      </c>
      <c r="F427" t="s">
        <v>108</v>
      </c>
      <c r="G427" t="s">
        <v>57</v>
      </c>
      <c r="H427" t="s">
        <v>76</v>
      </c>
      <c r="I427">
        <v>104</v>
      </c>
      <c r="J427" t="s">
        <v>77</v>
      </c>
      <c r="K427">
        <v>2011</v>
      </c>
      <c r="L427" t="s">
        <v>507</v>
      </c>
      <c r="M427" t="s">
        <v>504</v>
      </c>
      <c r="N427">
        <v>0.75</v>
      </c>
      <c r="O427" t="s">
        <v>38</v>
      </c>
      <c r="P427" t="s">
        <v>38</v>
      </c>
      <c r="Q42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116.09871120614923</v>
      </c>
      <c r="R42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116.09871120614923</v>
      </c>
      <c r="U427" s="107" t="str">
        <f>IFERROR(_xlfn.XLOOKUP("*"&amp;TRIM(Fusion[[#This Row],[Confinement Type]])&amp;"*", Map_Conf[From], Map_Conf[To], "", 2), "")</f>
        <v>MCF</v>
      </c>
      <c r="V427" s="108" t="str" cm="1">
        <f t="array" ref="V4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8" spans="1:22" hidden="1">
      <c r="B428" t="s">
        <v>795</v>
      </c>
      <c r="C428" t="s">
        <v>30</v>
      </c>
      <c r="D428" t="s">
        <v>796</v>
      </c>
      <c r="E428">
        <v>972</v>
      </c>
      <c r="F428" t="s">
        <v>116</v>
      </c>
      <c r="G428" t="s">
        <v>52</v>
      </c>
      <c r="H428" t="s">
        <v>33</v>
      </c>
      <c r="I428">
        <v>62030000</v>
      </c>
      <c r="J428" t="s">
        <v>34</v>
      </c>
      <c r="K428">
        <v>1991</v>
      </c>
      <c r="L428" t="s">
        <v>799</v>
      </c>
      <c r="M428" t="s">
        <v>807</v>
      </c>
      <c r="N428" t="s">
        <v>38</v>
      </c>
      <c r="O428" t="s">
        <v>38</v>
      </c>
      <c r="P428" t="s">
        <v>38</v>
      </c>
      <c r="Q42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117.65685304532792</v>
      </c>
      <c r="R42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117.65685304532792</v>
      </c>
      <c r="U428" s="107" t="str">
        <f>IFERROR(_xlfn.XLOOKUP("*"&amp;TRIM(Fusion[[#This Row],[Confinement Type]])&amp;"*", Map_Conf[From], Map_Conf[To], "", 2), "")</f>
        <v>ICF</v>
      </c>
      <c r="V428" s="108" t="str" cm="1">
        <f t="array" ref="V4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29" spans="1:22" hidden="1">
      <c r="A429">
        <v>574</v>
      </c>
      <c r="B429" t="s">
        <v>512</v>
      </c>
      <c r="C429" t="s">
        <v>30</v>
      </c>
      <c r="D429" t="s">
        <v>803</v>
      </c>
      <c r="E429">
        <v>1000</v>
      </c>
      <c r="F429" t="s">
        <v>108</v>
      </c>
      <c r="G429" t="s">
        <v>57</v>
      </c>
      <c r="H429" t="s">
        <v>76</v>
      </c>
      <c r="I429">
        <v>107</v>
      </c>
      <c r="J429" t="s">
        <v>77</v>
      </c>
      <c r="K429">
        <v>2011</v>
      </c>
      <c r="L429" t="s">
        <v>507</v>
      </c>
      <c r="M429" t="s">
        <v>834</v>
      </c>
      <c r="N429" t="s">
        <v>1124</v>
      </c>
      <c r="O429" t="s">
        <v>38</v>
      </c>
      <c r="P429" t="s">
        <v>38</v>
      </c>
      <c r="Q42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119.447712490942</v>
      </c>
      <c r="R42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119.447712490942</v>
      </c>
      <c r="U429" s="107" t="str">
        <f>IFERROR(_xlfn.XLOOKUP("*"&amp;TRIM(Fusion[[#This Row],[Confinement Type]])&amp;"*", Map_Conf[From], Map_Conf[To], "", 2), "")</f>
        <v>ICF</v>
      </c>
      <c r="V429" s="108" t="str" cm="1">
        <f t="array" ref="V4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30" spans="1:22" hidden="1">
      <c r="A430">
        <v>149</v>
      </c>
      <c r="B430" t="s">
        <v>200</v>
      </c>
      <c r="C430" t="s">
        <v>61</v>
      </c>
      <c r="D430" t="s">
        <v>62</v>
      </c>
      <c r="E430">
        <v>1300</v>
      </c>
      <c r="F430" t="s">
        <v>75</v>
      </c>
      <c r="G430" t="s">
        <v>52</v>
      </c>
      <c r="H430" t="s">
        <v>76</v>
      </c>
      <c r="I430">
        <v>80</v>
      </c>
      <c r="J430" t="s">
        <v>77</v>
      </c>
      <c r="K430">
        <v>1999</v>
      </c>
      <c r="L430" t="s">
        <v>1123</v>
      </c>
      <c r="M430" t="s">
        <v>202</v>
      </c>
      <c r="N430" t="s">
        <v>706</v>
      </c>
      <c r="O430" t="s">
        <v>84</v>
      </c>
      <c r="P430" t="s">
        <v>38</v>
      </c>
      <c r="Q43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120.57959183673469</v>
      </c>
      <c r="R43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120.57959183673469</v>
      </c>
      <c r="U430" s="107" t="str">
        <f>IFERROR(_xlfn.XLOOKUP("*"&amp;TRIM(Fusion[[#This Row],[Confinement Type]])&amp;"*", Map_Conf[From], Map_Conf[To], "", 2), "")</f>
        <v>MCF</v>
      </c>
      <c r="V430" s="108" t="str" cm="1">
        <f t="array" ref="V4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31" spans="1:22" hidden="1">
      <c r="A431">
        <v>43</v>
      </c>
      <c r="B431" t="s">
        <v>119</v>
      </c>
      <c r="C431" t="s">
        <v>61</v>
      </c>
      <c r="D431" t="s">
        <v>113</v>
      </c>
      <c r="E431">
        <v>1200</v>
      </c>
      <c r="F431" t="s">
        <v>108</v>
      </c>
      <c r="G431" t="s">
        <v>52</v>
      </c>
      <c r="H431" t="s">
        <v>76</v>
      </c>
      <c r="I431">
        <v>57</v>
      </c>
      <c r="J431" t="s">
        <v>77</v>
      </c>
      <c r="K431">
        <v>1988</v>
      </c>
      <c r="L431" t="s">
        <v>120</v>
      </c>
      <c r="M431" t="s">
        <v>121</v>
      </c>
      <c r="N431">
        <v>0.76</v>
      </c>
      <c r="O431" t="s">
        <v>122</v>
      </c>
      <c r="P431" t="s">
        <v>38</v>
      </c>
      <c r="Q43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120.98984784446323</v>
      </c>
      <c r="R43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120.98984784446323</v>
      </c>
      <c r="U431" s="107" t="str">
        <f>IFERROR(_xlfn.XLOOKUP("*"&amp;TRIM(Fusion[[#This Row],[Confinement Type]])&amp;"*", Map_Conf[From], Map_Conf[To], "", 2), "")</f>
        <v>MCF</v>
      </c>
      <c r="V431" s="108" t="str" cm="1">
        <f t="array" ref="V4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432" spans="1:22" hidden="1">
      <c r="A432">
        <v>502</v>
      </c>
      <c r="B432" t="s">
        <v>458</v>
      </c>
      <c r="C432" t="s">
        <v>61</v>
      </c>
      <c r="D432" t="s">
        <v>62</v>
      </c>
      <c r="E432">
        <v>1424</v>
      </c>
      <c r="F432" t="s">
        <v>108</v>
      </c>
      <c r="G432" t="s">
        <v>52</v>
      </c>
      <c r="H432" t="s">
        <v>76</v>
      </c>
      <c r="I432">
        <v>63</v>
      </c>
      <c r="J432" t="s">
        <v>77</v>
      </c>
      <c r="K432">
        <v>1990</v>
      </c>
      <c r="L432" t="s">
        <v>55</v>
      </c>
      <c r="M432" t="s">
        <v>466</v>
      </c>
      <c r="N432" t="s">
        <v>709</v>
      </c>
      <c r="O432" t="s">
        <v>84</v>
      </c>
      <c r="P432" t="s">
        <v>38</v>
      </c>
      <c r="Q43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121.03856924254018</v>
      </c>
      <c r="R43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121.03856924254018</v>
      </c>
      <c r="U432" s="107" t="str">
        <f>IFERROR(_xlfn.XLOOKUP("*"&amp;TRIM(Fusion[[#This Row],[Confinement Type]])&amp;"*", Map_Conf[From], Map_Conf[To], "", 2), "")</f>
        <v>MCF</v>
      </c>
      <c r="V432" s="108" t="str" cm="1">
        <f t="array" ref="V4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33" spans="1:22" hidden="1">
      <c r="A433">
        <v>333</v>
      </c>
      <c r="B433" t="s">
        <v>330</v>
      </c>
      <c r="C433" t="s">
        <v>61</v>
      </c>
      <c r="D433" t="s">
        <v>62</v>
      </c>
      <c r="E433">
        <v>190</v>
      </c>
      <c r="F433" t="s">
        <v>669</v>
      </c>
      <c r="G433" t="s">
        <v>32</v>
      </c>
      <c r="H433" t="s">
        <v>33</v>
      </c>
      <c r="I433">
        <v>20000000</v>
      </c>
      <c r="J433" t="s">
        <v>34</v>
      </c>
      <c r="K433">
        <v>2010</v>
      </c>
      <c r="L433" t="s">
        <v>331</v>
      </c>
      <c r="M433" t="s">
        <v>334</v>
      </c>
      <c r="N433" t="s">
        <v>122</v>
      </c>
      <c r="O433" t="s">
        <v>38</v>
      </c>
      <c r="P433" t="s">
        <v>38</v>
      </c>
      <c r="Q43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121.2180164245592</v>
      </c>
      <c r="R43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121.2180164245592</v>
      </c>
      <c r="U433" s="107" t="str">
        <f>IFERROR(_xlfn.XLOOKUP("*"&amp;TRIM(Fusion[[#This Row],[Confinement Type]])&amp;"*", Map_Conf[From], Map_Conf[To], "", 2), "")</f>
        <v>MCF</v>
      </c>
      <c r="V433" s="108" t="str" cm="1">
        <f t="array" ref="V4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34" spans="1:22" hidden="1">
      <c r="A434">
        <v>112</v>
      </c>
      <c r="B434" t="s">
        <v>172</v>
      </c>
      <c r="C434" t="s">
        <v>61</v>
      </c>
      <c r="D434" t="s">
        <v>113</v>
      </c>
      <c r="E434">
        <v>1200</v>
      </c>
      <c r="F434" t="s">
        <v>116</v>
      </c>
      <c r="G434" t="s">
        <v>52</v>
      </c>
      <c r="H434" t="s">
        <v>33</v>
      </c>
      <c r="I434">
        <v>63640000</v>
      </c>
      <c r="J434" t="s">
        <v>34</v>
      </c>
      <c r="K434">
        <v>1986</v>
      </c>
      <c r="L434" t="s">
        <v>147</v>
      </c>
      <c r="M434" t="s">
        <v>148</v>
      </c>
      <c r="N434" t="s">
        <v>122</v>
      </c>
      <c r="O434" t="s">
        <v>38</v>
      </c>
      <c r="P434" t="s">
        <v>38</v>
      </c>
      <c r="Q43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121.50585066909977</v>
      </c>
      <c r="R43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121.50585066909977</v>
      </c>
      <c r="U434" s="107" t="str">
        <f>IFERROR(_xlfn.XLOOKUP("*"&amp;TRIM(Fusion[[#This Row],[Confinement Type]])&amp;"*", Map_Conf[From], Map_Conf[To], "", 2), "")</f>
        <v>MCF</v>
      </c>
      <c r="V434" s="108" t="str" cm="1">
        <f t="array" ref="V4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435" spans="1:22" hidden="1">
      <c r="A435">
        <v>137</v>
      </c>
      <c r="B435" t="s">
        <v>187</v>
      </c>
      <c r="C435" t="s">
        <v>61</v>
      </c>
      <c r="D435" t="s">
        <v>62</v>
      </c>
      <c r="E435">
        <v>1200</v>
      </c>
      <c r="F435" t="s">
        <v>75</v>
      </c>
      <c r="G435" t="s">
        <v>52</v>
      </c>
      <c r="H435" t="s">
        <v>76</v>
      </c>
      <c r="I435">
        <v>53.13</v>
      </c>
      <c r="J435" t="s">
        <v>77</v>
      </c>
      <c r="K435">
        <v>1986</v>
      </c>
      <c r="L435" t="s">
        <v>147</v>
      </c>
      <c r="M435" t="s">
        <v>186</v>
      </c>
      <c r="N435" t="s">
        <v>709</v>
      </c>
      <c r="O435" t="s">
        <v>84</v>
      </c>
      <c r="P435" t="s">
        <v>38</v>
      </c>
      <c r="Q43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121.72732582116791</v>
      </c>
      <c r="R43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121.72732582116791</v>
      </c>
      <c r="U435" s="107" t="str">
        <f>IFERROR(_xlfn.XLOOKUP("*"&amp;TRIM(Fusion[[#This Row],[Confinement Type]])&amp;"*", Map_Conf[From], Map_Conf[To], "", 2), "")</f>
        <v>MCF</v>
      </c>
      <c r="V435" s="108" t="str" cm="1">
        <f t="array" ref="V4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36" spans="1:22" hidden="1">
      <c r="A436">
        <v>290</v>
      </c>
      <c r="B436" t="s">
        <v>304</v>
      </c>
      <c r="C436" t="s">
        <v>61</v>
      </c>
      <c r="D436" t="s">
        <v>62</v>
      </c>
      <c r="E436">
        <v>1000</v>
      </c>
      <c r="F436" t="s">
        <v>75</v>
      </c>
      <c r="G436" t="s">
        <v>52</v>
      </c>
      <c r="H436" t="s">
        <v>76</v>
      </c>
      <c r="I436">
        <v>69</v>
      </c>
      <c r="J436" t="s">
        <v>77</v>
      </c>
      <c r="K436">
        <v>1992</v>
      </c>
      <c r="L436" t="s">
        <v>294</v>
      </c>
      <c r="M436" t="s">
        <v>295</v>
      </c>
      <c r="N436">
        <v>0.75</v>
      </c>
      <c r="O436" t="s">
        <v>84</v>
      </c>
      <c r="P436" t="s">
        <v>38</v>
      </c>
      <c r="Q43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123.49524590163934</v>
      </c>
      <c r="R43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123.49524590163934</v>
      </c>
      <c r="U436" s="107" t="str">
        <f>IFERROR(_xlfn.XLOOKUP("*"&amp;TRIM(Fusion[[#This Row],[Confinement Type]])&amp;"*", Map_Conf[From], Map_Conf[To], "", 2), "")</f>
        <v>MCF</v>
      </c>
      <c r="V436" s="108" t="str" cm="1">
        <f t="array" ref="V4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37" spans="1:22" hidden="1">
      <c r="A437">
        <v>591</v>
      </c>
      <c r="B437" t="s">
        <v>515</v>
      </c>
      <c r="C437" t="s">
        <v>61</v>
      </c>
      <c r="D437" t="s">
        <v>278</v>
      </c>
      <c r="E437">
        <v>1000</v>
      </c>
      <c r="F437" t="s">
        <v>108</v>
      </c>
      <c r="G437" t="s">
        <v>57</v>
      </c>
      <c r="H437" t="s">
        <v>76</v>
      </c>
      <c r="I437">
        <v>111</v>
      </c>
      <c r="J437" t="s">
        <v>77</v>
      </c>
      <c r="K437">
        <v>2011</v>
      </c>
      <c r="L437" t="s">
        <v>507</v>
      </c>
      <c r="M437" t="s">
        <v>504</v>
      </c>
      <c r="N437">
        <v>0.75</v>
      </c>
      <c r="O437" t="s">
        <v>38</v>
      </c>
      <c r="P437" t="s">
        <v>38</v>
      </c>
      <c r="Q43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123.91304753733236</v>
      </c>
      <c r="R43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123.91304753733236</v>
      </c>
      <c r="U437" s="107" t="str">
        <f>IFERROR(_xlfn.XLOOKUP("*"&amp;TRIM(Fusion[[#This Row],[Confinement Type]])&amp;"*", Map_Conf[From], Map_Conf[To], "", 2), "")</f>
        <v>MCF</v>
      </c>
      <c r="V437" s="108" t="str" cm="1">
        <f t="array" ref="V4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38" spans="1:22" hidden="1">
      <c r="A438">
        <v>253</v>
      </c>
      <c r="B438" t="s">
        <v>283</v>
      </c>
      <c r="C438" t="s">
        <v>61</v>
      </c>
      <c r="D438" t="s">
        <v>251</v>
      </c>
      <c r="E438">
        <v>1000</v>
      </c>
      <c r="F438" t="s">
        <v>75</v>
      </c>
      <c r="G438" t="s">
        <v>52</v>
      </c>
      <c r="H438" t="s">
        <v>76</v>
      </c>
      <c r="I438">
        <v>91</v>
      </c>
      <c r="J438" t="s">
        <v>77</v>
      </c>
      <c r="K438">
        <v>2003</v>
      </c>
      <c r="L438" t="s">
        <v>279</v>
      </c>
      <c r="M438" t="s">
        <v>284</v>
      </c>
      <c r="N438">
        <v>0.75</v>
      </c>
      <c r="O438" t="s">
        <v>84</v>
      </c>
      <c r="P438" t="s">
        <v>38</v>
      </c>
      <c r="Q43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124.18878804347827</v>
      </c>
      <c r="R43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124.18878804347827</v>
      </c>
      <c r="U438" s="107" t="str">
        <f>IFERROR(_xlfn.XLOOKUP("*"&amp;TRIM(Fusion[[#This Row],[Confinement Type]])&amp;"*", Map_Conf[From], Map_Conf[To], "", 2), "")</f>
        <v>MCF</v>
      </c>
      <c r="V438" s="108" t="str" cm="1">
        <f t="array" ref="V4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39" spans="1:22" hidden="1">
      <c r="A439">
        <v>108</v>
      </c>
      <c r="B439" t="s">
        <v>170</v>
      </c>
      <c r="C439" t="s">
        <v>61</v>
      </c>
      <c r="D439" t="s">
        <v>113</v>
      </c>
      <c r="E439">
        <v>1200</v>
      </c>
      <c r="F439" t="s">
        <v>116</v>
      </c>
      <c r="G439" t="s">
        <v>52</v>
      </c>
      <c r="H439" t="s">
        <v>33</v>
      </c>
      <c r="I439">
        <v>65260000.000000007</v>
      </c>
      <c r="J439" t="s">
        <v>34</v>
      </c>
      <c r="K439">
        <v>1986</v>
      </c>
      <c r="L439" t="s">
        <v>147</v>
      </c>
      <c r="M439" t="s">
        <v>148</v>
      </c>
      <c r="N439" t="s">
        <v>122</v>
      </c>
      <c r="O439" t="s">
        <v>38</v>
      </c>
      <c r="P439" t="s">
        <v>38</v>
      </c>
      <c r="Q43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124.59886572384431</v>
      </c>
      <c r="R43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124.59886572384431</v>
      </c>
      <c r="U439" s="107" t="str">
        <f>IFERROR(_xlfn.XLOOKUP("*"&amp;TRIM(Fusion[[#This Row],[Confinement Type]])&amp;"*", Map_Conf[From], Map_Conf[To], "", 2), "")</f>
        <v>MCF</v>
      </c>
      <c r="V439" s="108" t="str" cm="1">
        <f t="array" ref="V4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440" spans="1:22" hidden="1">
      <c r="A440">
        <v>134</v>
      </c>
      <c r="B440" t="s">
        <v>174</v>
      </c>
      <c r="C440" t="s">
        <v>61</v>
      </c>
      <c r="D440" t="s">
        <v>62</v>
      </c>
      <c r="E440">
        <v>1200</v>
      </c>
      <c r="F440" t="s">
        <v>75</v>
      </c>
      <c r="G440" t="s">
        <v>52</v>
      </c>
      <c r="H440" t="s">
        <v>76</v>
      </c>
      <c r="I440">
        <v>54.64</v>
      </c>
      <c r="J440" t="s">
        <v>77</v>
      </c>
      <c r="K440">
        <v>1986</v>
      </c>
      <c r="L440" t="s">
        <v>147</v>
      </c>
      <c r="M440" t="s">
        <v>186</v>
      </c>
      <c r="N440" t="s">
        <v>709</v>
      </c>
      <c r="O440" t="s">
        <v>84</v>
      </c>
      <c r="P440" t="s">
        <v>38</v>
      </c>
      <c r="Q44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125.18692043795622</v>
      </c>
      <c r="R44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125.18692043795622</v>
      </c>
      <c r="U440" s="107" t="str">
        <f>IFERROR(_xlfn.XLOOKUP("*"&amp;TRIM(Fusion[[#This Row],[Confinement Type]])&amp;"*", Map_Conf[From], Map_Conf[To], "", 2), "")</f>
        <v>MCF</v>
      </c>
      <c r="V440" s="108" t="str" cm="1">
        <f t="array" ref="V4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1" spans="1:22" hidden="1">
      <c r="A441">
        <v>289</v>
      </c>
      <c r="B441" t="s">
        <v>126</v>
      </c>
      <c r="C441" t="s">
        <v>61</v>
      </c>
      <c r="D441" t="s">
        <v>62</v>
      </c>
      <c r="E441">
        <v>1000</v>
      </c>
      <c r="F441" t="s">
        <v>75</v>
      </c>
      <c r="G441" t="s">
        <v>52</v>
      </c>
      <c r="H441" t="s">
        <v>76</v>
      </c>
      <c r="I441">
        <v>70</v>
      </c>
      <c r="J441" t="s">
        <v>77</v>
      </c>
      <c r="K441">
        <v>1992</v>
      </c>
      <c r="L441" t="s">
        <v>294</v>
      </c>
      <c r="M441" t="s">
        <v>295</v>
      </c>
      <c r="N441">
        <v>0.75</v>
      </c>
      <c r="O441" t="s">
        <v>84</v>
      </c>
      <c r="P441" t="s">
        <v>38</v>
      </c>
      <c r="Q44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125.28503207412686</v>
      </c>
      <c r="R44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125.28503207412686</v>
      </c>
      <c r="U441" s="107" t="str">
        <f>IFERROR(_xlfn.XLOOKUP("*"&amp;TRIM(Fusion[[#This Row],[Confinement Type]])&amp;"*", Map_Conf[From], Map_Conf[To], "", 2), "")</f>
        <v>MCF</v>
      </c>
      <c r="V441" s="108" t="str" cm="1">
        <f t="array" ref="V4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2" spans="1:22" hidden="1">
      <c r="A442">
        <v>118</v>
      </c>
      <c r="B442" t="s">
        <v>176</v>
      </c>
      <c r="C442" t="s">
        <v>61</v>
      </c>
      <c r="D442" t="s">
        <v>62</v>
      </c>
      <c r="E442">
        <v>1200</v>
      </c>
      <c r="F442" t="s">
        <v>116</v>
      </c>
      <c r="G442" t="s">
        <v>52</v>
      </c>
      <c r="H442" t="s">
        <v>33</v>
      </c>
      <c r="I442" s="133">
        <v>65700000</v>
      </c>
      <c r="J442" s="133" t="s">
        <v>34</v>
      </c>
      <c r="K442">
        <v>1986</v>
      </c>
      <c r="L442" t="s">
        <v>147</v>
      </c>
      <c r="M442" t="s">
        <v>148</v>
      </c>
      <c r="N442" t="s">
        <v>122</v>
      </c>
      <c r="O442" t="s">
        <v>38</v>
      </c>
      <c r="P442" t="s">
        <v>38</v>
      </c>
      <c r="Q44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125.43894388686132</v>
      </c>
      <c r="R44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125.43894388686132</v>
      </c>
      <c r="U442" s="107" t="str">
        <f>IFERROR(_xlfn.XLOOKUP("*"&amp;TRIM(Fusion[[#This Row],[Confinement Type]])&amp;"*", Map_Conf[From], Map_Conf[To], "", 2), "")</f>
        <v>MCF</v>
      </c>
      <c r="V442" s="108" t="str" cm="1">
        <f t="array" ref="V4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3" spans="1:22" hidden="1">
      <c r="A443">
        <v>240</v>
      </c>
      <c r="B443" t="s">
        <v>264</v>
      </c>
      <c r="C443" t="s">
        <v>61</v>
      </c>
      <c r="D443" t="s">
        <v>62</v>
      </c>
      <c r="E443">
        <v>1000</v>
      </c>
      <c r="F443" t="s">
        <v>75</v>
      </c>
      <c r="G443" t="s">
        <v>57</v>
      </c>
      <c r="H443" t="s">
        <v>76</v>
      </c>
      <c r="I443">
        <v>109</v>
      </c>
      <c r="J443" t="s">
        <v>77</v>
      </c>
      <c r="K443">
        <v>2010</v>
      </c>
      <c r="L443" t="s">
        <v>262</v>
      </c>
      <c r="M443" t="s">
        <v>268</v>
      </c>
      <c r="N443">
        <v>0.75</v>
      </c>
      <c r="O443" t="s">
        <v>84</v>
      </c>
      <c r="P443" t="s">
        <v>38</v>
      </c>
      <c r="Q44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125.52125600763105</v>
      </c>
      <c r="R44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125.52125600763105</v>
      </c>
      <c r="U443" s="107" t="str">
        <f>IFERROR(_xlfn.XLOOKUP("*"&amp;TRIM(Fusion[[#This Row],[Confinement Type]])&amp;"*", Map_Conf[From], Map_Conf[To], "", 2), "")</f>
        <v>MCF</v>
      </c>
      <c r="V443" s="108" t="str" cm="1">
        <f t="array" ref="V4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4" spans="1:22" hidden="1">
      <c r="A444">
        <v>509</v>
      </c>
      <c r="B444" t="s">
        <v>469</v>
      </c>
      <c r="C444" t="s">
        <v>470</v>
      </c>
      <c r="D444" t="s">
        <v>471</v>
      </c>
      <c r="E444">
        <v>150</v>
      </c>
      <c r="F444" t="s">
        <v>116</v>
      </c>
      <c r="G444" t="s">
        <v>52</v>
      </c>
      <c r="H444" t="s">
        <v>33</v>
      </c>
      <c r="I444">
        <v>18000000</v>
      </c>
      <c r="J444" t="s">
        <v>34</v>
      </c>
      <c r="K444">
        <v>2016</v>
      </c>
      <c r="L444" t="s">
        <v>472</v>
      </c>
      <c r="M444" t="s">
        <v>482</v>
      </c>
      <c r="N444" t="s">
        <v>38</v>
      </c>
      <c r="O444" t="s">
        <v>38</v>
      </c>
      <c r="P444" t="s">
        <v>38</v>
      </c>
      <c r="Q44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125.54983812972121</v>
      </c>
      <c r="R44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125.54983812972121</v>
      </c>
      <c r="U444" s="107" t="str">
        <f>IFERROR(_xlfn.XLOOKUP("*"&amp;TRIM(Fusion[[#This Row],[Confinement Type]])&amp;"*", Map_Conf[From], Map_Conf[To], "", 2), "")</f>
        <v>MIF</v>
      </c>
      <c r="V444" s="108" t="str" cm="1">
        <f t="array" ref="V4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445" spans="1:22" hidden="1">
      <c r="A445">
        <v>89</v>
      </c>
      <c r="B445" t="s">
        <v>146</v>
      </c>
      <c r="C445" t="s">
        <v>61</v>
      </c>
      <c r="D445" t="s">
        <v>62</v>
      </c>
      <c r="E445">
        <v>1200</v>
      </c>
      <c r="F445" t="s">
        <v>116</v>
      </c>
      <c r="G445" t="s">
        <v>52</v>
      </c>
      <c r="H445" t="s">
        <v>33</v>
      </c>
      <c r="I445">
        <v>65910000</v>
      </c>
      <c r="J445" t="s">
        <v>34</v>
      </c>
      <c r="K445">
        <v>1986</v>
      </c>
      <c r="L445" t="s">
        <v>147</v>
      </c>
      <c r="M445" t="s">
        <v>148</v>
      </c>
      <c r="N445" t="s">
        <v>122</v>
      </c>
      <c r="O445" t="s">
        <v>38</v>
      </c>
      <c r="P445" t="s">
        <v>38</v>
      </c>
      <c r="Q44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125.83989028284672</v>
      </c>
      <c r="R44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125.83989028284672</v>
      </c>
      <c r="U445" s="107" t="str">
        <f>IFERROR(_xlfn.XLOOKUP("*"&amp;TRIM(Fusion[[#This Row],[Confinement Type]])&amp;"*", Map_Conf[From], Map_Conf[To], "", 2), "")</f>
        <v>MCF</v>
      </c>
      <c r="V445" s="108" t="str" cm="1">
        <f t="array" ref="V4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6" spans="1:22" hidden="1">
      <c r="B446" t="s">
        <v>200</v>
      </c>
      <c r="C446" t="s">
        <v>61</v>
      </c>
      <c r="D446" t="s">
        <v>62</v>
      </c>
      <c r="E446">
        <v>1000</v>
      </c>
      <c r="F446" t="s">
        <v>75</v>
      </c>
      <c r="G446" t="s">
        <v>52</v>
      </c>
      <c r="H446" t="s">
        <v>76</v>
      </c>
      <c r="I446">
        <v>110</v>
      </c>
      <c r="J446" t="s">
        <v>77</v>
      </c>
      <c r="K446">
        <v>2010</v>
      </c>
      <c r="L446" t="s">
        <v>732</v>
      </c>
      <c r="M446" t="s">
        <v>742</v>
      </c>
      <c r="N446">
        <v>0.85</v>
      </c>
      <c r="O446" t="s">
        <v>84</v>
      </c>
      <c r="Q44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126.67282716366437</v>
      </c>
      <c r="R44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126.67282716366437</v>
      </c>
      <c r="U446" s="107" t="str">
        <f>IFERROR(_xlfn.XLOOKUP("*"&amp;TRIM(Fusion[[#This Row],[Confinement Type]])&amp;"*", Map_Conf[From], Map_Conf[To], "", 2), "")</f>
        <v>MCF</v>
      </c>
      <c r="V446" s="108" t="str" cm="1">
        <f t="array" ref="V4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7" spans="1:22" hidden="1">
      <c r="B447" t="s">
        <v>939</v>
      </c>
      <c r="C447" t="s">
        <v>61</v>
      </c>
      <c r="D447" t="s">
        <v>62</v>
      </c>
      <c r="E447">
        <v>1247</v>
      </c>
      <c r="F447" t="s">
        <v>116</v>
      </c>
      <c r="G447" t="s">
        <v>32</v>
      </c>
      <c r="H447" t="s">
        <v>33</v>
      </c>
      <c r="I447">
        <v>65360760</v>
      </c>
      <c r="J447" t="s">
        <v>34</v>
      </c>
      <c r="K447">
        <v>1984</v>
      </c>
      <c r="L447" t="s">
        <v>938</v>
      </c>
      <c r="M447" t="s">
        <v>1101</v>
      </c>
      <c r="N447" t="s">
        <v>122</v>
      </c>
      <c r="O447" t="s">
        <v>38</v>
      </c>
      <c r="Q44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126.67587473705902</v>
      </c>
      <c r="R44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126.67587473705902</v>
      </c>
      <c r="U447" s="107" t="str">
        <f>IFERROR(_xlfn.XLOOKUP("*"&amp;TRIM(Fusion[[#This Row],[Confinement Type]])&amp;"*", Map_Conf[From], Map_Conf[To], "", 2), "")</f>
        <v>MCF</v>
      </c>
      <c r="V447" s="108" t="str" cm="1">
        <f t="array" ref="V4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8" spans="1:22" hidden="1">
      <c r="A448">
        <v>276</v>
      </c>
      <c r="B448" t="s">
        <v>286</v>
      </c>
      <c r="C448" t="s">
        <v>61</v>
      </c>
      <c r="D448" t="s">
        <v>278</v>
      </c>
      <c r="E448">
        <v>1598</v>
      </c>
      <c r="F448" t="s">
        <v>75</v>
      </c>
      <c r="G448" t="s">
        <v>57</v>
      </c>
      <c r="H448" t="s">
        <v>76</v>
      </c>
      <c r="I448">
        <v>90.9</v>
      </c>
      <c r="J448" t="s">
        <v>77</v>
      </c>
      <c r="K448">
        <v>2002</v>
      </c>
      <c r="L448" t="s">
        <v>287</v>
      </c>
      <c r="M448" t="s">
        <v>292</v>
      </c>
      <c r="N448">
        <v>0.72699999999999998</v>
      </c>
      <c r="O448" t="s">
        <v>84</v>
      </c>
      <c r="P448" t="s">
        <v>38</v>
      </c>
      <c r="Q44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126.8795236242357</v>
      </c>
      <c r="R44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126.8795236242357</v>
      </c>
      <c r="U448" s="107" t="str">
        <f>IFERROR(_xlfn.XLOOKUP("*"&amp;TRIM(Fusion[[#This Row],[Confinement Type]])&amp;"*", Map_Conf[From], Map_Conf[To], "", 2), "")</f>
        <v>MCF</v>
      </c>
      <c r="V448" s="108" t="str" cm="1">
        <f t="array" ref="V4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49" spans="1:22" hidden="1">
      <c r="A449">
        <v>248</v>
      </c>
      <c r="B449" t="s">
        <v>277</v>
      </c>
      <c r="C449" t="s">
        <v>61</v>
      </c>
      <c r="D449" t="s">
        <v>278</v>
      </c>
      <c r="E449">
        <v>1000</v>
      </c>
      <c r="F449" t="s">
        <v>75</v>
      </c>
      <c r="G449" t="s">
        <v>57</v>
      </c>
      <c r="H449" t="s">
        <v>76</v>
      </c>
      <c r="I449">
        <v>93</v>
      </c>
      <c r="J449" t="s">
        <v>77</v>
      </c>
      <c r="K449">
        <v>2003</v>
      </c>
      <c r="L449" t="s">
        <v>279</v>
      </c>
      <c r="M449" t="s">
        <v>280</v>
      </c>
      <c r="N449">
        <v>0.75</v>
      </c>
      <c r="O449" t="s">
        <v>84</v>
      </c>
      <c r="P449" t="s">
        <v>38</v>
      </c>
      <c r="Q44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126.91821195652174</v>
      </c>
      <c r="R44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126.91821195652174</v>
      </c>
      <c r="U449" s="107" t="str">
        <f>IFERROR(_xlfn.XLOOKUP("*"&amp;TRIM(Fusion[[#This Row],[Confinement Type]])&amp;"*", Map_Conf[From], Map_Conf[To], "", 2), "")</f>
        <v>MCF</v>
      </c>
      <c r="V449" s="108" t="str" cm="1">
        <f t="array" ref="V4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50" spans="1:22" hidden="1">
      <c r="A450">
        <v>153</v>
      </c>
      <c r="B450" t="s">
        <v>188</v>
      </c>
      <c r="C450" t="s">
        <v>61</v>
      </c>
      <c r="D450" t="s">
        <v>62</v>
      </c>
      <c r="E450">
        <v>1300</v>
      </c>
      <c r="F450" t="s">
        <v>75</v>
      </c>
      <c r="G450" t="s">
        <v>52</v>
      </c>
      <c r="H450" t="s">
        <v>76</v>
      </c>
      <c r="I450">
        <v>86</v>
      </c>
      <c r="J450" t="s">
        <v>77</v>
      </c>
      <c r="K450">
        <v>1999</v>
      </c>
      <c r="L450" t="s">
        <v>1123</v>
      </c>
      <c r="M450" t="s">
        <v>202</v>
      </c>
      <c r="N450" t="s">
        <v>706</v>
      </c>
      <c r="O450" t="s">
        <v>84</v>
      </c>
      <c r="P450" t="s">
        <v>38</v>
      </c>
      <c r="Q45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129.62306122448979</v>
      </c>
      <c r="R45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129.62306122448979</v>
      </c>
      <c r="U450" s="107" t="str">
        <f>IFERROR(_xlfn.XLOOKUP("*"&amp;TRIM(Fusion[[#This Row],[Confinement Type]])&amp;"*", Map_Conf[From], Map_Conf[To], "", 2), "")</f>
        <v>MCF</v>
      </c>
      <c r="V450" s="108" t="str" cm="1">
        <f t="array" ref="V4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1" spans="1:22" hidden="1">
      <c r="A451">
        <v>558</v>
      </c>
      <c r="B451" t="s">
        <v>497</v>
      </c>
      <c r="C451" t="s">
        <v>61</v>
      </c>
      <c r="D451" t="s">
        <v>62</v>
      </c>
      <c r="E451">
        <v>1000</v>
      </c>
      <c r="F451" t="s">
        <v>108</v>
      </c>
      <c r="G451" t="s">
        <v>57</v>
      </c>
      <c r="H451" t="s">
        <v>76</v>
      </c>
      <c r="I451">
        <v>98</v>
      </c>
      <c r="J451" t="s">
        <v>77</v>
      </c>
      <c r="K451">
        <v>2003</v>
      </c>
      <c r="L451" t="s">
        <v>503</v>
      </c>
      <c r="M451" t="s">
        <v>504</v>
      </c>
      <c r="N451">
        <v>0.75</v>
      </c>
      <c r="O451" t="s">
        <v>430</v>
      </c>
      <c r="P451" t="s">
        <v>38</v>
      </c>
      <c r="Q45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133.74177173913043</v>
      </c>
      <c r="R45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133.74177173913043</v>
      </c>
      <c r="U451" s="107" t="str">
        <f>IFERROR(_xlfn.XLOOKUP("*"&amp;TRIM(Fusion[[#This Row],[Confinement Type]])&amp;"*", Map_Conf[From], Map_Conf[To], "", 2), "")</f>
        <v>MCF</v>
      </c>
      <c r="V451" s="108" t="str" cm="1">
        <f t="array" ref="V4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2" spans="1:22" hidden="1">
      <c r="A452">
        <v>397</v>
      </c>
      <c r="B452" t="s">
        <v>200</v>
      </c>
      <c r="C452" t="s">
        <v>61</v>
      </c>
      <c r="D452" t="s">
        <v>62</v>
      </c>
      <c r="E452">
        <v>1000</v>
      </c>
      <c r="F452" t="s">
        <v>108</v>
      </c>
      <c r="G452" t="s">
        <v>52</v>
      </c>
      <c r="H452" t="s">
        <v>76</v>
      </c>
      <c r="I452">
        <v>75.790000000000006</v>
      </c>
      <c r="J452" t="s">
        <v>77</v>
      </c>
      <c r="K452">
        <v>1992</v>
      </c>
      <c r="L452" t="s">
        <v>397</v>
      </c>
      <c r="N452" t="s">
        <v>713</v>
      </c>
      <c r="O452" t="s">
        <v>84</v>
      </c>
      <c r="P452" t="s">
        <v>38</v>
      </c>
      <c r="Q45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135.64789401282965</v>
      </c>
      <c r="R45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135.64789401282965</v>
      </c>
      <c r="U452" s="107" t="str">
        <f>IFERROR(_xlfn.XLOOKUP("*"&amp;TRIM(Fusion[[#This Row],[Confinement Type]])&amp;"*", Map_Conf[From], Map_Conf[To], "", 2), "")</f>
        <v>MCF</v>
      </c>
      <c r="V452" s="108" t="str" cm="1">
        <f t="array" ref="V4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3" spans="1:22" hidden="1">
      <c r="A453">
        <v>150</v>
      </c>
      <c r="B453" t="s">
        <v>200</v>
      </c>
      <c r="C453" t="s">
        <v>61</v>
      </c>
      <c r="D453" t="s">
        <v>62</v>
      </c>
      <c r="E453">
        <v>1000</v>
      </c>
      <c r="F453" t="s">
        <v>75</v>
      </c>
      <c r="G453" t="s">
        <v>52</v>
      </c>
      <c r="H453" t="s">
        <v>76</v>
      </c>
      <c r="I453">
        <v>90</v>
      </c>
      <c r="J453" t="s">
        <v>77</v>
      </c>
      <c r="K453">
        <v>1999</v>
      </c>
      <c r="L453" t="s">
        <v>1123</v>
      </c>
      <c r="M453" t="s">
        <v>202</v>
      </c>
      <c r="N453" t="s">
        <v>706</v>
      </c>
      <c r="O453" t="s">
        <v>84</v>
      </c>
      <c r="P453" t="s">
        <v>38</v>
      </c>
      <c r="Q45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135.65204081632655</v>
      </c>
      <c r="R45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135.65204081632655</v>
      </c>
      <c r="U453" s="107" t="str">
        <f>IFERROR(_xlfn.XLOOKUP("*"&amp;TRIM(Fusion[[#This Row],[Confinement Type]])&amp;"*", Map_Conf[From], Map_Conf[To], "", 2), "")</f>
        <v>MCF</v>
      </c>
      <c r="V453" s="108" t="str" cm="1">
        <f t="array" ref="V4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4" spans="1:22" hidden="1">
      <c r="B454" t="s">
        <v>940</v>
      </c>
      <c r="C454" t="s">
        <v>61</v>
      </c>
      <c r="D454" t="s">
        <v>62</v>
      </c>
      <c r="E454">
        <v>1203</v>
      </c>
      <c r="F454" t="s">
        <v>116</v>
      </c>
      <c r="G454" t="s">
        <v>32</v>
      </c>
      <c r="H454" t="s">
        <v>33</v>
      </c>
      <c r="I454">
        <v>68611440</v>
      </c>
      <c r="J454" t="s">
        <v>34</v>
      </c>
      <c r="K454">
        <v>1984</v>
      </c>
      <c r="L454" t="s">
        <v>938</v>
      </c>
      <c r="M454" t="s">
        <v>1101</v>
      </c>
      <c r="N454" t="s">
        <v>122</v>
      </c>
      <c r="O454" t="s">
        <v>38</v>
      </c>
      <c r="Q45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137.83965546576292</v>
      </c>
      <c r="R45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137.83965546576292</v>
      </c>
      <c r="U454" s="107" t="str">
        <f>IFERROR(_xlfn.XLOOKUP("*"&amp;TRIM(Fusion[[#This Row],[Confinement Type]])&amp;"*", Map_Conf[From], Map_Conf[To], "", 2), "")</f>
        <v>MCF</v>
      </c>
      <c r="V454" s="108" t="str" cm="1">
        <f t="array" ref="V4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5" spans="1:22" hidden="1">
      <c r="A455">
        <v>497</v>
      </c>
      <c r="B455" t="s">
        <v>465</v>
      </c>
      <c r="C455" t="s">
        <v>61</v>
      </c>
      <c r="D455" t="s">
        <v>62</v>
      </c>
      <c r="E455">
        <v>1148</v>
      </c>
      <c r="F455" t="s">
        <v>108</v>
      </c>
      <c r="G455" t="s">
        <v>52</v>
      </c>
      <c r="H455" t="s">
        <v>76</v>
      </c>
      <c r="I455">
        <v>72</v>
      </c>
      <c r="J455" t="s">
        <v>77</v>
      </c>
      <c r="K455">
        <v>1990</v>
      </c>
      <c r="L455" t="s">
        <v>55</v>
      </c>
      <c r="M455" t="s">
        <v>466</v>
      </c>
      <c r="N455" t="s">
        <v>714</v>
      </c>
      <c r="O455" t="s">
        <v>84</v>
      </c>
      <c r="P455" t="s">
        <v>38</v>
      </c>
      <c r="Q45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138.32979342004592</v>
      </c>
      <c r="R45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138.32979342004592</v>
      </c>
      <c r="U455" s="107" t="str">
        <f>IFERROR(_xlfn.XLOOKUP("*"&amp;TRIM(Fusion[[#This Row],[Confinement Type]])&amp;"*", Map_Conf[From], Map_Conf[To], "", 2), "")</f>
        <v>MCF</v>
      </c>
      <c r="V455" s="108" t="str" cm="1">
        <f t="array" ref="V4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6" spans="1:22" hidden="1">
      <c r="A456">
        <v>498</v>
      </c>
      <c r="B456" t="s">
        <v>455</v>
      </c>
      <c r="C456" t="s">
        <v>61</v>
      </c>
      <c r="D456" t="s">
        <v>62</v>
      </c>
      <c r="E456">
        <v>1200</v>
      </c>
      <c r="F456" t="s">
        <v>108</v>
      </c>
      <c r="G456" t="s">
        <v>52</v>
      </c>
      <c r="H456" t="s">
        <v>76</v>
      </c>
      <c r="I456">
        <v>72</v>
      </c>
      <c r="J456" t="s">
        <v>77</v>
      </c>
      <c r="K456">
        <v>1990</v>
      </c>
      <c r="L456" t="s">
        <v>55</v>
      </c>
      <c r="M456" t="s">
        <v>467</v>
      </c>
      <c r="N456" t="s">
        <v>709</v>
      </c>
      <c r="O456" t="s">
        <v>84</v>
      </c>
      <c r="P456" t="s">
        <v>38</v>
      </c>
      <c r="Q45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138.32979342004592</v>
      </c>
      <c r="R45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138.32979342004592</v>
      </c>
      <c r="U456" s="107" t="str">
        <f>IFERROR(_xlfn.XLOOKUP("*"&amp;TRIM(Fusion[[#This Row],[Confinement Type]])&amp;"*", Map_Conf[From], Map_Conf[To], "", 2), "")</f>
        <v>MCF</v>
      </c>
      <c r="V456" s="108" t="str" cm="1">
        <f t="array" ref="V4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7" spans="1:22" hidden="1">
      <c r="A457">
        <v>500</v>
      </c>
      <c r="B457" t="s">
        <v>468</v>
      </c>
      <c r="C457" t="s">
        <v>61</v>
      </c>
      <c r="D457" t="s">
        <v>62</v>
      </c>
      <c r="E457">
        <v>1200</v>
      </c>
      <c r="F457" t="s">
        <v>108</v>
      </c>
      <c r="G457" t="s">
        <v>52</v>
      </c>
      <c r="H457" t="s">
        <v>76</v>
      </c>
      <c r="I457">
        <v>72</v>
      </c>
      <c r="J457" t="s">
        <v>77</v>
      </c>
      <c r="K457">
        <v>1990</v>
      </c>
      <c r="L457" t="s">
        <v>55</v>
      </c>
      <c r="M457" t="s">
        <v>467</v>
      </c>
      <c r="N457" t="s">
        <v>714</v>
      </c>
      <c r="O457" t="s">
        <v>84</v>
      </c>
      <c r="P457" t="s">
        <v>38</v>
      </c>
      <c r="Q45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138.32979342004592</v>
      </c>
      <c r="R45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138.32979342004592</v>
      </c>
      <c r="U457" s="107" t="str">
        <f>IFERROR(_xlfn.XLOOKUP("*"&amp;TRIM(Fusion[[#This Row],[Confinement Type]])&amp;"*", Map_Conf[From], Map_Conf[To], "", 2), "")</f>
        <v>MCF</v>
      </c>
      <c r="V457" s="108" t="str" cm="1">
        <f t="array" ref="V4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8" spans="1:22" hidden="1">
      <c r="A458">
        <v>41</v>
      </c>
      <c r="B458" t="s">
        <v>114</v>
      </c>
      <c r="C458" t="s">
        <v>61</v>
      </c>
      <c r="D458" t="s">
        <v>62</v>
      </c>
      <c r="E458">
        <v>1000</v>
      </c>
      <c r="F458" t="s">
        <v>75</v>
      </c>
      <c r="G458" t="s">
        <v>52</v>
      </c>
      <c r="H458" t="s">
        <v>76</v>
      </c>
      <c r="I458">
        <v>65.3</v>
      </c>
      <c r="J458" t="s">
        <v>77</v>
      </c>
      <c r="K458">
        <v>1988</v>
      </c>
      <c r="L458" t="s">
        <v>597</v>
      </c>
      <c r="M458" t="s">
        <v>700</v>
      </c>
      <c r="N458">
        <v>0.76</v>
      </c>
      <c r="O458" t="s">
        <v>84</v>
      </c>
      <c r="P458" t="s">
        <v>38</v>
      </c>
      <c r="Q45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138.6076677937447</v>
      </c>
      <c r="R45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138.6076677937447</v>
      </c>
      <c r="U458" s="107" t="str">
        <f>IFERROR(_xlfn.XLOOKUP("*"&amp;TRIM(Fusion[[#This Row],[Confinement Type]])&amp;"*", Map_Conf[From], Map_Conf[To], "", 2), "")</f>
        <v>MCF</v>
      </c>
      <c r="V458" s="108" t="str" cm="1">
        <f t="array" ref="V4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9" spans="1:22" hidden="1">
      <c r="A459">
        <v>280</v>
      </c>
      <c r="B459" t="s">
        <v>299</v>
      </c>
      <c r="C459" t="s">
        <v>61</v>
      </c>
      <c r="D459" t="s">
        <v>251</v>
      </c>
      <c r="E459">
        <v>1000</v>
      </c>
      <c r="F459" t="s">
        <v>75</v>
      </c>
      <c r="G459" t="s">
        <v>52</v>
      </c>
      <c r="H459" t="s">
        <v>76</v>
      </c>
      <c r="I459">
        <v>78</v>
      </c>
      <c r="J459" t="s">
        <v>77</v>
      </c>
      <c r="K459">
        <v>1992</v>
      </c>
      <c r="L459" t="s">
        <v>294</v>
      </c>
      <c r="M459" t="s">
        <v>295</v>
      </c>
      <c r="N459">
        <v>0.75</v>
      </c>
      <c r="O459" t="s">
        <v>84</v>
      </c>
      <c r="P459" t="s">
        <v>38</v>
      </c>
      <c r="Q45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139.60332145402708</v>
      </c>
      <c r="R45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139.60332145402708</v>
      </c>
      <c r="U459" s="107" t="str">
        <f>IFERROR(_xlfn.XLOOKUP("*"&amp;TRIM(Fusion[[#This Row],[Confinement Type]])&amp;"*", Map_Conf[From], Map_Conf[To], "", 2), "")</f>
        <v>MCF</v>
      </c>
      <c r="V459" s="108" t="str" cm="1">
        <f t="array" ref="V4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60" spans="1:22" hidden="1">
      <c r="A460">
        <v>461</v>
      </c>
      <c r="B460" t="s">
        <v>438</v>
      </c>
      <c r="C460" t="s">
        <v>61</v>
      </c>
      <c r="D460" t="s">
        <v>62</v>
      </c>
      <c r="E460">
        <v>1000</v>
      </c>
      <c r="F460" t="s">
        <v>75</v>
      </c>
      <c r="G460" t="s">
        <v>32</v>
      </c>
      <c r="H460" t="s">
        <v>76</v>
      </c>
      <c r="I460">
        <v>101</v>
      </c>
      <c r="J460" t="s">
        <v>77</v>
      </c>
      <c r="K460">
        <v>2002</v>
      </c>
      <c r="L460" t="s">
        <v>435</v>
      </c>
      <c r="M460" t="s">
        <v>439</v>
      </c>
      <c r="N460">
        <v>0.6</v>
      </c>
      <c r="O460" t="s">
        <v>38</v>
      </c>
      <c r="P460" t="s">
        <v>38</v>
      </c>
      <c r="Q46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140.977248471373</v>
      </c>
      <c r="R46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140.977248471373</v>
      </c>
      <c r="U460" s="107" t="str">
        <f>IFERROR(_xlfn.XLOOKUP("*"&amp;TRIM(Fusion[[#This Row],[Confinement Type]])&amp;"*", Map_Conf[From], Map_Conf[To], "", 2), "")</f>
        <v>MCF</v>
      </c>
      <c r="V460" s="108" t="str" cm="1">
        <f t="array" ref="V4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1" spans="1:22" hidden="1">
      <c r="A461">
        <v>559</v>
      </c>
      <c r="B461" t="s">
        <v>505</v>
      </c>
      <c r="C461" t="s">
        <v>61</v>
      </c>
      <c r="D461" t="s">
        <v>107</v>
      </c>
      <c r="E461">
        <v>1000</v>
      </c>
      <c r="F461" t="s">
        <v>108</v>
      </c>
      <c r="G461" t="s">
        <v>57</v>
      </c>
      <c r="H461" t="s">
        <v>76</v>
      </c>
      <c r="I461">
        <v>104</v>
      </c>
      <c r="J461" t="s">
        <v>77</v>
      </c>
      <c r="K461">
        <v>2003</v>
      </c>
      <c r="L461" t="s">
        <v>503</v>
      </c>
      <c r="M461" t="s">
        <v>504</v>
      </c>
      <c r="N461">
        <v>0.75</v>
      </c>
      <c r="O461" t="s">
        <v>430</v>
      </c>
      <c r="P461" t="s">
        <v>38</v>
      </c>
      <c r="Q46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141.93004347826087</v>
      </c>
      <c r="R46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141.93004347826087</v>
      </c>
      <c r="U461" s="107" t="str">
        <f>IFERROR(_xlfn.XLOOKUP("*"&amp;TRIM(Fusion[[#This Row],[Confinement Type]])&amp;"*", Map_Conf[From], Map_Conf[To], "", 2), "")</f>
        <v>MCF</v>
      </c>
      <c r="V461" s="108" t="str" cm="1">
        <f t="array" ref="V4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2" spans="1:22" hidden="1">
      <c r="B462" t="s">
        <v>839</v>
      </c>
      <c r="C462" t="s">
        <v>30</v>
      </c>
      <c r="D462" t="s">
        <v>796</v>
      </c>
      <c r="E462">
        <v>815</v>
      </c>
      <c r="F462" t="s">
        <v>669</v>
      </c>
      <c r="G462" t="s">
        <v>52</v>
      </c>
      <c r="H462" t="s">
        <v>33</v>
      </c>
      <c r="I462">
        <v>50000000</v>
      </c>
      <c r="J462" t="s">
        <v>34</v>
      </c>
      <c r="K462">
        <v>1985</v>
      </c>
      <c r="L462" t="s">
        <v>842</v>
      </c>
      <c r="N462">
        <v>0.76</v>
      </c>
      <c r="O462" t="s">
        <v>38</v>
      </c>
      <c r="P462" t="s">
        <v>38</v>
      </c>
      <c r="Q46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143.17228088580748</v>
      </c>
      <c r="R46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143.17228088580748</v>
      </c>
      <c r="U462" s="107" t="str">
        <f>IFERROR(_xlfn.XLOOKUP("*"&amp;TRIM(Fusion[[#This Row],[Confinement Type]])&amp;"*", Map_Conf[From], Map_Conf[To], "", 2), "")</f>
        <v>ICF</v>
      </c>
      <c r="V462" s="108" t="str" cm="1">
        <f t="array" ref="V4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63" spans="1:22" hidden="1">
      <c r="A463">
        <v>155</v>
      </c>
      <c r="B463" t="s">
        <v>188</v>
      </c>
      <c r="C463" t="s">
        <v>61</v>
      </c>
      <c r="D463" t="s">
        <v>62</v>
      </c>
      <c r="E463">
        <v>1000</v>
      </c>
      <c r="F463" t="s">
        <v>75</v>
      </c>
      <c r="G463" t="s">
        <v>52</v>
      </c>
      <c r="H463" t="s">
        <v>76</v>
      </c>
      <c r="I463">
        <v>95</v>
      </c>
      <c r="J463" t="s">
        <v>77</v>
      </c>
      <c r="K463">
        <v>1999</v>
      </c>
      <c r="L463" t="s">
        <v>1123</v>
      </c>
      <c r="M463" t="s">
        <v>202</v>
      </c>
      <c r="N463" t="s">
        <v>706</v>
      </c>
      <c r="O463" t="s">
        <v>84</v>
      </c>
      <c r="P463" t="s">
        <v>38</v>
      </c>
      <c r="Q46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143.18826530612245</v>
      </c>
      <c r="R46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143.18826530612245</v>
      </c>
      <c r="U463" s="107" t="str">
        <f>IFERROR(_xlfn.XLOOKUP("*"&amp;TRIM(Fusion[[#This Row],[Confinement Type]])&amp;"*", Map_Conf[From], Map_Conf[To], "", 2), "")</f>
        <v>MCF</v>
      </c>
      <c r="V463" s="108" t="str" cm="1">
        <f t="array" ref="V4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4" spans="1:22" hidden="1">
      <c r="B464" t="s">
        <v>828</v>
      </c>
      <c r="C464" t="s">
        <v>30</v>
      </c>
      <c r="D464" t="s">
        <v>796</v>
      </c>
      <c r="E464">
        <v>2000</v>
      </c>
      <c r="F464" t="s">
        <v>75</v>
      </c>
      <c r="G464" t="s">
        <v>52</v>
      </c>
      <c r="H464" t="s">
        <v>76</v>
      </c>
      <c r="I464">
        <v>58</v>
      </c>
      <c r="J464" t="s">
        <v>77</v>
      </c>
      <c r="K464">
        <v>1983</v>
      </c>
      <c r="L464" t="s">
        <v>825</v>
      </c>
      <c r="M464" t="s">
        <v>820</v>
      </c>
      <c r="N464">
        <v>0.7</v>
      </c>
      <c r="O464" t="s">
        <v>824</v>
      </c>
      <c r="Q46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146.22696787148595</v>
      </c>
      <c r="R46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146.22696787148595</v>
      </c>
      <c r="U464" s="107" t="str">
        <f>IFERROR(_xlfn.XLOOKUP("*"&amp;TRIM(Fusion[[#This Row],[Confinement Type]])&amp;"*", Map_Conf[From], Map_Conf[To], "", 2), "")</f>
        <v>ICF</v>
      </c>
      <c r="V464" s="108" t="str" cm="1">
        <f t="array" ref="V4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65" spans="1:22" hidden="1">
      <c r="A465">
        <v>69</v>
      </c>
      <c r="B465" t="s">
        <v>114</v>
      </c>
      <c r="C465" t="s">
        <v>61</v>
      </c>
      <c r="D465" t="s">
        <v>62</v>
      </c>
      <c r="E465">
        <v>1000</v>
      </c>
      <c r="F465" t="s">
        <v>108</v>
      </c>
      <c r="G465" t="s">
        <v>52</v>
      </c>
      <c r="H465" t="s">
        <v>76</v>
      </c>
      <c r="I465">
        <v>69</v>
      </c>
      <c r="J465" t="s">
        <v>77</v>
      </c>
      <c r="K465">
        <v>1988</v>
      </c>
      <c r="L465" t="s">
        <v>120</v>
      </c>
      <c r="M465" t="s">
        <v>121</v>
      </c>
      <c r="N465">
        <v>0.76</v>
      </c>
      <c r="O465" t="s">
        <v>122</v>
      </c>
      <c r="P465" t="s">
        <v>38</v>
      </c>
      <c r="Q46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146.46139475908706</v>
      </c>
      <c r="R46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146.46139475908706</v>
      </c>
      <c r="U465" s="107" t="str">
        <f>IFERROR(_xlfn.XLOOKUP("*"&amp;TRIM(Fusion[[#This Row],[Confinement Type]])&amp;"*", Map_Conf[From], Map_Conf[To], "", 2), "")</f>
        <v>MCF</v>
      </c>
      <c r="V465" s="108" t="str" cm="1">
        <f t="array" ref="V4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6" spans="1:22" hidden="1">
      <c r="A466">
        <v>283</v>
      </c>
      <c r="B466" t="s">
        <v>301</v>
      </c>
      <c r="C466" t="s">
        <v>61</v>
      </c>
      <c r="D466" t="s">
        <v>62</v>
      </c>
      <c r="E466">
        <v>1000</v>
      </c>
      <c r="F466" t="s">
        <v>75</v>
      </c>
      <c r="G466" t="s">
        <v>52</v>
      </c>
      <c r="H466" t="s">
        <v>76</v>
      </c>
      <c r="I466">
        <v>82</v>
      </c>
      <c r="J466" t="s">
        <v>77</v>
      </c>
      <c r="K466">
        <v>1992</v>
      </c>
      <c r="L466" t="s">
        <v>294</v>
      </c>
      <c r="M466" t="s">
        <v>295</v>
      </c>
      <c r="N466">
        <v>0.75</v>
      </c>
      <c r="O466" t="s">
        <v>84</v>
      </c>
      <c r="P466" t="s">
        <v>38</v>
      </c>
      <c r="Q46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146.76246614397718</v>
      </c>
      <c r="R46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146.76246614397718</v>
      </c>
      <c r="U466" s="107" t="str">
        <f>IFERROR(_xlfn.XLOOKUP("*"&amp;TRIM(Fusion[[#This Row],[Confinement Type]])&amp;"*", Map_Conf[From], Map_Conf[To], "", 2), "")</f>
        <v>MCF</v>
      </c>
      <c r="V466" s="108" t="str" cm="1">
        <f t="array" ref="V4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7" spans="1:22" hidden="1">
      <c r="A467">
        <v>444</v>
      </c>
      <c r="B467" t="s">
        <v>422</v>
      </c>
      <c r="C467" t="s">
        <v>61</v>
      </c>
      <c r="D467" t="s">
        <v>421</v>
      </c>
      <c r="E467">
        <v>1000</v>
      </c>
      <c r="F467" t="s">
        <v>108</v>
      </c>
      <c r="G467" t="s">
        <v>52</v>
      </c>
      <c r="H467" t="s">
        <v>76</v>
      </c>
      <c r="I467">
        <v>82</v>
      </c>
      <c r="J467" t="s">
        <v>77</v>
      </c>
      <c r="K467">
        <v>1992</v>
      </c>
      <c r="L467" t="s">
        <v>420</v>
      </c>
      <c r="N467" t="s">
        <v>38</v>
      </c>
      <c r="O467" t="s">
        <v>38</v>
      </c>
      <c r="P467" t="s">
        <v>38</v>
      </c>
      <c r="Q46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146.76246614397718</v>
      </c>
      <c r="R46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146.76246614397718</v>
      </c>
      <c r="U467" s="107" t="str">
        <f>IFERROR(_xlfn.XLOOKUP("*"&amp;TRIM(Fusion[[#This Row],[Confinement Type]])&amp;"*", Map_Conf[From], Map_Conf[To], "", 2), "")</f>
        <v>MCF</v>
      </c>
      <c r="V467" s="108" t="str" cm="1">
        <f t="array" ref="V4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8" spans="1:22" hidden="1">
      <c r="A468">
        <v>243</v>
      </c>
      <c r="B468" t="s">
        <v>687</v>
      </c>
      <c r="C468" t="s">
        <v>61</v>
      </c>
      <c r="D468" t="s">
        <v>62</v>
      </c>
      <c r="E468">
        <v>1420</v>
      </c>
      <c r="F468" t="s">
        <v>75</v>
      </c>
      <c r="G468" t="s">
        <v>57</v>
      </c>
      <c r="H468" t="s">
        <v>76</v>
      </c>
      <c r="I468">
        <v>130</v>
      </c>
      <c r="J468" t="s">
        <v>77</v>
      </c>
      <c r="K468">
        <v>2010</v>
      </c>
      <c r="L468" t="s">
        <v>262</v>
      </c>
      <c r="M468" t="s">
        <v>268</v>
      </c>
      <c r="N468">
        <v>0.75</v>
      </c>
      <c r="O468" t="s">
        <v>84</v>
      </c>
      <c r="P468" t="s">
        <v>38</v>
      </c>
      <c r="Q46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149.70425028433061</v>
      </c>
      <c r="R46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149.70425028433061</v>
      </c>
      <c r="U468" s="107" t="str">
        <f>IFERROR(_xlfn.XLOOKUP("*"&amp;TRIM(Fusion[[#This Row],[Confinement Type]])&amp;"*", Map_Conf[From], Map_Conf[To], "", 2), "")</f>
        <v>MCF</v>
      </c>
      <c r="V468" s="108" t="str" cm="1">
        <f t="array" ref="V4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9" spans="1:22" hidden="1">
      <c r="A469">
        <v>293</v>
      </c>
      <c r="B469" t="s">
        <v>126</v>
      </c>
      <c r="C469" t="s">
        <v>61</v>
      </c>
      <c r="D469" t="s">
        <v>62</v>
      </c>
      <c r="E469">
        <v>1000</v>
      </c>
      <c r="F469" t="s">
        <v>75</v>
      </c>
      <c r="G469" t="s">
        <v>52</v>
      </c>
      <c r="H469" t="s">
        <v>76</v>
      </c>
      <c r="I469">
        <v>84</v>
      </c>
      <c r="J469" t="s">
        <v>77</v>
      </c>
      <c r="K469">
        <v>1992</v>
      </c>
      <c r="L469" t="s">
        <v>294</v>
      </c>
      <c r="M469" t="s">
        <v>305</v>
      </c>
      <c r="N469">
        <v>0.75</v>
      </c>
      <c r="O469" t="s">
        <v>84</v>
      </c>
      <c r="P469" t="s">
        <v>38</v>
      </c>
      <c r="Q46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150.34203848895223</v>
      </c>
      <c r="R46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150.34203848895223</v>
      </c>
      <c r="U469" s="107" t="str">
        <f>IFERROR(_xlfn.XLOOKUP("*"&amp;TRIM(Fusion[[#This Row],[Confinement Type]])&amp;"*", Map_Conf[From], Map_Conf[To], "", 2), "")</f>
        <v>MCF</v>
      </c>
      <c r="V469" s="108" t="str" cm="1">
        <f t="array" ref="V4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0" spans="1:22" hidden="1">
      <c r="A470">
        <v>383</v>
      </c>
      <c r="B470" t="s">
        <v>695</v>
      </c>
      <c r="C470" t="s">
        <v>61</v>
      </c>
      <c r="D470" t="s">
        <v>62</v>
      </c>
      <c r="E470">
        <v>1200</v>
      </c>
      <c r="F470" t="s">
        <v>108</v>
      </c>
      <c r="G470" t="s">
        <v>52</v>
      </c>
      <c r="H470" t="s">
        <v>76</v>
      </c>
      <c r="I470">
        <v>78.7</v>
      </c>
      <c r="J470" t="s">
        <v>77</v>
      </c>
      <c r="K470">
        <v>1990</v>
      </c>
      <c r="L470" t="s">
        <v>369</v>
      </c>
      <c r="M470" t="s">
        <v>376</v>
      </c>
      <c r="N470">
        <v>0.75</v>
      </c>
      <c r="O470" t="s">
        <v>371</v>
      </c>
      <c r="P470" t="s">
        <v>38</v>
      </c>
      <c r="Q47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151.20214919663354</v>
      </c>
      <c r="R47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151.20214919663354</v>
      </c>
      <c r="U470" s="107" t="str">
        <f>IFERROR(_xlfn.XLOOKUP("*"&amp;TRIM(Fusion[[#This Row],[Confinement Type]])&amp;"*", Map_Conf[From], Map_Conf[To], "", 2), "")</f>
        <v>MCF</v>
      </c>
      <c r="V470" s="108" t="str" cm="1">
        <f t="array" ref="V4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1" spans="1:22" hidden="1">
      <c r="A471">
        <v>560</v>
      </c>
      <c r="B471" t="s">
        <v>501</v>
      </c>
      <c r="C471" t="s">
        <v>61</v>
      </c>
      <c r="D471" t="s">
        <v>278</v>
      </c>
      <c r="E471">
        <v>1000</v>
      </c>
      <c r="F471" t="s">
        <v>108</v>
      </c>
      <c r="G471" t="s">
        <v>57</v>
      </c>
      <c r="H471" t="s">
        <v>76</v>
      </c>
      <c r="I471">
        <v>111</v>
      </c>
      <c r="J471" t="s">
        <v>77</v>
      </c>
      <c r="K471">
        <v>2003</v>
      </c>
      <c r="L471" t="s">
        <v>503</v>
      </c>
      <c r="M471" t="s">
        <v>504</v>
      </c>
      <c r="N471">
        <v>0.75</v>
      </c>
      <c r="O471" t="s">
        <v>430</v>
      </c>
      <c r="P471" t="s">
        <v>38</v>
      </c>
      <c r="Q47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151.48302717391306</v>
      </c>
      <c r="R47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151.48302717391306</v>
      </c>
      <c r="U471" s="107" t="str">
        <f>IFERROR(_xlfn.XLOOKUP("*"&amp;TRIM(Fusion[[#This Row],[Confinement Type]])&amp;"*", Map_Conf[From], Map_Conf[To], "", 2), "")</f>
        <v>MCF</v>
      </c>
      <c r="V471" s="108" t="str" cm="1">
        <f t="array" ref="V4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72" spans="1:22" hidden="1">
      <c r="A472">
        <v>291</v>
      </c>
      <c r="B472" t="s">
        <v>114</v>
      </c>
      <c r="C472" t="s">
        <v>61</v>
      </c>
      <c r="D472" t="s">
        <v>62</v>
      </c>
      <c r="E472">
        <v>1000</v>
      </c>
      <c r="F472" t="s">
        <v>75</v>
      </c>
      <c r="G472" t="s">
        <v>52</v>
      </c>
      <c r="H472" t="s">
        <v>76</v>
      </c>
      <c r="I472">
        <v>86</v>
      </c>
      <c r="J472" t="s">
        <v>77</v>
      </c>
      <c r="K472">
        <v>1992</v>
      </c>
      <c r="L472" t="s">
        <v>294</v>
      </c>
      <c r="M472" t="s">
        <v>295</v>
      </c>
      <c r="N472">
        <v>0.75</v>
      </c>
      <c r="O472" t="s">
        <v>84</v>
      </c>
      <c r="P472" t="s">
        <v>38</v>
      </c>
      <c r="Q47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153.92161083392728</v>
      </c>
      <c r="R47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153.92161083392728</v>
      </c>
      <c r="U472" s="107" t="str">
        <f>IFERROR(_xlfn.XLOOKUP("*"&amp;TRIM(Fusion[[#This Row],[Confinement Type]])&amp;"*", Map_Conf[From], Map_Conf[To], "", 2), "")</f>
        <v>MCF</v>
      </c>
      <c r="V472" s="108" t="str" cm="1">
        <f t="array" ref="V4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3" spans="1:22" hidden="1">
      <c r="A473">
        <v>148</v>
      </c>
      <c r="B473" t="s">
        <v>201</v>
      </c>
      <c r="C473" t="s">
        <v>61</v>
      </c>
      <c r="D473" t="s">
        <v>62</v>
      </c>
      <c r="E473">
        <v>1000</v>
      </c>
      <c r="F473" t="s">
        <v>75</v>
      </c>
      <c r="G473" t="s">
        <v>52</v>
      </c>
      <c r="H473" t="s">
        <v>76</v>
      </c>
      <c r="I473">
        <v>103</v>
      </c>
      <c r="J473" t="s">
        <v>77</v>
      </c>
      <c r="K473">
        <v>1999</v>
      </c>
      <c r="L473" t="s">
        <v>1123</v>
      </c>
      <c r="M473" t="s">
        <v>202</v>
      </c>
      <c r="N473" t="s">
        <v>710</v>
      </c>
      <c r="O473" t="s">
        <v>84</v>
      </c>
      <c r="P473" t="s">
        <v>38</v>
      </c>
      <c r="Q47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155.24622448979594</v>
      </c>
      <c r="R47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155.24622448979594</v>
      </c>
      <c r="U473" s="107" t="str">
        <f>IFERROR(_xlfn.XLOOKUP("*"&amp;TRIM(Fusion[[#This Row],[Confinement Type]])&amp;"*", Map_Conf[From], Map_Conf[To], "", 2), "")</f>
        <v>MCF</v>
      </c>
      <c r="V473" s="108" t="str" cm="1">
        <f t="array" ref="V4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4" spans="1:22" hidden="1">
      <c r="A474">
        <v>277</v>
      </c>
      <c r="B474" t="s">
        <v>293</v>
      </c>
      <c r="C474" t="s">
        <v>61</v>
      </c>
      <c r="D474" t="s">
        <v>62</v>
      </c>
      <c r="E474">
        <v>1000</v>
      </c>
      <c r="F474" t="s">
        <v>75</v>
      </c>
      <c r="G474" t="s">
        <v>52</v>
      </c>
      <c r="H474" t="s">
        <v>76</v>
      </c>
      <c r="I474">
        <v>87</v>
      </c>
      <c r="J474" t="s">
        <v>77</v>
      </c>
      <c r="K474">
        <v>1992</v>
      </c>
      <c r="L474" t="s">
        <v>294</v>
      </c>
      <c r="M474" t="s">
        <v>295</v>
      </c>
      <c r="N474">
        <v>0.75</v>
      </c>
      <c r="O474" t="s">
        <v>84</v>
      </c>
      <c r="P474" t="s">
        <v>38</v>
      </c>
      <c r="Q47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155.71139700641481</v>
      </c>
      <c r="R47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155.71139700641481</v>
      </c>
      <c r="U474" s="107" t="str">
        <f>IFERROR(_xlfn.XLOOKUP("*"&amp;TRIM(Fusion[[#This Row],[Confinement Type]])&amp;"*", Map_Conf[From], Map_Conf[To], "", 2), "")</f>
        <v>MCF</v>
      </c>
      <c r="V474" s="108" t="str" cm="1">
        <f t="array" ref="V4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5" spans="1:22" hidden="1">
      <c r="A475">
        <v>294</v>
      </c>
      <c r="B475" t="s">
        <v>304</v>
      </c>
      <c r="C475" t="s">
        <v>61</v>
      </c>
      <c r="D475" t="s">
        <v>62</v>
      </c>
      <c r="E475">
        <v>1000</v>
      </c>
      <c r="F475" t="s">
        <v>75</v>
      </c>
      <c r="G475" t="s">
        <v>52</v>
      </c>
      <c r="H475" t="s">
        <v>76</v>
      </c>
      <c r="I475">
        <v>90</v>
      </c>
      <c r="J475" t="s">
        <v>77</v>
      </c>
      <c r="K475">
        <v>1992</v>
      </c>
      <c r="L475" t="s">
        <v>294</v>
      </c>
      <c r="M475" t="s">
        <v>305</v>
      </c>
      <c r="N475">
        <v>0.75</v>
      </c>
      <c r="O475" t="s">
        <v>84</v>
      </c>
      <c r="P475" t="s">
        <v>38</v>
      </c>
      <c r="Q47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161.0807555238774</v>
      </c>
      <c r="R47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161.0807555238774</v>
      </c>
      <c r="U475" s="107" t="str">
        <f>IFERROR(_xlfn.XLOOKUP("*"&amp;TRIM(Fusion[[#This Row],[Confinement Type]])&amp;"*", Map_Conf[From], Map_Conf[To], "", 2), "")</f>
        <v>MCF</v>
      </c>
      <c r="V475" s="108" t="str" cm="1">
        <f t="array" ref="V4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6" spans="1:22" hidden="1">
      <c r="A476">
        <v>241</v>
      </c>
      <c r="B476" t="s">
        <v>265</v>
      </c>
      <c r="C476" t="s">
        <v>61</v>
      </c>
      <c r="D476" t="s">
        <v>62</v>
      </c>
      <c r="E476">
        <v>1600</v>
      </c>
      <c r="F476" t="s">
        <v>75</v>
      </c>
      <c r="G476" t="s">
        <v>57</v>
      </c>
      <c r="H476" t="s">
        <v>76</v>
      </c>
      <c r="I476">
        <v>140</v>
      </c>
      <c r="J476" t="s">
        <v>77</v>
      </c>
      <c r="K476">
        <v>2010</v>
      </c>
      <c r="L476" t="s">
        <v>262</v>
      </c>
      <c r="M476" t="s">
        <v>268</v>
      </c>
      <c r="N476">
        <v>0.75</v>
      </c>
      <c r="O476" t="s">
        <v>84</v>
      </c>
      <c r="P476" t="s">
        <v>38</v>
      </c>
      <c r="Q47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161.21996184466374</v>
      </c>
      <c r="R47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161.21996184466374</v>
      </c>
      <c r="U476" s="107" t="str">
        <f>IFERROR(_xlfn.XLOOKUP("*"&amp;TRIM(Fusion[[#This Row],[Confinement Type]])&amp;"*", Map_Conf[From], Map_Conf[To], "", 2), "")</f>
        <v>MCF</v>
      </c>
      <c r="V476" s="108" t="str" cm="1">
        <f t="array" ref="V4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7" spans="1:22" hidden="1">
      <c r="B477" t="s">
        <v>735</v>
      </c>
      <c r="C477" t="s">
        <v>61</v>
      </c>
      <c r="D477" t="s">
        <v>62</v>
      </c>
      <c r="E477">
        <v>1450</v>
      </c>
      <c r="F477" t="s">
        <v>75</v>
      </c>
      <c r="G477" t="s">
        <v>52</v>
      </c>
      <c r="H477" t="s">
        <v>76</v>
      </c>
      <c r="I477">
        <v>142</v>
      </c>
      <c r="J477" t="s">
        <v>77</v>
      </c>
      <c r="K477">
        <v>2010</v>
      </c>
      <c r="L477" t="s">
        <v>732</v>
      </c>
      <c r="M477" t="s">
        <v>744</v>
      </c>
      <c r="N477">
        <v>0.75</v>
      </c>
      <c r="O477" t="s">
        <v>84</v>
      </c>
      <c r="Q47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163.52310415673037</v>
      </c>
      <c r="R47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163.52310415673037</v>
      </c>
      <c r="U477" s="107" t="str">
        <f>IFERROR(_xlfn.XLOOKUP("*"&amp;TRIM(Fusion[[#This Row],[Confinement Type]])&amp;"*", Map_Conf[From], Map_Conf[To], "", 2), "")</f>
        <v>MCF</v>
      </c>
      <c r="V477" s="108" t="str" cm="1">
        <f t="array" ref="V4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8" spans="1:22" hidden="1">
      <c r="A478">
        <v>329</v>
      </c>
      <c r="B478" t="s">
        <v>325</v>
      </c>
      <c r="C478" t="s">
        <v>61</v>
      </c>
      <c r="D478" t="s">
        <v>326</v>
      </c>
      <c r="E478">
        <v>1100</v>
      </c>
      <c r="F478" t="s">
        <v>115</v>
      </c>
      <c r="G478" t="s">
        <v>52</v>
      </c>
      <c r="H478" t="s">
        <v>33</v>
      </c>
      <c r="I478">
        <v>70000000</v>
      </c>
      <c r="J478" t="s">
        <v>34</v>
      </c>
      <c r="K478">
        <v>1982</v>
      </c>
      <c r="L478" t="s">
        <v>327</v>
      </c>
      <c r="M478" t="s">
        <v>328</v>
      </c>
      <c r="N478" t="s">
        <v>122</v>
      </c>
      <c r="O478" t="s">
        <v>38</v>
      </c>
      <c r="P478" t="s">
        <v>38</v>
      </c>
      <c r="Q47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165.59105040037682</v>
      </c>
      <c r="R47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165.59105040037682</v>
      </c>
      <c r="U478" s="107" t="str">
        <f>IFERROR(_xlfn.XLOOKUP("*"&amp;TRIM(Fusion[[#This Row],[Confinement Type]])&amp;"*", Map_Conf[From], Map_Conf[To], "", 2), "")</f>
        <v>MCF</v>
      </c>
      <c r="V478" s="108" t="str" cm="1">
        <f t="array" ref="V4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479" spans="1:22" hidden="1">
      <c r="A479">
        <v>152</v>
      </c>
      <c r="B479" t="s">
        <v>204</v>
      </c>
      <c r="C479" t="s">
        <v>61</v>
      </c>
      <c r="D479" t="s">
        <v>62</v>
      </c>
      <c r="E479">
        <v>1000</v>
      </c>
      <c r="F479" t="s">
        <v>75</v>
      </c>
      <c r="G479" t="s">
        <v>52</v>
      </c>
      <c r="H479" t="s">
        <v>76</v>
      </c>
      <c r="I479">
        <v>110</v>
      </c>
      <c r="J479" t="s">
        <v>77</v>
      </c>
      <c r="K479">
        <v>1999</v>
      </c>
      <c r="L479" t="s">
        <v>1123</v>
      </c>
      <c r="M479" t="s">
        <v>202</v>
      </c>
      <c r="N479" t="s">
        <v>710</v>
      </c>
      <c r="O479" t="s">
        <v>84</v>
      </c>
      <c r="P479" t="s">
        <v>38</v>
      </c>
      <c r="Q47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165.7969387755102</v>
      </c>
      <c r="R47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165.7969387755102</v>
      </c>
      <c r="U479" s="107" t="str">
        <f>IFERROR(_xlfn.XLOOKUP("*"&amp;TRIM(Fusion[[#This Row],[Confinement Type]])&amp;"*", Map_Conf[From], Map_Conf[To], "", 2), "")</f>
        <v>MCF</v>
      </c>
      <c r="V479" s="108" t="str" cm="1">
        <f t="array" ref="V4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0" spans="1:22" hidden="1">
      <c r="A480">
        <v>65</v>
      </c>
      <c r="B480" t="s">
        <v>124</v>
      </c>
      <c r="C480" t="s">
        <v>30</v>
      </c>
      <c r="D480" t="s">
        <v>796</v>
      </c>
      <c r="E480">
        <v>1010</v>
      </c>
      <c r="F480" t="s">
        <v>108</v>
      </c>
      <c r="G480" t="s">
        <v>52</v>
      </c>
      <c r="H480" t="s">
        <v>76</v>
      </c>
      <c r="I480">
        <v>80</v>
      </c>
      <c r="J480" t="s">
        <v>77</v>
      </c>
      <c r="K480">
        <v>1988</v>
      </c>
      <c r="L480" t="s">
        <v>120</v>
      </c>
      <c r="M480" t="s">
        <v>121</v>
      </c>
      <c r="N480">
        <v>0.76</v>
      </c>
      <c r="O480" t="s">
        <v>122</v>
      </c>
      <c r="P480" t="s">
        <v>38</v>
      </c>
      <c r="Q48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169.81031276415891</v>
      </c>
      <c r="R48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169.81031276415891</v>
      </c>
      <c r="U480" s="107" t="str">
        <f>IFERROR(_xlfn.XLOOKUP("*"&amp;TRIM(Fusion[[#This Row],[Confinement Type]])&amp;"*", Map_Conf[From], Map_Conf[To], "", 2), "")</f>
        <v>ICF</v>
      </c>
      <c r="V480" s="108" t="str" cm="1">
        <f t="array" ref="V4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81" spans="1:22" hidden="1">
      <c r="B481" t="s">
        <v>125</v>
      </c>
      <c r="C481" t="s">
        <v>30</v>
      </c>
      <c r="D481" t="s">
        <v>796</v>
      </c>
      <c r="E481">
        <v>815</v>
      </c>
      <c r="F481" t="s">
        <v>669</v>
      </c>
      <c r="G481" t="s">
        <v>52</v>
      </c>
      <c r="H481" t="s">
        <v>33</v>
      </c>
      <c r="I481">
        <v>60000000</v>
      </c>
      <c r="J481" t="s">
        <v>34</v>
      </c>
      <c r="K481">
        <v>1985</v>
      </c>
      <c r="L481" t="s">
        <v>842</v>
      </c>
      <c r="N481">
        <v>0.76</v>
      </c>
      <c r="O481" t="s">
        <v>38</v>
      </c>
      <c r="P481" t="s">
        <v>38</v>
      </c>
      <c r="Q48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171.80673706296898</v>
      </c>
      <c r="R48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171.80673706296898</v>
      </c>
      <c r="U481" s="107" t="str">
        <f>IFERROR(_xlfn.XLOOKUP("*"&amp;TRIM(Fusion[[#This Row],[Confinement Type]])&amp;"*", Map_Conf[From], Map_Conf[To], "", 2), "")</f>
        <v>ICF</v>
      </c>
      <c r="V481" s="108" t="str" cm="1">
        <f t="array" ref="V4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82" spans="1:22" hidden="1">
      <c r="A482">
        <v>330</v>
      </c>
      <c r="B482" t="s">
        <v>325</v>
      </c>
      <c r="C482" t="s">
        <v>61</v>
      </c>
      <c r="D482" t="s">
        <v>326</v>
      </c>
      <c r="E482">
        <v>1100</v>
      </c>
      <c r="F482" t="s">
        <v>116</v>
      </c>
      <c r="G482" t="s">
        <v>52</v>
      </c>
      <c r="H482" t="s">
        <v>33</v>
      </c>
      <c r="I482">
        <v>73000000</v>
      </c>
      <c r="J482" t="s">
        <v>34</v>
      </c>
      <c r="K482">
        <v>1982</v>
      </c>
      <c r="L482" t="s">
        <v>327</v>
      </c>
      <c r="N482" t="s">
        <v>122</v>
      </c>
      <c r="O482" t="s">
        <v>38</v>
      </c>
      <c r="P482" t="s">
        <v>38</v>
      </c>
      <c r="Q48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172.68780970325011</v>
      </c>
      <c r="R48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172.68780970325011</v>
      </c>
      <c r="U482" s="107" t="str">
        <f>IFERROR(_xlfn.XLOOKUP("*"&amp;TRIM(Fusion[[#This Row],[Confinement Type]])&amp;"*", Map_Conf[From], Map_Conf[To], "", 2), "")</f>
        <v>MCF</v>
      </c>
      <c r="V482" s="108" t="str" cm="1">
        <f t="array" ref="V4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483" spans="1:22" hidden="1">
      <c r="A483">
        <v>292</v>
      </c>
      <c r="B483" t="s">
        <v>301</v>
      </c>
      <c r="C483" t="s">
        <v>61</v>
      </c>
      <c r="D483" t="s">
        <v>62</v>
      </c>
      <c r="E483">
        <v>1000</v>
      </c>
      <c r="F483" t="s">
        <v>75</v>
      </c>
      <c r="G483" t="s">
        <v>52</v>
      </c>
      <c r="H483" t="s">
        <v>76</v>
      </c>
      <c r="I483">
        <v>99</v>
      </c>
      <c r="J483" t="s">
        <v>77</v>
      </c>
      <c r="K483">
        <v>1992</v>
      </c>
      <c r="L483" t="s">
        <v>294</v>
      </c>
      <c r="M483" t="s">
        <v>305</v>
      </c>
      <c r="N483">
        <v>0.75</v>
      </c>
      <c r="O483" t="s">
        <v>84</v>
      </c>
      <c r="P483" t="s">
        <v>38</v>
      </c>
      <c r="Q48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177.18883107626513</v>
      </c>
      <c r="R48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177.18883107626513</v>
      </c>
      <c r="U483" s="107" t="str">
        <f>IFERROR(_xlfn.XLOOKUP("*"&amp;TRIM(Fusion[[#This Row],[Confinement Type]])&amp;"*", Map_Conf[From], Map_Conf[To], "", 2), "")</f>
        <v>MCF</v>
      </c>
      <c r="V483" s="108" t="str" cm="1">
        <f t="array" ref="V4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4" spans="1:22" hidden="1">
      <c r="A484">
        <v>469</v>
      </c>
      <c r="B484" t="s">
        <v>81</v>
      </c>
      <c r="C484" t="s">
        <v>61</v>
      </c>
      <c r="D484" t="s">
        <v>62</v>
      </c>
      <c r="E484">
        <v>1000</v>
      </c>
      <c r="F484" t="s">
        <v>75</v>
      </c>
      <c r="G484" t="s">
        <v>32</v>
      </c>
      <c r="H484" t="s">
        <v>76</v>
      </c>
      <c r="I484">
        <v>130</v>
      </c>
      <c r="J484" t="s">
        <v>77</v>
      </c>
      <c r="K484">
        <v>2003</v>
      </c>
      <c r="L484" t="s">
        <v>440</v>
      </c>
      <c r="M484" t="s">
        <v>639</v>
      </c>
      <c r="N484" t="s">
        <v>38</v>
      </c>
      <c r="O484" t="s">
        <v>38</v>
      </c>
      <c r="P484" t="s">
        <v>38</v>
      </c>
      <c r="Q48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177.4125543478261</v>
      </c>
      <c r="R48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177.4125543478261</v>
      </c>
      <c r="U484" s="107" t="str">
        <f>IFERROR(_xlfn.XLOOKUP("*"&amp;TRIM(Fusion[[#This Row],[Confinement Type]])&amp;"*", Map_Conf[From], Map_Conf[To], "", 2), "")</f>
        <v>MCF</v>
      </c>
      <c r="V484" s="108" t="str" cm="1">
        <f t="array" ref="V4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5" spans="1:22" hidden="1">
      <c r="A485">
        <v>443</v>
      </c>
      <c r="B485" t="s">
        <v>114</v>
      </c>
      <c r="C485" t="s">
        <v>61</v>
      </c>
      <c r="D485" t="s">
        <v>421</v>
      </c>
      <c r="E485">
        <v>1000</v>
      </c>
      <c r="F485" t="s">
        <v>108</v>
      </c>
      <c r="G485" t="s">
        <v>52</v>
      </c>
      <c r="H485" t="s">
        <v>76</v>
      </c>
      <c r="I485">
        <v>100</v>
      </c>
      <c r="J485" t="s">
        <v>77</v>
      </c>
      <c r="K485">
        <v>1992</v>
      </c>
      <c r="L485" t="s">
        <v>420</v>
      </c>
      <c r="N485" t="s">
        <v>38</v>
      </c>
      <c r="O485" t="s">
        <v>38</v>
      </c>
      <c r="P485" t="s">
        <v>38</v>
      </c>
      <c r="Q48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178.97861724875267</v>
      </c>
      <c r="R48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178.97861724875267</v>
      </c>
      <c r="U485" s="107" t="str">
        <f>IFERROR(_xlfn.XLOOKUP("*"&amp;TRIM(Fusion[[#This Row],[Confinement Type]])&amp;"*", Map_Conf[From], Map_Conf[To], "", 2), "")</f>
        <v>MCF</v>
      </c>
      <c r="V485" s="108" t="str" cm="1">
        <f t="array" ref="V4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6" spans="1:22" hidden="1">
      <c r="A486">
        <v>295</v>
      </c>
      <c r="B486" t="s">
        <v>114</v>
      </c>
      <c r="C486" t="s">
        <v>61</v>
      </c>
      <c r="D486" t="s">
        <v>62</v>
      </c>
      <c r="E486">
        <v>1000</v>
      </c>
      <c r="F486" t="s">
        <v>75</v>
      </c>
      <c r="G486" t="s">
        <v>52</v>
      </c>
      <c r="H486" t="s">
        <v>76</v>
      </c>
      <c r="I486">
        <v>101</v>
      </c>
      <c r="J486" t="s">
        <v>77</v>
      </c>
      <c r="K486">
        <v>1992</v>
      </c>
      <c r="L486" t="s">
        <v>294</v>
      </c>
      <c r="M486" t="s">
        <v>305</v>
      </c>
      <c r="N486">
        <v>0.75</v>
      </c>
      <c r="O486" t="s">
        <v>84</v>
      </c>
      <c r="P486" t="s">
        <v>38</v>
      </c>
      <c r="Q48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180.76840342124018</v>
      </c>
      <c r="R48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180.76840342124018</v>
      </c>
      <c r="U486" s="107" t="str">
        <f>IFERROR(_xlfn.XLOOKUP("*"&amp;TRIM(Fusion[[#This Row],[Confinement Type]])&amp;"*", Map_Conf[From], Map_Conf[To], "", 2), "")</f>
        <v>MCF</v>
      </c>
      <c r="V486" s="108" t="str" cm="1">
        <f t="array" ref="V4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7" spans="1:22" hidden="1">
      <c r="A487">
        <v>42</v>
      </c>
      <c r="B487" t="s">
        <v>79</v>
      </c>
      <c r="C487" t="s">
        <v>61</v>
      </c>
      <c r="D487" t="s">
        <v>62</v>
      </c>
      <c r="E487">
        <v>1000</v>
      </c>
      <c r="F487" t="s">
        <v>75</v>
      </c>
      <c r="G487" t="s">
        <v>32</v>
      </c>
      <c r="H487" t="s">
        <v>76</v>
      </c>
      <c r="I487">
        <v>90</v>
      </c>
      <c r="J487" t="s">
        <v>77</v>
      </c>
      <c r="K487">
        <v>1989</v>
      </c>
      <c r="L487" t="s">
        <v>597</v>
      </c>
      <c r="M487" t="s">
        <v>701</v>
      </c>
      <c r="N487" t="s">
        <v>38</v>
      </c>
      <c r="O487" t="s">
        <v>104</v>
      </c>
      <c r="P487" t="s">
        <v>38</v>
      </c>
      <c r="Q48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182.25508064516129</v>
      </c>
      <c r="R48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182.25508064516129</v>
      </c>
      <c r="U487" s="107" t="str">
        <f>IFERROR(_xlfn.XLOOKUP("*"&amp;TRIM(Fusion[[#This Row],[Confinement Type]])&amp;"*", Map_Conf[From], Map_Conf[To], "", 2), "")</f>
        <v>MCF</v>
      </c>
      <c r="V487" s="108" t="str" cm="1">
        <f t="array" ref="V4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8" spans="1:22" hidden="1">
      <c r="B488" t="s">
        <v>827</v>
      </c>
      <c r="C488" t="s">
        <v>30</v>
      </c>
      <c r="D488" t="s">
        <v>796</v>
      </c>
      <c r="E488">
        <v>1010</v>
      </c>
      <c r="F488" t="s">
        <v>75</v>
      </c>
      <c r="G488" t="s">
        <v>52</v>
      </c>
      <c r="H488" t="s">
        <v>76</v>
      </c>
      <c r="I488">
        <v>75</v>
      </c>
      <c r="J488" t="s">
        <v>77</v>
      </c>
      <c r="K488">
        <v>1983</v>
      </c>
      <c r="L488" t="s">
        <v>825</v>
      </c>
      <c r="M488" t="s">
        <v>820</v>
      </c>
      <c r="N488">
        <v>0.7</v>
      </c>
      <c r="O488" t="s">
        <v>824</v>
      </c>
      <c r="Q48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189.08659638554218</v>
      </c>
      <c r="R48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189.08659638554218</v>
      </c>
      <c r="U488" s="107" t="str">
        <f>IFERROR(_xlfn.XLOOKUP("*"&amp;TRIM(Fusion[[#This Row],[Confinement Type]])&amp;"*", Map_Conf[From], Map_Conf[To], "", 2), "")</f>
        <v>ICF</v>
      </c>
      <c r="V488" s="108" t="str" cm="1">
        <f t="array" ref="V4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89" spans="1:22" hidden="1">
      <c r="A489">
        <v>451</v>
      </c>
      <c r="B489" t="s">
        <v>60</v>
      </c>
      <c r="C489" t="s">
        <v>61</v>
      </c>
      <c r="D489" t="s">
        <v>62</v>
      </c>
      <c r="E489">
        <v>1200</v>
      </c>
      <c r="F489" t="s">
        <v>75</v>
      </c>
      <c r="G489" t="s">
        <v>52</v>
      </c>
      <c r="H489" t="s">
        <v>76</v>
      </c>
      <c r="I489">
        <v>75</v>
      </c>
      <c r="J489" t="s">
        <v>77</v>
      </c>
      <c r="K489">
        <v>1983</v>
      </c>
      <c r="L489" t="s">
        <v>428</v>
      </c>
      <c r="M489" t="s">
        <v>431</v>
      </c>
      <c r="N489">
        <v>0.65</v>
      </c>
      <c r="O489" t="s">
        <v>430</v>
      </c>
      <c r="P489" t="s">
        <v>38</v>
      </c>
      <c r="Q48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189.08659638554218</v>
      </c>
      <c r="R48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189.08659638554218</v>
      </c>
      <c r="U489" s="107" t="str">
        <f>IFERROR(_xlfn.XLOOKUP("*"&amp;TRIM(Fusion[[#This Row],[Confinement Type]])&amp;"*", Map_Conf[From], Map_Conf[To], "", 2), "")</f>
        <v>MCF</v>
      </c>
      <c r="V489" s="108" t="str" cm="1">
        <f t="array" ref="V4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0" spans="1:22" hidden="1">
      <c r="A490">
        <v>457</v>
      </c>
      <c r="B490" t="s">
        <v>674</v>
      </c>
      <c r="C490" t="s">
        <v>61</v>
      </c>
      <c r="D490" t="s">
        <v>62</v>
      </c>
      <c r="E490">
        <v>1200</v>
      </c>
      <c r="F490" t="s">
        <v>116</v>
      </c>
      <c r="G490" t="s">
        <v>57</v>
      </c>
      <c r="H490" t="s">
        <v>33</v>
      </c>
      <c r="I490">
        <v>236000000</v>
      </c>
      <c r="J490" t="s">
        <v>34</v>
      </c>
      <c r="K490">
        <v>2020</v>
      </c>
      <c r="L490" t="s">
        <v>433</v>
      </c>
      <c r="M490" t="s">
        <v>640</v>
      </c>
      <c r="N490" t="s">
        <v>38</v>
      </c>
      <c r="O490" t="s">
        <v>38</v>
      </c>
      <c r="P490" t="s">
        <v>38</v>
      </c>
      <c r="Q49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190.81251054501806</v>
      </c>
      <c r="R49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190.81251054501806</v>
      </c>
      <c r="U490" s="107" t="str">
        <f>IFERROR(_xlfn.XLOOKUP("*"&amp;TRIM(Fusion[[#This Row],[Confinement Type]])&amp;"*", Map_Conf[From], Map_Conf[To], "", 2), "")</f>
        <v>MCF</v>
      </c>
      <c r="V490" s="108" t="str" cm="1">
        <f t="array" ref="V4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1" spans="1:22" hidden="1">
      <c r="A491">
        <v>384</v>
      </c>
      <c r="B491" t="s">
        <v>696</v>
      </c>
      <c r="C491" t="s">
        <v>61</v>
      </c>
      <c r="D491" t="s">
        <v>62</v>
      </c>
      <c r="E491">
        <v>1200</v>
      </c>
      <c r="F491" t="s">
        <v>108</v>
      </c>
      <c r="G491" t="s">
        <v>32</v>
      </c>
      <c r="H491" t="s">
        <v>76</v>
      </c>
      <c r="I491">
        <v>105.1</v>
      </c>
      <c r="J491" t="s">
        <v>77</v>
      </c>
      <c r="K491">
        <v>1990</v>
      </c>
      <c r="L491" t="s">
        <v>369</v>
      </c>
      <c r="M491" t="s">
        <v>376</v>
      </c>
      <c r="N491">
        <v>0.75</v>
      </c>
      <c r="O491" t="s">
        <v>371</v>
      </c>
      <c r="P491" t="s">
        <v>38</v>
      </c>
      <c r="Q49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201.92307345065035</v>
      </c>
      <c r="R49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201.92307345065035</v>
      </c>
      <c r="U491" s="107" t="str">
        <f>IFERROR(_xlfn.XLOOKUP("*"&amp;TRIM(Fusion[[#This Row],[Confinement Type]])&amp;"*", Map_Conf[From], Map_Conf[To], "", 2), "")</f>
        <v>MCF</v>
      </c>
      <c r="V491" s="108" t="str" cm="1">
        <f t="array" ref="V4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2" spans="1:22" hidden="1">
      <c r="A492">
        <v>510</v>
      </c>
      <c r="B492" t="s">
        <v>483</v>
      </c>
      <c r="C492" t="s">
        <v>470</v>
      </c>
      <c r="D492" t="s">
        <v>471</v>
      </c>
      <c r="E492">
        <v>150</v>
      </c>
      <c r="F492" t="s">
        <v>116</v>
      </c>
      <c r="G492" t="s">
        <v>52</v>
      </c>
      <c r="H492" t="s">
        <v>33</v>
      </c>
      <c r="I492">
        <v>38000000</v>
      </c>
      <c r="J492" t="s">
        <v>34</v>
      </c>
      <c r="K492">
        <v>2016</v>
      </c>
      <c r="L492" t="s">
        <v>472</v>
      </c>
      <c r="M492" t="s">
        <v>482</v>
      </c>
      <c r="N492" t="s">
        <v>38</v>
      </c>
      <c r="O492" t="s">
        <v>38</v>
      </c>
      <c r="P492" t="s">
        <v>38</v>
      </c>
      <c r="Q49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265.04965827385587</v>
      </c>
      <c r="R49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265.04965827385587</v>
      </c>
      <c r="U492" s="107" t="str">
        <f>IFERROR(_xlfn.XLOOKUP("*"&amp;TRIM(Fusion[[#This Row],[Confinement Type]])&amp;"*", Map_Conf[From], Map_Conf[To], "", 2), "")</f>
        <v>MIF</v>
      </c>
      <c r="V492" s="108" t="str" cm="1">
        <f t="array" ref="V4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493" spans="1:22" hidden="1">
      <c r="A493">
        <v>230</v>
      </c>
      <c r="B493" t="s">
        <v>688</v>
      </c>
      <c r="C493" t="s">
        <v>61</v>
      </c>
      <c r="D493" t="s">
        <v>62</v>
      </c>
      <c r="E493">
        <v>1200</v>
      </c>
      <c r="F493" t="s">
        <v>230</v>
      </c>
      <c r="G493" t="s">
        <v>57</v>
      </c>
      <c r="H493" t="s">
        <v>33</v>
      </c>
      <c r="I493">
        <v>1612500000</v>
      </c>
      <c r="J493" t="s">
        <v>34</v>
      </c>
      <c r="K493">
        <v>2010</v>
      </c>
      <c r="L493" t="s">
        <v>262</v>
      </c>
      <c r="N493">
        <v>0.75</v>
      </c>
      <c r="O493" t="s">
        <v>84</v>
      </c>
      <c r="P493" t="s">
        <v>38</v>
      </c>
      <c r="Q49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1547.4237409197635</v>
      </c>
      <c r="R49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1547.4237409197635</v>
      </c>
      <c r="U493" s="107" t="str">
        <f>IFERROR(_xlfn.XLOOKUP("*"&amp;TRIM(Fusion[[#This Row],[Confinement Type]])&amp;"*", Map_Conf[From], Map_Conf[To], "", 2), "")</f>
        <v>MCF</v>
      </c>
      <c r="V493" s="108" t="str" cm="1">
        <f t="array" ref="V4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4" spans="1:22" hidden="1">
      <c r="A494">
        <v>231</v>
      </c>
      <c r="B494" t="s">
        <v>687</v>
      </c>
      <c r="C494" t="s">
        <v>61</v>
      </c>
      <c r="D494" t="s">
        <v>62</v>
      </c>
      <c r="E494">
        <v>1420</v>
      </c>
      <c r="F494" t="s">
        <v>230</v>
      </c>
      <c r="G494" t="s">
        <v>57</v>
      </c>
      <c r="H494" t="s">
        <v>33</v>
      </c>
      <c r="I494">
        <v>2015625000</v>
      </c>
      <c r="J494" t="s">
        <v>34</v>
      </c>
      <c r="K494">
        <v>2010</v>
      </c>
      <c r="L494" t="s">
        <v>262</v>
      </c>
      <c r="N494">
        <v>0.75</v>
      </c>
      <c r="O494" t="s">
        <v>84</v>
      </c>
      <c r="P494" t="s">
        <v>38</v>
      </c>
      <c r="Q49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1634.6025432251022</v>
      </c>
      <c r="R49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1634.6025432251022</v>
      </c>
      <c r="U494" s="107" t="str">
        <f>IFERROR(_xlfn.XLOOKUP("*"&amp;TRIM(Fusion[[#This Row],[Confinement Type]])&amp;"*", Map_Conf[From], Map_Conf[To], "", 2), "")</f>
        <v>MCF</v>
      </c>
      <c r="V494" s="108" t="str" cm="1">
        <f t="array" ref="V4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5" spans="1:22" hidden="1">
      <c r="A495">
        <v>3</v>
      </c>
      <c r="B495" t="s">
        <v>56</v>
      </c>
      <c r="C495" t="s">
        <v>30</v>
      </c>
      <c r="D495" t="s">
        <v>798</v>
      </c>
      <c r="E495">
        <v>2660</v>
      </c>
      <c r="F495" t="s">
        <v>217</v>
      </c>
      <c r="G495" t="s">
        <v>52</v>
      </c>
      <c r="H495" t="s">
        <v>33</v>
      </c>
      <c r="I495">
        <v>4000000000</v>
      </c>
      <c r="J495" t="s">
        <v>34</v>
      </c>
      <c r="K495">
        <v>2011</v>
      </c>
      <c r="L495" t="s">
        <v>35</v>
      </c>
      <c r="M495" t="s">
        <v>794</v>
      </c>
      <c r="N495">
        <v>0.92</v>
      </c>
      <c r="O495" t="s">
        <v>37</v>
      </c>
      <c r="P495" t="s">
        <v>38</v>
      </c>
      <c r="Q49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1678.6973858610359</v>
      </c>
      <c r="R49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1678.6973858610359</v>
      </c>
      <c r="U495" s="107" t="str">
        <f>IFERROR(_xlfn.XLOOKUP("*"&amp;TRIM(Fusion[[#This Row],[Confinement Type]])&amp;"*", Map_Conf[From], Map_Conf[To], "", 2), "")</f>
        <v>ICF</v>
      </c>
      <c r="V495" s="108" t="str" cm="1">
        <f t="array" ref="V4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96" spans="1:22">
      <c r="A496">
        <v>4</v>
      </c>
      <c r="B496" t="s">
        <v>443</v>
      </c>
      <c r="C496" t="s">
        <v>61</v>
      </c>
      <c r="D496" t="s">
        <v>62</v>
      </c>
      <c r="E496">
        <v>1985</v>
      </c>
      <c r="F496" t="s">
        <v>31</v>
      </c>
      <c r="G496" t="s">
        <v>52</v>
      </c>
      <c r="H496" t="s">
        <v>33</v>
      </c>
      <c r="I496">
        <v>3270000000</v>
      </c>
      <c r="J496" t="s">
        <v>34</v>
      </c>
      <c r="K496">
        <v>1975</v>
      </c>
      <c r="L496" t="s">
        <v>1075</v>
      </c>
      <c r="M496" t="s">
        <v>1069</v>
      </c>
      <c r="N496" t="s">
        <v>1077</v>
      </c>
      <c r="O496" t="s">
        <v>1068</v>
      </c>
      <c r="P496">
        <v>980000000</v>
      </c>
      <c r="Q49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7688.8924367702002</v>
      </c>
      <c r="R49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9993.2088245484265</v>
      </c>
      <c r="U496" s="107" t="str">
        <f>IFERROR(_xlfn.XLOOKUP("*"&amp;TRIM(Fusion[[#This Row],[Confinement Type]])&amp;"*", Map_Conf[From], Map_Conf[To], "", 2), "")</f>
        <v>MCF</v>
      </c>
      <c r="V496" s="108" t="str" cm="1">
        <f t="array" ref="V4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7" spans="1:22" hidden="1">
      <c r="A497">
        <v>229</v>
      </c>
      <c r="B497" t="s">
        <v>265</v>
      </c>
      <c r="C497" t="s">
        <v>61</v>
      </c>
      <c r="D497" t="s">
        <v>62</v>
      </c>
      <c r="E497">
        <v>1600</v>
      </c>
      <c r="F497" t="s">
        <v>230</v>
      </c>
      <c r="G497" t="s">
        <v>57</v>
      </c>
      <c r="H497" t="s">
        <v>33</v>
      </c>
      <c r="I497">
        <v>2418750000</v>
      </c>
      <c r="J497" t="s">
        <v>34</v>
      </c>
      <c r="K497">
        <v>2010</v>
      </c>
      <c r="L497" t="s">
        <v>262</v>
      </c>
      <c r="N497">
        <v>0.75</v>
      </c>
      <c r="O497" t="s">
        <v>84</v>
      </c>
      <c r="P497" t="s">
        <v>38</v>
      </c>
      <c r="Q49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1740.8517085347339</v>
      </c>
      <c r="R49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1740.8517085347339</v>
      </c>
      <c r="U497" s="107" t="str">
        <f>IFERROR(_xlfn.XLOOKUP("*"&amp;TRIM(Fusion[[#This Row],[Confinement Type]])&amp;"*", Map_Conf[From], Map_Conf[To], "", 2), "")</f>
        <v>MCF</v>
      </c>
      <c r="V497" s="108" t="str" cm="1">
        <f t="array" ref="V4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8" spans="1:22">
      <c r="A498">
        <v>10</v>
      </c>
      <c r="B498" t="s">
        <v>81</v>
      </c>
      <c r="C498" t="s">
        <v>61</v>
      </c>
      <c r="D498" t="s">
        <v>62</v>
      </c>
      <c r="E498">
        <v>1500</v>
      </c>
      <c r="F498" t="s">
        <v>31</v>
      </c>
      <c r="G498" t="s">
        <v>32</v>
      </c>
      <c r="H498" t="s">
        <v>76</v>
      </c>
      <c r="I498">
        <v>8000</v>
      </c>
      <c r="J498" t="s">
        <v>82</v>
      </c>
      <c r="K498">
        <v>2011</v>
      </c>
      <c r="L498" t="s">
        <v>83</v>
      </c>
      <c r="M498" t="s">
        <v>748</v>
      </c>
      <c r="N498" t="s">
        <v>706</v>
      </c>
      <c r="O498" t="s">
        <v>84</v>
      </c>
      <c r="P498" t="s">
        <v>38</v>
      </c>
      <c r="Q49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12441.316506252808</v>
      </c>
      <c r="R49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12441.316506252808</v>
      </c>
      <c r="U498" s="107" t="str">
        <f>IFERROR(_xlfn.XLOOKUP("*"&amp;TRIM(Fusion[[#This Row],[Confinement Type]])&amp;"*", Map_Conf[From], Map_Conf[To], "", 2), "")</f>
        <v>MCF</v>
      </c>
      <c r="V498" s="108" t="str" cm="1">
        <f t="array" ref="V4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9" spans="1:22">
      <c r="A499">
        <v>28</v>
      </c>
      <c r="B499" t="s">
        <v>90</v>
      </c>
      <c r="C499" t="s">
        <v>61</v>
      </c>
      <c r="D499" t="s">
        <v>91</v>
      </c>
      <c r="E499">
        <v>1198</v>
      </c>
      <c r="F499" t="s">
        <v>31</v>
      </c>
      <c r="G499" t="s">
        <v>52</v>
      </c>
      <c r="H499" t="s">
        <v>33</v>
      </c>
      <c r="I499">
        <v>4969000000</v>
      </c>
      <c r="J499" t="s">
        <v>34</v>
      </c>
      <c r="K499">
        <v>1985</v>
      </c>
      <c r="L499" t="s">
        <v>92</v>
      </c>
      <c r="M499" t="s">
        <v>93</v>
      </c>
      <c r="N499" t="s">
        <v>94</v>
      </c>
      <c r="O499" t="s">
        <v>84</v>
      </c>
      <c r="P499">
        <v>436000000</v>
      </c>
      <c r="Q49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9679.6293311032641</v>
      </c>
      <c r="R49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10528.958851803813</v>
      </c>
      <c r="U499" s="107" t="str">
        <f>IFERROR(_xlfn.XLOOKUP("*"&amp;TRIM(Fusion[[#This Row],[Confinement Type]])&amp;"*", Map_Conf[From], Map_Conf[To], "", 2), "")</f>
        <v>MCF</v>
      </c>
      <c r="V499" s="108" t="str" cm="1">
        <f t="array" ref="V4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500" spans="1:22">
      <c r="B500" t="s">
        <v>828</v>
      </c>
      <c r="C500" t="s">
        <v>30</v>
      </c>
      <c r="D500" t="s">
        <v>796</v>
      </c>
      <c r="E500">
        <v>2000</v>
      </c>
      <c r="F500" t="s">
        <v>31</v>
      </c>
      <c r="G500" t="s">
        <v>52</v>
      </c>
      <c r="H500" t="s">
        <v>33</v>
      </c>
      <c r="I500">
        <v>855000000</v>
      </c>
      <c r="J500" t="s">
        <v>34</v>
      </c>
      <c r="K500">
        <v>1983</v>
      </c>
      <c r="L500" t="s">
        <v>825</v>
      </c>
      <c r="M500" t="s">
        <v>821</v>
      </c>
      <c r="N500">
        <v>0.7</v>
      </c>
      <c r="O500" t="s">
        <v>824</v>
      </c>
      <c r="P500">
        <v>508000000</v>
      </c>
      <c r="Q50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1077.7935993975905</v>
      </c>
      <c r="R50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1718.16687248996</v>
      </c>
      <c r="U500" s="107" t="str">
        <f>IFERROR(_xlfn.XLOOKUP("*"&amp;TRIM(Fusion[[#This Row],[Confinement Type]])&amp;"*", Map_Conf[From], Map_Conf[To], "", 2), "")</f>
        <v>ICF</v>
      </c>
      <c r="V500" s="108" t="str" cm="1">
        <f t="array" ref="V5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01" spans="1:22">
      <c r="B501" t="s">
        <v>827</v>
      </c>
      <c r="C501" t="s">
        <v>30</v>
      </c>
      <c r="D501" t="s">
        <v>796</v>
      </c>
      <c r="E501">
        <v>1010</v>
      </c>
      <c r="F501" t="s">
        <v>31</v>
      </c>
      <c r="G501" t="s">
        <v>52</v>
      </c>
      <c r="H501" t="s">
        <v>33</v>
      </c>
      <c r="I501">
        <v>552000000</v>
      </c>
      <c r="J501" t="s">
        <v>34</v>
      </c>
      <c r="K501">
        <v>1983</v>
      </c>
      <c r="L501" t="s">
        <v>825</v>
      </c>
      <c r="M501" t="s">
        <v>822</v>
      </c>
      <c r="N501">
        <v>0.7</v>
      </c>
      <c r="O501" t="s">
        <v>824</v>
      </c>
      <c r="P501">
        <v>328000000</v>
      </c>
      <c r="Q50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1377.8983657401886</v>
      </c>
      <c r="R50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2196.6495685713148</v>
      </c>
      <c r="U501" s="107" t="str">
        <f>IFERROR(_xlfn.XLOOKUP("*"&amp;TRIM(Fusion[[#This Row],[Confinement Type]])&amp;"*", Map_Conf[From], Map_Conf[To], "", 2), "")</f>
        <v>ICF</v>
      </c>
      <c r="V501" s="108" t="str" cm="1">
        <f t="array" ref="V5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02" spans="1:22" hidden="1">
      <c r="A502">
        <v>228</v>
      </c>
      <c r="B502" t="s">
        <v>264</v>
      </c>
      <c r="C502" t="s">
        <v>61</v>
      </c>
      <c r="D502" t="s">
        <v>62</v>
      </c>
      <c r="E502">
        <v>1000</v>
      </c>
      <c r="F502" t="s">
        <v>230</v>
      </c>
      <c r="G502" t="s">
        <v>57</v>
      </c>
      <c r="H502" t="s">
        <v>33</v>
      </c>
      <c r="I502">
        <v>2015625000</v>
      </c>
      <c r="J502" t="s">
        <v>34</v>
      </c>
      <c r="K502">
        <v>2010</v>
      </c>
      <c r="L502" t="s">
        <v>262</v>
      </c>
      <c r="N502">
        <v>0.75</v>
      </c>
      <c r="O502" t="s">
        <v>84</v>
      </c>
      <c r="P502" t="s">
        <v>38</v>
      </c>
      <c r="Q50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2321.1356113796451</v>
      </c>
      <c r="R50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2321.1356113796451</v>
      </c>
      <c r="U502" s="107" t="str">
        <f>IFERROR(_xlfn.XLOOKUP("*"&amp;TRIM(Fusion[[#This Row],[Confinement Type]])&amp;"*", Map_Conf[From], Map_Conf[To], "", 2), "")</f>
        <v>MCF</v>
      </c>
      <c r="V502" s="108" t="str" cm="1">
        <f t="array" ref="V5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3" spans="1:22">
      <c r="A503">
        <v>9</v>
      </c>
      <c r="B503" t="s">
        <v>60</v>
      </c>
      <c r="C503" t="s">
        <v>61</v>
      </c>
      <c r="D503" t="s">
        <v>62</v>
      </c>
      <c r="E503">
        <v>1200</v>
      </c>
      <c r="F503" t="s">
        <v>31</v>
      </c>
      <c r="G503" t="s">
        <v>52</v>
      </c>
      <c r="H503" t="s">
        <v>33</v>
      </c>
      <c r="I503">
        <v>1935530000.0000002</v>
      </c>
      <c r="J503" t="s">
        <v>34</v>
      </c>
      <c r="K503">
        <v>1980</v>
      </c>
      <c r="L503" t="s">
        <v>975</v>
      </c>
      <c r="M503" t="s">
        <v>788</v>
      </c>
      <c r="N503" t="s">
        <v>65</v>
      </c>
      <c r="O503" t="s">
        <v>66</v>
      </c>
      <c r="P503">
        <v>188040000</v>
      </c>
      <c r="Q50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4915.3027074231395</v>
      </c>
      <c r="R50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5392.8326455299357</v>
      </c>
      <c r="U503" s="107" t="str">
        <f>IFERROR(_xlfn.XLOOKUP("*"&amp;TRIM(Fusion[[#This Row],[Confinement Type]])&amp;"*", Map_Conf[From], Map_Conf[To], "", 2), "")</f>
        <v>MCF</v>
      </c>
      <c r="V503" s="108" t="str" cm="1">
        <f t="array" ref="V5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4" spans="1:22" hidden="1">
      <c r="A504">
        <v>2</v>
      </c>
      <c r="B504" t="s">
        <v>51</v>
      </c>
      <c r="C504" t="s">
        <v>30</v>
      </c>
      <c r="D504" t="s">
        <v>798</v>
      </c>
      <c r="E504">
        <v>2200</v>
      </c>
      <c r="F504" t="s">
        <v>217</v>
      </c>
      <c r="G504" t="s">
        <v>57</v>
      </c>
      <c r="H504" t="s">
        <v>33</v>
      </c>
      <c r="I504">
        <v>5000000000</v>
      </c>
      <c r="J504" t="s">
        <v>34</v>
      </c>
      <c r="K504">
        <v>2011</v>
      </c>
      <c r="L504" t="s">
        <v>35</v>
      </c>
      <c r="M504" t="s">
        <v>53</v>
      </c>
      <c r="N504">
        <v>0.92</v>
      </c>
      <c r="O504" t="s">
        <v>37</v>
      </c>
      <c r="P504" t="s">
        <v>38</v>
      </c>
      <c r="Q50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2537.122185449065</v>
      </c>
      <c r="R50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2537.122185449065</v>
      </c>
      <c r="U504" s="107" t="str">
        <f>IFERROR(_xlfn.XLOOKUP("*"&amp;TRIM(Fusion[[#This Row],[Confinement Type]])&amp;"*", Map_Conf[From], Map_Conf[To], "", 2), "")</f>
        <v>ICF</v>
      </c>
      <c r="V504" s="108" t="str" cm="1">
        <f t="array" ref="V5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05" spans="1:22" hidden="1">
      <c r="B505" t="s">
        <v>81</v>
      </c>
      <c r="C505" t="s">
        <v>61</v>
      </c>
      <c r="D505" t="s">
        <v>62</v>
      </c>
      <c r="E505">
        <v>1500</v>
      </c>
      <c r="F505" t="s">
        <v>217</v>
      </c>
      <c r="G505" t="s">
        <v>755</v>
      </c>
      <c r="H505" t="s">
        <v>76</v>
      </c>
      <c r="I505">
        <v>1850</v>
      </c>
      <c r="J505" t="s">
        <v>82</v>
      </c>
      <c r="K505">
        <v>2011</v>
      </c>
      <c r="L505" t="s">
        <v>83</v>
      </c>
      <c r="M505" t="s">
        <v>767</v>
      </c>
      <c r="Q50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2877.0544420709616</v>
      </c>
      <c r="R50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2877.0544420709616</v>
      </c>
      <c r="U505" s="107" t="str">
        <f>IFERROR(_xlfn.XLOOKUP("*"&amp;TRIM(Fusion[[#This Row],[Confinement Type]])&amp;"*", Map_Conf[From], Map_Conf[To], "", 2), "")</f>
        <v>MCF</v>
      </c>
      <c r="V505" s="108" t="str" cm="1">
        <f t="array" ref="V5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6" spans="1:22" hidden="1">
      <c r="A506">
        <v>47</v>
      </c>
      <c r="B506" t="s">
        <v>126</v>
      </c>
      <c r="C506" t="s">
        <v>61</v>
      </c>
      <c r="D506" t="s">
        <v>62</v>
      </c>
      <c r="E506">
        <v>1000</v>
      </c>
      <c r="F506" t="s">
        <v>667</v>
      </c>
      <c r="G506" t="s">
        <v>52</v>
      </c>
      <c r="H506" t="s">
        <v>33</v>
      </c>
      <c r="I506">
        <v>1430000000</v>
      </c>
      <c r="J506" t="s">
        <v>34</v>
      </c>
      <c r="K506">
        <v>1988</v>
      </c>
      <c r="L506" t="s">
        <v>120</v>
      </c>
      <c r="M506" t="s">
        <v>121</v>
      </c>
      <c r="N506">
        <v>0.76</v>
      </c>
      <c r="O506" t="s">
        <v>122</v>
      </c>
      <c r="P506" t="s">
        <v>38</v>
      </c>
      <c r="Q50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3035.3593406593404</v>
      </c>
      <c r="R50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3035.3593406593404</v>
      </c>
      <c r="U506" s="107" t="str">
        <f>IFERROR(_xlfn.XLOOKUP("*"&amp;TRIM(Fusion[[#This Row],[Confinement Type]])&amp;"*", Map_Conf[From], Map_Conf[To], "", 2), "")</f>
        <v>MCF</v>
      </c>
      <c r="V506" s="108" t="str" cm="1">
        <f t="array" ref="V5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7" spans="1:22" hidden="1">
      <c r="A507">
        <v>46</v>
      </c>
      <c r="B507" t="s">
        <v>125</v>
      </c>
      <c r="C507" t="s">
        <v>30</v>
      </c>
      <c r="D507" t="s">
        <v>796</v>
      </c>
      <c r="E507">
        <v>815</v>
      </c>
      <c r="F507" t="s">
        <v>667</v>
      </c>
      <c r="G507" t="s">
        <v>52</v>
      </c>
      <c r="H507" t="s">
        <v>33</v>
      </c>
      <c r="I507">
        <v>1195000000</v>
      </c>
      <c r="J507" t="s">
        <v>34</v>
      </c>
      <c r="K507">
        <v>1988</v>
      </c>
      <c r="L507" t="s">
        <v>120</v>
      </c>
      <c r="M507" t="s">
        <v>121</v>
      </c>
      <c r="N507">
        <v>0.76</v>
      </c>
      <c r="O507" t="s">
        <v>122</v>
      </c>
      <c r="P507" t="s">
        <v>38</v>
      </c>
      <c r="Q50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3112.320916459661</v>
      </c>
      <c r="R50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3112.320916459661</v>
      </c>
      <c r="U507" s="107" t="str">
        <f>IFERROR(_xlfn.XLOOKUP("*"&amp;TRIM(Fusion[[#This Row],[Confinement Type]])&amp;"*", Map_Conf[From], Map_Conf[To], "", 2), "")</f>
        <v>ICF</v>
      </c>
      <c r="V507" s="108" t="str" cm="1">
        <f t="array" ref="V5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08" spans="1:22">
      <c r="A508">
        <v>33</v>
      </c>
      <c r="B508" t="s">
        <v>105</v>
      </c>
      <c r="C508" t="s">
        <v>61</v>
      </c>
      <c r="D508" t="s">
        <v>62</v>
      </c>
      <c r="E508">
        <v>121.1</v>
      </c>
      <c r="F508" t="s">
        <v>31</v>
      </c>
      <c r="G508" t="s">
        <v>32</v>
      </c>
      <c r="H508" t="s">
        <v>33</v>
      </c>
      <c r="I508">
        <v>1414500000</v>
      </c>
      <c r="J508" t="s">
        <v>34</v>
      </c>
      <c r="K508">
        <v>2009</v>
      </c>
      <c r="L508" t="s">
        <v>101</v>
      </c>
      <c r="M508" t="s">
        <v>106</v>
      </c>
      <c r="N508" t="s">
        <v>103</v>
      </c>
      <c r="O508" t="s">
        <v>104</v>
      </c>
      <c r="P508">
        <v>238300000</v>
      </c>
      <c r="Q50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13671.476643379896</v>
      </c>
      <c r="R50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15974.702436322583</v>
      </c>
      <c r="U508" s="107" t="str">
        <f>IFERROR(_xlfn.XLOOKUP("*"&amp;TRIM(Fusion[[#This Row],[Confinement Type]])&amp;"*", Map_Conf[From], Map_Conf[To], "", 2), "")</f>
        <v>MCF</v>
      </c>
      <c r="V508" s="108" t="str" cm="1">
        <f t="array" ref="V5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9" spans="1:22">
      <c r="A509">
        <v>32</v>
      </c>
      <c r="B509" t="s">
        <v>100</v>
      </c>
      <c r="C509" t="s">
        <v>61</v>
      </c>
      <c r="D509" t="s">
        <v>62</v>
      </c>
      <c r="E509">
        <v>121.1</v>
      </c>
      <c r="F509" t="s">
        <v>31</v>
      </c>
      <c r="G509" t="s">
        <v>32</v>
      </c>
      <c r="H509" t="s">
        <v>33</v>
      </c>
      <c r="I509">
        <v>2579400000</v>
      </c>
      <c r="J509" t="s">
        <v>34</v>
      </c>
      <c r="K509">
        <v>2009</v>
      </c>
      <c r="L509" t="s">
        <v>101</v>
      </c>
      <c r="M509" t="s">
        <v>102</v>
      </c>
      <c r="N509" t="s">
        <v>103</v>
      </c>
      <c r="O509" t="s">
        <v>104</v>
      </c>
      <c r="P509">
        <v>434600000</v>
      </c>
      <c r="Q50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24930.510324449704</v>
      </c>
      <c r="R50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29131.021988792512</v>
      </c>
      <c r="U509" s="107" t="str">
        <f>IFERROR(_xlfn.XLOOKUP("*"&amp;TRIM(Fusion[[#This Row],[Confinement Type]])&amp;"*", Map_Conf[From], Map_Conf[To], "", 2), "")</f>
        <v>MCF</v>
      </c>
      <c r="V509" s="108" t="str" cm="1">
        <f t="array" ref="V5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0" spans="1:22">
      <c r="A510">
        <v>78</v>
      </c>
      <c r="B510" t="s">
        <v>143</v>
      </c>
      <c r="C510" t="s">
        <v>61</v>
      </c>
      <c r="D510" t="s">
        <v>62</v>
      </c>
      <c r="E510">
        <v>1200</v>
      </c>
      <c r="F510" t="s">
        <v>31</v>
      </c>
      <c r="G510" t="s">
        <v>52</v>
      </c>
      <c r="H510" t="s">
        <v>33</v>
      </c>
      <c r="I510">
        <v>2547000000</v>
      </c>
      <c r="J510" t="s">
        <v>34</v>
      </c>
      <c r="K510">
        <v>1990</v>
      </c>
      <c r="L510" t="s">
        <v>140</v>
      </c>
      <c r="M510" t="s">
        <v>141</v>
      </c>
      <c r="N510" t="s">
        <v>708</v>
      </c>
      <c r="O510" t="s">
        <v>84</v>
      </c>
      <c r="P510">
        <v>469000000</v>
      </c>
      <c r="Q51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4077.8470351951037</v>
      </c>
      <c r="R51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4828.7344554960473</v>
      </c>
      <c r="U510" s="107" t="str">
        <f>IFERROR(_xlfn.XLOOKUP("*"&amp;TRIM(Fusion[[#This Row],[Confinement Type]])&amp;"*", Map_Conf[From], Map_Conf[To], "", 2), "")</f>
        <v>MCF</v>
      </c>
      <c r="V510" s="108" t="str" cm="1">
        <f t="array" ref="V5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1" spans="1:22" hidden="1">
      <c r="A511">
        <v>44</v>
      </c>
      <c r="B511" t="s">
        <v>119</v>
      </c>
      <c r="C511" t="s">
        <v>61</v>
      </c>
      <c r="D511" t="s">
        <v>113</v>
      </c>
      <c r="E511">
        <v>1200</v>
      </c>
      <c r="F511" t="s">
        <v>667</v>
      </c>
      <c r="G511" t="s">
        <v>52</v>
      </c>
      <c r="H511" t="s">
        <v>33</v>
      </c>
      <c r="I511">
        <v>1800000000</v>
      </c>
      <c r="J511" t="s">
        <v>34</v>
      </c>
      <c r="K511">
        <v>1988</v>
      </c>
      <c r="L511" t="s">
        <v>120</v>
      </c>
      <c r="M511" t="s">
        <v>121</v>
      </c>
      <c r="N511">
        <v>0.76</v>
      </c>
      <c r="O511" t="s">
        <v>122</v>
      </c>
      <c r="P511" t="s">
        <v>38</v>
      </c>
      <c r="Q51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3183.9433643279795</v>
      </c>
      <c r="R51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3183.9433643279795</v>
      </c>
      <c r="U511" s="107" t="str">
        <f>IFERROR(_xlfn.XLOOKUP("*"&amp;TRIM(Fusion[[#This Row],[Confinement Type]])&amp;"*", Map_Conf[From], Map_Conf[To], "", 2), "")</f>
        <v>MCF</v>
      </c>
      <c r="V511" s="108" t="str" cm="1">
        <f t="array" ref="V5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512" spans="1:22" hidden="1">
      <c r="B512" t="s">
        <v>81</v>
      </c>
      <c r="C512" t="s">
        <v>61</v>
      </c>
      <c r="D512" t="s">
        <v>62</v>
      </c>
      <c r="E512">
        <v>1500</v>
      </c>
      <c r="F512" t="s">
        <v>217</v>
      </c>
      <c r="G512" t="s">
        <v>755</v>
      </c>
      <c r="H512" t="s">
        <v>76</v>
      </c>
      <c r="I512">
        <v>2050</v>
      </c>
      <c r="J512" t="s">
        <v>82</v>
      </c>
      <c r="K512">
        <v>2011</v>
      </c>
      <c r="L512" t="s">
        <v>83</v>
      </c>
      <c r="M512" t="s">
        <v>764</v>
      </c>
      <c r="Q51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3188.0873547272818</v>
      </c>
      <c r="R51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3188.0873547272818</v>
      </c>
      <c r="U512" s="107" t="str">
        <f>IFERROR(_xlfn.XLOOKUP("*"&amp;TRIM(Fusion[[#This Row],[Confinement Type]])&amp;"*", Map_Conf[From], Map_Conf[To], "", 2), "")</f>
        <v>MCF</v>
      </c>
      <c r="V512" s="108" t="str" cm="1">
        <f t="array" ref="V5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3" spans="1:22" hidden="1">
      <c r="A513">
        <v>48</v>
      </c>
      <c r="B513" t="s">
        <v>112</v>
      </c>
      <c r="C513" t="s">
        <v>61</v>
      </c>
      <c r="D513" t="s">
        <v>113</v>
      </c>
      <c r="E513">
        <v>970</v>
      </c>
      <c r="F513" t="s">
        <v>667</v>
      </c>
      <c r="G513" t="s">
        <v>52</v>
      </c>
      <c r="H513" t="s">
        <v>33</v>
      </c>
      <c r="I513">
        <v>1470000000</v>
      </c>
      <c r="J513" t="s">
        <v>34</v>
      </c>
      <c r="K513">
        <v>1988</v>
      </c>
      <c r="L513" t="s">
        <v>120</v>
      </c>
      <c r="M513" t="s">
        <v>121</v>
      </c>
      <c r="N513">
        <v>0.76</v>
      </c>
      <c r="O513" t="s">
        <v>122</v>
      </c>
      <c r="P513" t="s">
        <v>38</v>
      </c>
      <c r="Q51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3216.7675227231134</v>
      </c>
      <c r="R51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3216.7675227231134</v>
      </c>
      <c r="U513" s="107" t="str">
        <f>IFERROR(_xlfn.XLOOKUP("*"&amp;TRIM(Fusion[[#This Row],[Confinement Type]])&amp;"*", Map_Conf[From], Map_Conf[To], "", 2), "")</f>
        <v>MCF</v>
      </c>
      <c r="V513" s="108" t="str" cm="1">
        <f t="array" ref="V5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514" spans="1:22">
      <c r="A514">
        <v>77</v>
      </c>
      <c r="B514" t="s">
        <v>139</v>
      </c>
      <c r="C514" t="s">
        <v>61</v>
      </c>
      <c r="D514" t="s">
        <v>62</v>
      </c>
      <c r="E514">
        <v>1200</v>
      </c>
      <c r="F514" t="s">
        <v>31</v>
      </c>
      <c r="G514" t="s">
        <v>52</v>
      </c>
      <c r="H514" t="s">
        <v>33</v>
      </c>
      <c r="I514">
        <v>2853000000</v>
      </c>
      <c r="J514" t="s">
        <v>34</v>
      </c>
      <c r="K514">
        <v>1990</v>
      </c>
      <c r="L514" t="s">
        <v>140</v>
      </c>
      <c r="M514" t="s">
        <v>141</v>
      </c>
      <c r="N514" t="s">
        <v>708</v>
      </c>
      <c r="O514" t="s">
        <v>84</v>
      </c>
      <c r="P514">
        <v>557000000</v>
      </c>
      <c r="Q51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4567.7650535577668</v>
      </c>
      <c r="R51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5459.5439301198676</v>
      </c>
      <c r="U514" s="107" t="str">
        <f>IFERROR(_xlfn.XLOOKUP("*"&amp;TRIM(Fusion[[#This Row],[Confinement Type]])&amp;"*", Map_Conf[From], Map_Conf[To], "", 2), "")</f>
        <v>MCF</v>
      </c>
      <c r="V514" s="108" t="str" cm="1">
        <f t="array" ref="V5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5" spans="1:22">
      <c r="A515">
        <v>79</v>
      </c>
      <c r="B515" t="s">
        <v>114</v>
      </c>
      <c r="C515" t="s">
        <v>61</v>
      </c>
      <c r="D515" t="s">
        <v>62</v>
      </c>
      <c r="E515">
        <v>1200</v>
      </c>
      <c r="F515" t="s">
        <v>31</v>
      </c>
      <c r="G515" t="s">
        <v>52</v>
      </c>
      <c r="H515" t="s">
        <v>33</v>
      </c>
      <c r="I515">
        <v>4092000000</v>
      </c>
      <c r="J515" t="s">
        <v>34</v>
      </c>
      <c r="K515">
        <v>1990</v>
      </c>
      <c r="L515" t="s">
        <v>140</v>
      </c>
      <c r="M515" t="s">
        <v>141</v>
      </c>
      <c r="N515" t="s">
        <v>708</v>
      </c>
      <c r="O515" t="s">
        <v>84</v>
      </c>
      <c r="P515">
        <v>636000000</v>
      </c>
      <c r="Q51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6551.4527161438418</v>
      </c>
      <c r="R51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7569.7136954858461</v>
      </c>
      <c r="U515" s="107" t="str">
        <f>IFERROR(_xlfn.XLOOKUP("*"&amp;TRIM(Fusion[[#This Row],[Confinement Type]])&amp;"*", Map_Conf[From], Map_Conf[To], "", 2), "")</f>
        <v>MCF</v>
      </c>
      <c r="V515" s="108" t="str" cm="1">
        <f t="array" ref="V5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6" spans="1:22">
      <c r="A516">
        <v>105</v>
      </c>
      <c r="B516" t="s">
        <v>178</v>
      </c>
      <c r="C516" t="s">
        <v>61</v>
      </c>
      <c r="D516" t="s">
        <v>62</v>
      </c>
      <c r="E516">
        <v>1200</v>
      </c>
      <c r="F516" t="s">
        <v>31</v>
      </c>
      <c r="G516" t="s">
        <v>52</v>
      </c>
      <c r="H516" t="s">
        <v>33</v>
      </c>
      <c r="I516">
        <v>1439800000</v>
      </c>
      <c r="J516" t="s">
        <v>34</v>
      </c>
      <c r="K516">
        <v>1986</v>
      </c>
      <c r="L516" t="s">
        <v>147</v>
      </c>
      <c r="M516" t="s">
        <v>179</v>
      </c>
      <c r="N516" t="s">
        <v>708</v>
      </c>
      <c r="O516" t="s">
        <v>84</v>
      </c>
      <c r="P516">
        <v>216000000</v>
      </c>
      <c r="Q51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2748.9648616180052</v>
      </c>
      <c r="R51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3161.366868917275</v>
      </c>
      <c r="U516" s="107" t="str">
        <f>IFERROR(_xlfn.XLOOKUP("*"&amp;TRIM(Fusion[[#This Row],[Confinement Type]])&amp;"*", Map_Conf[From], Map_Conf[To], "", 2), "")</f>
        <v>MCF</v>
      </c>
      <c r="V516" s="108" t="str" cm="1">
        <f t="array" ref="V5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7" spans="1:22" hidden="1">
      <c r="A517">
        <v>446</v>
      </c>
      <c r="B517" t="s">
        <v>423</v>
      </c>
      <c r="C517" t="s">
        <v>61</v>
      </c>
      <c r="D517" t="s">
        <v>251</v>
      </c>
      <c r="E517">
        <v>1000</v>
      </c>
      <c r="F517" t="s">
        <v>667</v>
      </c>
      <c r="G517" t="s">
        <v>52</v>
      </c>
      <c r="H517" t="s">
        <v>33</v>
      </c>
      <c r="I517">
        <v>2620000000</v>
      </c>
      <c r="J517" t="s">
        <v>34</v>
      </c>
      <c r="K517">
        <v>2004</v>
      </c>
      <c r="L517" t="s">
        <v>424</v>
      </c>
      <c r="M517" t="s">
        <v>666</v>
      </c>
      <c r="N517">
        <v>0.85</v>
      </c>
      <c r="O517" t="s">
        <v>84</v>
      </c>
      <c r="P517" t="s">
        <v>38</v>
      </c>
      <c r="Q51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3482.7969295923767</v>
      </c>
      <c r="R51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3482.7969295923767</v>
      </c>
      <c r="U517" s="107" t="str">
        <f>IFERROR(_xlfn.XLOOKUP("*"&amp;TRIM(Fusion[[#This Row],[Confinement Type]])&amp;"*", Map_Conf[From], Map_Conf[To], "", 2), "")</f>
        <v>MCF</v>
      </c>
      <c r="V517" s="108" t="str" cm="1">
        <f t="array" ref="V5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18" spans="1:22">
      <c r="A518">
        <v>101</v>
      </c>
      <c r="B518" t="s">
        <v>170</v>
      </c>
      <c r="C518" t="s">
        <v>61</v>
      </c>
      <c r="D518" t="s">
        <v>113</v>
      </c>
      <c r="E518">
        <v>1200</v>
      </c>
      <c r="F518" t="s">
        <v>31</v>
      </c>
      <c r="G518" t="s">
        <v>52</v>
      </c>
      <c r="H518" t="s">
        <v>33</v>
      </c>
      <c r="I518">
        <v>1566300000</v>
      </c>
      <c r="J518" t="s">
        <v>34</v>
      </c>
      <c r="K518">
        <v>1986</v>
      </c>
      <c r="L518" t="s">
        <v>147</v>
      </c>
      <c r="M518" t="s">
        <v>171</v>
      </c>
      <c r="N518" t="s">
        <v>709</v>
      </c>
      <c r="O518" t="s">
        <v>84</v>
      </c>
      <c r="P518">
        <v>234900000</v>
      </c>
      <c r="Q51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2990.4873334854019</v>
      </c>
      <c r="R51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3438.9745164233582</v>
      </c>
      <c r="U518" s="107" t="str">
        <f>IFERROR(_xlfn.XLOOKUP("*"&amp;TRIM(Fusion[[#This Row],[Confinement Type]])&amp;"*", Map_Conf[From], Map_Conf[To], "", 2), "")</f>
        <v>MCF</v>
      </c>
      <c r="V518" s="108" t="str" cm="1">
        <f t="array" ref="V5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519" spans="1:22">
      <c r="A519">
        <v>102</v>
      </c>
      <c r="B519" t="s">
        <v>172</v>
      </c>
      <c r="C519" t="s">
        <v>61</v>
      </c>
      <c r="D519" t="s">
        <v>113</v>
      </c>
      <c r="E519">
        <v>1200</v>
      </c>
      <c r="F519" t="s">
        <v>31</v>
      </c>
      <c r="G519" t="s">
        <v>52</v>
      </c>
      <c r="H519" t="s">
        <v>33</v>
      </c>
      <c r="I519">
        <v>1589200000</v>
      </c>
      <c r="J519" t="s">
        <v>34</v>
      </c>
      <c r="K519">
        <v>1986</v>
      </c>
      <c r="L519" t="s">
        <v>147</v>
      </c>
      <c r="M519" t="s">
        <v>173</v>
      </c>
      <c r="N519" t="s">
        <v>709</v>
      </c>
      <c r="O519" t="s">
        <v>84</v>
      </c>
      <c r="P519">
        <v>238400000</v>
      </c>
      <c r="Q51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3034.2095833333333</v>
      </c>
      <c r="R51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3489.3792062043799</v>
      </c>
      <c r="U519" s="107" t="str">
        <f>IFERROR(_xlfn.XLOOKUP("*"&amp;TRIM(Fusion[[#This Row],[Confinement Type]])&amp;"*", Map_Conf[From], Map_Conf[To], "", 2), "")</f>
        <v>MCF</v>
      </c>
      <c r="V519" s="108" t="str" cm="1">
        <f t="array" ref="V5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520" spans="1:22" hidden="1">
      <c r="B520" t="s">
        <v>81</v>
      </c>
      <c r="C520" t="s">
        <v>61</v>
      </c>
      <c r="D520" t="s">
        <v>62</v>
      </c>
      <c r="E520">
        <v>1500</v>
      </c>
      <c r="F520" t="s">
        <v>217</v>
      </c>
      <c r="G520" t="s">
        <v>754</v>
      </c>
      <c r="H520" t="s">
        <v>76</v>
      </c>
      <c r="I520">
        <v>2250</v>
      </c>
      <c r="J520" t="s">
        <v>82</v>
      </c>
      <c r="K520">
        <v>2011</v>
      </c>
      <c r="L520" t="s">
        <v>83</v>
      </c>
      <c r="M520" t="s">
        <v>761</v>
      </c>
      <c r="Q52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3499.1202673836019</v>
      </c>
      <c r="R52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3499.1202673836019</v>
      </c>
      <c r="U520" s="107" t="str">
        <f>IFERROR(_xlfn.XLOOKUP("*"&amp;TRIM(Fusion[[#This Row],[Confinement Type]])&amp;"*", Map_Conf[From], Map_Conf[To], "", 2), "")</f>
        <v>MCF</v>
      </c>
      <c r="V520" s="108" t="str" cm="1">
        <f t="array" ref="V5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1" spans="1:22">
      <c r="A521">
        <v>104</v>
      </c>
      <c r="B521" t="s">
        <v>176</v>
      </c>
      <c r="C521" t="s">
        <v>61</v>
      </c>
      <c r="D521" t="s">
        <v>62</v>
      </c>
      <c r="E521">
        <v>1200</v>
      </c>
      <c r="F521" t="s">
        <v>31</v>
      </c>
      <c r="G521" t="s">
        <v>52</v>
      </c>
      <c r="H521" t="s">
        <v>33</v>
      </c>
      <c r="I521">
        <v>1953700000</v>
      </c>
      <c r="J521" t="s">
        <v>34</v>
      </c>
      <c r="K521">
        <v>1986</v>
      </c>
      <c r="L521" t="s">
        <v>147</v>
      </c>
      <c r="M521" t="s">
        <v>177</v>
      </c>
      <c r="N521" t="s">
        <v>709</v>
      </c>
      <c r="O521" t="s">
        <v>84</v>
      </c>
      <c r="P521">
        <v>293000000</v>
      </c>
      <c r="Q52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3730.1379706508519</v>
      </c>
      <c r="R52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4289.5536564781023</v>
      </c>
      <c r="U521" s="107" t="str">
        <f>IFERROR(_xlfn.XLOOKUP("*"&amp;TRIM(Fusion[[#This Row],[Confinement Type]])&amp;"*", Map_Conf[From], Map_Conf[To], "", 2), "")</f>
        <v>MCF</v>
      </c>
      <c r="V521" s="108" t="str" cm="1">
        <f t="array" ref="V5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2" spans="1:22" hidden="1">
      <c r="A522">
        <v>239</v>
      </c>
      <c r="B522" t="s">
        <v>687</v>
      </c>
      <c r="C522" t="s">
        <v>61</v>
      </c>
      <c r="D522" t="s">
        <v>62</v>
      </c>
      <c r="E522">
        <v>1420</v>
      </c>
      <c r="F522" t="s">
        <v>266</v>
      </c>
      <c r="G522" t="s">
        <v>57</v>
      </c>
      <c r="H522" t="s">
        <v>33</v>
      </c>
      <c r="I522">
        <v>4347826086.956522</v>
      </c>
      <c r="J522" t="s">
        <v>34</v>
      </c>
      <c r="K522">
        <v>2010</v>
      </c>
      <c r="L522" t="s">
        <v>262</v>
      </c>
      <c r="M522" t="s">
        <v>267</v>
      </c>
      <c r="N522">
        <v>0.75</v>
      </c>
      <c r="O522" t="s">
        <v>84</v>
      </c>
      <c r="P522">
        <v>750000</v>
      </c>
      <c r="Q52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3525.9374036537429</v>
      </c>
      <c r="R52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3526.5456278558736</v>
      </c>
      <c r="U522" s="107" t="str">
        <f>IFERROR(_xlfn.XLOOKUP("*"&amp;TRIM(Fusion[[#This Row],[Confinement Type]])&amp;"*", Map_Conf[From], Map_Conf[To], "", 2), "")</f>
        <v>MCF</v>
      </c>
      <c r="V522" s="108" t="str" cm="1">
        <f t="array" ref="V5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3" spans="1:22" hidden="1">
      <c r="A523">
        <v>237</v>
      </c>
      <c r="B523" t="s">
        <v>265</v>
      </c>
      <c r="C523" t="s">
        <v>61</v>
      </c>
      <c r="D523" t="s">
        <v>62</v>
      </c>
      <c r="E523">
        <v>1600</v>
      </c>
      <c r="F523" t="s">
        <v>266</v>
      </c>
      <c r="G523" t="s">
        <v>57</v>
      </c>
      <c r="H523" t="s">
        <v>33</v>
      </c>
      <c r="I523">
        <v>5217391304.347827</v>
      </c>
      <c r="J523" t="s">
        <v>34</v>
      </c>
      <c r="K523">
        <v>2010</v>
      </c>
      <c r="L523" t="s">
        <v>262</v>
      </c>
      <c r="M523" t="s">
        <v>267</v>
      </c>
      <c r="N523">
        <v>0.75</v>
      </c>
      <c r="O523" t="s">
        <v>84</v>
      </c>
      <c r="P523">
        <v>900000</v>
      </c>
      <c r="Q52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3755.1233348912369</v>
      </c>
      <c r="R52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3755.7710936665057</v>
      </c>
      <c r="U523" s="107" t="str">
        <f>IFERROR(_xlfn.XLOOKUP("*"&amp;TRIM(Fusion[[#This Row],[Confinement Type]])&amp;"*", Map_Conf[From], Map_Conf[To], "", 2), "")</f>
        <v>MCF</v>
      </c>
      <c r="V523" s="108" t="str" cm="1">
        <f t="array" ref="V5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4" spans="1:22">
      <c r="A524">
        <v>90</v>
      </c>
      <c r="B524" t="s">
        <v>146</v>
      </c>
      <c r="C524" t="s">
        <v>61</v>
      </c>
      <c r="D524" t="s">
        <v>62</v>
      </c>
      <c r="E524">
        <v>1200</v>
      </c>
      <c r="F524" t="s">
        <v>31</v>
      </c>
      <c r="G524" t="s">
        <v>52</v>
      </c>
      <c r="H524" t="s">
        <v>33</v>
      </c>
      <c r="I524">
        <v>2273100000</v>
      </c>
      <c r="J524" t="s">
        <v>34</v>
      </c>
      <c r="K524">
        <v>1986</v>
      </c>
      <c r="L524" t="s">
        <v>147</v>
      </c>
      <c r="M524" t="s">
        <v>158</v>
      </c>
      <c r="N524" t="s">
        <v>709</v>
      </c>
      <c r="O524" t="s">
        <v>84</v>
      </c>
      <c r="P524">
        <v>341000000</v>
      </c>
      <c r="Q52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4339.9583462591245</v>
      </c>
      <c r="R52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4991.0189225973236</v>
      </c>
      <c r="U524" s="107" t="str">
        <f>IFERROR(_xlfn.XLOOKUP("*"&amp;TRIM(Fusion[[#This Row],[Confinement Type]])&amp;"*", Map_Conf[From], Map_Conf[To], "", 2), "")</f>
        <v>MCF</v>
      </c>
      <c r="V524" s="108" t="str" cm="1">
        <f t="array" ref="V5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5" spans="1:22" hidden="1">
      <c r="A525">
        <v>238</v>
      </c>
      <c r="B525" t="s">
        <v>686</v>
      </c>
      <c r="C525" t="s">
        <v>61</v>
      </c>
      <c r="D525" t="s">
        <v>62</v>
      </c>
      <c r="E525">
        <v>1000</v>
      </c>
      <c r="F525" t="s">
        <v>266</v>
      </c>
      <c r="G525" t="s">
        <v>57</v>
      </c>
      <c r="H525" t="s">
        <v>33</v>
      </c>
      <c r="I525">
        <v>3478260869.5652175</v>
      </c>
      <c r="J525" t="s">
        <v>34</v>
      </c>
      <c r="K525">
        <v>2010</v>
      </c>
      <c r="L525" t="s">
        <v>262</v>
      </c>
      <c r="M525" t="s">
        <v>267</v>
      </c>
      <c r="N525">
        <v>0.75</v>
      </c>
      <c r="O525" t="s">
        <v>84</v>
      </c>
      <c r="P525">
        <v>600000</v>
      </c>
      <c r="Q52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4005.4648905506519</v>
      </c>
      <c r="R52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4006.1558332442719</v>
      </c>
      <c r="U525" s="107" t="str">
        <f>IFERROR(_xlfn.XLOOKUP("*"&amp;TRIM(Fusion[[#This Row],[Confinement Type]])&amp;"*", Map_Conf[From], Map_Conf[To], "", 2), "")</f>
        <v>MCF</v>
      </c>
      <c r="V525" s="108" t="str" cm="1">
        <f t="array" ref="V5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6" spans="1:22" hidden="1">
      <c r="A526">
        <v>15</v>
      </c>
      <c r="B526" t="s">
        <v>81</v>
      </c>
      <c r="C526" t="s">
        <v>61</v>
      </c>
      <c r="D526" t="s">
        <v>62</v>
      </c>
      <c r="E526">
        <v>1500</v>
      </c>
      <c r="F526" t="s">
        <v>217</v>
      </c>
      <c r="G526" t="s">
        <v>52</v>
      </c>
      <c r="H526" t="s">
        <v>76</v>
      </c>
      <c r="I526">
        <v>2600</v>
      </c>
      <c r="J526" t="s">
        <v>82</v>
      </c>
      <c r="K526">
        <v>2011</v>
      </c>
      <c r="L526" t="s">
        <v>83</v>
      </c>
      <c r="M526" t="s">
        <v>753</v>
      </c>
      <c r="N526" t="s">
        <v>706</v>
      </c>
      <c r="O526" t="s">
        <v>84</v>
      </c>
      <c r="P526" t="s">
        <v>38</v>
      </c>
      <c r="Q52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4043.4278645321624</v>
      </c>
      <c r="R52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4043.4278645321624</v>
      </c>
      <c r="U526" s="107" t="str">
        <f>IFERROR(_xlfn.XLOOKUP("*"&amp;TRIM(Fusion[[#This Row],[Confinement Type]])&amp;"*", Map_Conf[From], Map_Conf[To], "", 2), "")</f>
        <v>MCF</v>
      </c>
      <c r="V526" s="108" t="str" cm="1">
        <f t="array" ref="V5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7" spans="1:22" hidden="1">
      <c r="B527" t="s">
        <v>81</v>
      </c>
      <c r="C527" t="s">
        <v>61</v>
      </c>
      <c r="D527" t="s">
        <v>62</v>
      </c>
      <c r="E527">
        <v>1500</v>
      </c>
      <c r="F527" t="s">
        <v>217</v>
      </c>
      <c r="G527" t="s">
        <v>755</v>
      </c>
      <c r="H527" t="s">
        <v>76</v>
      </c>
      <c r="I527">
        <v>2600</v>
      </c>
      <c r="J527" t="s">
        <v>82</v>
      </c>
      <c r="K527">
        <v>2011</v>
      </c>
      <c r="L527" t="s">
        <v>83</v>
      </c>
      <c r="M527" t="s">
        <v>766</v>
      </c>
      <c r="Q52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4043.4278645321624</v>
      </c>
      <c r="R52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4043.4278645321624</v>
      </c>
      <c r="U527" s="107" t="str">
        <f>IFERROR(_xlfn.XLOOKUP("*"&amp;TRIM(Fusion[[#This Row],[Confinement Type]])&amp;"*", Map_Conf[From], Map_Conf[To], "", 2), "")</f>
        <v>MCF</v>
      </c>
      <c r="V527" s="108" t="str" cm="1">
        <f t="array" ref="V5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8" spans="1:22" hidden="1">
      <c r="A528">
        <v>27</v>
      </c>
      <c r="B528" t="s">
        <v>81</v>
      </c>
      <c r="C528" t="s">
        <v>61</v>
      </c>
      <c r="D528" t="s">
        <v>62</v>
      </c>
      <c r="E528">
        <v>1500</v>
      </c>
      <c r="F528" t="s">
        <v>217</v>
      </c>
      <c r="G528" t="s">
        <v>57</v>
      </c>
      <c r="H528" t="s">
        <v>76</v>
      </c>
      <c r="I528">
        <v>2600</v>
      </c>
      <c r="J528" t="s">
        <v>82</v>
      </c>
      <c r="K528">
        <v>2011</v>
      </c>
      <c r="L528" t="s">
        <v>83</v>
      </c>
      <c r="M528" t="s">
        <v>758</v>
      </c>
      <c r="N528" t="s">
        <v>706</v>
      </c>
      <c r="O528" t="s">
        <v>84</v>
      </c>
      <c r="P528" t="s">
        <v>38</v>
      </c>
      <c r="Q52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4043.4278645321624</v>
      </c>
      <c r="R52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4043.4278645321624</v>
      </c>
      <c r="U528" s="107" t="str">
        <f>IFERROR(_xlfn.XLOOKUP("*"&amp;TRIM(Fusion[[#This Row],[Confinement Type]])&amp;"*", Map_Conf[From], Map_Conf[To], "", 2), "")</f>
        <v>MCF</v>
      </c>
      <c r="V528" s="108" t="str" cm="1">
        <f t="array" ref="V5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9" spans="1:22">
      <c r="A529">
        <v>99</v>
      </c>
      <c r="B529" t="s">
        <v>165</v>
      </c>
      <c r="C529" t="s">
        <v>61</v>
      </c>
      <c r="D529" t="s">
        <v>62</v>
      </c>
      <c r="E529">
        <v>1200</v>
      </c>
      <c r="F529" t="s">
        <v>31</v>
      </c>
      <c r="G529" t="s">
        <v>52</v>
      </c>
      <c r="H529" t="s">
        <v>33</v>
      </c>
      <c r="I529">
        <v>2288500000</v>
      </c>
      <c r="J529" t="s">
        <v>34</v>
      </c>
      <c r="K529">
        <v>1986</v>
      </c>
      <c r="L529" t="s">
        <v>147</v>
      </c>
      <c r="M529" t="s">
        <v>169</v>
      </c>
      <c r="N529" t="s">
        <v>709</v>
      </c>
      <c r="O529" t="s">
        <v>84</v>
      </c>
      <c r="P529">
        <v>343000000</v>
      </c>
      <c r="Q52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4369.3610819647201</v>
      </c>
      <c r="R52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5024.2401954075431</v>
      </c>
      <c r="U529" s="107" t="str">
        <f>IFERROR(_xlfn.XLOOKUP("*"&amp;TRIM(Fusion[[#This Row],[Confinement Type]])&amp;"*", Map_Conf[From], Map_Conf[To], "", 2), "")</f>
        <v>MCF</v>
      </c>
      <c r="V529" s="108" t="str" cm="1">
        <f t="array" ref="V5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0" spans="1:22">
      <c r="A530">
        <v>103</v>
      </c>
      <c r="B530" t="s">
        <v>174</v>
      </c>
      <c r="C530" t="s">
        <v>61</v>
      </c>
      <c r="D530" t="s">
        <v>62</v>
      </c>
      <c r="E530">
        <v>1200</v>
      </c>
      <c r="F530" t="s">
        <v>31</v>
      </c>
      <c r="G530" t="s">
        <v>52</v>
      </c>
      <c r="H530" t="s">
        <v>33</v>
      </c>
      <c r="I530">
        <v>2675000000</v>
      </c>
      <c r="J530" t="s">
        <v>34</v>
      </c>
      <c r="K530">
        <v>1986</v>
      </c>
      <c r="L530" t="s">
        <v>147</v>
      </c>
      <c r="M530" t="s">
        <v>175</v>
      </c>
      <c r="N530" t="s">
        <v>709</v>
      </c>
      <c r="O530" t="s">
        <v>84</v>
      </c>
      <c r="P530">
        <v>401200000</v>
      </c>
      <c r="Q53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5107.2933774330904</v>
      </c>
      <c r="R53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5873.2919206204388</v>
      </c>
      <c r="U530" s="107" t="str">
        <f>IFERROR(_xlfn.XLOOKUP("*"&amp;TRIM(Fusion[[#This Row],[Confinement Type]])&amp;"*", Map_Conf[From], Map_Conf[To], "", 2), "")</f>
        <v>MCF</v>
      </c>
      <c r="V530" s="108" t="str" cm="1">
        <f t="array" ref="V5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1" spans="1:22">
      <c r="A531">
        <v>106</v>
      </c>
      <c r="B531" t="s">
        <v>180</v>
      </c>
      <c r="C531" t="s">
        <v>61</v>
      </c>
      <c r="D531" t="s">
        <v>62</v>
      </c>
      <c r="E531">
        <v>1200</v>
      </c>
      <c r="F531" t="s">
        <v>31</v>
      </c>
      <c r="G531" t="s">
        <v>52</v>
      </c>
      <c r="H531" t="s">
        <v>33</v>
      </c>
      <c r="I531">
        <v>2907700000</v>
      </c>
      <c r="J531" t="s">
        <v>34</v>
      </c>
      <c r="K531">
        <v>1986</v>
      </c>
      <c r="L531" t="s">
        <v>147</v>
      </c>
      <c r="M531" t="s">
        <v>181</v>
      </c>
      <c r="N531" t="s">
        <v>708</v>
      </c>
      <c r="O531" t="s">
        <v>84</v>
      </c>
      <c r="P531">
        <v>436200000</v>
      </c>
      <c r="Q53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5551.5801695559621</v>
      </c>
      <c r="R53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6384.4031120742102</v>
      </c>
      <c r="U531" s="107" t="str">
        <f>IFERROR(_xlfn.XLOOKUP("*"&amp;TRIM(Fusion[[#This Row],[Confinement Type]])&amp;"*", Map_Conf[From], Map_Conf[To], "", 2), "")</f>
        <v>MCF</v>
      </c>
      <c r="V531" s="108" t="str" cm="1">
        <f t="array" ref="V5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2" spans="1:22">
      <c r="A532">
        <v>156</v>
      </c>
      <c r="B532" t="s">
        <v>200</v>
      </c>
      <c r="C532" t="s">
        <v>61</v>
      </c>
      <c r="D532" t="s">
        <v>62</v>
      </c>
      <c r="E532">
        <v>1000</v>
      </c>
      <c r="F532" t="s">
        <v>31</v>
      </c>
      <c r="G532" t="s">
        <v>52</v>
      </c>
      <c r="H532" t="s">
        <v>33</v>
      </c>
      <c r="I532">
        <v>3521500000</v>
      </c>
      <c r="J532" t="s">
        <v>34</v>
      </c>
      <c r="K532">
        <v>1999</v>
      </c>
      <c r="L532" t="s">
        <v>1123</v>
      </c>
      <c r="M532" t="s">
        <v>206</v>
      </c>
      <c r="N532" t="s">
        <v>706</v>
      </c>
      <c r="O532" t="s">
        <v>84</v>
      </c>
      <c r="P532">
        <v>704000000</v>
      </c>
      <c r="Q53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5307.7629081632658</v>
      </c>
      <c r="R53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6368.8633163265304</v>
      </c>
      <c r="U532" s="107" t="str">
        <f>IFERROR(_xlfn.XLOOKUP("*"&amp;TRIM(Fusion[[#This Row],[Confinement Type]])&amp;"*", Map_Conf[From], Map_Conf[To], "", 2), "")</f>
        <v>MCF</v>
      </c>
      <c r="V532" s="108" t="str" cm="1">
        <f t="array" ref="V5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3" spans="1:22">
      <c r="A533">
        <v>157</v>
      </c>
      <c r="B533" t="s">
        <v>188</v>
      </c>
      <c r="C533" t="s">
        <v>61</v>
      </c>
      <c r="D533" t="s">
        <v>62</v>
      </c>
      <c r="E533">
        <v>1000</v>
      </c>
      <c r="F533" t="s">
        <v>31</v>
      </c>
      <c r="G533" t="s">
        <v>52</v>
      </c>
      <c r="H533" t="s">
        <v>33</v>
      </c>
      <c r="I533">
        <v>3880800000</v>
      </c>
      <c r="J533" t="s">
        <v>34</v>
      </c>
      <c r="K533">
        <v>1999</v>
      </c>
      <c r="L533" t="s">
        <v>1123</v>
      </c>
      <c r="M533" t="s">
        <v>206</v>
      </c>
      <c r="N533" t="s">
        <v>706</v>
      </c>
      <c r="O533" t="s">
        <v>84</v>
      </c>
      <c r="P533">
        <v>776000000</v>
      </c>
      <c r="Q53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5849.3160000000007</v>
      </c>
      <c r="R53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7018.938040816327</v>
      </c>
      <c r="U533" s="107" t="str">
        <f>IFERROR(_xlfn.XLOOKUP("*"&amp;TRIM(Fusion[[#This Row],[Confinement Type]])&amp;"*", Map_Conf[From], Map_Conf[To], "", 2), "")</f>
        <v>MCF</v>
      </c>
      <c r="V533" s="108" t="str" cm="1">
        <f t="array" ref="V5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4" spans="1:22">
      <c r="A534">
        <v>252</v>
      </c>
      <c r="B534" t="s">
        <v>281</v>
      </c>
      <c r="C534" t="s">
        <v>61</v>
      </c>
      <c r="D534" t="s">
        <v>278</v>
      </c>
      <c r="E534">
        <v>1940</v>
      </c>
      <c r="F534" t="s">
        <v>31</v>
      </c>
      <c r="G534" t="s">
        <v>57</v>
      </c>
      <c r="H534" t="s">
        <v>33</v>
      </c>
      <c r="I534">
        <v>5767800000</v>
      </c>
      <c r="J534" t="s">
        <v>34</v>
      </c>
      <c r="K534">
        <v>2003</v>
      </c>
      <c r="L534" t="s">
        <v>279</v>
      </c>
      <c r="N534">
        <v>0.75</v>
      </c>
      <c r="O534" t="s">
        <v>84</v>
      </c>
      <c r="P534">
        <v>997800000</v>
      </c>
      <c r="Q53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4057.4152694979834</v>
      </c>
      <c r="R53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4759.3274294038556</v>
      </c>
      <c r="U534" s="107" t="str">
        <f>IFERROR(_xlfn.XLOOKUP("*"&amp;TRIM(Fusion[[#This Row],[Confinement Type]])&amp;"*", Map_Conf[From], Map_Conf[To], "", 2), "")</f>
        <v>MCF</v>
      </c>
      <c r="V534" s="108" t="str" cm="1">
        <f t="array" ref="V5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35" spans="1:22">
      <c r="A535">
        <v>159</v>
      </c>
      <c r="B535" t="s">
        <v>207</v>
      </c>
      <c r="C535" t="s">
        <v>61</v>
      </c>
      <c r="D535" t="s">
        <v>62</v>
      </c>
      <c r="E535">
        <v>1000</v>
      </c>
      <c r="F535" t="s">
        <v>31</v>
      </c>
      <c r="G535" t="s">
        <v>52</v>
      </c>
      <c r="H535" t="s">
        <v>33</v>
      </c>
      <c r="I535">
        <v>2105150000</v>
      </c>
      <c r="J535" t="s">
        <v>34</v>
      </c>
      <c r="K535">
        <v>1992</v>
      </c>
      <c r="L535" s="80" t="s">
        <v>1206</v>
      </c>
      <c r="N535" t="s">
        <v>713</v>
      </c>
      <c r="O535" t="s">
        <v>84</v>
      </c>
      <c r="P535">
        <v>308400000</v>
      </c>
      <c r="Q53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3767.7683610121167</v>
      </c>
      <c r="R53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4319.7384166072698</v>
      </c>
      <c r="U535" s="107" t="str">
        <f>IFERROR(_xlfn.XLOOKUP("*"&amp;TRIM(Fusion[[#This Row],[Confinement Type]])&amp;"*", Map_Conf[From], Map_Conf[To], "", 2), "")</f>
        <v>MCF</v>
      </c>
      <c r="V535" s="108" t="str" cm="1">
        <f t="array" ref="V5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6" spans="1:22">
      <c r="A536">
        <v>184</v>
      </c>
      <c r="B536" t="s">
        <v>222</v>
      </c>
      <c r="C536" t="s">
        <v>61</v>
      </c>
      <c r="D536" t="s">
        <v>62</v>
      </c>
      <c r="E536">
        <v>953</v>
      </c>
      <c r="F536" t="s">
        <v>31</v>
      </c>
      <c r="G536" t="s">
        <v>32</v>
      </c>
      <c r="H536" t="s">
        <v>33</v>
      </c>
      <c r="I536">
        <v>7516000000</v>
      </c>
      <c r="J536" t="s">
        <v>34</v>
      </c>
      <c r="K536">
        <v>2015</v>
      </c>
      <c r="L536" t="s">
        <v>223</v>
      </c>
      <c r="M536" t="s">
        <v>225</v>
      </c>
      <c r="N536">
        <v>0.75</v>
      </c>
      <c r="O536" t="s">
        <v>84</v>
      </c>
      <c r="P536">
        <v>1009000000</v>
      </c>
      <c r="Q53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8355.514428390672</v>
      </c>
      <c r="R53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9477.2166713718052</v>
      </c>
      <c r="U536" s="107" t="str">
        <f>IFERROR(_xlfn.XLOOKUP("*"&amp;TRIM(Fusion[[#This Row],[Confinement Type]])&amp;"*", Map_Conf[From], Map_Conf[To], "", 2), "")</f>
        <v>MCF</v>
      </c>
      <c r="V536" s="108" t="str" cm="1">
        <f t="array" ref="V5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7" spans="1:22">
      <c r="A537">
        <v>201</v>
      </c>
      <c r="B537" t="s">
        <v>240</v>
      </c>
      <c r="C537" t="s">
        <v>61</v>
      </c>
      <c r="D537" t="s">
        <v>62</v>
      </c>
      <c r="E537">
        <v>1000</v>
      </c>
      <c r="F537" t="s">
        <v>31</v>
      </c>
      <c r="G537" t="s">
        <v>755</v>
      </c>
      <c r="H537" t="s">
        <v>76</v>
      </c>
      <c r="I537">
        <v>2170</v>
      </c>
      <c r="J537" t="s">
        <v>189</v>
      </c>
      <c r="K537">
        <v>2000</v>
      </c>
      <c r="L537" t="s">
        <v>233</v>
      </c>
      <c r="M537" t="s">
        <v>245</v>
      </c>
      <c r="N537" t="s">
        <v>38</v>
      </c>
      <c r="O537" t="s">
        <v>38</v>
      </c>
      <c r="P537" t="s">
        <v>38</v>
      </c>
      <c r="Q53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3164.356504065041</v>
      </c>
      <c r="R53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3164.356504065041</v>
      </c>
      <c r="U537" s="107" t="str">
        <f>IFERROR(_xlfn.XLOOKUP("*"&amp;TRIM(Fusion[[#This Row],[Confinement Type]])&amp;"*", Map_Conf[From], Map_Conf[To], "", 2), "")</f>
        <v>MCF</v>
      </c>
      <c r="V537" s="108" t="str" cm="1">
        <f t="array" ref="V5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8" spans="1:22">
      <c r="A538">
        <v>199</v>
      </c>
      <c r="B538" t="s">
        <v>237</v>
      </c>
      <c r="C538" t="s">
        <v>61</v>
      </c>
      <c r="D538" t="s">
        <v>62</v>
      </c>
      <c r="E538">
        <v>1000</v>
      </c>
      <c r="F538" t="s">
        <v>31</v>
      </c>
      <c r="G538" t="s">
        <v>755</v>
      </c>
      <c r="H538" t="s">
        <v>76</v>
      </c>
      <c r="I538">
        <v>2950</v>
      </c>
      <c r="J538" t="s">
        <v>189</v>
      </c>
      <c r="K538">
        <v>2000</v>
      </c>
      <c r="L538" t="s">
        <v>233</v>
      </c>
      <c r="M538" t="s">
        <v>243</v>
      </c>
      <c r="N538" t="s">
        <v>38</v>
      </c>
      <c r="O538" t="s">
        <v>38</v>
      </c>
      <c r="P538" t="s">
        <v>38</v>
      </c>
      <c r="Q53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4301.7749709639957</v>
      </c>
      <c r="R53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4301.7749709639957</v>
      </c>
      <c r="U538" s="107" t="str">
        <f>IFERROR(_xlfn.XLOOKUP("*"&amp;TRIM(Fusion[[#This Row],[Confinement Type]])&amp;"*", Map_Conf[From], Map_Conf[To], "", 2), "")</f>
        <v>MCF</v>
      </c>
      <c r="V538" s="108" t="str" cm="1">
        <f t="array" ref="V5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9" spans="1:22">
      <c r="A539">
        <v>200</v>
      </c>
      <c r="B539" t="s">
        <v>239</v>
      </c>
      <c r="C539" t="s">
        <v>61</v>
      </c>
      <c r="D539" t="s">
        <v>62</v>
      </c>
      <c r="E539">
        <v>1000</v>
      </c>
      <c r="F539" t="s">
        <v>31</v>
      </c>
      <c r="G539" t="s">
        <v>52</v>
      </c>
      <c r="H539" t="s">
        <v>76</v>
      </c>
      <c r="I539">
        <v>2820</v>
      </c>
      <c r="J539" t="s">
        <v>189</v>
      </c>
      <c r="K539">
        <v>2000</v>
      </c>
      <c r="L539" t="s">
        <v>233</v>
      </c>
      <c r="M539" t="s">
        <v>244</v>
      </c>
      <c r="N539" t="s">
        <v>38</v>
      </c>
      <c r="O539" t="s">
        <v>38</v>
      </c>
      <c r="P539" t="s">
        <v>38</v>
      </c>
      <c r="Q53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4112.2052264808362</v>
      </c>
      <c r="R53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4112.2052264808362</v>
      </c>
      <c r="U539" s="107" t="str">
        <f>IFERROR(_xlfn.XLOOKUP("*"&amp;TRIM(Fusion[[#This Row],[Confinement Type]])&amp;"*", Map_Conf[From], Map_Conf[To], "", 2), "")</f>
        <v>MCF</v>
      </c>
      <c r="V539" s="108" t="str" cm="1">
        <f t="array" ref="V5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0" spans="1:22">
      <c r="A540">
        <v>189</v>
      </c>
      <c r="B540" t="s">
        <v>232</v>
      </c>
      <c r="C540" t="s">
        <v>61</v>
      </c>
      <c r="D540" t="s">
        <v>62</v>
      </c>
      <c r="E540">
        <v>1000</v>
      </c>
      <c r="F540" t="s">
        <v>31</v>
      </c>
      <c r="G540" t="s">
        <v>52</v>
      </c>
      <c r="H540" t="s">
        <v>76</v>
      </c>
      <c r="I540">
        <v>2849</v>
      </c>
      <c r="J540" t="s">
        <v>189</v>
      </c>
      <c r="K540">
        <v>2000</v>
      </c>
      <c r="L540" t="s">
        <v>233</v>
      </c>
      <c r="N540" t="s">
        <v>38</v>
      </c>
      <c r="O540" t="s">
        <v>38</v>
      </c>
      <c r="P540" t="s">
        <v>38</v>
      </c>
      <c r="Q54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4154.4938617886182</v>
      </c>
      <c r="R54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4154.4938617886182</v>
      </c>
      <c r="U540" s="107" t="str">
        <f>IFERROR(_xlfn.XLOOKUP("*"&amp;TRIM(Fusion[[#This Row],[Confinement Type]])&amp;"*", Map_Conf[From], Map_Conf[To], "", 2), "")</f>
        <v>MCF</v>
      </c>
      <c r="V540" s="108" t="str" cm="1">
        <f t="array" ref="V5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1" spans="1:22" hidden="1">
      <c r="B541" t="s">
        <v>81</v>
      </c>
      <c r="C541" t="s">
        <v>61</v>
      </c>
      <c r="D541" t="s">
        <v>62</v>
      </c>
      <c r="E541">
        <v>1500</v>
      </c>
      <c r="F541" t="s">
        <v>217</v>
      </c>
      <c r="G541" t="s">
        <v>755</v>
      </c>
      <c r="H541" t="s">
        <v>76</v>
      </c>
      <c r="I541">
        <v>2850</v>
      </c>
      <c r="J541" t="s">
        <v>82</v>
      </c>
      <c r="K541">
        <v>2011</v>
      </c>
      <c r="L541" t="s">
        <v>83</v>
      </c>
      <c r="M541" t="s">
        <v>763</v>
      </c>
      <c r="Q54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4432.2190053525628</v>
      </c>
      <c r="R54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4432.2190053525628</v>
      </c>
      <c r="U541" s="107" t="str">
        <f>IFERROR(_xlfn.XLOOKUP("*"&amp;TRIM(Fusion[[#This Row],[Confinement Type]])&amp;"*", Map_Conf[From], Map_Conf[To], "", 2), "")</f>
        <v>MCF</v>
      </c>
      <c r="V541" s="108" t="str" cm="1">
        <f t="array" ref="V5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2" spans="1:22">
      <c r="A542">
        <v>205</v>
      </c>
      <c r="B542" t="s">
        <v>215</v>
      </c>
      <c r="C542" t="s">
        <v>61</v>
      </c>
      <c r="D542" t="s">
        <v>62</v>
      </c>
      <c r="E542">
        <v>1000</v>
      </c>
      <c r="F542" t="s">
        <v>31</v>
      </c>
      <c r="G542" t="s">
        <v>52</v>
      </c>
      <c r="H542" t="s">
        <v>76</v>
      </c>
      <c r="I542">
        <v>2868</v>
      </c>
      <c r="J542" t="s">
        <v>189</v>
      </c>
      <c r="K542">
        <v>2000</v>
      </c>
      <c r="L542" t="s">
        <v>233</v>
      </c>
      <c r="M542" t="s">
        <v>246</v>
      </c>
      <c r="N542" t="s">
        <v>38</v>
      </c>
      <c r="O542" t="s">
        <v>38</v>
      </c>
      <c r="P542" t="s">
        <v>38</v>
      </c>
      <c r="Q54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4182.2002090592341</v>
      </c>
      <c r="R54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4182.2002090592341</v>
      </c>
      <c r="U542" s="107" t="str">
        <f>IFERROR(_xlfn.XLOOKUP("*"&amp;TRIM(Fusion[[#This Row],[Confinement Type]])&amp;"*", Map_Conf[From], Map_Conf[To], "", 2), "")</f>
        <v>MCF</v>
      </c>
      <c r="V542" s="108" t="str" cm="1">
        <f t="array" ref="V5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3" spans="1:22" hidden="1">
      <c r="A543">
        <v>54</v>
      </c>
      <c r="B543" t="s">
        <v>114</v>
      </c>
      <c r="C543" t="s">
        <v>61</v>
      </c>
      <c r="D543" t="s">
        <v>62</v>
      </c>
      <c r="E543">
        <v>1000</v>
      </c>
      <c r="F543" t="s">
        <v>667</v>
      </c>
      <c r="G543" t="s">
        <v>52</v>
      </c>
      <c r="H543" t="s">
        <v>33</v>
      </c>
      <c r="I543">
        <v>2140000000</v>
      </c>
      <c r="J543" t="s">
        <v>34</v>
      </c>
      <c r="K543">
        <v>1988</v>
      </c>
      <c r="L543" t="s">
        <v>120</v>
      </c>
      <c r="M543" t="s">
        <v>121</v>
      </c>
      <c r="N543">
        <v>0.76</v>
      </c>
      <c r="O543" t="s">
        <v>122</v>
      </c>
      <c r="P543" t="s">
        <v>38</v>
      </c>
      <c r="Q54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4542.4258664412509</v>
      </c>
      <c r="R54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4542.4258664412509</v>
      </c>
      <c r="U543" s="107" t="str">
        <f>IFERROR(_xlfn.XLOOKUP("*"&amp;TRIM(Fusion[[#This Row],[Confinement Type]])&amp;"*", Map_Conf[From], Map_Conf[To], "", 2), "")</f>
        <v>MCF</v>
      </c>
      <c r="V543" s="108" t="str" cm="1">
        <f t="array" ref="V5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4" spans="1:22">
      <c r="A544">
        <v>198</v>
      </c>
      <c r="B544" t="s">
        <v>235</v>
      </c>
      <c r="C544" t="s">
        <v>61</v>
      </c>
      <c r="D544" t="s">
        <v>62</v>
      </c>
      <c r="E544">
        <v>1000</v>
      </c>
      <c r="F544" t="s">
        <v>31</v>
      </c>
      <c r="G544" t="s">
        <v>52</v>
      </c>
      <c r="H544" t="s">
        <v>76</v>
      </c>
      <c r="I544">
        <v>3940</v>
      </c>
      <c r="J544" t="s">
        <v>189</v>
      </c>
      <c r="K544">
        <v>2000</v>
      </c>
      <c r="L544" t="s">
        <v>233</v>
      </c>
      <c r="M544" t="s">
        <v>242</v>
      </c>
      <c r="N544" t="s">
        <v>38</v>
      </c>
      <c r="O544" t="s">
        <v>38</v>
      </c>
      <c r="P544" t="s">
        <v>38</v>
      </c>
      <c r="Q54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5745.4214866434386</v>
      </c>
      <c r="R54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5745.4214866434386</v>
      </c>
      <c r="U544" s="107" t="str">
        <f>IFERROR(_xlfn.XLOOKUP("*"&amp;TRIM(Fusion[[#This Row],[Confinement Type]])&amp;"*", Map_Conf[From], Map_Conf[To], "", 2), "")</f>
        <v>MCF</v>
      </c>
      <c r="V544" s="108" t="str" cm="1">
        <f t="array" ref="V5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5" spans="1:22">
      <c r="A545">
        <v>204</v>
      </c>
      <c r="B545" t="s">
        <v>214</v>
      </c>
      <c r="C545" t="s">
        <v>61</v>
      </c>
      <c r="D545" t="s">
        <v>62</v>
      </c>
      <c r="E545">
        <v>1000</v>
      </c>
      <c r="F545" t="s">
        <v>31</v>
      </c>
      <c r="G545" t="s">
        <v>52</v>
      </c>
      <c r="H545" t="s">
        <v>76</v>
      </c>
      <c r="I545">
        <v>4155</v>
      </c>
      <c r="J545" t="s">
        <v>189</v>
      </c>
      <c r="K545">
        <v>2000</v>
      </c>
      <c r="L545" t="s">
        <v>233</v>
      </c>
      <c r="M545" t="s">
        <v>246</v>
      </c>
      <c r="N545" t="s">
        <v>38</v>
      </c>
      <c r="O545" t="s">
        <v>38</v>
      </c>
      <c r="P545" t="s">
        <v>38</v>
      </c>
      <c r="Q54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6058.9406794425095</v>
      </c>
      <c r="R54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6058.9406794425095</v>
      </c>
      <c r="U545" s="107" t="str">
        <f>IFERROR(_xlfn.XLOOKUP("*"&amp;TRIM(Fusion[[#This Row],[Confinement Type]])&amp;"*", Map_Conf[From], Map_Conf[To], "", 2), "")</f>
        <v>MCF</v>
      </c>
      <c r="V545" s="108" t="str" cm="1">
        <f t="array" ref="V5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6" spans="1:22" hidden="1">
      <c r="B546" t="s">
        <v>81</v>
      </c>
      <c r="C546" t="s">
        <v>61</v>
      </c>
      <c r="D546" t="s">
        <v>62</v>
      </c>
      <c r="E546">
        <v>1500</v>
      </c>
      <c r="F546" t="s">
        <v>217</v>
      </c>
      <c r="G546" t="s">
        <v>754</v>
      </c>
      <c r="H546" t="s">
        <v>76</v>
      </c>
      <c r="I546">
        <v>3150</v>
      </c>
      <c r="J546" t="s">
        <v>82</v>
      </c>
      <c r="K546">
        <v>2011</v>
      </c>
      <c r="L546" t="s">
        <v>83</v>
      </c>
      <c r="M546" t="s">
        <v>760</v>
      </c>
      <c r="Q54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4898.7683743370426</v>
      </c>
      <c r="R54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4898.7683743370426</v>
      </c>
      <c r="U546" s="107" t="str">
        <f>IFERROR(_xlfn.XLOOKUP("*"&amp;TRIM(Fusion[[#This Row],[Confinement Type]])&amp;"*", Map_Conf[From], Map_Conf[To], "", 2), "")</f>
        <v>MCF</v>
      </c>
      <c r="V546" s="108" t="str" cm="1">
        <f t="array" ref="V5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7" spans="1:22" hidden="1">
      <c r="A547">
        <v>540</v>
      </c>
      <c r="B547" t="s">
        <v>500</v>
      </c>
      <c r="C547" t="s">
        <v>61</v>
      </c>
      <c r="D547" t="s">
        <v>62</v>
      </c>
      <c r="E547">
        <v>2000</v>
      </c>
      <c r="F547" t="s">
        <v>217</v>
      </c>
      <c r="G547" t="s">
        <v>57</v>
      </c>
      <c r="H547" t="s">
        <v>33</v>
      </c>
      <c r="I547">
        <v>7270000000</v>
      </c>
      <c r="J547" t="s">
        <v>34</v>
      </c>
      <c r="K547">
        <v>2003</v>
      </c>
      <c r="L547" t="s">
        <v>498</v>
      </c>
      <c r="N547">
        <v>0.75</v>
      </c>
      <c r="O547" t="s">
        <v>38</v>
      </c>
      <c r="P547" t="s">
        <v>38</v>
      </c>
      <c r="Q54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4960.7279619565215</v>
      </c>
      <c r="R54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4960.7279619565215</v>
      </c>
      <c r="U547" s="107" t="str">
        <f>IFERROR(_xlfn.XLOOKUP("*"&amp;TRIM(Fusion[[#This Row],[Confinement Type]])&amp;"*", Map_Conf[From], Map_Conf[To], "", 2), "")</f>
        <v>MCF</v>
      </c>
      <c r="V547" s="108" t="str" cm="1">
        <f t="array" ref="V5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8" spans="1:22">
      <c r="A548">
        <v>203</v>
      </c>
      <c r="B548" t="s">
        <v>213</v>
      </c>
      <c r="C548" t="s">
        <v>61</v>
      </c>
      <c r="D548" t="s">
        <v>62</v>
      </c>
      <c r="E548">
        <v>1000</v>
      </c>
      <c r="F548" t="s">
        <v>31</v>
      </c>
      <c r="G548" t="s">
        <v>52</v>
      </c>
      <c r="H548" t="s">
        <v>76</v>
      </c>
      <c r="I548">
        <v>5215</v>
      </c>
      <c r="J548" t="s">
        <v>189</v>
      </c>
      <c r="K548">
        <v>2000</v>
      </c>
      <c r="L548" t="s">
        <v>233</v>
      </c>
      <c r="M548" t="s">
        <v>246</v>
      </c>
      <c r="N548" t="s">
        <v>38</v>
      </c>
      <c r="O548" t="s">
        <v>38</v>
      </c>
      <c r="P548" t="s">
        <v>38</v>
      </c>
      <c r="Q54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7604.6632113821142</v>
      </c>
      <c r="R54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7604.6632113821142</v>
      </c>
      <c r="U548" s="107" t="str">
        <f>IFERROR(_xlfn.XLOOKUP("*"&amp;TRIM(Fusion[[#This Row],[Confinement Type]])&amp;"*", Map_Conf[From], Map_Conf[To], "", 2), "")</f>
        <v>MCF</v>
      </c>
      <c r="V548" s="108" t="str" cm="1">
        <f t="array" ref="V5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9" spans="1:22">
      <c r="A549">
        <v>202</v>
      </c>
      <c r="B549" t="s">
        <v>211</v>
      </c>
      <c r="C549" t="s">
        <v>61</v>
      </c>
      <c r="D549" t="s">
        <v>62</v>
      </c>
      <c r="E549">
        <v>1000</v>
      </c>
      <c r="F549" t="s">
        <v>31</v>
      </c>
      <c r="G549" t="s">
        <v>52</v>
      </c>
      <c r="H549" t="s">
        <v>76</v>
      </c>
      <c r="I549">
        <v>5625</v>
      </c>
      <c r="J549" t="s">
        <v>189</v>
      </c>
      <c r="K549">
        <v>2000</v>
      </c>
      <c r="L549" t="s">
        <v>233</v>
      </c>
      <c r="M549" t="s">
        <v>246</v>
      </c>
      <c r="N549" t="s">
        <v>38</v>
      </c>
      <c r="O549" t="s">
        <v>38</v>
      </c>
      <c r="P549" t="s">
        <v>38</v>
      </c>
      <c r="Q54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8202.5370209059238</v>
      </c>
      <c r="R54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8202.5370209059238</v>
      </c>
      <c r="U549" s="107" t="str">
        <f>IFERROR(_xlfn.XLOOKUP("*"&amp;TRIM(Fusion[[#This Row],[Confinement Type]])&amp;"*", Map_Conf[From], Map_Conf[To], "", 2), "")</f>
        <v>MCF</v>
      </c>
      <c r="V549" s="108" t="str" cm="1">
        <f t="array" ref="V5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0" spans="1:22" hidden="1">
      <c r="A550">
        <v>236</v>
      </c>
      <c r="B550" t="s">
        <v>264</v>
      </c>
      <c r="C550" t="s">
        <v>61</v>
      </c>
      <c r="D550" t="s">
        <v>62</v>
      </c>
      <c r="E550">
        <v>1000</v>
      </c>
      <c r="F550" t="s">
        <v>266</v>
      </c>
      <c r="G550" t="s">
        <v>57</v>
      </c>
      <c r="H550" t="s">
        <v>33</v>
      </c>
      <c r="I550">
        <v>4347826086.956522</v>
      </c>
      <c r="J550" t="s">
        <v>34</v>
      </c>
      <c r="K550">
        <v>2010</v>
      </c>
      <c r="L550" t="s">
        <v>262</v>
      </c>
      <c r="M550" t="s">
        <v>267</v>
      </c>
      <c r="N550">
        <v>0.75</v>
      </c>
      <c r="O550" t="s">
        <v>84</v>
      </c>
      <c r="P550">
        <v>750000</v>
      </c>
      <c r="Q55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5006.8311131883147</v>
      </c>
      <c r="R55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5007.6947915553401</v>
      </c>
      <c r="U550" s="107" t="str">
        <f>IFERROR(_xlfn.XLOOKUP("*"&amp;TRIM(Fusion[[#This Row],[Confinement Type]])&amp;"*", Map_Conf[From], Map_Conf[To], "", 2), "")</f>
        <v>MCF</v>
      </c>
      <c r="V550" s="108" t="str" cm="1">
        <f t="array" ref="V5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1" spans="1:22">
      <c r="A551">
        <v>206</v>
      </c>
      <c r="B551" t="s">
        <v>818</v>
      </c>
      <c r="C551" t="s">
        <v>30</v>
      </c>
      <c r="D551" t="s">
        <v>815</v>
      </c>
      <c r="E551">
        <v>38000</v>
      </c>
      <c r="F551" t="s">
        <v>31</v>
      </c>
      <c r="G551" t="s">
        <v>57</v>
      </c>
      <c r="H551" t="s">
        <v>33</v>
      </c>
      <c r="I551">
        <v>75244000000</v>
      </c>
      <c r="J551" t="s">
        <v>34</v>
      </c>
      <c r="K551">
        <v>2014</v>
      </c>
      <c r="L551" t="s">
        <v>248</v>
      </c>
      <c r="M551" t="s">
        <v>819</v>
      </c>
      <c r="N551" t="s">
        <v>706</v>
      </c>
      <c r="O551" t="s">
        <v>84</v>
      </c>
      <c r="P551">
        <v>4000000</v>
      </c>
      <c r="Q55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2100.3070606742936</v>
      </c>
      <c r="R55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2100.4187138060079</v>
      </c>
      <c r="U551" s="107" t="str">
        <f>IFERROR(_xlfn.XLOOKUP("*"&amp;TRIM(Fusion[[#This Row],[Confinement Type]])&amp;"*", Map_Conf[From], Map_Conf[To], "", 2), "")</f>
        <v>ICF</v>
      </c>
      <c r="V551" s="108" t="str" cm="1">
        <f t="array" ref="V5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52" spans="1:22">
      <c r="A552">
        <v>210</v>
      </c>
      <c r="B552" t="s">
        <v>253</v>
      </c>
      <c r="C552" t="s">
        <v>61</v>
      </c>
      <c r="D552" t="s">
        <v>62</v>
      </c>
      <c r="E552">
        <v>1160</v>
      </c>
      <c r="F552" t="s">
        <v>31</v>
      </c>
      <c r="G552" t="s">
        <v>32</v>
      </c>
      <c r="H552" t="s">
        <v>76</v>
      </c>
      <c r="I552">
        <v>7980000</v>
      </c>
      <c r="J552" t="s">
        <v>254</v>
      </c>
      <c r="K552">
        <v>2019</v>
      </c>
      <c r="L552" t="s">
        <v>1126</v>
      </c>
      <c r="M552" t="s">
        <v>255</v>
      </c>
      <c r="N552">
        <v>0.9</v>
      </c>
      <c r="O552" t="s">
        <v>84</v>
      </c>
      <c r="P552" t="s">
        <v>38</v>
      </c>
      <c r="Q55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7837.9776810335725</v>
      </c>
      <c r="R55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7837.9776810335725</v>
      </c>
      <c r="U552" s="107" t="str">
        <f>IFERROR(_xlfn.XLOOKUP("*"&amp;TRIM(Fusion[[#This Row],[Confinement Type]])&amp;"*", Map_Conf[From], Map_Conf[To], "", 2), "")</f>
        <v>MCF</v>
      </c>
      <c r="V552" s="108" t="str" cm="1">
        <f t="array" ref="V5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3" spans="1:22">
      <c r="A553">
        <v>211</v>
      </c>
      <c r="B553" t="s">
        <v>253</v>
      </c>
      <c r="C553" t="s">
        <v>61</v>
      </c>
      <c r="D553" t="s">
        <v>62</v>
      </c>
      <c r="E553">
        <v>1160</v>
      </c>
      <c r="F553" t="s">
        <v>31</v>
      </c>
      <c r="G553" t="s">
        <v>52</v>
      </c>
      <c r="H553" t="s">
        <v>76</v>
      </c>
      <c r="I553">
        <v>6870000</v>
      </c>
      <c r="J553" t="s">
        <v>254</v>
      </c>
      <c r="K553">
        <v>2019</v>
      </c>
      <c r="L553" t="s">
        <v>1126</v>
      </c>
      <c r="M553" t="s">
        <v>256</v>
      </c>
      <c r="N553">
        <v>0.9</v>
      </c>
      <c r="O553" t="s">
        <v>84</v>
      </c>
      <c r="P553" t="s">
        <v>38</v>
      </c>
      <c r="Q55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6747.7326652507072</v>
      </c>
      <c r="R55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6747.7326652507072</v>
      </c>
      <c r="U553" s="107" t="str">
        <f>IFERROR(_xlfn.XLOOKUP("*"&amp;TRIM(Fusion[[#This Row],[Confinement Type]])&amp;"*", Map_Conf[From], Map_Conf[To], "", 2), "")</f>
        <v>MCF</v>
      </c>
      <c r="V553" s="108" t="str" cm="1">
        <f t="array" ref="V5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4" spans="1:22">
      <c r="A554">
        <v>534</v>
      </c>
      <c r="B554" t="s">
        <v>492</v>
      </c>
      <c r="C554" t="s">
        <v>470</v>
      </c>
      <c r="D554" t="s">
        <v>471</v>
      </c>
      <c r="E554">
        <v>814.4</v>
      </c>
      <c r="F554" t="s">
        <v>31</v>
      </c>
      <c r="G554" t="s">
        <v>754</v>
      </c>
      <c r="H554" t="s">
        <v>33</v>
      </c>
      <c r="I554">
        <v>1572000000</v>
      </c>
      <c r="J554" t="s">
        <v>34</v>
      </c>
      <c r="K554">
        <v>2020</v>
      </c>
      <c r="L554" t="s">
        <v>486</v>
      </c>
      <c r="M554" t="s">
        <v>496</v>
      </c>
      <c r="N554">
        <v>0.9</v>
      </c>
      <c r="O554" t="s">
        <v>350</v>
      </c>
      <c r="P554" t="s">
        <v>487</v>
      </c>
      <c r="Q55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1872.7976918232519</v>
      </c>
      <c r="R55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1872.7976918232519</v>
      </c>
      <c r="U554" s="107" t="str">
        <f>IFERROR(_xlfn.XLOOKUP("*"&amp;TRIM(Fusion[[#This Row],[Confinement Type]])&amp;"*", Map_Conf[From], Map_Conf[To], "", 2), "")</f>
        <v>MIF</v>
      </c>
      <c r="V554" s="108" t="str" cm="1">
        <f t="array" ref="V5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555" spans="1:22" hidden="1">
      <c r="B555" t="s">
        <v>81</v>
      </c>
      <c r="C555" t="s">
        <v>61</v>
      </c>
      <c r="D555" t="s">
        <v>62</v>
      </c>
      <c r="E555">
        <v>1500</v>
      </c>
      <c r="F555" t="s">
        <v>217</v>
      </c>
      <c r="G555" t="s">
        <v>755</v>
      </c>
      <c r="H555" t="s">
        <v>76</v>
      </c>
      <c r="I555">
        <v>3300</v>
      </c>
      <c r="J555" t="s">
        <v>82</v>
      </c>
      <c r="K555">
        <v>2011</v>
      </c>
      <c r="L555" t="s">
        <v>83</v>
      </c>
      <c r="M555" t="s">
        <v>765</v>
      </c>
      <c r="Q55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5132.0430588292829</v>
      </c>
      <c r="R55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5132.0430588292829</v>
      </c>
      <c r="U555" s="107" t="str">
        <f>IFERROR(_xlfn.XLOOKUP("*"&amp;TRIM(Fusion[[#This Row],[Confinement Type]])&amp;"*", Map_Conf[From], Map_Conf[To], "", 2), "")</f>
        <v>MCF</v>
      </c>
      <c r="V555" s="108" t="str" cm="1">
        <f t="array" ref="V5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6" spans="1:22" hidden="1">
      <c r="A556">
        <v>561</v>
      </c>
      <c r="B556" t="s">
        <v>506</v>
      </c>
      <c r="C556" t="s">
        <v>61</v>
      </c>
      <c r="D556" t="s">
        <v>62</v>
      </c>
      <c r="E556">
        <v>1000</v>
      </c>
      <c r="F556" t="s">
        <v>217</v>
      </c>
      <c r="G556" t="s">
        <v>57</v>
      </c>
      <c r="H556" t="s">
        <v>33</v>
      </c>
      <c r="I556">
        <v>4645000000</v>
      </c>
      <c r="J556" t="s">
        <v>34</v>
      </c>
      <c r="K556">
        <v>2011</v>
      </c>
      <c r="L556" t="s">
        <v>507</v>
      </c>
      <c r="M556" t="s">
        <v>504</v>
      </c>
      <c r="N556">
        <v>0.75</v>
      </c>
      <c r="O556" t="s">
        <v>38</v>
      </c>
      <c r="P556" t="s">
        <v>38</v>
      </c>
      <c r="Q55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5185.3703226207999</v>
      </c>
      <c r="R55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5185.3703226207999</v>
      </c>
      <c r="U556" s="107" t="str">
        <f>IFERROR(_xlfn.XLOOKUP("*"&amp;TRIM(Fusion[[#This Row],[Confinement Type]])&amp;"*", Map_Conf[From], Map_Conf[To], "", 2), "")</f>
        <v>MCF</v>
      </c>
      <c r="V556" s="108" t="str" cm="1">
        <f t="array" ref="V5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7" spans="1:22">
      <c r="A557">
        <v>515</v>
      </c>
      <c r="B557" t="s">
        <v>488</v>
      </c>
      <c r="C557" t="s">
        <v>470</v>
      </c>
      <c r="D557" t="s">
        <v>471</v>
      </c>
      <c r="E557">
        <v>383.1</v>
      </c>
      <c r="F557" t="s">
        <v>31</v>
      </c>
      <c r="G557" t="s">
        <v>754</v>
      </c>
      <c r="H557" t="s">
        <v>33</v>
      </c>
      <c r="I557">
        <v>799800000.00000012</v>
      </c>
      <c r="J557" t="s">
        <v>34</v>
      </c>
      <c r="K557">
        <v>2020</v>
      </c>
      <c r="L557" t="s">
        <v>486</v>
      </c>
      <c r="M557" t="s">
        <v>489</v>
      </c>
      <c r="N557">
        <v>0.9</v>
      </c>
      <c r="O557" t="s">
        <v>350</v>
      </c>
      <c r="P557" t="s">
        <v>487</v>
      </c>
      <c r="Q55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2025.5610465989603</v>
      </c>
      <c r="R55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2025.5610465989603</v>
      </c>
      <c r="U557" s="107" t="str">
        <f>IFERROR(_xlfn.XLOOKUP("*"&amp;TRIM(Fusion[[#This Row],[Confinement Type]])&amp;"*", Map_Conf[From], Map_Conf[To], "", 2), "")</f>
        <v>MIF</v>
      </c>
      <c r="V557" s="108" t="str" cm="1">
        <f t="array" ref="V5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558" spans="1:22">
      <c r="A558">
        <v>463</v>
      </c>
      <c r="B558" t="s">
        <v>635</v>
      </c>
      <c r="C558" t="s">
        <v>61</v>
      </c>
      <c r="D558" t="s">
        <v>62</v>
      </c>
      <c r="E558">
        <v>1700</v>
      </c>
      <c r="F558" t="s">
        <v>31</v>
      </c>
      <c r="G558" t="s">
        <v>57</v>
      </c>
      <c r="H558" t="s">
        <v>33</v>
      </c>
      <c r="I558">
        <v>4697100000</v>
      </c>
      <c r="J558" t="s">
        <v>34</v>
      </c>
      <c r="K558">
        <v>1996</v>
      </c>
      <c r="L558" t="s">
        <v>633</v>
      </c>
      <c r="M558" t="s">
        <v>1094</v>
      </c>
      <c r="N558" t="s">
        <v>38</v>
      </c>
      <c r="O558" t="s">
        <v>84</v>
      </c>
      <c r="P558" t="s">
        <v>38</v>
      </c>
      <c r="Q55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4421.9798661567875</v>
      </c>
      <c r="R55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4421.9798661567875</v>
      </c>
      <c r="U558" s="107" t="str">
        <f>IFERROR(_xlfn.XLOOKUP("*"&amp;TRIM(Fusion[[#This Row],[Confinement Type]])&amp;"*", Map_Conf[From], Map_Conf[To], "", 2), "")</f>
        <v>MCF</v>
      </c>
      <c r="V558" s="108" t="str" cm="1">
        <f t="array" ref="V5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9" spans="1:22" hidden="1">
      <c r="A559">
        <v>484</v>
      </c>
      <c r="B559" t="s">
        <v>455</v>
      </c>
      <c r="C559" t="s">
        <v>61</v>
      </c>
      <c r="D559" t="s">
        <v>62</v>
      </c>
      <c r="E559">
        <v>1200</v>
      </c>
      <c r="F559" t="s">
        <v>1143</v>
      </c>
      <c r="G559" t="s">
        <v>52</v>
      </c>
      <c r="H559" t="s">
        <v>33</v>
      </c>
      <c r="I559">
        <v>157000000</v>
      </c>
      <c r="J559" t="s">
        <v>34</v>
      </c>
      <c r="K559">
        <v>1990</v>
      </c>
      <c r="L559" t="s">
        <v>55</v>
      </c>
      <c r="M559" t="s">
        <v>642</v>
      </c>
      <c r="N559" t="s">
        <v>709</v>
      </c>
      <c r="O559" t="s">
        <v>84</v>
      </c>
      <c r="P559">
        <v>17000000</v>
      </c>
      <c r="Q55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251.36316628411123</v>
      </c>
      <c r="R55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278.58083397092582</v>
      </c>
      <c r="U559" s="107" t="str">
        <f>IFERROR(_xlfn.XLOOKUP("*"&amp;TRIM(Fusion[[#This Row],[Confinement Type]])&amp;"*", Map_Conf[From], Map_Conf[To], "", 2), "")</f>
        <v>MCF</v>
      </c>
      <c r="V559" s="108" t="str" cm="1">
        <f t="array" ref="V5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0" spans="1:22" hidden="1">
      <c r="A560">
        <v>487</v>
      </c>
      <c r="B560" t="s">
        <v>458</v>
      </c>
      <c r="C560" t="s">
        <v>61</v>
      </c>
      <c r="D560" t="s">
        <v>62</v>
      </c>
      <c r="E560">
        <v>1378</v>
      </c>
      <c r="F560" t="s">
        <v>1143</v>
      </c>
      <c r="G560" t="s">
        <v>52</v>
      </c>
      <c r="H560" t="s">
        <v>33</v>
      </c>
      <c r="I560">
        <v>174000000</v>
      </c>
      <c r="J560" t="s">
        <v>34</v>
      </c>
      <c r="K560">
        <v>1990</v>
      </c>
      <c r="L560" t="s">
        <v>55</v>
      </c>
      <c r="M560" t="s">
        <v>643</v>
      </c>
      <c r="N560" t="s">
        <v>709</v>
      </c>
      <c r="O560" t="s">
        <v>84</v>
      </c>
      <c r="P560">
        <v>26000000</v>
      </c>
      <c r="Q56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242.5957915566843</v>
      </c>
      <c r="R56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278.84573742147626</v>
      </c>
      <c r="U560" s="107" t="str">
        <f>IFERROR(_xlfn.XLOOKUP("*"&amp;TRIM(Fusion[[#This Row],[Confinement Type]])&amp;"*", Map_Conf[From], Map_Conf[To], "", 2), "")</f>
        <v>MCF</v>
      </c>
      <c r="V560" s="108" t="str" cm="1">
        <f t="array" ref="V5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1" spans="1:22" hidden="1">
      <c r="A561">
        <v>486</v>
      </c>
      <c r="B561" t="s">
        <v>457</v>
      </c>
      <c r="C561" t="s">
        <v>61</v>
      </c>
      <c r="D561" t="s">
        <v>62</v>
      </c>
      <c r="E561">
        <v>1200</v>
      </c>
      <c r="F561" t="s">
        <v>1143</v>
      </c>
      <c r="G561" t="s">
        <v>52</v>
      </c>
      <c r="H561" t="s">
        <v>33</v>
      </c>
      <c r="I561">
        <v>173000000</v>
      </c>
      <c r="J561" t="s">
        <v>34</v>
      </c>
      <c r="K561">
        <v>1990</v>
      </c>
      <c r="L561" t="s">
        <v>55</v>
      </c>
      <c r="M561" t="s">
        <v>644</v>
      </c>
      <c r="N561" t="s">
        <v>709</v>
      </c>
      <c r="O561" t="s">
        <v>84</v>
      </c>
      <c r="P561">
        <v>19000000</v>
      </c>
      <c r="Q56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276.97979469523079</v>
      </c>
      <c r="R56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307.39954093343539</v>
      </c>
      <c r="U561" s="107" t="str">
        <f>IFERROR(_xlfn.XLOOKUP("*"&amp;TRIM(Fusion[[#This Row],[Confinement Type]])&amp;"*", Map_Conf[From], Map_Conf[To], "", 2), "")</f>
        <v>MCF</v>
      </c>
      <c r="V561" s="108" t="str" cm="1">
        <f t="array" ref="V5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2" spans="1:22" hidden="1">
      <c r="A562">
        <v>485</v>
      </c>
      <c r="B562" t="s">
        <v>456</v>
      </c>
      <c r="C562" t="s">
        <v>61</v>
      </c>
      <c r="D562" t="s">
        <v>62</v>
      </c>
      <c r="E562">
        <v>1424</v>
      </c>
      <c r="F562" t="s">
        <v>1143</v>
      </c>
      <c r="G562" t="s">
        <v>52</v>
      </c>
      <c r="H562" t="s">
        <v>33</v>
      </c>
      <c r="I562">
        <v>333000000</v>
      </c>
      <c r="J562" t="s">
        <v>34</v>
      </c>
      <c r="K562">
        <v>1990</v>
      </c>
      <c r="L562" t="s">
        <v>55</v>
      </c>
      <c r="M562" t="s">
        <v>643</v>
      </c>
      <c r="N562" t="s">
        <v>709</v>
      </c>
      <c r="O562" t="s">
        <v>84</v>
      </c>
      <c r="P562">
        <v>36000000</v>
      </c>
      <c r="Q56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449.28040348856211</v>
      </c>
      <c r="R56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497.85125791975798</v>
      </c>
      <c r="U562" s="107" t="str">
        <f>IFERROR(_xlfn.XLOOKUP("*"&amp;TRIM(Fusion[[#This Row],[Confinement Type]])&amp;"*", Map_Conf[From], Map_Conf[To], "", 2), "")</f>
        <v>MCF</v>
      </c>
      <c r="V562" s="108" t="str" cm="1">
        <f t="array" ref="V5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3" spans="1:22" hidden="1">
      <c r="A563">
        <v>483</v>
      </c>
      <c r="B563" t="s">
        <v>454</v>
      </c>
      <c r="C563" t="s">
        <v>61</v>
      </c>
      <c r="D563" t="s">
        <v>62</v>
      </c>
      <c r="E563">
        <v>1148</v>
      </c>
      <c r="F563" t="s">
        <v>1143</v>
      </c>
      <c r="G563" t="s">
        <v>52</v>
      </c>
      <c r="H563" t="s">
        <v>33</v>
      </c>
      <c r="I563">
        <v>281000000</v>
      </c>
      <c r="J563" t="s">
        <v>34</v>
      </c>
      <c r="K563">
        <v>1990</v>
      </c>
      <c r="L563" t="s">
        <v>55</v>
      </c>
      <c r="M563" t="s">
        <v>641</v>
      </c>
      <c r="N563" t="s">
        <v>714</v>
      </c>
      <c r="O563" t="s">
        <v>84</v>
      </c>
      <c r="P563">
        <v>21000000</v>
      </c>
      <c r="Q56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470.27042139751387</v>
      </c>
      <c r="R56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505.41518598594018</v>
      </c>
      <c r="U563" s="107" t="str">
        <f>IFERROR(_xlfn.XLOOKUP("*"&amp;TRIM(Fusion[[#This Row],[Confinement Type]])&amp;"*", Map_Conf[From], Map_Conf[To], "", 2), "")</f>
        <v>MCF</v>
      </c>
      <c r="V563" s="108" t="str" cm="1">
        <f t="array" ref="V5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4" spans="1:22" hidden="1">
      <c r="A564">
        <v>573</v>
      </c>
      <c r="B564" t="s">
        <v>512</v>
      </c>
      <c r="C564" t="s">
        <v>30</v>
      </c>
      <c r="D564" t="s">
        <v>803</v>
      </c>
      <c r="E564">
        <v>1000</v>
      </c>
      <c r="F564" t="s">
        <v>217</v>
      </c>
      <c r="G564" t="s">
        <v>57</v>
      </c>
      <c r="H564" t="s">
        <v>33</v>
      </c>
      <c r="I564">
        <v>5050000000</v>
      </c>
      <c r="J564" t="s">
        <v>34</v>
      </c>
      <c r="K564">
        <v>2011</v>
      </c>
      <c r="L564" t="s">
        <v>507</v>
      </c>
      <c r="M564" t="s">
        <v>834</v>
      </c>
      <c r="N564" t="s">
        <v>1124</v>
      </c>
      <c r="O564" t="s">
        <v>38</v>
      </c>
      <c r="P564" t="s">
        <v>38</v>
      </c>
      <c r="Q56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5637.4854960678231</v>
      </c>
      <c r="R56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5637.4854960678231</v>
      </c>
      <c r="U564" s="107" t="str">
        <f>IFERROR(_xlfn.XLOOKUP("*"&amp;TRIM(Fusion[[#This Row],[Confinement Type]])&amp;"*", Map_Conf[From], Map_Conf[To], "", 2), "")</f>
        <v>ICF</v>
      </c>
      <c r="V564" s="108" t="str" cm="1">
        <f t="array" ref="V5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65" spans="1:22" hidden="1">
      <c r="A565">
        <v>482</v>
      </c>
      <c r="B565" t="s">
        <v>453</v>
      </c>
      <c r="C565" t="s">
        <v>61</v>
      </c>
      <c r="D565" t="s">
        <v>62</v>
      </c>
      <c r="E565">
        <v>1000</v>
      </c>
      <c r="F565" t="s">
        <v>1143</v>
      </c>
      <c r="G565" t="s">
        <v>52</v>
      </c>
      <c r="H565" t="s">
        <v>33</v>
      </c>
      <c r="I565">
        <v>733000000</v>
      </c>
      <c r="J565" t="s">
        <v>34</v>
      </c>
      <c r="K565">
        <v>1990</v>
      </c>
      <c r="L565" t="s">
        <v>55</v>
      </c>
      <c r="M565" t="s">
        <v>645</v>
      </c>
      <c r="N565" t="s">
        <v>714</v>
      </c>
      <c r="O565" t="s">
        <v>84</v>
      </c>
      <c r="P565">
        <v>54000000</v>
      </c>
      <c r="Q56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1408.2741469013008</v>
      </c>
      <c r="R56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1512.0214919663354</v>
      </c>
      <c r="U565" s="107" t="str">
        <f>IFERROR(_xlfn.XLOOKUP("*"&amp;TRIM(Fusion[[#This Row],[Confinement Type]])&amp;"*", Map_Conf[From], Map_Conf[To], "", 2), "")</f>
        <v>MCF</v>
      </c>
      <c r="V565" s="108" t="str" cm="1">
        <f t="array" ref="V5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6" spans="1:22" hidden="1">
      <c r="A566">
        <v>539</v>
      </c>
      <c r="B566" t="s">
        <v>497</v>
      </c>
      <c r="C566" t="s">
        <v>61</v>
      </c>
      <c r="D566" t="s">
        <v>62</v>
      </c>
      <c r="E566">
        <v>1000</v>
      </c>
      <c r="F566" t="s">
        <v>217</v>
      </c>
      <c r="G566" t="s">
        <v>57</v>
      </c>
      <c r="H566" t="s">
        <v>33</v>
      </c>
      <c r="I566">
        <v>4140000000</v>
      </c>
      <c r="J566" t="s">
        <v>34</v>
      </c>
      <c r="K566">
        <v>2003</v>
      </c>
      <c r="L566" t="s">
        <v>498</v>
      </c>
      <c r="N566">
        <v>0.75</v>
      </c>
      <c r="O566" t="s">
        <v>38</v>
      </c>
      <c r="P566" t="s">
        <v>38</v>
      </c>
      <c r="Q56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5649.9075000000003</v>
      </c>
      <c r="R56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5649.9075000000003</v>
      </c>
      <c r="U566" s="107" t="str">
        <f>IFERROR(_xlfn.XLOOKUP("*"&amp;TRIM(Fusion[[#This Row],[Confinement Type]])&amp;"*", Map_Conf[From], Map_Conf[To], "", 2), "")</f>
        <v>MCF</v>
      </c>
      <c r="V566" s="108" t="str" cm="1">
        <f t="array" ref="V5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7" spans="1:22" hidden="1">
      <c r="B567" t="s">
        <v>81</v>
      </c>
      <c r="C567" t="s">
        <v>61</v>
      </c>
      <c r="D567" t="s">
        <v>62</v>
      </c>
      <c r="E567">
        <v>1500</v>
      </c>
      <c r="F567" t="s">
        <v>217</v>
      </c>
      <c r="G567" t="s">
        <v>755</v>
      </c>
      <c r="H567" t="s">
        <v>76</v>
      </c>
      <c r="I567">
        <v>3650</v>
      </c>
      <c r="J567" t="s">
        <v>82</v>
      </c>
      <c r="K567">
        <v>2011</v>
      </c>
      <c r="L567" t="s">
        <v>83</v>
      </c>
      <c r="M567" t="s">
        <v>762</v>
      </c>
      <c r="Q56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5676.3506559778434</v>
      </c>
      <c r="R56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5676.3506559778434</v>
      </c>
      <c r="U567" s="107" t="str">
        <f>IFERROR(_xlfn.XLOOKUP("*"&amp;TRIM(Fusion[[#This Row],[Confinement Type]])&amp;"*", Map_Conf[From], Map_Conf[To], "", 2), "")</f>
        <v>MCF</v>
      </c>
      <c r="V567" s="108" t="str" cm="1">
        <f t="array" ref="V5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8" spans="1:22">
      <c r="A568">
        <v>462</v>
      </c>
      <c r="B568" t="s">
        <v>636</v>
      </c>
      <c r="C568" t="s">
        <v>61</v>
      </c>
      <c r="D568" t="s">
        <v>62</v>
      </c>
      <c r="E568">
        <v>1000</v>
      </c>
      <c r="F568" t="s">
        <v>31</v>
      </c>
      <c r="G568" t="s">
        <v>32</v>
      </c>
      <c r="H568" t="s">
        <v>33</v>
      </c>
      <c r="I568">
        <v>6326914000</v>
      </c>
      <c r="J568" t="s">
        <v>34</v>
      </c>
      <c r="K568">
        <v>1996</v>
      </c>
      <c r="L568" t="s">
        <v>633</v>
      </c>
      <c r="M568" t="s">
        <v>637</v>
      </c>
      <c r="N568" t="s">
        <v>38</v>
      </c>
      <c r="O568" t="s">
        <v>84</v>
      </c>
      <c r="P568" t="s">
        <v>38</v>
      </c>
      <c r="Q56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10125.764141478647</v>
      </c>
      <c r="R56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10125.764141478647</v>
      </c>
      <c r="U568" s="107" t="str">
        <f>IFERROR(_xlfn.XLOOKUP("*"&amp;TRIM(Fusion[[#This Row],[Confinement Type]])&amp;"*", Map_Conf[From], Map_Conf[To], "", 2), "")</f>
        <v>MCF</v>
      </c>
      <c r="V568" s="108" t="str" cm="1">
        <f t="array" ref="V5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9" spans="1:22" hidden="1">
      <c r="A569">
        <v>13</v>
      </c>
      <c r="B569" t="s">
        <v>81</v>
      </c>
      <c r="C569" t="s">
        <v>61</v>
      </c>
      <c r="D569" t="s">
        <v>62</v>
      </c>
      <c r="E569">
        <v>1500</v>
      </c>
      <c r="F569" t="s">
        <v>217</v>
      </c>
      <c r="G569" t="s">
        <v>52</v>
      </c>
      <c r="H569" t="s">
        <v>76</v>
      </c>
      <c r="I569">
        <v>3700</v>
      </c>
      <c r="J569" t="s">
        <v>82</v>
      </c>
      <c r="K569">
        <v>2011</v>
      </c>
      <c r="L569" t="s">
        <v>83</v>
      </c>
      <c r="M569" t="s">
        <v>752</v>
      </c>
      <c r="N569" t="s">
        <v>706</v>
      </c>
      <c r="O569" t="s">
        <v>84</v>
      </c>
      <c r="P569" t="s">
        <v>38</v>
      </c>
      <c r="Q56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5754.1088841419232</v>
      </c>
      <c r="R56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5754.1088841419232</v>
      </c>
      <c r="U569" s="107" t="str">
        <f>IFERROR(_xlfn.XLOOKUP("*"&amp;TRIM(Fusion[[#This Row],[Confinement Type]])&amp;"*", Map_Conf[From], Map_Conf[To], "", 2), "")</f>
        <v>MCF</v>
      </c>
      <c r="V569" s="108" t="str" cm="1">
        <f t="array" ref="V5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70" spans="1:22" hidden="1">
      <c r="A570">
        <v>26</v>
      </c>
      <c r="B570" t="s">
        <v>81</v>
      </c>
      <c r="C570" t="s">
        <v>61</v>
      </c>
      <c r="D570" t="s">
        <v>62</v>
      </c>
      <c r="E570">
        <v>1500</v>
      </c>
      <c r="F570" t="s">
        <v>217</v>
      </c>
      <c r="G570" t="s">
        <v>57</v>
      </c>
      <c r="H570" t="s">
        <v>76</v>
      </c>
      <c r="I570">
        <v>3700</v>
      </c>
      <c r="J570" t="s">
        <v>82</v>
      </c>
      <c r="K570">
        <v>2011</v>
      </c>
      <c r="L570" t="s">
        <v>83</v>
      </c>
      <c r="M570" t="s">
        <v>757</v>
      </c>
      <c r="N570" t="s">
        <v>706</v>
      </c>
      <c r="O570" t="s">
        <v>84</v>
      </c>
      <c r="P570" t="s">
        <v>38</v>
      </c>
      <c r="Q57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5754.1088841419232</v>
      </c>
      <c r="R57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5754.1088841419232</v>
      </c>
      <c r="U570" s="107" t="str">
        <f>IFERROR(_xlfn.XLOOKUP("*"&amp;TRIM(Fusion[[#This Row],[Confinement Type]])&amp;"*", Map_Conf[From], Map_Conf[To], "", 2), "")</f>
        <v>MCF</v>
      </c>
      <c r="V570" s="108" t="str" cm="1">
        <f t="array" ref="V5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71" spans="1:22" hidden="1">
      <c r="A571">
        <v>566</v>
      </c>
      <c r="B571" t="s">
        <v>508</v>
      </c>
      <c r="C571" t="s">
        <v>61</v>
      </c>
      <c r="D571" t="s">
        <v>62</v>
      </c>
      <c r="E571">
        <v>1000</v>
      </c>
      <c r="F571" t="s">
        <v>217</v>
      </c>
      <c r="G571" t="s">
        <v>57</v>
      </c>
      <c r="H571" t="s">
        <v>33</v>
      </c>
      <c r="I571">
        <v>5227000000</v>
      </c>
      <c r="J571" t="s">
        <v>34</v>
      </c>
      <c r="K571">
        <v>2011</v>
      </c>
      <c r="L571" t="s">
        <v>507</v>
      </c>
      <c r="M571" t="s">
        <v>504</v>
      </c>
      <c r="N571">
        <v>0.75</v>
      </c>
      <c r="O571" t="s">
        <v>38</v>
      </c>
      <c r="P571" t="s">
        <v>38</v>
      </c>
      <c r="Q57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5835.076571870597</v>
      </c>
      <c r="R57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5835.076571870597</v>
      </c>
      <c r="U571" s="107" t="str">
        <f>IFERROR(_xlfn.XLOOKUP("*"&amp;TRIM(Fusion[[#This Row],[Confinement Type]])&amp;"*", Map_Conf[From], Map_Conf[To], "", 2), "")</f>
        <v>MCF</v>
      </c>
      <c r="V571" s="108" t="str" cm="1">
        <f t="array" ref="V5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72" spans="1:22">
      <c r="A572">
        <v>272</v>
      </c>
      <c r="B572" t="s">
        <v>286</v>
      </c>
      <c r="C572" t="s">
        <v>61</v>
      </c>
      <c r="D572" t="s">
        <v>278</v>
      </c>
      <c r="E572">
        <v>1598</v>
      </c>
      <c r="F572" t="s">
        <v>31</v>
      </c>
      <c r="G572" t="s">
        <v>57</v>
      </c>
      <c r="H572" t="s">
        <v>33</v>
      </c>
      <c r="I572">
        <v>6735000000</v>
      </c>
      <c r="J572" t="s">
        <v>34</v>
      </c>
      <c r="K572">
        <v>2002</v>
      </c>
      <c r="L572" t="s">
        <v>287</v>
      </c>
      <c r="M572" t="s">
        <v>290</v>
      </c>
      <c r="N572">
        <v>0.72699999999999998</v>
      </c>
      <c r="O572" t="s">
        <v>84</v>
      </c>
      <c r="P572" t="s">
        <v>38</v>
      </c>
      <c r="Q57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5882.8595673719446</v>
      </c>
      <c r="R57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5882.8595673719446</v>
      </c>
      <c r="U572" s="107" t="str">
        <f>IFERROR(_xlfn.XLOOKUP("*"&amp;TRIM(Fusion[[#This Row],[Confinement Type]])&amp;"*", Map_Conf[From], Map_Conf[To], "", 2), "")</f>
        <v>MCF</v>
      </c>
      <c r="V572" s="108" t="str" cm="1">
        <f t="array" ref="V5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73" spans="1:22">
      <c r="A573">
        <v>269</v>
      </c>
      <c r="B573" t="s">
        <v>286</v>
      </c>
      <c r="C573" t="s">
        <v>61</v>
      </c>
      <c r="D573" t="s">
        <v>278</v>
      </c>
      <c r="E573">
        <v>1604</v>
      </c>
      <c r="F573" t="s">
        <v>31</v>
      </c>
      <c r="G573" t="s">
        <v>57</v>
      </c>
      <c r="H573" t="s">
        <v>33</v>
      </c>
      <c r="I573">
        <v>7270000000</v>
      </c>
      <c r="J573" t="s">
        <v>34</v>
      </c>
      <c r="K573">
        <v>2002</v>
      </c>
      <c r="L573" t="s">
        <v>287</v>
      </c>
      <c r="M573" t="s">
        <v>290</v>
      </c>
      <c r="N573">
        <v>0.68</v>
      </c>
      <c r="O573" t="s">
        <v>84</v>
      </c>
      <c r="P573" t="s">
        <v>38</v>
      </c>
      <c r="Q57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6326.4153748480385</v>
      </c>
      <c r="R57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6326.4153748480385</v>
      </c>
      <c r="U573" s="107" t="str">
        <f>IFERROR(_xlfn.XLOOKUP("*"&amp;TRIM(Fusion[[#This Row],[Confinement Type]])&amp;"*", Map_Conf[From], Map_Conf[To], "", 2), "")</f>
        <v>MCF</v>
      </c>
      <c r="V573" s="108" t="str" cm="1">
        <f t="array" ref="V5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74" spans="1:22" hidden="1">
      <c r="A574">
        <v>213</v>
      </c>
      <c r="B574" t="s">
        <v>79</v>
      </c>
      <c r="C574" t="s">
        <v>61</v>
      </c>
      <c r="D574" t="s">
        <v>62</v>
      </c>
      <c r="E574" t="s">
        <v>257</v>
      </c>
      <c r="F574" t="s">
        <v>31</v>
      </c>
      <c r="G574" t="s">
        <v>32</v>
      </c>
      <c r="H574" t="s">
        <v>33</v>
      </c>
      <c r="I574">
        <v>3301700000</v>
      </c>
      <c r="J574" t="s">
        <v>34</v>
      </c>
      <c r="K574">
        <v>1989</v>
      </c>
      <c r="L574" t="s">
        <v>80</v>
      </c>
      <c r="M574" t="s">
        <v>258</v>
      </c>
      <c r="N574" t="s">
        <v>38</v>
      </c>
      <c r="O574" t="s">
        <v>104</v>
      </c>
      <c r="P574" t="s">
        <v>38</v>
      </c>
      <c r="Q57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6686128886.2903223</v>
      </c>
      <c r="R57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6686128886.2903223</v>
      </c>
      <c r="U574" s="107" t="str">
        <f>IFERROR(_xlfn.XLOOKUP("*"&amp;TRIM(Fusion[[#This Row],[Confinement Type]])&amp;"*", Map_Conf[From], Map_Conf[To], "", 2), "")</f>
        <v>MCF</v>
      </c>
      <c r="V574" s="108" t="str" cm="1">
        <f t="array" ref="V5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75" spans="1:22" hidden="1">
      <c r="A575">
        <v>394</v>
      </c>
      <c r="B575" t="s">
        <v>392</v>
      </c>
      <c r="C575" t="s">
        <v>81</v>
      </c>
      <c r="D575" t="s">
        <v>81</v>
      </c>
      <c r="E575" t="s">
        <v>81</v>
      </c>
      <c r="F575" t="s">
        <v>31</v>
      </c>
      <c r="G575" t="s">
        <v>57</v>
      </c>
      <c r="H575" t="s">
        <v>76</v>
      </c>
      <c r="I575">
        <v>5000</v>
      </c>
      <c r="J575" t="s">
        <v>82</v>
      </c>
      <c r="K575">
        <v>2018</v>
      </c>
      <c r="L575" t="s">
        <v>393</v>
      </c>
      <c r="M575" t="s">
        <v>394</v>
      </c>
      <c r="N575" t="s">
        <v>38</v>
      </c>
      <c r="O575" t="s">
        <v>38</v>
      </c>
      <c r="P575" t="s">
        <v>38</v>
      </c>
      <c r="Q57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5908.5</v>
      </c>
      <c r="R57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5908.5</v>
      </c>
      <c r="U575" s="107" t="str">
        <f>IFERROR(_xlfn.XLOOKUP("*"&amp;TRIM(Fusion[[#This Row],[Confinement Type]])&amp;"*", Map_Conf[From], Map_Conf[To], "", 2), "")</f>
        <v/>
      </c>
      <c r="V575" s="108" t="e" cm="1">
        <f t="array" ref="V5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576" spans="1:22" hidden="1">
      <c r="A576">
        <v>257</v>
      </c>
      <c r="B576" t="s">
        <v>232</v>
      </c>
      <c r="C576" t="s">
        <v>61</v>
      </c>
      <c r="D576" t="s">
        <v>62</v>
      </c>
      <c r="E576" t="s">
        <v>81</v>
      </c>
      <c r="F576" t="s">
        <v>217</v>
      </c>
      <c r="G576" t="s">
        <v>52</v>
      </c>
      <c r="H576" t="s">
        <v>76</v>
      </c>
      <c r="I576">
        <v>5616</v>
      </c>
      <c r="J576" t="s">
        <v>189</v>
      </c>
      <c r="K576">
        <v>2015</v>
      </c>
      <c r="L576" t="s">
        <v>289</v>
      </c>
      <c r="M576" t="s">
        <v>685</v>
      </c>
      <c r="N576" t="s">
        <v>38</v>
      </c>
      <c r="O576" t="s">
        <v>38</v>
      </c>
      <c r="P576" t="s">
        <v>38</v>
      </c>
      <c r="Q57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5949.8555462266422</v>
      </c>
      <c r="R57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5949.8555462266422</v>
      </c>
      <c r="U576" s="107" t="str">
        <f>IFERROR(_xlfn.XLOOKUP("*"&amp;TRIM(Fusion[[#This Row],[Confinement Type]])&amp;"*", Map_Conf[From], Map_Conf[To], "", 2), "")</f>
        <v>MCF</v>
      </c>
      <c r="V576" s="108" t="str" cm="1">
        <f t="array" ref="V5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77" spans="1:22">
      <c r="A577">
        <v>270</v>
      </c>
      <c r="B577" t="s">
        <v>286</v>
      </c>
      <c r="C577" t="s">
        <v>61</v>
      </c>
      <c r="D577" t="s">
        <v>278</v>
      </c>
      <c r="E577">
        <v>1601</v>
      </c>
      <c r="F577" t="s">
        <v>31</v>
      </c>
      <c r="G577" t="s">
        <v>57</v>
      </c>
      <c r="H577" t="s">
        <v>33</v>
      </c>
      <c r="I577">
        <v>7393000000</v>
      </c>
      <c r="J577" t="s">
        <v>34</v>
      </c>
      <c r="K577">
        <v>2002</v>
      </c>
      <c r="L577" t="s">
        <v>287</v>
      </c>
      <c r="M577" t="s">
        <v>290</v>
      </c>
      <c r="N577">
        <v>0.70599999999999996</v>
      </c>
      <c r="O577" t="s">
        <v>84</v>
      </c>
      <c r="P577" t="s">
        <v>38</v>
      </c>
      <c r="Q57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6445.5061993980289</v>
      </c>
      <c r="R57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6445.5061993980289</v>
      </c>
      <c r="U577" s="107" t="str">
        <f>IFERROR(_xlfn.XLOOKUP("*"&amp;TRIM(Fusion[[#This Row],[Confinement Type]])&amp;"*", Map_Conf[From], Map_Conf[To], "", 2), "")</f>
        <v>MCF</v>
      </c>
      <c r="V577" s="108" t="str" cm="1">
        <f t="array" ref="V5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78" spans="1:22">
      <c r="A578">
        <v>271</v>
      </c>
      <c r="B578" t="s">
        <v>286</v>
      </c>
      <c r="C578" t="s">
        <v>61</v>
      </c>
      <c r="D578" t="s">
        <v>278</v>
      </c>
      <c r="E578">
        <v>1598</v>
      </c>
      <c r="F578" t="s">
        <v>31</v>
      </c>
      <c r="G578" t="s">
        <v>57</v>
      </c>
      <c r="H578" t="s">
        <v>33</v>
      </c>
      <c r="I578">
        <v>7705000000</v>
      </c>
      <c r="J578" t="s">
        <v>34</v>
      </c>
      <c r="K578">
        <v>2002</v>
      </c>
      <c r="L578" t="s">
        <v>287</v>
      </c>
      <c r="M578" t="s">
        <v>290</v>
      </c>
      <c r="N578">
        <v>0.72599999999999998</v>
      </c>
      <c r="O578" t="s">
        <v>84</v>
      </c>
      <c r="P578" t="s">
        <v>38</v>
      </c>
      <c r="Q57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6730.1311012027963</v>
      </c>
      <c r="R57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6730.1311012027963</v>
      </c>
      <c r="U578" s="107" t="str">
        <f>IFERROR(_xlfn.XLOOKUP("*"&amp;TRIM(Fusion[[#This Row],[Confinement Type]])&amp;"*", Map_Conf[From], Map_Conf[To], "", 2), "")</f>
        <v>MCF</v>
      </c>
      <c r="V578" s="108" t="str" cm="1">
        <f t="array" ref="V5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79" spans="1:22" hidden="1">
      <c r="B579" t="s">
        <v>81</v>
      </c>
      <c r="C579" t="s">
        <v>61</v>
      </c>
      <c r="D579" t="s">
        <v>62</v>
      </c>
      <c r="E579">
        <v>1500</v>
      </c>
      <c r="F579" t="s">
        <v>217</v>
      </c>
      <c r="G579" t="s">
        <v>754</v>
      </c>
      <c r="H579" t="s">
        <v>76</v>
      </c>
      <c r="I579">
        <v>3950</v>
      </c>
      <c r="J579" t="s">
        <v>82</v>
      </c>
      <c r="K579">
        <v>2011</v>
      </c>
      <c r="L579" t="s">
        <v>83</v>
      </c>
      <c r="M579" t="s">
        <v>759</v>
      </c>
      <c r="Q57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6142.9000249623232</v>
      </c>
      <c r="R57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6142.9000249623232</v>
      </c>
      <c r="U579" s="107" t="str">
        <f>IFERROR(_xlfn.XLOOKUP("*"&amp;TRIM(Fusion[[#This Row],[Confinement Type]])&amp;"*", Map_Conf[From], Map_Conf[To], "", 2), "")</f>
        <v>MCF</v>
      </c>
      <c r="V579" s="108" t="str" cm="1">
        <f t="array" ref="V5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0" spans="1:22" hidden="1">
      <c r="A580">
        <v>586</v>
      </c>
      <c r="B580" t="s">
        <v>514</v>
      </c>
      <c r="C580" t="s">
        <v>61</v>
      </c>
      <c r="D580" t="s">
        <v>107</v>
      </c>
      <c r="E580">
        <v>1000</v>
      </c>
      <c r="F580" t="s">
        <v>217</v>
      </c>
      <c r="G580" t="s">
        <v>57</v>
      </c>
      <c r="H580" t="s">
        <v>33</v>
      </c>
      <c r="I580">
        <v>5582000000</v>
      </c>
      <c r="J580" t="s">
        <v>34</v>
      </c>
      <c r="K580">
        <v>2011</v>
      </c>
      <c r="L580" t="s">
        <v>507</v>
      </c>
      <c r="M580" t="s">
        <v>504</v>
      </c>
      <c r="N580">
        <v>0.75</v>
      </c>
      <c r="O580" t="s">
        <v>38</v>
      </c>
      <c r="P580" t="s">
        <v>38</v>
      </c>
      <c r="Q58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6231.3750572377403</v>
      </c>
      <c r="R58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6231.3750572377403</v>
      </c>
      <c r="U580" s="107" t="str">
        <f>IFERROR(_xlfn.XLOOKUP("*"&amp;TRIM(Fusion[[#This Row],[Confinement Type]])&amp;"*", Map_Conf[From], Map_Conf[To], "", 2), "")</f>
        <v>MCF</v>
      </c>
      <c r="V580" s="108" t="str" cm="1">
        <f t="array" ref="V5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1" spans="1:22" hidden="1">
      <c r="A581">
        <v>45</v>
      </c>
      <c r="B581" t="s">
        <v>124</v>
      </c>
      <c r="C581" t="s">
        <v>30</v>
      </c>
      <c r="D581" t="s">
        <v>796</v>
      </c>
      <c r="E581">
        <v>1010</v>
      </c>
      <c r="F581" t="s">
        <v>667</v>
      </c>
      <c r="G581" t="s">
        <v>52</v>
      </c>
      <c r="H581" t="s">
        <v>33</v>
      </c>
      <c r="I581">
        <v>2970000000</v>
      </c>
      <c r="J581" t="s">
        <v>34</v>
      </c>
      <c r="K581">
        <v>1988</v>
      </c>
      <c r="L581" t="s">
        <v>120</v>
      </c>
      <c r="M581" t="s">
        <v>121</v>
      </c>
      <c r="N581">
        <v>0.76</v>
      </c>
      <c r="O581" t="s">
        <v>122</v>
      </c>
      <c r="P581" t="s">
        <v>38</v>
      </c>
      <c r="Q58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6241.7899617518806</v>
      </c>
      <c r="R58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6241.7899617518806</v>
      </c>
      <c r="U581" s="107" t="str">
        <f>IFERROR(_xlfn.XLOOKUP("*"&amp;TRIM(Fusion[[#This Row],[Confinement Type]])&amp;"*", Map_Conf[From], Map_Conf[To], "", 2), "")</f>
        <v>ICF</v>
      </c>
      <c r="V581" s="108" t="str" cm="1">
        <f t="array" ref="V5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82" spans="1:22">
      <c r="A582">
        <v>304</v>
      </c>
      <c r="B582" t="s">
        <v>304</v>
      </c>
      <c r="C582" t="s">
        <v>61</v>
      </c>
      <c r="D582" t="s">
        <v>62</v>
      </c>
      <c r="E582">
        <v>1000</v>
      </c>
      <c r="F582" t="s">
        <v>31</v>
      </c>
      <c r="G582" t="s">
        <v>52</v>
      </c>
      <c r="H582" t="s">
        <v>33</v>
      </c>
      <c r="I582">
        <v>2746300000</v>
      </c>
      <c r="J582" t="s">
        <v>34</v>
      </c>
      <c r="K582">
        <v>1992</v>
      </c>
      <c r="L582" t="s">
        <v>294</v>
      </c>
      <c r="N582">
        <v>0.75</v>
      </c>
      <c r="O582" t="s">
        <v>84</v>
      </c>
      <c r="P582">
        <v>402400000</v>
      </c>
      <c r="Q58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4915.2897655024944</v>
      </c>
      <c r="R58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5635.4997213114757</v>
      </c>
      <c r="U582" s="107" t="str">
        <f>IFERROR(_xlfn.XLOOKUP("*"&amp;TRIM(Fusion[[#This Row],[Confinement Type]])&amp;"*", Map_Conf[From], Map_Conf[To], "", 2), "")</f>
        <v>MCF</v>
      </c>
      <c r="V582" s="108" t="str" cm="1">
        <f t="array" ref="V5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3" spans="1:22">
      <c r="A583">
        <v>302</v>
      </c>
      <c r="B583" t="s">
        <v>126</v>
      </c>
      <c r="C583" t="s">
        <v>61</v>
      </c>
      <c r="D583" t="s">
        <v>62</v>
      </c>
      <c r="E583">
        <v>1000</v>
      </c>
      <c r="F583" t="s">
        <v>31</v>
      </c>
      <c r="G583" t="s">
        <v>52</v>
      </c>
      <c r="H583" t="s">
        <v>33</v>
      </c>
      <c r="I583">
        <v>3060900000</v>
      </c>
      <c r="J583" t="s">
        <v>34</v>
      </c>
      <c r="K583">
        <v>1992</v>
      </c>
      <c r="L583" t="s">
        <v>294</v>
      </c>
      <c r="N583">
        <v>0.75</v>
      </c>
      <c r="O583" t="s">
        <v>84</v>
      </c>
      <c r="P583">
        <v>516500000</v>
      </c>
      <c r="Q58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5478.3564953670702</v>
      </c>
      <c r="R58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6402.781053456878</v>
      </c>
      <c r="U583" s="107" t="str">
        <f>IFERROR(_xlfn.XLOOKUP("*"&amp;TRIM(Fusion[[#This Row],[Confinement Type]])&amp;"*", Map_Conf[From], Map_Conf[To], "", 2), "")</f>
        <v>MCF</v>
      </c>
      <c r="V583" s="108" t="str" cm="1">
        <f t="array" ref="V5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4" spans="1:22">
      <c r="A584">
        <v>303</v>
      </c>
      <c r="B584" t="s">
        <v>301</v>
      </c>
      <c r="C584" t="s">
        <v>61</v>
      </c>
      <c r="D584" t="s">
        <v>62</v>
      </c>
      <c r="E584">
        <v>1000</v>
      </c>
      <c r="F584" t="s">
        <v>31</v>
      </c>
      <c r="G584" t="s">
        <v>52</v>
      </c>
      <c r="H584" t="s">
        <v>33</v>
      </c>
      <c r="I584">
        <v>3114899999.9999995</v>
      </c>
      <c r="J584" t="s">
        <v>34</v>
      </c>
      <c r="K584">
        <v>1992</v>
      </c>
      <c r="L584" t="s">
        <v>294</v>
      </c>
      <c r="N584">
        <v>0.75</v>
      </c>
      <c r="O584" t="s">
        <v>84</v>
      </c>
      <c r="P584">
        <v>525600000</v>
      </c>
      <c r="Q58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5575.0049486813959</v>
      </c>
      <c r="R58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6515.7165609408394</v>
      </c>
      <c r="U584" s="107" t="str">
        <f>IFERROR(_xlfn.XLOOKUP("*"&amp;TRIM(Fusion[[#This Row],[Confinement Type]])&amp;"*", Map_Conf[From], Map_Conf[To], "", 2), "")</f>
        <v>MCF</v>
      </c>
      <c r="V584" s="108" t="str" cm="1">
        <f t="array" ref="V5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5" spans="1:22">
      <c r="A585">
        <v>297</v>
      </c>
      <c r="B585" t="s">
        <v>114</v>
      </c>
      <c r="C585" t="s">
        <v>61</v>
      </c>
      <c r="D585" t="s">
        <v>62</v>
      </c>
      <c r="E585">
        <v>1000</v>
      </c>
      <c r="F585" t="s">
        <v>31</v>
      </c>
      <c r="G585" t="s">
        <v>52</v>
      </c>
      <c r="H585" t="s">
        <v>33</v>
      </c>
      <c r="I585">
        <v>3289800000</v>
      </c>
      <c r="J585" t="s">
        <v>34</v>
      </c>
      <c r="K585">
        <v>1992</v>
      </c>
      <c r="L585" t="s">
        <v>294</v>
      </c>
      <c r="N585">
        <v>0.75</v>
      </c>
      <c r="O585" t="s">
        <v>84</v>
      </c>
      <c r="P585">
        <v>482100000</v>
      </c>
      <c r="Q58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5888.0385502494655</v>
      </c>
      <c r="R58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6750.8944640057016</v>
      </c>
      <c r="U585" s="107" t="str">
        <f>IFERROR(_xlfn.XLOOKUP("*"&amp;TRIM(Fusion[[#This Row],[Confinement Type]])&amp;"*", Map_Conf[From], Map_Conf[To], "", 2), "")</f>
        <v>MCF</v>
      </c>
      <c r="V585" s="108" t="str" cm="1">
        <f t="array" ref="V5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6" spans="1:22">
      <c r="A586">
        <v>314</v>
      </c>
      <c r="B586" t="s">
        <v>313</v>
      </c>
      <c r="C586" t="s">
        <v>61</v>
      </c>
      <c r="D586" t="s">
        <v>62</v>
      </c>
      <c r="E586">
        <v>1500</v>
      </c>
      <c r="F586" t="s">
        <v>31</v>
      </c>
      <c r="G586" t="s">
        <v>754</v>
      </c>
      <c r="H586" t="s">
        <v>76</v>
      </c>
      <c r="I586">
        <v>2576</v>
      </c>
      <c r="J586" t="s">
        <v>82</v>
      </c>
      <c r="K586">
        <v>1998</v>
      </c>
      <c r="L586" t="s">
        <v>311</v>
      </c>
      <c r="M586" t="s">
        <v>314</v>
      </c>
      <c r="N586" t="s">
        <v>38</v>
      </c>
      <c r="O586" t="s">
        <v>38</v>
      </c>
      <c r="P586" t="s">
        <v>38</v>
      </c>
      <c r="Q58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4411.9741663617315</v>
      </c>
      <c r="R58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4411.9741663617315</v>
      </c>
      <c r="U586" s="107" t="str">
        <f>IFERROR(_xlfn.XLOOKUP("*"&amp;TRIM(Fusion[[#This Row],[Confinement Type]])&amp;"*", Map_Conf[From], Map_Conf[To], "", 2), "")</f>
        <v>MCF</v>
      </c>
      <c r="V586" s="108" t="str" cm="1">
        <f t="array" ref="V5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7" spans="1:22">
      <c r="A587">
        <v>316</v>
      </c>
      <c r="B587" t="s">
        <v>316</v>
      </c>
      <c r="C587" t="s">
        <v>61</v>
      </c>
      <c r="D587" t="s">
        <v>62</v>
      </c>
      <c r="E587">
        <v>1000</v>
      </c>
      <c r="F587" t="s">
        <v>31</v>
      </c>
      <c r="G587" t="s">
        <v>57</v>
      </c>
      <c r="H587" t="s">
        <v>76</v>
      </c>
      <c r="I587">
        <v>5220</v>
      </c>
      <c r="J587" t="s">
        <v>82</v>
      </c>
      <c r="K587">
        <v>1998</v>
      </c>
      <c r="L587" t="s">
        <v>311</v>
      </c>
      <c r="M587" t="s">
        <v>317</v>
      </c>
      <c r="N587" t="s">
        <v>38</v>
      </c>
      <c r="O587" t="s">
        <v>38</v>
      </c>
      <c r="P587" t="s">
        <v>38</v>
      </c>
      <c r="Q58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8940.4134892889124</v>
      </c>
      <c r="R58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8940.4134892889124</v>
      </c>
      <c r="U587" s="107" t="str">
        <f>IFERROR(_xlfn.XLOOKUP("*"&amp;TRIM(Fusion[[#This Row],[Confinement Type]])&amp;"*", Map_Conf[From], Map_Conf[To], "", 2), "")</f>
        <v>MCF</v>
      </c>
      <c r="V587" s="108" t="str" cm="1">
        <f t="array" ref="V5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8" spans="1:22">
      <c r="A588">
        <v>320</v>
      </c>
      <c r="B588" t="s">
        <v>81</v>
      </c>
      <c r="C588" t="s">
        <v>61</v>
      </c>
      <c r="D588" t="s">
        <v>62</v>
      </c>
      <c r="E588">
        <v>1000</v>
      </c>
      <c r="F588" t="s">
        <v>31</v>
      </c>
      <c r="G588" t="s">
        <v>32</v>
      </c>
      <c r="H588" t="s">
        <v>76</v>
      </c>
      <c r="I588">
        <v>7855</v>
      </c>
      <c r="J588" t="s">
        <v>82</v>
      </c>
      <c r="K588">
        <v>1998</v>
      </c>
      <c r="L588" t="s">
        <v>311</v>
      </c>
      <c r="M588" t="s">
        <v>321</v>
      </c>
      <c r="N588" t="s">
        <v>716</v>
      </c>
      <c r="O588" t="s">
        <v>84</v>
      </c>
      <c r="P588" t="s">
        <v>38</v>
      </c>
      <c r="Q58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13453.438306200078</v>
      </c>
      <c r="R58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13453.438306200078</v>
      </c>
      <c r="U588" s="107" t="str">
        <f>IFERROR(_xlfn.XLOOKUP("*"&amp;TRIM(Fusion[[#This Row],[Confinement Type]])&amp;"*", Map_Conf[From], Map_Conf[To], "", 2), "")</f>
        <v>MCF</v>
      </c>
      <c r="V588" s="108" t="str" cm="1">
        <f t="array" ref="V5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9" spans="1:22">
      <c r="A589">
        <v>317</v>
      </c>
      <c r="B589" t="s">
        <v>318</v>
      </c>
      <c r="C589" t="s">
        <v>61</v>
      </c>
      <c r="D589" t="s">
        <v>62</v>
      </c>
      <c r="E589">
        <v>1000</v>
      </c>
      <c r="F589" t="s">
        <v>31</v>
      </c>
      <c r="G589" t="s">
        <v>32</v>
      </c>
      <c r="H589" t="s">
        <v>76</v>
      </c>
      <c r="I589">
        <v>7906</v>
      </c>
      <c r="J589" t="s">
        <v>82</v>
      </c>
      <c r="K589">
        <v>1998</v>
      </c>
      <c r="L589" t="s">
        <v>311</v>
      </c>
      <c r="M589" t="s">
        <v>319</v>
      </c>
      <c r="N589" t="s">
        <v>38</v>
      </c>
      <c r="O589" t="s">
        <v>38</v>
      </c>
      <c r="P589" t="s">
        <v>38</v>
      </c>
      <c r="Q58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13540.787173624165</v>
      </c>
      <c r="R58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13540.787173624165</v>
      </c>
      <c r="U589" s="107" t="str">
        <f>IFERROR(_xlfn.XLOOKUP("*"&amp;TRIM(Fusion[[#This Row],[Confinement Type]])&amp;"*", Map_Conf[From], Map_Conf[To], "", 2), "")</f>
        <v>MCF</v>
      </c>
      <c r="V589" s="108" t="str" cm="1">
        <f t="array" ref="V5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0" spans="1:22" hidden="1">
      <c r="A590">
        <v>12</v>
      </c>
      <c r="B590" t="s">
        <v>81</v>
      </c>
      <c r="C590" t="s">
        <v>61</v>
      </c>
      <c r="D590" t="s">
        <v>62</v>
      </c>
      <c r="E590">
        <v>1500</v>
      </c>
      <c r="F590" t="s">
        <v>217</v>
      </c>
      <c r="G590" t="s">
        <v>52</v>
      </c>
      <c r="H590" t="s">
        <v>76</v>
      </c>
      <c r="I590">
        <v>4300</v>
      </c>
      <c r="J590" t="s">
        <v>82</v>
      </c>
      <c r="K590">
        <v>2011</v>
      </c>
      <c r="L590" t="s">
        <v>83</v>
      </c>
      <c r="M590" t="s">
        <v>751</v>
      </c>
      <c r="N590" t="s">
        <v>706</v>
      </c>
      <c r="O590" t="s">
        <v>84</v>
      </c>
      <c r="P590" t="s">
        <v>38</v>
      </c>
      <c r="Q59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6687.2076221108837</v>
      </c>
      <c r="R59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6687.2076221108837</v>
      </c>
      <c r="U590" s="107" t="str">
        <f>IFERROR(_xlfn.XLOOKUP("*"&amp;TRIM(Fusion[[#This Row],[Confinement Type]])&amp;"*", Map_Conf[From], Map_Conf[To], "", 2), "")</f>
        <v>MCF</v>
      </c>
      <c r="V590" s="108" t="str" cm="1">
        <f t="array" ref="V5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1" spans="1:22" hidden="1">
      <c r="A591">
        <v>315</v>
      </c>
      <c r="B591" t="s">
        <v>313</v>
      </c>
      <c r="C591" t="s">
        <v>61</v>
      </c>
      <c r="D591" t="s">
        <v>62</v>
      </c>
      <c r="E591">
        <v>1500</v>
      </c>
      <c r="F591" t="s">
        <v>902</v>
      </c>
      <c r="G591" t="s">
        <v>52</v>
      </c>
      <c r="H591" t="s">
        <v>76</v>
      </c>
      <c r="I591">
        <v>2926</v>
      </c>
      <c r="J591" t="s">
        <v>82</v>
      </c>
      <c r="K591">
        <v>1998</v>
      </c>
      <c r="L591" t="s">
        <v>311</v>
      </c>
      <c r="M591" t="s">
        <v>315</v>
      </c>
      <c r="N591" t="s">
        <v>38</v>
      </c>
      <c r="O591" t="s">
        <v>38</v>
      </c>
      <c r="P591" t="s">
        <v>38</v>
      </c>
      <c r="Q59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5011.4271780956624</v>
      </c>
      <c r="R59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5011.4271780956624</v>
      </c>
      <c r="U591" s="107" t="str">
        <f>IFERROR(_xlfn.XLOOKUP("*"&amp;TRIM(Fusion[[#This Row],[Confinement Type]])&amp;"*", Map_Conf[From], Map_Conf[To], "", 2), "")</f>
        <v>MCF</v>
      </c>
      <c r="V591" s="108" t="str" cm="1">
        <f t="array" ref="V5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2" spans="1:22">
      <c r="A592">
        <v>331</v>
      </c>
      <c r="B592" t="s">
        <v>325</v>
      </c>
      <c r="C592" t="s">
        <v>61</v>
      </c>
      <c r="D592" t="s">
        <v>326</v>
      </c>
      <c r="E592">
        <v>1100</v>
      </c>
      <c r="F592" t="s">
        <v>31</v>
      </c>
      <c r="G592" t="s">
        <v>52</v>
      </c>
      <c r="H592" t="s">
        <v>33</v>
      </c>
      <c r="I592">
        <v>3637000000</v>
      </c>
      <c r="J592" t="s">
        <v>34</v>
      </c>
      <c r="K592">
        <v>1982</v>
      </c>
      <c r="L592" t="s">
        <v>327</v>
      </c>
      <c r="M592" t="s">
        <v>329</v>
      </c>
      <c r="N592" t="s">
        <v>710</v>
      </c>
      <c r="O592" t="s">
        <v>38</v>
      </c>
      <c r="P592" t="s">
        <v>38</v>
      </c>
      <c r="Q59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8603.6378615167214</v>
      </c>
      <c r="R59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8603.6378615167214</v>
      </c>
      <c r="U592" s="107" t="str">
        <f>IFERROR(_xlfn.XLOOKUP("*"&amp;TRIM(Fusion[[#This Row],[Confinement Type]])&amp;"*", Map_Conf[From], Map_Conf[To], "", 2), "")</f>
        <v>MCF</v>
      </c>
      <c r="V592" s="108" t="str" cm="1">
        <f t="array" ref="V5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593" spans="1:22">
      <c r="A593">
        <v>350</v>
      </c>
      <c r="B593" t="s">
        <v>348</v>
      </c>
      <c r="C593" t="s">
        <v>61</v>
      </c>
      <c r="D593" t="s">
        <v>62</v>
      </c>
      <c r="E593">
        <v>200</v>
      </c>
      <c r="F593" t="s">
        <v>31</v>
      </c>
      <c r="G593" t="s">
        <v>754</v>
      </c>
      <c r="H593" t="s">
        <v>76</v>
      </c>
      <c r="I593">
        <v>7219</v>
      </c>
      <c r="J593" t="s">
        <v>189</v>
      </c>
      <c r="K593">
        <v>2020</v>
      </c>
      <c r="L593" t="s">
        <v>344</v>
      </c>
      <c r="M593" t="s">
        <v>349</v>
      </c>
      <c r="N593" t="s">
        <v>38</v>
      </c>
      <c r="O593" t="s">
        <v>350</v>
      </c>
      <c r="P593" t="s">
        <v>38</v>
      </c>
      <c r="Q59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7004.1127811414517</v>
      </c>
      <c r="R59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7004.1127811414517</v>
      </c>
      <c r="U593" s="107" t="str">
        <f>IFERROR(_xlfn.XLOOKUP("*"&amp;TRIM(Fusion[[#This Row],[Confinement Type]])&amp;"*", Map_Conf[From], Map_Conf[To], "", 2), "")</f>
        <v>MCF</v>
      </c>
      <c r="V593" s="108" t="str" cm="1">
        <f t="array" ref="V5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4" spans="1:22">
      <c r="A594">
        <v>346</v>
      </c>
      <c r="B594" t="s">
        <v>347</v>
      </c>
      <c r="C594" t="s">
        <v>61</v>
      </c>
      <c r="D594" t="s">
        <v>62</v>
      </c>
      <c r="E594">
        <v>1500</v>
      </c>
      <c r="F594" t="s">
        <v>31</v>
      </c>
      <c r="G594" t="s">
        <v>57</v>
      </c>
      <c r="H594" t="s">
        <v>76</v>
      </c>
      <c r="I594">
        <v>7733</v>
      </c>
      <c r="J594" t="s">
        <v>189</v>
      </c>
      <c r="K594">
        <v>2020</v>
      </c>
      <c r="L594" t="s">
        <v>344</v>
      </c>
      <c r="N594" t="s">
        <v>708</v>
      </c>
      <c r="O594" t="s">
        <v>84</v>
      </c>
      <c r="P594" t="s">
        <v>38</v>
      </c>
      <c r="Q59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7502.812596837075</v>
      </c>
      <c r="R59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7502.812596837075</v>
      </c>
      <c r="U594" s="107" t="str">
        <f>IFERROR(_xlfn.XLOOKUP("*"&amp;TRIM(Fusion[[#This Row],[Confinement Type]])&amp;"*", Map_Conf[From], Map_Conf[To], "", 2), "")</f>
        <v>MCF</v>
      </c>
      <c r="V594" s="108" t="str" cm="1">
        <f t="array" ref="V5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5" spans="1:22" hidden="1">
      <c r="A595">
        <v>541</v>
      </c>
      <c r="B595" t="s">
        <v>501</v>
      </c>
      <c r="C595" t="s">
        <v>61</v>
      </c>
      <c r="D595" t="s">
        <v>278</v>
      </c>
      <c r="E595">
        <v>1000</v>
      </c>
      <c r="F595" t="s">
        <v>217</v>
      </c>
      <c r="G595" t="s">
        <v>57</v>
      </c>
      <c r="H595" t="s">
        <v>33</v>
      </c>
      <c r="I595">
        <v>5020000000</v>
      </c>
      <c r="J595" t="s">
        <v>34</v>
      </c>
      <c r="K595">
        <v>2003</v>
      </c>
      <c r="L595" t="s">
        <v>498</v>
      </c>
      <c r="N595">
        <v>0.75</v>
      </c>
      <c r="O595" t="s">
        <v>430</v>
      </c>
      <c r="P595" t="s">
        <v>38</v>
      </c>
      <c r="Q59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6850.854021739131</v>
      </c>
      <c r="R59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6850.854021739131</v>
      </c>
      <c r="U595" s="107" t="str">
        <f>IFERROR(_xlfn.XLOOKUP("*"&amp;TRIM(Fusion[[#This Row],[Confinement Type]])&amp;"*", Map_Conf[From], Map_Conf[To], "", 2), "")</f>
        <v>MCF</v>
      </c>
      <c r="V595" s="108" t="str" cm="1">
        <f t="array" ref="V5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96" spans="1:22" hidden="1">
      <c r="A596">
        <v>593</v>
      </c>
      <c r="B596" t="s">
        <v>515</v>
      </c>
      <c r="C596" t="s">
        <v>61</v>
      </c>
      <c r="D596" t="s">
        <v>278</v>
      </c>
      <c r="E596">
        <v>1000</v>
      </c>
      <c r="F596" t="s">
        <v>217</v>
      </c>
      <c r="G596" t="s">
        <v>57</v>
      </c>
      <c r="H596" t="s">
        <v>33</v>
      </c>
      <c r="I596">
        <v>6239000000</v>
      </c>
      <c r="J596" t="s">
        <v>34</v>
      </c>
      <c r="K596">
        <v>2011</v>
      </c>
      <c r="L596" t="s">
        <v>507</v>
      </c>
      <c r="M596" t="s">
        <v>504</v>
      </c>
      <c r="N596">
        <v>0.75</v>
      </c>
      <c r="O596" t="s">
        <v>38</v>
      </c>
      <c r="P596" t="s">
        <v>38</v>
      </c>
      <c r="Q59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6964.8063386073563</v>
      </c>
      <c r="R59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6964.8063386073563</v>
      </c>
      <c r="U596" s="107" t="str">
        <f>IFERROR(_xlfn.XLOOKUP("*"&amp;TRIM(Fusion[[#This Row],[Confinement Type]])&amp;"*", Map_Conf[From], Map_Conf[To], "", 2), "")</f>
        <v>MCF</v>
      </c>
      <c r="V596" s="108" t="str" cm="1">
        <f t="array" ref="V5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97" spans="1:22" hidden="1">
      <c r="A597">
        <v>543</v>
      </c>
      <c r="B597" t="s">
        <v>497</v>
      </c>
      <c r="C597" t="s">
        <v>61</v>
      </c>
      <c r="D597" t="s">
        <v>62</v>
      </c>
      <c r="E597">
        <v>1000</v>
      </c>
      <c r="F597" t="s">
        <v>217</v>
      </c>
      <c r="G597" t="s">
        <v>57</v>
      </c>
      <c r="H597" t="s">
        <v>33</v>
      </c>
      <c r="I597">
        <v>5112000000</v>
      </c>
      <c r="J597" t="s">
        <v>34</v>
      </c>
      <c r="K597">
        <v>2003</v>
      </c>
      <c r="L597" t="s">
        <v>503</v>
      </c>
      <c r="M597" t="s">
        <v>504</v>
      </c>
      <c r="N597">
        <v>0.75</v>
      </c>
      <c r="O597" t="s">
        <v>430</v>
      </c>
      <c r="P597" t="s">
        <v>487</v>
      </c>
      <c r="Q59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6976.407521739131</v>
      </c>
      <c r="R59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6976.407521739131</v>
      </c>
      <c r="U597" s="107" t="str">
        <f>IFERROR(_xlfn.XLOOKUP("*"&amp;TRIM(Fusion[[#This Row],[Confinement Type]])&amp;"*", Map_Conf[From], Map_Conf[To], "", 2), "")</f>
        <v>MCF</v>
      </c>
      <c r="V597" s="108" t="str" cm="1">
        <f t="array" ref="V5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8" spans="1:22">
      <c r="A598">
        <v>347</v>
      </c>
      <c r="B598" t="s">
        <v>347</v>
      </c>
      <c r="C598" t="s">
        <v>61</v>
      </c>
      <c r="D598" t="s">
        <v>62</v>
      </c>
      <c r="E598">
        <v>1500</v>
      </c>
      <c r="F598" t="s">
        <v>31</v>
      </c>
      <c r="G598" t="s">
        <v>52</v>
      </c>
      <c r="H598" t="s">
        <v>76</v>
      </c>
      <c r="I598">
        <v>5747</v>
      </c>
      <c r="J598" t="s">
        <v>189</v>
      </c>
      <c r="K598">
        <v>2020</v>
      </c>
      <c r="L598" t="s">
        <v>344</v>
      </c>
      <c r="N598" t="s">
        <v>708</v>
      </c>
      <c r="O598" t="s">
        <v>84</v>
      </c>
      <c r="P598" t="s">
        <v>38</v>
      </c>
      <c r="Q59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5575.9296513672143</v>
      </c>
      <c r="R59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5575.9296513672143</v>
      </c>
      <c r="U598" s="107" t="str">
        <f>IFERROR(_xlfn.XLOOKUP("*"&amp;TRIM(Fusion[[#This Row],[Confinement Type]])&amp;"*", Map_Conf[From], Map_Conf[To], "", 2), "")</f>
        <v>MCF</v>
      </c>
      <c r="V598" s="108" t="str" cm="1">
        <f t="array" ref="V5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9" spans="1:22">
      <c r="A599">
        <v>345</v>
      </c>
      <c r="B599" t="s">
        <v>343</v>
      </c>
      <c r="C599" t="s">
        <v>61</v>
      </c>
      <c r="D599" t="s">
        <v>62</v>
      </c>
      <c r="E599">
        <v>1500</v>
      </c>
      <c r="F599" t="s">
        <v>31</v>
      </c>
      <c r="G599" t="s">
        <v>52</v>
      </c>
      <c r="H599" t="s">
        <v>76</v>
      </c>
      <c r="I599">
        <v>8168</v>
      </c>
      <c r="J599" t="s">
        <v>189</v>
      </c>
      <c r="K599">
        <v>2020</v>
      </c>
      <c r="L599" t="s">
        <v>344</v>
      </c>
      <c r="M599" t="s">
        <v>346</v>
      </c>
      <c r="N599" t="s">
        <v>712</v>
      </c>
      <c r="O599" t="s">
        <v>104</v>
      </c>
      <c r="P599" t="s">
        <v>38</v>
      </c>
      <c r="Q59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7924.8639972798692</v>
      </c>
      <c r="R59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7924.8639972798692</v>
      </c>
      <c r="U599" s="107" t="str">
        <f>IFERROR(_xlfn.XLOOKUP("*"&amp;TRIM(Fusion[[#This Row],[Confinement Type]])&amp;"*", Map_Conf[From], Map_Conf[To], "", 2), "")</f>
        <v>MCF</v>
      </c>
      <c r="V599" s="108" t="str" cm="1">
        <f t="array" ref="V5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0" spans="1:22">
      <c r="A600">
        <v>344</v>
      </c>
      <c r="B600" t="s">
        <v>343</v>
      </c>
      <c r="C600" t="s">
        <v>61</v>
      </c>
      <c r="D600" t="s">
        <v>62</v>
      </c>
      <c r="E600">
        <v>1500</v>
      </c>
      <c r="F600" t="s">
        <v>31</v>
      </c>
      <c r="G600" t="s">
        <v>57</v>
      </c>
      <c r="H600" t="s">
        <v>76</v>
      </c>
      <c r="I600">
        <v>11580</v>
      </c>
      <c r="J600" t="s">
        <v>189</v>
      </c>
      <c r="K600">
        <v>2020</v>
      </c>
      <c r="L600" t="s">
        <v>344</v>
      </c>
      <c r="M600" t="s">
        <v>345</v>
      </c>
      <c r="N600" t="s">
        <v>712</v>
      </c>
      <c r="O600" t="s">
        <v>104</v>
      </c>
      <c r="P600" t="s">
        <v>38</v>
      </c>
      <c r="Q60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11235.299349718522</v>
      </c>
      <c r="R60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11235.299349718522</v>
      </c>
      <c r="U600" s="107" t="str">
        <f>IFERROR(_xlfn.XLOOKUP("*"&amp;TRIM(Fusion[[#This Row],[Confinement Type]])&amp;"*", Map_Conf[From], Map_Conf[To], "", 2), "")</f>
        <v>MCF</v>
      </c>
      <c r="V600" s="108" t="str" cm="1">
        <f t="array" ref="V6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1" spans="1:22" hidden="1">
      <c r="A601">
        <v>35</v>
      </c>
      <c r="B601" t="s">
        <v>85</v>
      </c>
      <c r="C601" t="s">
        <v>61</v>
      </c>
      <c r="D601" t="s">
        <v>107</v>
      </c>
      <c r="E601">
        <v>735.77</v>
      </c>
      <c r="F601" t="s">
        <v>667</v>
      </c>
      <c r="G601" t="s">
        <v>32</v>
      </c>
      <c r="H601" t="s">
        <v>33</v>
      </c>
      <c r="I601">
        <v>4503400000.000001</v>
      </c>
      <c r="J601" t="s">
        <v>34</v>
      </c>
      <c r="K601">
        <v>2009</v>
      </c>
      <c r="L601" t="s">
        <v>86</v>
      </c>
      <c r="M601" t="s">
        <v>111</v>
      </c>
      <c r="N601" t="s">
        <v>707</v>
      </c>
      <c r="O601" t="s">
        <v>84</v>
      </c>
      <c r="P601" t="s">
        <v>38</v>
      </c>
      <c r="Q60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7163.9915277586024</v>
      </c>
      <c r="R60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7163.9915277586024</v>
      </c>
      <c r="U601" s="107" t="str">
        <f>IFERROR(_xlfn.XLOOKUP("*"&amp;TRIM(Fusion[[#This Row],[Confinement Type]])&amp;"*", Map_Conf[From], Map_Conf[To], "", 2), "")</f>
        <v>MCF</v>
      </c>
      <c r="V601" s="108" t="str" cm="1">
        <f t="array" ref="V6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2" spans="1:22">
      <c r="A602">
        <v>349</v>
      </c>
      <c r="B602" t="s">
        <v>348</v>
      </c>
      <c r="C602" t="s">
        <v>61</v>
      </c>
      <c r="D602" t="s">
        <v>62</v>
      </c>
      <c r="E602">
        <v>200</v>
      </c>
      <c r="F602" t="s">
        <v>31</v>
      </c>
      <c r="G602" t="s">
        <v>52</v>
      </c>
      <c r="H602" t="s">
        <v>76</v>
      </c>
      <c r="I602">
        <v>12095</v>
      </c>
      <c r="J602" t="s">
        <v>189</v>
      </c>
      <c r="K602">
        <v>2020</v>
      </c>
      <c r="L602" t="s">
        <v>344</v>
      </c>
      <c r="M602" t="s">
        <v>349</v>
      </c>
      <c r="N602" t="s">
        <v>38</v>
      </c>
      <c r="O602" t="s">
        <v>350</v>
      </c>
      <c r="P602" t="s">
        <v>38</v>
      </c>
      <c r="Q60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11734.969398518611</v>
      </c>
      <c r="R60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11734.969398518611</v>
      </c>
      <c r="U602" s="107" t="str">
        <f>IFERROR(_xlfn.XLOOKUP("*"&amp;TRIM(Fusion[[#This Row],[Confinement Type]])&amp;"*", Map_Conf[From], Map_Conf[To], "", 2), "")</f>
        <v>MCF</v>
      </c>
      <c r="V602" s="108" t="str" cm="1">
        <f t="array" ref="V6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3" spans="1:22">
      <c r="A603">
        <v>348</v>
      </c>
      <c r="B603" t="s">
        <v>348</v>
      </c>
      <c r="C603" t="s">
        <v>61</v>
      </c>
      <c r="D603" t="s">
        <v>62</v>
      </c>
      <c r="E603">
        <v>200</v>
      </c>
      <c r="F603" t="s">
        <v>31</v>
      </c>
      <c r="G603" t="s">
        <v>57</v>
      </c>
      <c r="H603" t="s">
        <v>76</v>
      </c>
      <c r="I603">
        <v>16343</v>
      </c>
      <c r="J603" t="s">
        <v>189</v>
      </c>
      <c r="K603">
        <v>2020</v>
      </c>
      <c r="L603" t="s">
        <v>344</v>
      </c>
      <c r="M603" t="s">
        <v>349</v>
      </c>
      <c r="N603" t="s">
        <v>38</v>
      </c>
      <c r="O603" t="s">
        <v>104</v>
      </c>
      <c r="P603" t="s">
        <v>38</v>
      </c>
      <c r="Q60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15856.519626291001</v>
      </c>
      <c r="R60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15856.519626291001</v>
      </c>
      <c r="U603" s="107" t="str">
        <f>IFERROR(_xlfn.XLOOKUP("*"&amp;TRIM(Fusion[[#This Row],[Confinement Type]])&amp;"*", Map_Conf[From], Map_Conf[To], "", 2), "")</f>
        <v>MCF</v>
      </c>
      <c r="V603" s="108" t="str" cm="1">
        <f t="array" ref="V6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4" spans="1:22">
      <c r="B604" t="s">
        <v>170</v>
      </c>
      <c r="C604" t="s">
        <v>61</v>
      </c>
      <c r="D604" t="s">
        <v>113</v>
      </c>
      <c r="E604">
        <v>970</v>
      </c>
      <c r="F604" t="s">
        <v>31</v>
      </c>
      <c r="G604" t="s">
        <v>52</v>
      </c>
      <c r="H604" t="s">
        <v>76</v>
      </c>
      <c r="I604">
        <v>1501</v>
      </c>
      <c r="J604" t="s">
        <v>189</v>
      </c>
      <c r="K604">
        <v>1986</v>
      </c>
      <c r="L604" t="s">
        <v>1105</v>
      </c>
      <c r="M604" t="s">
        <v>1099</v>
      </c>
      <c r="Q60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3438.9745164233582</v>
      </c>
      <c r="R60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3438.9745164233582</v>
      </c>
      <c r="U604" s="107" t="str">
        <f>IFERROR(_xlfn.XLOOKUP("*"&amp;TRIM(Fusion[[#This Row],[Confinement Type]])&amp;"*", Map_Conf[From], Map_Conf[To], "", 2), "")</f>
        <v>MCF</v>
      </c>
      <c r="V604" s="108" t="str" cm="1">
        <f t="array" ref="V6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605" spans="1:22">
      <c r="B605" t="s">
        <v>172</v>
      </c>
      <c r="C605" t="s">
        <v>61</v>
      </c>
      <c r="D605" t="s">
        <v>113</v>
      </c>
      <c r="E605">
        <v>970</v>
      </c>
      <c r="F605" t="s">
        <v>31</v>
      </c>
      <c r="G605" t="s">
        <v>52</v>
      </c>
      <c r="H605" t="s">
        <v>76</v>
      </c>
      <c r="I605">
        <v>1523</v>
      </c>
      <c r="J605" t="s">
        <v>189</v>
      </c>
      <c r="K605">
        <v>1986</v>
      </c>
      <c r="L605" t="s">
        <v>1105</v>
      </c>
      <c r="M605" t="s">
        <v>1099</v>
      </c>
      <c r="Q60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3489.3792062043799</v>
      </c>
      <c r="R60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3489.3792062043799</v>
      </c>
      <c r="U605" s="107" t="str">
        <f>IFERROR(_xlfn.XLOOKUP("*"&amp;TRIM(Fusion[[#This Row],[Confinement Type]])&amp;"*", Map_Conf[From], Map_Conf[To], "", 2), "")</f>
        <v>MCF</v>
      </c>
      <c r="V605" s="108" t="str" cm="1">
        <f t="array" ref="V6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606" spans="1:22" hidden="1">
      <c r="A606">
        <v>544</v>
      </c>
      <c r="B606" t="s">
        <v>505</v>
      </c>
      <c r="C606" t="s">
        <v>61</v>
      </c>
      <c r="D606" t="s">
        <v>107</v>
      </c>
      <c r="E606">
        <v>1000</v>
      </c>
      <c r="F606" t="s">
        <v>217</v>
      </c>
      <c r="G606" t="s">
        <v>57</v>
      </c>
      <c r="H606" t="s">
        <v>33</v>
      </c>
      <c r="I606">
        <v>5582000000</v>
      </c>
      <c r="J606" t="s">
        <v>34</v>
      </c>
      <c r="K606">
        <v>2003</v>
      </c>
      <c r="L606" t="s">
        <v>503</v>
      </c>
      <c r="M606" t="s">
        <v>504</v>
      </c>
      <c r="N606">
        <v>0.75</v>
      </c>
      <c r="O606" t="s">
        <v>430</v>
      </c>
      <c r="P606" t="s">
        <v>487</v>
      </c>
      <c r="Q60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7617.8221413043484</v>
      </c>
      <c r="R60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7617.8221413043484</v>
      </c>
      <c r="U606" s="107" t="str">
        <f>IFERROR(_xlfn.XLOOKUP("*"&amp;TRIM(Fusion[[#This Row],[Confinement Type]])&amp;"*", Map_Conf[From], Map_Conf[To], "", 2), "")</f>
        <v>MCF</v>
      </c>
      <c r="V606" s="108" t="str" cm="1">
        <f t="array" ref="V6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7" spans="1:22">
      <c r="B607" t="s">
        <v>182</v>
      </c>
      <c r="C607" t="s">
        <v>61</v>
      </c>
      <c r="D607" t="s">
        <v>62</v>
      </c>
      <c r="E607">
        <v>1200</v>
      </c>
      <c r="F607" t="s">
        <v>31</v>
      </c>
      <c r="G607" t="s">
        <v>52</v>
      </c>
      <c r="H607" t="s">
        <v>76</v>
      </c>
      <c r="I607">
        <v>1380</v>
      </c>
      <c r="J607" t="s">
        <v>189</v>
      </c>
      <c r="K607">
        <v>1986</v>
      </c>
      <c r="L607" t="s">
        <v>1105</v>
      </c>
      <c r="M607" t="s">
        <v>1099</v>
      </c>
      <c r="Q60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3161.7487226277376</v>
      </c>
      <c r="R60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3161.7487226277376</v>
      </c>
      <c r="U607" s="107" t="str">
        <f>IFERROR(_xlfn.XLOOKUP("*"&amp;TRIM(Fusion[[#This Row],[Confinement Type]])&amp;"*", Map_Conf[From], Map_Conf[To], "", 2), "")</f>
        <v>MCF</v>
      </c>
      <c r="V607" s="108" t="str" cm="1">
        <f t="array" ref="V6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8" spans="1:22">
      <c r="B608" t="s">
        <v>176</v>
      </c>
      <c r="C608" t="s">
        <v>61</v>
      </c>
      <c r="D608" t="s">
        <v>62</v>
      </c>
      <c r="E608">
        <v>1200</v>
      </c>
      <c r="F608" t="s">
        <v>31</v>
      </c>
      <c r="G608" t="s">
        <v>52</v>
      </c>
      <c r="H608" t="s">
        <v>76</v>
      </c>
      <c r="I608">
        <v>1873</v>
      </c>
      <c r="J608" t="s">
        <v>189</v>
      </c>
      <c r="K608">
        <v>1986</v>
      </c>
      <c r="L608" t="s">
        <v>1105</v>
      </c>
      <c r="M608" t="s">
        <v>1099</v>
      </c>
      <c r="Q60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4291.2719981751834</v>
      </c>
      <c r="R60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4291.2719981751834</v>
      </c>
      <c r="U608" s="107" t="str">
        <f>IFERROR(_xlfn.XLOOKUP("*"&amp;TRIM(Fusion[[#This Row],[Confinement Type]])&amp;"*", Map_Conf[From], Map_Conf[To], "", 2), "")</f>
        <v>MCF</v>
      </c>
      <c r="V608" s="108" t="str" cm="1">
        <f t="array" ref="V6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9" spans="1:22">
      <c r="B609" t="s">
        <v>187</v>
      </c>
      <c r="C609" t="s">
        <v>61</v>
      </c>
      <c r="D609" t="s">
        <v>62</v>
      </c>
      <c r="E609">
        <v>1200</v>
      </c>
      <c r="F609" t="s">
        <v>31</v>
      </c>
      <c r="G609" t="s">
        <v>52</v>
      </c>
      <c r="H609" t="s">
        <v>76</v>
      </c>
      <c r="I609">
        <v>2178</v>
      </c>
      <c r="J609" t="s">
        <v>189</v>
      </c>
      <c r="K609">
        <v>1986</v>
      </c>
      <c r="L609" t="s">
        <v>1105</v>
      </c>
      <c r="M609" t="s">
        <v>1099</v>
      </c>
      <c r="Q60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4990.0642883211685</v>
      </c>
      <c r="R60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4990.0642883211685</v>
      </c>
      <c r="U609" s="107" t="str">
        <f>IFERROR(_xlfn.XLOOKUP("*"&amp;TRIM(Fusion[[#This Row],[Confinement Type]])&amp;"*", Map_Conf[From], Map_Conf[To], "", 2), "")</f>
        <v>MCF</v>
      </c>
      <c r="V609" s="108" t="str" cm="1">
        <f t="array" ref="V6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0" spans="1:22">
      <c r="B610" t="s">
        <v>165</v>
      </c>
      <c r="C610" t="s">
        <v>61</v>
      </c>
      <c r="D610" t="s">
        <v>62</v>
      </c>
      <c r="E610">
        <v>1200</v>
      </c>
      <c r="F610" t="s">
        <v>31</v>
      </c>
      <c r="G610" t="s">
        <v>52</v>
      </c>
      <c r="H610" t="s">
        <v>76</v>
      </c>
      <c r="I610">
        <v>2193</v>
      </c>
      <c r="J610" t="s">
        <v>189</v>
      </c>
      <c r="K610">
        <v>1986</v>
      </c>
      <c r="L610" t="s">
        <v>1105</v>
      </c>
      <c r="M610" t="s">
        <v>1099</v>
      </c>
      <c r="Q61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5024.4311222627739</v>
      </c>
      <c r="R61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5024.4311222627739</v>
      </c>
      <c r="U610" s="107" t="str">
        <f>IFERROR(_xlfn.XLOOKUP("*"&amp;TRIM(Fusion[[#This Row],[Confinement Type]])&amp;"*", Map_Conf[From], Map_Conf[To], "", 2), "")</f>
        <v>MCF</v>
      </c>
      <c r="V610" s="108" t="str" cm="1">
        <f t="array" ref="V6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1" spans="1:22">
      <c r="B611" t="s">
        <v>174</v>
      </c>
      <c r="C611" t="s">
        <v>61</v>
      </c>
      <c r="D611" t="s">
        <v>62</v>
      </c>
      <c r="E611">
        <v>1200</v>
      </c>
      <c r="F611" t="s">
        <v>31</v>
      </c>
      <c r="G611" t="s">
        <v>52</v>
      </c>
      <c r="H611" t="s">
        <v>76</v>
      </c>
      <c r="I611">
        <v>2563</v>
      </c>
      <c r="J611" t="s">
        <v>189</v>
      </c>
      <c r="K611">
        <v>1986</v>
      </c>
      <c r="L611" t="s">
        <v>1105</v>
      </c>
      <c r="M611" t="s">
        <v>1099</v>
      </c>
      <c r="Q61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5872.146359489052</v>
      </c>
      <c r="R61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5872.146359489052</v>
      </c>
      <c r="U611" s="107" t="str">
        <f>IFERROR(_xlfn.XLOOKUP("*"&amp;TRIM(Fusion[[#This Row],[Confinement Type]])&amp;"*", Map_Conf[From], Map_Conf[To], "", 2), "")</f>
        <v>MCF</v>
      </c>
      <c r="V611" s="108" t="str" cm="1">
        <f t="array" ref="V6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2" spans="1:22" hidden="1">
      <c r="A612">
        <v>475</v>
      </c>
      <c r="B612" t="s">
        <v>445</v>
      </c>
      <c r="C612" t="s">
        <v>61</v>
      </c>
      <c r="D612" t="s">
        <v>62</v>
      </c>
      <c r="E612" t="s">
        <v>81</v>
      </c>
      <c r="F612" t="s">
        <v>230</v>
      </c>
      <c r="G612" t="s">
        <v>57</v>
      </c>
      <c r="H612" t="s">
        <v>76</v>
      </c>
      <c r="I612">
        <v>5670</v>
      </c>
      <c r="J612" t="s">
        <v>189</v>
      </c>
      <c r="K612">
        <v>2000</v>
      </c>
      <c r="L612" t="s">
        <v>446</v>
      </c>
      <c r="M612" t="s">
        <v>1129</v>
      </c>
      <c r="N612" t="s">
        <v>38</v>
      </c>
      <c r="O612" t="s">
        <v>84</v>
      </c>
      <c r="P612" t="s">
        <v>38</v>
      </c>
      <c r="Q61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8268.1573170731717</v>
      </c>
      <c r="R61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8268.1573170731717</v>
      </c>
      <c r="U612" s="107" t="str">
        <f>IFERROR(_xlfn.XLOOKUP("*"&amp;TRIM(Fusion[[#This Row],[Confinement Type]])&amp;"*", Map_Conf[From], Map_Conf[To], "", 2), "")</f>
        <v>MCF</v>
      </c>
      <c r="V612" s="108" t="str" cm="1">
        <f t="array" ref="V6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3" spans="1:22" hidden="1">
      <c r="A613">
        <v>395</v>
      </c>
      <c r="B613" t="s">
        <v>395</v>
      </c>
      <c r="C613" t="s">
        <v>81</v>
      </c>
      <c r="D613" t="s">
        <v>81</v>
      </c>
      <c r="E613" t="s">
        <v>81</v>
      </c>
      <c r="F613" t="s">
        <v>31</v>
      </c>
      <c r="G613" t="s">
        <v>57</v>
      </c>
      <c r="H613" t="s">
        <v>76</v>
      </c>
      <c r="I613">
        <v>7000</v>
      </c>
      <c r="J613" t="s">
        <v>82</v>
      </c>
      <c r="K613">
        <v>2018</v>
      </c>
      <c r="L613" t="s">
        <v>393</v>
      </c>
      <c r="M613" t="s">
        <v>394</v>
      </c>
      <c r="N613" t="s">
        <v>38</v>
      </c>
      <c r="O613" t="s">
        <v>38</v>
      </c>
      <c r="P613" t="s">
        <v>38</v>
      </c>
      <c r="Q61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8271.9</v>
      </c>
      <c r="R61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8271.9</v>
      </c>
      <c r="U613" s="107" t="str">
        <f>IFERROR(_xlfn.XLOOKUP("*"&amp;TRIM(Fusion[[#This Row],[Confinement Type]])&amp;"*", Map_Conf[From], Map_Conf[To], "", 2), "")</f>
        <v/>
      </c>
      <c r="V613" s="108" t="e" cm="1">
        <f t="array" ref="V6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14" spans="1:22" hidden="1">
      <c r="A614">
        <v>25</v>
      </c>
      <c r="B614" t="s">
        <v>81</v>
      </c>
      <c r="C614" t="s">
        <v>61</v>
      </c>
      <c r="D614" t="s">
        <v>62</v>
      </c>
      <c r="E614">
        <v>1500</v>
      </c>
      <c r="F614" t="s">
        <v>217</v>
      </c>
      <c r="G614" t="s">
        <v>57</v>
      </c>
      <c r="H614" t="s">
        <v>76</v>
      </c>
      <c r="I614">
        <v>5350</v>
      </c>
      <c r="J614" t="s">
        <v>82</v>
      </c>
      <c r="K614">
        <v>2011</v>
      </c>
      <c r="L614" t="s">
        <v>83</v>
      </c>
      <c r="M614" t="s">
        <v>756</v>
      </c>
      <c r="N614" t="s">
        <v>706</v>
      </c>
      <c r="O614" t="s">
        <v>84</v>
      </c>
      <c r="P614" t="s">
        <v>38</v>
      </c>
      <c r="Q61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8320.1304135565642</v>
      </c>
      <c r="R61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8320.1304135565642</v>
      </c>
      <c r="U614" s="107" t="str">
        <f>IFERROR(_xlfn.XLOOKUP("*"&amp;TRIM(Fusion[[#This Row],[Confinement Type]])&amp;"*", Map_Conf[From], Map_Conf[To], "", 2), "")</f>
        <v>MCF</v>
      </c>
      <c r="V614" s="108" t="str" cm="1">
        <f t="array" ref="V6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5" spans="1:22" hidden="1">
      <c r="A615">
        <v>545</v>
      </c>
      <c r="B615" t="s">
        <v>501</v>
      </c>
      <c r="C615" t="s">
        <v>61</v>
      </c>
      <c r="D615" t="s">
        <v>278</v>
      </c>
      <c r="E615">
        <v>1000</v>
      </c>
      <c r="F615" t="s">
        <v>217</v>
      </c>
      <c r="G615" t="s">
        <v>57</v>
      </c>
      <c r="H615" t="s">
        <v>33</v>
      </c>
      <c r="I615">
        <v>6239000000</v>
      </c>
      <c r="J615" t="s">
        <v>34</v>
      </c>
      <c r="K615">
        <v>2003</v>
      </c>
      <c r="L615" t="s">
        <v>503</v>
      </c>
      <c r="M615" t="s">
        <v>504</v>
      </c>
      <c r="N615">
        <v>0.75</v>
      </c>
      <c r="O615" t="s">
        <v>430</v>
      </c>
      <c r="P615" t="s">
        <v>487</v>
      </c>
      <c r="Q61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8514.4378967391312</v>
      </c>
      <c r="R61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8514.4378967391312</v>
      </c>
      <c r="U615" s="107" t="str">
        <f>IFERROR(_xlfn.XLOOKUP("*"&amp;TRIM(Fusion[[#This Row],[Confinement Type]])&amp;"*", Map_Conf[From], Map_Conf[To], "", 2), "")</f>
        <v>MCF</v>
      </c>
      <c r="V615" s="108" t="str" cm="1">
        <f t="array" ref="V6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16" spans="1:22">
      <c r="B616" t="s">
        <v>1100</v>
      </c>
      <c r="C616" t="s">
        <v>61</v>
      </c>
      <c r="D616" t="s">
        <v>62</v>
      </c>
      <c r="E616">
        <v>1200</v>
      </c>
      <c r="F616" t="s">
        <v>31</v>
      </c>
      <c r="G616" t="s">
        <v>52</v>
      </c>
      <c r="H616" t="s">
        <v>76</v>
      </c>
      <c r="I616">
        <v>2787</v>
      </c>
      <c r="J616" t="s">
        <v>189</v>
      </c>
      <c r="K616">
        <v>1986</v>
      </c>
      <c r="L616" t="s">
        <v>1105</v>
      </c>
      <c r="M616" t="s">
        <v>1099</v>
      </c>
      <c r="Q61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6385.3577463503652</v>
      </c>
      <c r="R61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6385.3577463503652</v>
      </c>
      <c r="U616" s="107" t="str">
        <f>IFERROR(_xlfn.XLOOKUP("*"&amp;TRIM(Fusion[[#This Row],[Confinement Type]])&amp;"*", Map_Conf[From], Map_Conf[To], "", 2), "")</f>
        <v>MCF</v>
      </c>
      <c r="V616" s="108" t="str" cm="1">
        <f t="array" ref="V6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7" spans="1:22">
      <c r="B617" t="s">
        <v>839</v>
      </c>
      <c r="C617" t="s">
        <v>30</v>
      </c>
      <c r="D617" t="s">
        <v>796</v>
      </c>
      <c r="E617">
        <v>815</v>
      </c>
      <c r="F617" t="s">
        <v>31</v>
      </c>
      <c r="G617" t="s">
        <v>52</v>
      </c>
      <c r="H617" t="s">
        <v>33</v>
      </c>
      <c r="I617">
        <v>1233000000</v>
      </c>
      <c r="J617" t="s">
        <v>34</v>
      </c>
      <c r="K617">
        <v>1985</v>
      </c>
      <c r="L617" t="s">
        <v>842</v>
      </c>
      <c r="M617" t="s">
        <v>844</v>
      </c>
      <c r="N617">
        <v>0.76</v>
      </c>
      <c r="O617" t="s">
        <v>38</v>
      </c>
      <c r="P617">
        <v>123300000</v>
      </c>
      <c r="Q61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3530.6284466440125</v>
      </c>
      <c r="R61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3883.6912913084134</v>
      </c>
      <c r="U617" s="107" t="str">
        <f>IFERROR(_xlfn.XLOOKUP("*"&amp;TRIM(Fusion[[#This Row],[Confinement Type]])&amp;"*", Map_Conf[From], Map_Conf[To], "", 2), "")</f>
        <v>ICF</v>
      </c>
      <c r="V617" s="108" t="str" cm="1">
        <f t="array" ref="V6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18" spans="1:22">
      <c r="B618" t="s">
        <v>125</v>
      </c>
      <c r="C618" t="s">
        <v>30</v>
      </c>
      <c r="D618" t="s">
        <v>796</v>
      </c>
      <c r="E618">
        <v>815</v>
      </c>
      <c r="F618" t="s">
        <v>31</v>
      </c>
      <c r="G618" t="s">
        <v>52</v>
      </c>
      <c r="H618" t="s">
        <v>33</v>
      </c>
      <c r="I618">
        <v>1559800000</v>
      </c>
      <c r="J618" t="s">
        <v>34</v>
      </c>
      <c r="K618">
        <v>1985</v>
      </c>
      <c r="L618" t="s">
        <v>842</v>
      </c>
      <c r="M618" t="s">
        <v>844</v>
      </c>
      <c r="N618">
        <v>0.76</v>
      </c>
      <c r="O618" t="s">
        <v>38</v>
      </c>
      <c r="P618">
        <v>210000000</v>
      </c>
      <c r="Q61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4466.4024745136494</v>
      </c>
      <c r="R61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5067.7260542340418</v>
      </c>
      <c r="U618" s="107" t="str">
        <f>IFERROR(_xlfn.XLOOKUP("*"&amp;TRIM(Fusion[[#This Row],[Confinement Type]])&amp;"*", Map_Conf[From], Map_Conf[To], "", 2), "")</f>
        <v>ICF</v>
      </c>
      <c r="V618" s="108" t="str" cm="1">
        <f t="array" ref="V6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19" spans="1:22">
      <c r="A619">
        <v>375</v>
      </c>
      <c r="B619" t="s">
        <v>695</v>
      </c>
      <c r="C619" t="s">
        <v>61</v>
      </c>
      <c r="D619" t="s">
        <v>62</v>
      </c>
      <c r="E619">
        <v>1200</v>
      </c>
      <c r="F619" t="s">
        <v>31</v>
      </c>
      <c r="G619" t="s">
        <v>52</v>
      </c>
      <c r="H619" t="s">
        <v>33</v>
      </c>
      <c r="I619">
        <v>3646000000</v>
      </c>
      <c r="J619" t="s">
        <v>34</v>
      </c>
      <c r="K619">
        <v>1990</v>
      </c>
      <c r="L619" t="s">
        <v>369</v>
      </c>
      <c r="M619" t="s">
        <v>370</v>
      </c>
      <c r="N619">
        <v>0.75</v>
      </c>
      <c r="O619" t="s">
        <v>371</v>
      </c>
      <c r="P619">
        <v>270000000</v>
      </c>
      <c r="Q61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5837.3891991838827</v>
      </c>
      <c r="R61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6269.6698036215257</v>
      </c>
      <c r="U619" s="107" t="str">
        <f>IFERROR(_xlfn.XLOOKUP("*"&amp;TRIM(Fusion[[#This Row],[Confinement Type]])&amp;"*", Map_Conf[From], Map_Conf[To], "", 2), "")</f>
        <v>MCF</v>
      </c>
      <c r="V619" s="108" t="str" cm="1">
        <f t="array" ref="V6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0" spans="1:22">
      <c r="A620">
        <v>379</v>
      </c>
      <c r="B620" t="s">
        <v>696</v>
      </c>
      <c r="C620" t="s">
        <v>61</v>
      </c>
      <c r="D620" t="s">
        <v>62</v>
      </c>
      <c r="E620">
        <v>1200</v>
      </c>
      <c r="F620" t="s">
        <v>31</v>
      </c>
      <c r="G620" t="s">
        <v>32</v>
      </c>
      <c r="H620" t="s">
        <v>33</v>
      </c>
      <c r="I620">
        <v>7227000000</v>
      </c>
      <c r="J620" t="s">
        <v>34</v>
      </c>
      <c r="K620">
        <v>1990</v>
      </c>
      <c r="L620" t="s">
        <v>369</v>
      </c>
      <c r="M620" t="s">
        <v>374</v>
      </c>
      <c r="N620">
        <v>0.75</v>
      </c>
      <c r="O620" t="s">
        <v>371</v>
      </c>
      <c r="P620" t="s">
        <v>38</v>
      </c>
      <c r="Q62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11570.710845447591</v>
      </c>
      <c r="R62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11570.710845447591</v>
      </c>
      <c r="U620" s="107" t="str">
        <f>IFERROR(_xlfn.XLOOKUP("*"&amp;TRIM(Fusion[[#This Row],[Confinement Type]])&amp;"*", Map_Conf[From], Map_Conf[To], "", 2), "")</f>
        <v>MCF</v>
      </c>
      <c r="V620" s="108" t="str" cm="1">
        <f t="array" ref="V6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1" spans="1:22" hidden="1">
      <c r="A621">
        <v>14</v>
      </c>
      <c r="B621" t="s">
        <v>81</v>
      </c>
      <c r="C621" t="s">
        <v>61</v>
      </c>
      <c r="D621" t="s">
        <v>62</v>
      </c>
      <c r="E621">
        <v>1500</v>
      </c>
      <c r="F621" t="s">
        <v>217</v>
      </c>
      <c r="G621" t="s">
        <v>32</v>
      </c>
      <c r="H621" t="s">
        <v>76</v>
      </c>
      <c r="I621">
        <v>6000</v>
      </c>
      <c r="J621" t="s">
        <v>82</v>
      </c>
      <c r="K621">
        <v>2011</v>
      </c>
      <c r="L621" t="s">
        <v>83</v>
      </c>
      <c r="M621" t="s">
        <v>750</v>
      </c>
      <c r="N621" t="s">
        <v>706</v>
      </c>
      <c r="O621" t="s">
        <v>84</v>
      </c>
      <c r="P621" t="s">
        <v>38</v>
      </c>
      <c r="Q62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9330.9873796896063</v>
      </c>
      <c r="R62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9330.9873796896063</v>
      </c>
      <c r="U621" s="107" t="str">
        <f>IFERROR(_xlfn.XLOOKUP("*"&amp;TRIM(Fusion[[#This Row],[Confinement Type]])&amp;"*", Map_Conf[From], Map_Conf[To], "", 2), "")</f>
        <v>MCF</v>
      </c>
      <c r="V621" s="108" t="str" cm="1">
        <f t="array" ref="V6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2" spans="1:22">
      <c r="A622">
        <v>390</v>
      </c>
      <c r="B622" t="s">
        <v>387</v>
      </c>
      <c r="C622" t="s">
        <v>30</v>
      </c>
      <c r="D622" t="s">
        <v>815</v>
      </c>
      <c r="E622">
        <v>1083</v>
      </c>
      <c r="F622" t="s">
        <v>31</v>
      </c>
      <c r="G622" t="s">
        <v>52</v>
      </c>
      <c r="H622" t="s">
        <v>33</v>
      </c>
      <c r="I622">
        <v>4231500000</v>
      </c>
      <c r="J622" t="s">
        <v>34</v>
      </c>
      <c r="K622">
        <v>1988</v>
      </c>
      <c r="L622" t="s">
        <v>386</v>
      </c>
      <c r="M622" t="s">
        <v>389</v>
      </c>
      <c r="N622" t="s">
        <v>38</v>
      </c>
      <c r="O622" t="s">
        <v>38</v>
      </c>
      <c r="P622">
        <v>423200000</v>
      </c>
      <c r="Q62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8293.5403792883008</v>
      </c>
      <c r="R62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9122.992414858385</v>
      </c>
      <c r="U622" s="107" t="str">
        <f>IFERROR(_xlfn.XLOOKUP("*"&amp;TRIM(Fusion[[#This Row],[Confinement Type]])&amp;"*", Map_Conf[From], Map_Conf[To], "", 2), "")</f>
        <v>ICF</v>
      </c>
      <c r="V622" s="108" t="str" cm="1">
        <f t="array" ref="V6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23" spans="1:22" hidden="1">
      <c r="A623">
        <v>188</v>
      </c>
      <c r="B623" t="s">
        <v>229</v>
      </c>
      <c r="C623" t="s">
        <v>61</v>
      </c>
      <c r="D623" t="s">
        <v>62</v>
      </c>
      <c r="E623">
        <v>1000</v>
      </c>
      <c r="F623" t="s">
        <v>230</v>
      </c>
      <c r="G623" t="s">
        <v>52</v>
      </c>
      <c r="H623" t="s">
        <v>76</v>
      </c>
      <c r="I623">
        <v>6600</v>
      </c>
      <c r="J623" t="s">
        <v>189</v>
      </c>
      <c r="K623">
        <v>2000</v>
      </c>
      <c r="L623" t="s">
        <v>227</v>
      </c>
      <c r="M623" t="s">
        <v>231</v>
      </c>
      <c r="N623">
        <v>0.9</v>
      </c>
      <c r="O623" t="s">
        <v>122</v>
      </c>
      <c r="P623" t="s">
        <v>38</v>
      </c>
      <c r="Q62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9624.3101045296171</v>
      </c>
      <c r="R62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9624.3101045296171</v>
      </c>
      <c r="U623" s="107" t="str">
        <f>IFERROR(_xlfn.XLOOKUP("*"&amp;TRIM(Fusion[[#This Row],[Confinement Type]])&amp;"*", Map_Conf[From], Map_Conf[To], "", 2), "")</f>
        <v>MCF</v>
      </c>
      <c r="V623" s="108" t="str" cm="1">
        <f t="array" ref="V6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4" spans="1:22" hidden="1">
      <c r="A624">
        <v>339</v>
      </c>
      <c r="B624" t="s">
        <v>340</v>
      </c>
      <c r="C624" t="s">
        <v>61</v>
      </c>
      <c r="D624" t="s">
        <v>62</v>
      </c>
      <c r="E624">
        <v>500</v>
      </c>
      <c r="F624" t="s">
        <v>902</v>
      </c>
      <c r="G624" t="s">
        <v>57</v>
      </c>
      <c r="H624" t="s">
        <v>33</v>
      </c>
      <c r="I624">
        <v>4200000000</v>
      </c>
      <c r="J624" t="s">
        <v>34</v>
      </c>
      <c r="K624">
        <v>2010</v>
      </c>
      <c r="L624" t="s">
        <v>331</v>
      </c>
      <c r="M624" t="s">
        <v>339</v>
      </c>
      <c r="N624" t="s">
        <v>711</v>
      </c>
      <c r="O624" t="s">
        <v>333</v>
      </c>
      <c r="P624" t="s">
        <v>38</v>
      </c>
      <c r="Q62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9673.197710679824</v>
      </c>
      <c r="R62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9673.197710679824</v>
      </c>
      <c r="U624" s="107" t="str">
        <f>IFERROR(_xlfn.XLOOKUP("*"&amp;TRIM(Fusion[[#This Row],[Confinement Type]])&amp;"*", Map_Conf[From], Map_Conf[To], "", 2), "")</f>
        <v>MCF</v>
      </c>
      <c r="V624" s="108" t="str" cm="1">
        <f t="array" ref="V6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5" spans="1:22">
      <c r="A625">
        <v>40</v>
      </c>
      <c r="B625" t="s">
        <v>114</v>
      </c>
      <c r="C625" t="s">
        <v>61</v>
      </c>
      <c r="D625" t="s">
        <v>62</v>
      </c>
      <c r="E625">
        <v>1000</v>
      </c>
      <c r="F625" t="s">
        <v>31</v>
      </c>
      <c r="G625" t="s">
        <v>52</v>
      </c>
      <c r="H625" t="s">
        <v>33</v>
      </c>
      <c r="I625">
        <v>2890000000.0000005</v>
      </c>
      <c r="J625" t="s">
        <v>34</v>
      </c>
      <c r="K625">
        <v>1988</v>
      </c>
      <c r="L625" t="s">
        <v>597</v>
      </c>
      <c r="M625" t="s">
        <v>117</v>
      </c>
      <c r="N625">
        <v>0.76</v>
      </c>
      <c r="O625" t="s">
        <v>84</v>
      </c>
      <c r="P625">
        <v>214100000</v>
      </c>
      <c r="Q62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6134.3975486052414</v>
      </c>
      <c r="R62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6588.8523981403214</v>
      </c>
      <c r="U625" s="107" t="str">
        <f>IFERROR(_xlfn.XLOOKUP("*"&amp;TRIM(Fusion[[#This Row],[Confinement Type]])&amp;"*", Map_Conf[From], Map_Conf[To], "", 2), "")</f>
        <v>MCF</v>
      </c>
      <c r="V625" s="108" t="str" cm="1">
        <f t="array" ref="V6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6" spans="1:22">
      <c r="A626">
        <v>442</v>
      </c>
      <c r="B626" t="s">
        <v>232</v>
      </c>
      <c r="C626" t="s">
        <v>61</v>
      </c>
      <c r="D626" t="s">
        <v>62</v>
      </c>
      <c r="E626">
        <v>1000</v>
      </c>
      <c r="F626" t="s">
        <v>31</v>
      </c>
      <c r="G626" t="s">
        <v>52</v>
      </c>
      <c r="H626" t="s">
        <v>33</v>
      </c>
      <c r="I626">
        <v>2129000000</v>
      </c>
      <c r="J626" t="s">
        <v>34</v>
      </c>
      <c r="K626">
        <v>1992</v>
      </c>
      <c r="L626" t="s">
        <v>420</v>
      </c>
      <c r="M626" t="s">
        <v>705</v>
      </c>
      <c r="N626">
        <v>0.9</v>
      </c>
      <c r="O626" t="s">
        <v>38</v>
      </c>
      <c r="P626">
        <v>311800000</v>
      </c>
      <c r="Q62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3810.4547612259439</v>
      </c>
      <c r="R62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4368.5100898075552</v>
      </c>
      <c r="U626" s="107" t="str">
        <f>IFERROR(_xlfn.XLOOKUP("*"&amp;TRIM(Fusion[[#This Row],[Confinement Type]])&amp;"*", Map_Conf[From], Map_Conf[To], "", 2), "")</f>
        <v>MCF</v>
      </c>
      <c r="V626" s="108" t="str" cm="1">
        <f t="array" ref="V6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7" spans="1:22">
      <c r="A627">
        <v>448</v>
      </c>
      <c r="B627" t="s">
        <v>426</v>
      </c>
      <c r="C627" t="s">
        <v>61</v>
      </c>
      <c r="D627" t="s">
        <v>62</v>
      </c>
      <c r="E627">
        <v>1080</v>
      </c>
      <c r="F627" t="s">
        <v>31</v>
      </c>
      <c r="G627" t="s">
        <v>32</v>
      </c>
      <c r="H627" t="s">
        <v>33</v>
      </c>
      <c r="I627">
        <v>4228700000</v>
      </c>
      <c r="J627" t="s">
        <v>34</v>
      </c>
      <c r="K627">
        <v>2003</v>
      </c>
      <c r="L627" t="s">
        <v>427</v>
      </c>
      <c r="M627" t="s">
        <v>957</v>
      </c>
      <c r="N627">
        <v>0.75</v>
      </c>
      <c r="O627" t="s">
        <v>84</v>
      </c>
      <c r="P627">
        <v>731600000</v>
      </c>
      <c r="Q62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5343.4791208735915</v>
      </c>
      <c r="R62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6267.9451091988731</v>
      </c>
      <c r="U627" s="107" t="str">
        <f>IFERROR(_xlfn.XLOOKUP("*"&amp;TRIM(Fusion[[#This Row],[Confinement Type]])&amp;"*", Map_Conf[From], Map_Conf[To], "", 2), "")</f>
        <v>MCF</v>
      </c>
      <c r="V627" s="108" t="str" cm="1">
        <f t="array" ref="V6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8" spans="1:22">
      <c r="B628" t="s">
        <v>738</v>
      </c>
      <c r="C628" t="s">
        <v>61</v>
      </c>
      <c r="D628" t="s">
        <v>62</v>
      </c>
      <c r="E628">
        <v>1000</v>
      </c>
      <c r="F628" t="s">
        <v>31</v>
      </c>
      <c r="G628" t="s">
        <v>32</v>
      </c>
      <c r="H628" t="s">
        <v>76</v>
      </c>
      <c r="I628">
        <v>5324.347826086957</v>
      </c>
      <c r="J628" t="s">
        <v>189</v>
      </c>
      <c r="K628">
        <v>2010</v>
      </c>
      <c r="L628" t="s">
        <v>732</v>
      </c>
      <c r="M628" t="s">
        <v>739</v>
      </c>
      <c r="N628" t="s">
        <v>38</v>
      </c>
      <c r="O628" t="s">
        <v>104</v>
      </c>
      <c r="P628">
        <v>491480000</v>
      </c>
      <c r="Q62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6131.3653812104103</v>
      </c>
      <c r="R62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6697.3395729776639</v>
      </c>
      <c r="U628" s="107" t="str">
        <f>IFERROR(_xlfn.XLOOKUP("*"&amp;TRIM(Fusion[[#This Row],[Confinement Type]])&amp;"*", Map_Conf[From], Map_Conf[To], "", 2), "")</f>
        <v>MCF</v>
      </c>
      <c r="V628" s="108" t="str" cm="1">
        <f t="array" ref="V6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9" spans="1:22" hidden="1">
      <c r="A629">
        <v>388</v>
      </c>
      <c r="B629" t="s">
        <v>377</v>
      </c>
      <c r="C629" t="s">
        <v>61</v>
      </c>
      <c r="D629" t="s">
        <v>326</v>
      </c>
      <c r="E629" t="s">
        <v>378</v>
      </c>
      <c r="F629" t="s">
        <v>31</v>
      </c>
      <c r="G629" t="s">
        <v>32</v>
      </c>
      <c r="H629" t="s">
        <v>33</v>
      </c>
      <c r="I629">
        <v>1502000000</v>
      </c>
      <c r="J629" t="s">
        <v>34</v>
      </c>
      <c r="K629">
        <v>1982</v>
      </c>
      <c r="L629" t="s">
        <v>379</v>
      </c>
      <c r="M629" t="s">
        <v>384</v>
      </c>
      <c r="N629" t="s">
        <v>710</v>
      </c>
      <c r="O629" t="s">
        <v>38</v>
      </c>
      <c r="P629" t="s">
        <v>38</v>
      </c>
      <c r="Q62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3908421906.7357512</v>
      </c>
      <c r="R62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3908421906.7357512</v>
      </c>
      <c r="U629" s="107" t="str">
        <f>IFERROR(_xlfn.XLOOKUP("*"&amp;TRIM(Fusion[[#This Row],[Confinement Type]])&amp;"*", Map_Conf[From], Map_Conf[To], "", 2), "")</f>
        <v>MCF</v>
      </c>
      <c r="V629" s="108" t="str" cm="1">
        <f t="array" ref="V6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630" spans="1:22" hidden="1">
      <c r="A630">
        <v>11</v>
      </c>
      <c r="B630" t="s">
        <v>81</v>
      </c>
      <c r="C630" t="s">
        <v>61</v>
      </c>
      <c r="D630" t="s">
        <v>62</v>
      </c>
      <c r="E630">
        <v>1500</v>
      </c>
      <c r="F630" t="s">
        <v>217</v>
      </c>
      <c r="G630" t="s">
        <v>32</v>
      </c>
      <c r="H630" t="s">
        <v>76</v>
      </c>
      <c r="I630">
        <v>7450</v>
      </c>
      <c r="J630" t="s">
        <v>82</v>
      </c>
      <c r="K630">
        <v>2011</v>
      </c>
      <c r="L630" t="s">
        <v>83</v>
      </c>
      <c r="M630" t="s">
        <v>749</v>
      </c>
      <c r="N630" t="s">
        <v>706</v>
      </c>
      <c r="O630" t="s">
        <v>84</v>
      </c>
      <c r="P630" t="s">
        <v>38</v>
      </c>
      <c r="Q63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11585.975996447927</v>
      </c>
      <c r="R63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11585.975996447927</v>
      </c>
      <c r="U630" s="107" t="str">
        <f>IFERROR(_xlfn.XLOOKUP("*"&amp;TRIM(Fusion[[#This Row],[Confinement Type]])&amp;"*", Map_Conf[From], Map_Conf[To], "", 2), "")</f>
        <v>MCF</v>
      </c>
      <c r="V630" s="108" t="str" cm="1">
        <f t="array" ref="V6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1" spans="1:22">
      <c r="B631" t="s">
        <v>737</v>
      </c>
      <c r="C631" t="s">
        <v>61</v>
      </c>
      <c r="D631" t="s">
        <v>62</v>
      </c>
      <c r="E631">
        <v>1000</v>
      </c>
      <c r="F631" t="s">
        <v>31</v>
      </c>
      <c r="G631" t="s">
        <v>52</v>
      </c>
      <c r="H631" t="s">
        <v>76</v>
      </c>
      <c r="I631">
        <v>3045.326086956522</v>
      </c>
      <c r="J631" t="s">
        <v>189</v>
      </c>
      <c r="K631">
        <v>2010</v>
      </c>
      <c r="L631" t="s">
        <v>732</v>
      </c>
      <c r="M631" t="s">
        <v>734</v>
      </c>
      <c r="N631">
        <v>0.85</v>
      </c>
      <c r="O631" t="s">
        <v>84</v>
      </c>
      <c r="P631">
        <v>430829999.99999994</v>
      </c>
      <c r="Q63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3506.9096824549256</v>
      </c>
      <c r="R63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4003.0410836087576</v>
      </c>
      <c r="U631" s="107" t="str">
        <f>IFERROR(_xlfn.XLOOKUP("*"&amp;TRIM(Fusion[[#This Row],[Confinement Type]])&amp;"*", Map_Conf[From], Map_Conf[To], "", 2), "")</f>
        <v>MCF</v>
      </c>
      <c r="V631" s="108" t="str" cm="1">
        <f t="array" ref="V6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2" spans="1:22">
      <c r="A632">
        <v>454</v>
      </c>
      <c r="B632" t="s">
        <v>736</v>
      </c>
      <c r="C632" t="s">
        <v>61</v>
      </c>
      <c r="D632" t="s">
        <v>62</v>
      </c>
      <c r="E632">
        <v>1000</v>
      </c>
      <c r="F632" t="s">
        <v>31</v>
      </c>
      <c r="G632" t="s">
        <v>52</v>
      </c>
      <c r="H632" t="s">
        <v>76</v>
      </c>
      <c r="I632">
        <v>3949.239130434783</v>
      </c>
      <c r="J632" t="s">
        <v>189</v>
      </c>
      <c r="K632">
        <v>2010</v>
      </c>
      <c r="L632" t="s">
        <v>732</v>
      </c>
      <c r="M632" t="s">
        <v>734</v>
      </c>
      <c r="N632">
        <v>0.85</v>
      </c>
      <c r="O632" t="s">
        <v>84</v>
      </c>
      <c r="P632">
        <v>332219999.99999982</v>
      </c>
      <c r="Q63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4547.829870886776</v>
      </c>
      <c r="R63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4930.4048403441639</v>
      </c>
      <c r="U632" s="107" t="str">
        <f>IFERROR(_xlfn.XLOOKUP("*"&amp;TRIM(Fusion[[#This Row],[Confinement Type]])&amp;"*", Map_Conf[From], Map_Conf[To], "", 2), "")</f>
        <v>MCF</v>
      </c>
      <c r="V632" s="108" t="str" cm="1">
        <f t="array" ref="V6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3" spans="1:22">
      <c r="A633">
        <v>453</v>
      </c>
      <c r="B633" t="s">
        <v>200</v>
      </c>
      <c r="C633" t="s">
        <v>61</v>
      </c>
      <c r="D633" t="s">
        <v>62</v>
      </c>
      <c r="E633">
        <v>1000</v>
      </c>
      <c r="F633" t="s">
        <v>31</v>
      </c>
      <c r="G633" t="s">
        <v>52</v>
      </c>
      <c r="H633" t="s">
        <v>76</v>
      </c>
      <c r="I633">
        <v>4897.2521739130434</v>
      </c>
      <c r="J633" t="s">
        <v>189</v>
      </c>
      <c r="K633">
        <v>2010</v>
      </c>
      <c r="L633" t="s">
        <v>732</v>
      </c>
      <c r="M633" t="s">
        <v>733</v>
      </c>
      <c r="N633">
        <v>0.85</v>
      </c>
      <c r="O633" t="s">
        <v>84</v>
      </c>
      <c r="P633">
        <v>510130000.00000012</v>
      </c>
      <c r="Q63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5639.5343472996956</v>
      </c>
      <c r="R63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6226.9853411269696</v>
      </c>
      <c r="U633" s="107" t="str">
        <f>IFERROR(_xlfn.XLOOKUP("*"&amp;TRIM(Fusion[[#This Row],[Confinement Type]])&amp;"*", Map_Conf[From], Map_Conf[To], "", 2), "")</f>
        <v>MCF</v>
      </c>
      <c r="V633" s="108" t="str" cm="1">
        <f t="array" ref="V6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4" spans="1:22" hidden="1">
      <c r="A634">
        <v>396</v>
      </c>
      <c r="B634" t="s">
        <v>396</v>
      </c>
      <c r="C634" t="s">
        <v>81</v>
      </c>
      <c r="D634" t="s">
        <v>81</v>
      </c>
      <c r="E634" t="s">
        <v>81</v>
      </c>
      <c r="F634" t="s">
        <v>31</v>
      </c>
      <c r="G634" t="s">
        <v>57</v>
      </c>
      <c r="H634" t="s">
        <v>76</v>
      </c>
      <c r="I634">
        <v>10000</v>
      </c>
      <c r="J634" t="s">
        <v>82</v>
      </c>
      <c r="K634">
        <v>2018</v>
      </c>
      <c r="L634" t="s">
        <v>393</v>
      </c>
      <c r="M634" t="s">
        <v>394</v>
      </c>
      <c r="N634" t="s">
        <v>38</v>
      </c>
      <c r="O634" t="s">
        <v>38</v>
      </c>
      <c r="P634" t="s">
        <v>38</v>
      </c>
      <c r="Q63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11817</v>
      </c>
      <c r="R63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11817</v>
      </c>
      <c r="U634" s="107" t="str">
        <f>IFERROR(_xlfn.XLOOKUP("*"&amp;TRIM(Fusion[[#This Row],[Confinement Type]])&amp;"*", Map_Conf[From], Map_Conf[To], "", 2), "")</f>
        <v/>
      </c>
      <c r="V634" s="108" t="e" cm="1">
        <f t="array" ref="V6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35" spans="1:22" hidden="1">
      <c r="A635">
        <v>187</v>
      </c>
      <c r="B635" t="s">
        <v>226</v>
      </c>
      <c r="C635" t="s">
        <v>61</v>
      </c>
      <c r="D635" t="s">
        <v>62</v>
      </c>
      <c r="E635">
        <v>1000</v>
      </c>
      <c r="F635" t="s">
        <v>230</v>
      </c>
      <c r="G635" t="s">
        <v>52</v>
      </c>
      <c r="H635" t="s">
        <v>76</v>
      </c>
      <c r="I635">
        <v>8500</v>
      </c>
      <c r="J635" t="s">
        <v>189</v>
      </c>
      <c r="K635">
        <v>2000</v>
      </c>
      <c r="L635" t="s">
        <v>227</v>
      </c>
      <c r="M635" t="s">
        <v>231</v>
      </c>
      <c r="N635">
        <v>0.9</v>
      </c>
      <c r="O635" t="s">
        <v>122</v>
      </c>
      <c r="P635" t="s">
        <v>38</v>
      </c>
      <c r="Q63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12394.944831591174</v>
      </c>
      <c r="R63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12394.944831591174</v>
      </c>
      <c r="U635" s="107" t="str">
        <f>IFERROR(_xlfn.XLOOKUP("*"&amp;TRIM(Fusion[[#This Row],[Confinement Type]])&amp;"*", Map_Conf[From], Map_Conf[To], "", 2), "")</f>
        <v>MCF</v>
      </c>
      <c r="V635" s="108" t="str" cm="1">
        <f t="array" ref="V6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6" spans="1:22" hidden="1">
      <c r="A636">
        <v>476</v>
      </c>
      <c r="B636" t="s">
        <v>445</v>
      </c>
      <c r="C636" t="s">
        <v>61</v>
      </c>
      <c r="D636" t="s">
        <v>62</v>
      </c>
      <c r="E636" t="s">
        <v>81</v>
      </c>
      <c r="F636" t="s">
        <v>230</v>
      </c>
      <c r="G636" t="s">
        <v>57</v>
      </c>
      <c r="H636" t="s">
        <v>76</v>
      </c>
      <c r="I636">
        <v>8820</v>
      </c>
      <c r="J636" t="s">
        <v>189</v>
      </c>
      <c r="K636">
        <v>2000</v>
      </c>
      <c r="L636" t="s">
        <v>446</v>
      </c>
      <c r="M636" t="s">
        <v>1130</v>
      </c>
      <c r="N636" t="s">
        <v>38</v>
      </c>
      <c r="O636" t="s">
        <v>84</v>
      </c>
      <c r="P636" t="s">
        <v>38</v>
      </c>
      <c r="Q63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12861.578048780488</v>
      </c>
      <c r="R63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12861.578048780488</v>
      </c>
      <c r="U636" s="107" t="str">
        <f>IFERROR(_xlfn.XLOOKUP("*"&amp;TRIM(Fusion[[#This Row],[Confinement Type]])&amp;"*", Map_Conf[From], Map_Conf[To], "", 2), "")</f>
        <v>MCF</v>
      </c>
      <c r="V636" s="108" t="str" cm="1">
        <f t="array" ref="V6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7" spans="1:22" hidden="1">
      <c r="A637">
        <v>334</v>
      </c>
      <c r="B637" t="s">
        <v>335</v>
      </c>
      <c r="C637" t="s">
        <v>61</v>
      </c>
      <c r="D637" t="s">
        <v>62</v>
      </c>
      <c r="E637">
        <v>250</v>
      </c>
      <c r="F637" t="s">
        <v>902</v>
      </c>
      <c r="G637" t="s">
        <v>57</v>
      </c>
      <c r="H637" t="s">
        <v>33</v>
      </c>
      <c r="I637">
        <v>2800000000</v>
      </c>
      <c r="J637" t="s">
        <v>34</v>
      </c>
      <c r="K637">
        <v>2010</v>
      </c>
      <c r="L637" t="s">
        <v>331</v>
      </c>
      <c r="M637" t="s">
        <v>336</v>
      </c>
      <c r="N637" t="s">
        <v>711</v>
      </c>
      <c r="O637" t="s">
        <v>333</v>
      </c>
      <c r="P637" t="s">
        <v>38</v>
      </c>
      <c r="Q63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12897.596947573098</v>
      </c>
      <c r="R63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12897.596947573098</v>
      </c>
      <c r="U637" s="107" t="str">
        <f>IFERROR(_xlfn.XLOOKUP("*"&amp;TRIM(Fusion[[#This Row],[Confinement Type]])&amp;"*", Map_Conf[From], Map_Conf[To], "", 2), "")</f>
        <v>MCF</v>
      </c>
      <c r="V637" s="108" t="str" cm="1">
        <f t="array" ref="V6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8" spans="1:22">
      <c r="A638">
        <v>455</v>
      </c>
      <c r="B638" t="s">
        <v>735</v>
      </c>
      <c r="C638" t="s">
        <v>61</v>
      </c>
      <c r="D638" t="s">
        <v>62</v>
      </c>
      <c r="E638">
        <v>1450</v>
      </c>
      <c r="F638" t="s">
        <v>31</v>
      </c>
      <c r="G638" t="s">
        <v>52</v>
      </c>
      <c r="H638" t="s">
        <v>76</v>
      </c>
      <c r="I638">
        <v>6093.04347826087</v>
      </c>
      <c r="J638" t="s">
        <v>189</v>
      </c>
      <c r="K638">
        <v>2010</v>
      </c>
      <c r="L638" t="s">
        <v>732</v>
      </c>
      <c r="M638" t="s">
        <v>745</v>
      </c>
      <c r="N638">
        <v>0.75</v>
      </c>
      <c r="O638" t="s">
        <v>84</v>
      </c>
      <c r="P638">
        <v>963260000.00000024</v>
      </c>
      <c r="Q63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7016.5731220221051</v>
      </c>
      <c r="R63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7781.5816956501385</v>
      </c>
      <c r="U638" s="107" t="str">
        <f>IFERROR(_xlfn.XLOOKUP("*"&amp;TRIM(Fusion[[#This Row],[Confinement Type]])&amp;"*", Map_Conf[From], Map_Conf[To], "", 2), "")</f>
        <v>MCF</v>
      </c>
      <c r="V638" s="108" t="str" cm="1">
        <f t="array" ref="V6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9" spans="1:22">
      <c r="B639" t="s">
        <v>741</v>
      </c>
      <c r="C639" t="s">
        <v>61</v>
      </c>
      <c r="D639" t="s">
        <v>62</v>
      </c>
      <c r="E639">
        <v>1000</v>
      </c>
      <c r="F639" t="s">
        <v>31</v>
      </c>
      <c r="G639" t="s">
        <v>52</v>
      </c>
      <c r="H639" t="s">
        <v>76</v>
      </c>
      <c r="I639">
        <v>6252.0652173913049</v>
      </c>
      <c r="J639" t="s">
        <v>189</v>
      </c>
      <c r="K639">
        <v>2010</v>
      </c>
      <c r="L639" t="s">
        <v>732</v>
      </c>
      <c r="M639" t="s">
        <v>746</v>
      </c>
      <c r="N639">
        <v>0.85</v>
      </c>
      <c r="O639" t="s">
        <v>740</v>
      </c>
      <c r="P639">
        <v>682040000</v>
      </c>
      <c r="Q63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7199.697969986968</v>
      </c>
      <c r="R63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7985.1155612479279</v>
      </c>
      <c r="U639" s="107" t="str">
        <f>IFERROR(_xlfn.XLOOKUP("*"&amp;TRIM(Fusion[[#This Row],[Confinement Type]])&amp;"*", Map_Conf[From], Map_Conf[To], "", 2), "")</f>
        <v>MCF</v>
      </c>
      <c r="V639" s="108" t="str" cm="1">
        <f t="array" ref="V6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0" spans="1:22">
      <c r="A640">
        <v>452</v>
      </c>
      <c r="B640" t="s">
        <v>60</v>
      </c>
      <c r="C640" t="s">
        <v>61</v>
      </c>
      <c r="D640" t="s">
        <v>62</v>
      </c>
      <c r="E640">
        <v>1200</v>
      </c>
      <c r="F640" t="s">
        <v>31</v>
      </c>
      <c r="G640" t="s">
        <v>52</v>
      </c>
      <c r="H640" t="s">
        <v>33</v>
      </c>
      <c r="I640">
        <v>2307000000</v>
      </c>
      <c r="J640" t="s">
        <v>34</v>
      </c>
      <c r="K640">
        <v>1983</v>
      </c>
      <c r="L640" t="s">
        <v>428</v>
      </c>
      <c r="M640" t="s">
        <v>432</v>
      </c>
      <c r="N640" t="s">
        <v>38</v>
      </c>
      <c r="O640" t="s">
        <v>430</v>
      </c>
      <c r="P640">
        <v>274000000</v>
      </c>
      <c r="Q64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4846.9197540160649</v>
      </c>
      <c r="R64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5422.5833919009383</v>
      </c>
      <c r="U640" s="107" t="str">
        <f>IFERROR(_xlfn.XLOOKUP("*"&amp;TRIM(Fusion[[#This Row],[Confinement Type]])&amp;"*", Map_Conf[From], Map_Conf[To], "", 2), "")</f>
        <v>MCF</v>
      </c>
      <c r="V640" s="108" t="str" cm="1">
        <f t="array" ref="V6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1" spans="1:22">
      <c r="B641" t="s">
        <v>1102</v>
      </c>
      <c r="C641" t="s">
        <v>61</v>
      </c>
      <c r="D641" t="s">
        <v>62</v>
      </c>
      <c r="E641">
        <v>1164</v>
      </c>
      <c r="F641" t="s">
        <v>31</v>
      </c>
      <c r="G641" t="s">
        <v>32</v>
      </c>
      <c r="H641" t="s">
        <v>33</v>
      </c>
      <c r="I641">
        <v>3948156000</v>
      </c>
      <c r="J641" t="s">
        <v>34</v>
      </c>
      <c r="K641">
        <v>1984</v>
      </c>
      <c r="L641" t="s">
        <v>938</v>
      </c>
      <c r="M641" t="s">
        <v>1103</v>
      </c>
      <c r="Q64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8197.5598455096588</v>
      </c>
      <c r="R64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8197.5598455096588</v>
      </c>
      <c r="U641" s="107" t="str">
        <f>IFERROR(_xlfn.XLOOKUP("*"&amp;TRIM(Fusion[[#This Row],[Confinement Type]])&amp;"*", Map_Conf[From], Map_Conf[To], "", 2), "")</f>
        <v>MCF</v>
      </c>
      <c r="V641" s="108" t="str" cm="1">
        <f t="array" ref="V6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2" spans="1:22">
      <c r="B642" t="s">
        <v>941</v>
      </c>
      <c r="C642" t="s">
        <v>61</v>
      </c>
      <c r="D642" t="s">
        <v>62</v>
      </c>
      <c r="E642">
        <v>1209</v>
      </c>
      <c r="F642" t="s">
        <v>31</v>
      </c>
      <c r="G642" t="s">
        <v>32</v>
      </c>
      <c r="H642" t="s">
        <v>33</v>
      </c>
      <c r="I642">
        <v>4251921000</v>
      </c>
      <c r="J642" t="s">
        <v>34</v>
      </c>
      <c r="K642">
        <v>1984</v>
      </c>
      <c r="L642" t="s">
        <v>938</v>
      </c>
      <c r="M642" t="s">
        <v>935</v>
      </c>
      <c r="N642">
        <v>0.75</v>
      </c>
      <c r="O642" t="s">
        <v>84</v>
      </c>
      <c r="P642">
        <v>399000000</v>
      </c>
      <c r="Q64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8499.6718272484759</v>
      </c>
      <c r="R64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9297.2804984989853</v>
      </c>
      <c r="U642" s="107" t="str">
        <f>IFERROR(_xlfn.XLOOKUP("*"&amp;TRIM(Fusion[[#This Row],[Confinement Type]])&amp;"*", Map_Conf[From], Map_Conf[To], "", 2), "")</f>
        <v>MCF</v>
      </c>
      <c r="V642" s="108" t="str" cm="1">
        <f t="array" ref="V6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3" spans="1:22" hidden="1">
      <c r="A643">
        <v>336</v>
      </c>
      <c r="B643" t="s">
        <v>337</v>
      </c>
      <c r="C643" t="s">
        <v>61</v>
      </c>
      <c r="D643" t="s">
        <v>62</v>
      </c>
      <c r="E643">
        <v>500</v>
      </c>
      <c r="F643" t="s">
        <v>902</v>
      </c>
      <c r="G643" t="s">
        <v>32</v>
      </c>
      <c r="H643" t="s">
        <v>33</v>
      </c>
      <c r="I643">
        <v>5900000000</v>
      </c>
      <c r="J643" t="s">
        <v>34</v>
      </c>
      <c r="K643">
        <v>2010</v>
      </c>
      <c r="L643" t="s">
        <v>331</v>
      </c>
      <c r="M643" t="s">
        <v>338</v>
      </c>
      <c r="N643" t="s">
        <v>711</v>
      </c>
      <c r="O643" t="s">
        <v>333</v>
      </c>
      <c r="P643" t="s">
        <v>38</v>
      </c>
      <c r="Q64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13588.539641193087</v>
      </c>
      <c r="R64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13588.539641193087</v>
      </c>
      <c r="U643" s="107" t="str">
        <f>IFERROR(_xlfn.XLOOKUP("*"&amp;TRIM(Fusion[[#This Row],[Confinement Type]])&amp;"*", Map_Conf[From], Map_Conf[To], "", 2), "")</f>
        <v>MCF</v>
      </c>
      <c r="V643" s="108" t="str" cm="1">
        <f t="array" ref="V6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4" spans="1:22">
      <c r="B644" t="s">
        <v>940</v>
      </c>
      <c r="C644" t="s">
        <v>61</v>
      </c>
      <c r="D644" t="s">
        <v>62</v>
      </c>
      <c r="E644">
        <v>1203</v>
      </c>
      <c r="F644" t="s">
        <v>31</v>
      </c>
      <c r="G644" t="s">
        <v>32</v>
      </c>
      <c r="H644" t="s">
        <v>33</v>
      </c>
      <c r="I644">
        <v>5801517000</v>
      </c>
      <c r="J644" t="s">
        <v>34</v>
      </c>
      <c r="K644">
        <v>1984</v>
      </c>
      <c r="L644" t="s">
        <v>938</v>
      </c>
      <c r="M644" t="s">
        <v>935</v>
      </c>
      <c r="N644">
        <v>0.75</v>
      </c>
      <c r="O644" t="s">
        <v>84</v>
      </c>
      <c r="P644">
        <v>576000000</v>
      </c>
      <c r="Q64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11655.186138911624</v>
      </c>
      <c r="R64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12812.364031523692</v>
      </c>
      <c r="U644" s="107" t="str">
        <f>IFERROR(_xlfn.XLOOKUP("*"&amp;TRIM(Fusion[[#This Row],[Confinement Type]])&amp;"*", Map_Conf[From], Map_Conf[To], "", 2), "")</f>
        <v>MCF</v>
      </c>
      <c r="V644" s="108" t="str" cm="1">
        <f t="array" ref="V6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5" spans="1:22">
      <c r="B645" t="s">
        <v>939</v>
      </c>
      <c r="C645" t="s">
        <v>61</v>
      </c>
      <c r="D645" t="s">
        <v>62</v>
      </c>
      <c r="E645">
        <v>1247</v>
      </c>
      <c r="F645" t="s">
        <v>31</v>
      </c>
      <c r="G645" t="s">
        <v>32</v>
      </c>
      <c r="H645" t="s">
        <v>33</v>
      </c>
      <c r="I645">
        <v>6121062000</v>
      </c>
      <c r="J645" t="s">
        <v>34</v>
      </c>
      <c r="K645">
        <v>1984</v>
      </c>
      <c r="L645" t="s">
        <v>938</v>
      </c>
      <c r="M645" t="s">
        <v>936</v>
      </c>
      <c r="N645">
        <v>0.73</v>
      </c>
      <c r="O645" t="s">
        <v>934</v>
      </c>
      <c r="P645">
        <v>574000000</v>
      </c>
      <c r="Q64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11863.247660672429</v>
      </c>
      <c r="R64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12975.718692206821</v>
      </c>
      <c r="U645" s="107" t="str">
        <f>IFERROR(_xlfn.XLOOKUP("*"&amp;TRIM(Fusion[[#This Row],[Confinement Type]])&amp;"*", Map_Conf[From], Map_Conf[To], "", 2), "")</f>
        <v>MCF</v>
      </c>
      <c r="V645" s="108" t="str" cm="1">
        <f t="array" ref="V6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6" spans="1:22" hidden="1">
      <c r="A646">
        <v>1</v>
      </c>
      <c r="B646" t="s">
        <v>29</v>
      </c>
      <c r="C646" t="s">
        <v>30</v>
      </c>
      <c r="D646" t="s">
        <v>798</v>
      </c>
      <c r="E646">
        <v>400</v>
      </c>
      <c r="F646" t="s">
        <v>217</v>
      </c>
      <c r="G646" t="s">
        <v>32</v>
      </c>
      <c r="H646" t="s">
        <v>33</v>
      </c>
      <c r="I646">
        <v>6000000000</v>
      </c>
      <c r="J646" t="s">
        <v>34</v>
      </c>
      <c r="K646">
        <v>2011</v>
      </c>
      <c r="L646" t="s">
        <v>35</v>
      </c>
      <c r="M646" t="s">
        <v>36</v>
      </c>
      <c r="N646">
        <v>0.5</v>
      </c>
      <c r="O646" t="s">
        <v>37</v>
      </c>
      <c r="P646" t="s">
        <v>38</v>
      </c>
      <c r="Q64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16745.00642396383</v>
      </c>
      <c r="R64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16745.00642396383</v>
      </c>
      <c r="U646" s="107" t="str">
        <f>IFERROR(_xlfn.XLOOKUP("*"&amp;TRIM(Fusion[[#This Row],[Confinement Type]])&amp;"*", Map_Conf[From], Map_Conf[To], "", 2), "")</f>
        <v>ICF</v>
      </c>
      <c r="V646" s="108" t="str" cm="1">
        <f t="array" ref="V6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47" spans="1:22" hidden="1">
      <c r="A647">
        <v>341</v>
      </c>
      <c r="B647" t="s">
        <v>342</v>
      </c>
      <c r="C647" t="s">
        <v>61</v>
      </c>
      <c r="D647" t="s">
        <v>62</v>
      </c>
      <c r="E647">
        <v>500</v>
      </c>
      <c r="F647" t="s">
        <v>902</v>
      </c>
      <c r="G647" t="s">
        <v>32</v>
      </c>
      <c r="H647" t="s">
        <v>33</v>
      </c>
      <c r="I647">
        <v>8500000000</v>
      </c>
      <c r="J647" t="s">
        <v>34</v>
      </c>
      <c r="K647">
        <v>2010</v>
      </c>
      <c r="L647" t="s">
        <v>331</v>
      </c>
      <c r="M647" t="s">
        <v>338</v>
      </c>
      <c r="N647" t="s">
        <v>711</v>
      </c>
      <c r="O647" t="s">
        <v>333</v>
      </c>
      <c r="P647" t="s">
        <v>38</v>
      </c>
      <c r="Q64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19576.709652566311</v>
      </c>
      <c r="R64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19576.709652566311</v>
      </c>
      <c r="U647" s="107" t="str">
        <f>IFERROR(_xlfn.XLOOKUP("*"&amp;TRIM(Fusion[[#This Row],[Confinement Type]])&amp;"*", Map_Conf[From], Map_Conf[To], "", 2), "")</f>
        <v>MCF</v>
      </c>
      <c r="V647" s="108" t="str" cm="1">
        <f t="array" ref="V6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8" spans="1:22">
      <c r="A648">
        <v>458</v>
      </c>
      <c r="B648" t="s">
        <v>674</v>
      </c>
      <c r="C648" t="s">
        <v>61</v>
      </c>
      <c r="D648" t="s">
        <v>62</v>
      </c>
      <c r="E648">
        <v>1200</v>
      </c>
      <c r="F648" t="s">
        <v>31</v>
      </c>
      <c r="G648" t="s">
        <v>57</v>
      </c>
      <c r="H648" t="s">
        <v>33</v>
      </c>
      <c r="I648">
        <v>3116000000</v>
      </c>
      <c r="J648" t="s">
        <v>34</v>
      </c>
      <c r="K648">
        <v>2020</v>
      </c>
      <c r="L648" t="s">
        <v>433</v>
      </c>
      <c r="M648" t="s">
        <v>668</v>
      </c>
      <c r="N648" t="s">
        <v>38</v>
      </c>
      <c r="O648" t="s">
        <v>84</v>
      </c>
      <c r="P648" t="s">
        <v>38</v>
      </c>
      <c r="Q64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2519.3719612638824</v>
      </c>
      <c r="R64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2519.3719612638824</v>
      </c>
      <c r="U648" s="107" t="str">
        <f>IFERROR(_xlfn.XLOOKUP("*"&amp;TRIM(Fusion[[#This Row],[Confinement Type]])&amp;"*", Map_Conf[From], Map_Conf[To], "", 2), "")</f>
        <v>MCF</v>
      </c>
      <c r="V648" s="108" t="str" cm="1">
        <f t="array" ref="V6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9" spans="1:22">
      <c r="A649">
        <v>466</v>
      </c>
      <c r="B649" t="s">
        <v>81</v>
      </c>
      <c r="C649" t="s">
        <v>61</v>
      </c>
      <c r="D649" t="s">
        <v>62</v>
      </c>
      <c r="E649">
        <v>1000</v>
      </c>
      <c r="F649" t="s">
        <v>31</v>
      </c>
      <c r="G649" t="s">
        <v>57</v>
      </c>
      <c r="H649" t="s">
        <v>76</v>
      </c>
      <c r="I649">
        <v>2400</v>
      </c>
      <c r="J649" t="s">
        <v>189</v>
      </c>
      <c r="K649">
        <v>2003</v>
      </c>
      <c r="L649" t="s">
        <v>440</v>
      </c>
      <c r="M649" t="s">
        <v>632</v>
      </c>
      <c r="N649" t="s">
        <v>38</v>
      </c>
      <c r="O649" t="s">
        <v>38</v>
      </c>
      <c r="P649" t="s">
        <v>38</v>
      </c>
      <c r="Q64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3275.3086956521738</v>
      </c>
      <c r="R64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3275.3086956521738</v>
      </c>
      <c r="U649" s="107" t="str">
        <f>IFERROR(_xlfn.XLOOKUP("*"&amp;TRIM(Fusion[[#This Row],[Confinement Type]])&amp;"*", Map_Conf[From], Map_Conf[To], "", 2), "")</f>
        <v>MCF</v>
      </c>
      <c r="V649" s="108" t="str" cm="1">
        <f t="array" ref="V6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0" spans="1:22" hidden="1">
      <c r="A650">
        <v>332</v>
      </c>
      <c r="B650" t="s">
        <v>330</v>
      </c>
      <c r="C650" t="s">
        <v>61</v>
      </c>
      <c r="D650" t="s">
        <v>62</v>
      </c>
      <c r="E650">
        <v>190</v>
      </c>
      <c r="F650" t="s">
        <v>902</v>
      </c>
      <c r="G650" t="s">
        <v>32</v>
      </c>
      <c r="H650" t="s">
        <v>33</v>
      </c>
      <c r="I650">
        <v>5300000000</v>
      </c>
      <c r="J650" t="s">
        <v>34</v>
      </c>
      <c r="K650">
        <v>2010</v>
      </c>
      <c r="L650" t="s">
        <v>331</v>
      </c>
      <c r="M650" t="s">
        <v>332</v>
      </c>
      <c r="N650" t="s">
        <v>711</v>
      </c>
      <c r="O650" t="s">
        <v>333</v>
      </c>
      <c r="P650" t="s">
        <v>38</v>
      </c>
      <c r="Q65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32122.77435250819</v>
      </c>
      <c r="R65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32122.77435250819</v>
      </c>
      <c r="U650" s="107" t="str">
        <f>IFERROR(_xlfn.XLOOKUP("*"&amp;TRIM(Fusion[[#This Row],[Confinement Type]])&amp;"*", Map_Conf[From], Map_Conf[To], "", 2), "")</f>
        <v>MCF</v>
      </c>
      <c r="V650" s="108" t="str" cm="1">
        <f t="array" ref="V6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1" spans="1:22" hidden="1">
      <c r="A651">
        <v>387</v>
      </c>
      <c r="B651" t="s">
        <v>377</v>
      </c>
      <c r="C651" t="s">
        <v>61</v>
      </c>
      <c r="D651" t="s">
        <v>326</v>
      </c>
      <c r="E651" t="s">
        <v>378</v>
      </c>
      <c r="F651" t="s">
        <v>381</v>
      </c>
      <c r="G651" t="s">
        <v>32</v>
      </c>
      <c r="H651" t="s">
        <v>76</v>
      </c>
      <c r="I651">
        <v>13157.407407407407</v>
      </c>
      <c r="J651" t="s">
        <v>382</v>
      </c>
      <c r="K651">
        <v>1982</v>
      </c>
      <c r="L651" t="s">
        <v>379</v>
      </c>
      <c r="M651" t="s">
        <v>383</v>
      </c>
      <c r="N651" t="s">
        <v>38</v>
      </c>
      <c r="O651" t="s">
        <v>38</v>
      </c>
      <c r="P651" t="s">
        <v>38</v>
      </c>
      <c r="Q65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34237.48292074458</v>
      </c>
      <c r="R65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34237.48292074458</v>
      </c>
      <c r="U651" s="107" t="str">
        <f>IFERROR(_xlfn.XLOOKUP("*"&amp;TRIM(Fusion[[#This Row],[Confinement Type]])&amp;"*", Map_Conf[From], Map_Conf[To], "", 2), "")</f>
        <v>MCF</v>
      </c>
      <c r="V651" s="108" t="str" cm="1">
        <f t="array" ref="V6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652" spans="1:22" hidden="1">
      <c r="A652">
        <v>504</v>
      </c>
      <c r="B652" t="s">
        <v>475</v>
      </c>
      <c r="C652" t="s">
        <v>61</v>
      </c>
      <c r="D652" t="s">
        <v>62</v>
      </c>
      <c r="E652" t="s">
        <v>476</v>
      </c>
      <c r="F652" t="s">
        <v>493</v>
      </c>
      <c r="G652" t="s">
        <v>32</v>
      </c>
      <c r="H652" t="s">
        <v>33</v>
      </c>
      <c r="I652">
        <v>3600000</v>
      </c>
      <c r="J652" t="s">
        <v>34</v>
      </c>
      <c r="K652">
        <v>2002</v>
      </c>
      <c r="L652" t="s">
        <v>477</v>
      </c>
      <c r="M652" t="s">
        <v>478</v>
      </c>
      <c r="N652" t="s">
        <v>38</v>
      </c>
      <c r="O652" t="s">
        <v>38</v>
      </c>
      <c r="P652" t="s">
        <v>38</v>
      </c>
      <c r="Q65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5024931.6286826013</v>
      </c>
      <c r="R65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5024931.6286826013</v>
      </c>
      <c r="U652" s="107" t="str">
        <f>IFERROR(_xlfn.XLOOKUP("*"&amp;TRIM(Fusion[[#This Row],[Confinement Type]])&amp;"*", Map_Conf[From], Map_Conf[To], "", 2), "")</f>
        <v>MCF</v>
      </c>
      <c r="V652" s="108" t="str" cm="1">
        <f t="array" ref="V6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3" spans="1:22" hidden="1">
      <c r="A653">
        <v>214</v>
      </c>
      <c r="B653" t="s">
        <v>79</v>
      </c>
      <c r="C653" t="s">
        <v>61</v>
      </c>
      <c r="D653" t="s">
        <v>62</v>
      </c>
      <c r="E653" t="s">
        <v>257</v>
      </c>
      <c r="F653" t="s">
        <v>63</v>
      </c>
      <c r="G653" t="s">
        <v>32</v>
      </c>
      <c r="H653" t="s">
        <v>33</v>
      </c>
      <c r="I653">
        <v>8000000</v>
      </c>
      <c r="J653" t="s">
        <v>34</v>
      </c>
      <c r="K653">
        <v>1989</v>
      </c>
      <c r="L653" t="s">
        <v>80</v>
      </c>
      <c r="M653" t="s">
        <v>259</v>
      </c>
      <c r="N653" t="s">
        <v>38</v>
      </c>
      <c r="O653" t="s">
        <v>38</v>
      </c>
      <c r="P653" t="s">
        <v>38</v>
      </c>
      <c r="Q65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16200451.612903226</v>
      </c>
      <c r="R65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16200451.612903226</v>
      </c>
      <c r="U653" s="107" t="str">
        <f>IFERROR(_xlfn.XLOOKUP("*"&amp;TRIM(Fusion[[#This Row],[Confinement Type]])&amp;"*", Map_Conf[From], Map_Conf[To], "", 2), "")</f>
        <v>MCF</v>
      </c>
      <c r="V653" s="108" t="str" cm="1">
        <f t="array" ref="V6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4" spans="1:22" hidden="1">
      <c r="A654">
        <v>386</v>
      </c>
      <c r="B654" t="s">
        <v>377</v>
      </c>
      <c r="C654" t="s">
        <v>61</v>
      </c>
      <c r="D654" t="s">
        <v>326</v>
      </c>
      <c r="E654" t="s">
        <v>378</v>
      </c>
      <c r="F654" t="s">
        <v>115</v>
      </c>
      <c r="G654" t="s">
        <v>32</v>
      </c>
      <c r="H654" t="s">
        <v>33</v>
      </c>
      <c r="I654">
        <v>17200000</v>
      </c>
      <c r="J654" t="s">
        <v>34</v>
      </c>
      <c r="K654">
        <v>1982</v>
      </c>
      <c r="L654" t="s">
        <v>379</v>
      </c>
      <c r="M654" t="s">
        <v>720</v>
      </c>
      <c r="N654" t="s">
        <v>122</v>
      </c>
      <c r="O654" t="s">
        <v>38</v>
      </c>
      <c r="P654" t="s">
        <v>38</v>
      </c>
      <c r="Q65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44756895.336787567</v>
      </c>
      <c r="R65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44756895.336787567</v>
      </c>
      <c r="U654" s="107" t="str">
        <f>IFERROR(_xlfn.XLOOKUP("*"&amp;TRIM(Fusion[[#This Row],[Confinement Type]])&amp;"*", Map_Conf[From], Map_Conf[To], "", 2), "")</f>
        <v>MCF</v>
      </c>
      <c r="V654" s="108" t="str" cm="1">
        <f t="array" ref="V6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655" spans="1:22" hidden="1">
      <c r="A655">
        <v>385</v>
      </c>
      <c r="B655" t="s">
        <v>377</v>
      </c>
      <c r="C655" t="s">
        <v>61</v>
      </c>
      <c r="D655" t="s">
        <v>326</v>
      </c>
      <c r="E655" t="s">
        <v>378</v>
      </c>
      <c r="F655" t="s">
        <v>116</v>
      </c>
      <c r="G655" t="s">
        <v>32</v>
      </c>
      <c r="H655" t="s">
        <v>33</v>
      </c>
      <c r="I655">
        <v>65700000</v>
      </c>
      <c r="J655" t="s">
        <v>34</v>
      </c>
      <c r="K655">
        <v>1982</v>
      </c>
      <c r="L655" t="s">
        <v>379</v>
      </c>
      <c r="M655" t="s">
        <v>380</v>
      </c>
      <c r="N655" t="s">
        <v>122</v>
      </c>
      <c r="O655" t="s">
        <v>38</v>
      </c>
      <c r="P655" t="s">
        <v>38</v>
      </c>
      <c r="Q65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170960931.60621762</v>
      </c>
      <c r="R65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170960931.60621762</v>
      </c>
      <c r="U655" s="107" t="str">
        <f>IFERROR(_xlfn.XLOOKUP("*"&amp;TRIM(Fusion[[#This Row],[Confinement Type]])&amp;"*", Map_Conf[From], Map_Conf[To], "", 2), "")</f>
        <v>MCF</v>
      </c>
      <c r="V655" s="108" t="str" cm="1">
        <f t="array" ref="V6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656" spans="1:22" hidden="1">
      <c r="A656">
        <v>215</v>
      </c>
      <c r="B656" t="s">
        <v>79</v>
      </c>
      <c r="C656" t="s">
        <v>61</v>
      </c>
      <c r="D656" t="s">
        <v>62</v>
      </c>
      <c r="E656" t="s">
        <v>257</v>
      </c>
      <c r="F656" t="s">
        <v>116</v>
      </c>
      <c r="G656" t="s">
        <v>32</v>
      </c>
      <c r="H656" t="s">
        <v>33</v>
      </c>
      <c r="I656">
        <v>188000000</v>
      </c>
      <c r="J656" t="s">
        <v>34</v>
      </c>
      <c r="K656">
        <v>1989</v>
      </c>
      <c r="L656" t="s">
        <v>80</v>
      </c>
      <c r="M656" t="s">
        <v>260</v>
      </c>
      <c r="N656" t="s">
        <v>38</v>
      </c>
      <c r="O656" t="s">
        <v>38</v>
      </c>
      <c r="P656" t="s">
        <v>38</v>
      </c>
      <c r="Q65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380710612.90322584</v>
      </c>
      <c r="R65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380710612.90322584</v>
      </c>
      <c r="U656" s="107" t="str">
        <f>IFERROR(_xlfn.XLOOKUP("*"&amp;TRIM(Fusion[[#This Row],[Confinement Type]])&amp;"*", Map_Conf[From], Map_Conf[To], "", 2), "")</f>
        <v>MCF</v>
      </c>
      <c r="V656" s="108" t="str" cm="1">
        <f t="array" ref="V6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7" spans="1:22" hidden="1">
      <c r="A657">
        <v>212</v>
      </c>
      <c r="B657" t="s">
        <v>79</v>
      </c>
      <c r="C657" t="s">
        <v>61</v>
      </c>
      <c r="D657" t="s">
        <v>62</v>
      </c>
      <c r="E657" t="s">
        <v>257</v>
      </c>
      <c r="F657" t="s">
        <v>493</v>
      </c>
      <c r="G657" t="s">
        <v>32</v>
      </c>
      <c r="H657" t="s">
        <v>33</v>
      </c>
      <c r="I657">
        <v>335000000</v>
      </c>
      <c r="J657" t="s">
        <v>34</v>
      </c>
      <c r="K657">
        <v>1989</v>
      </c>
      <c r="L657" t="s">
        <v>80</v>
      </c>
      <c r="N657" t="s">
        <v>38</v>
      </c>
      <c r="O657" t="s">
        <v>38</v>
      </c>
      <c r="P657" t="s">
        <v>38</v>
      </c>
      <c r="Q65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678393911.29032254</v>
      </c>
      <c r="R65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678393911.29032254</v>
      </c>
      <c r="U657" s="107" t="str">
        <f>IFERROR(_xlfn.XLOOKUP("*"&amp;TRIM(Fusion[[#This Row],[Confinement Type]])&amp;"*", Map_Conf[From], Map_Conf[To], "", 2), "")</f>
        <v>MCF</v>
      </c>
      <c r="V657" s="108" t="str" cm="1">
        <f t="array" ref="V6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8" spans="1:22">
      <c r="A658">
        <v>467</v>
      </c>
      <c r="B658" t="s">
        <v>81</v>
      </c>
      <c r="C658" t="s">
        <v>61</v>
      </c>
      <c r="D658" t="s">
        <v>62</v>
      </c>
      <c r="E658">
        <v>1000</v>
      </c>
      <c r="F658" t="s">
        <v>31</v>
      </c>
      <c r="G658" t="s">
        <v>32</v>
      </c>
      <c r="H658" t="s">
        <v>76</v>
      </c>
      <c r="I658">
        <v>4480</v>
      </c>
      <c r="J658" t="s">
        <v>189</v>
      </c>
      <c r="K658">
        <v>2003</v>
      </c>
      <c r="L658" t="s">
        <v>440</v>
      </c>
      <c r="M658" t="s">
        <v>631</v>
      </c>
      <c r="N658" t="s">
        <v>38</v>
      </c>
      <c r="O658" t="s">
        <v>38</v>
      </c>
      <c r="P658" t="s">
        <v>38</v>
      </c>
      <c r="Q65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6113.909565217391</v>
      </c>
      <c r="R65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6113.909565217391</v>
      </c>
      <c r="U658" s="107" t="str">
        <f>IFERROR(_xlfn.XLOOKUP("*"&amp;TRIM(Fusion[[#This Row],[Confinement Type]])&amp;"*", Map_Conf[From], Map_Conf[To], "", 2), "")</f>
        <v>MCF</v>
      </c>
      <c r="V658" s="108" t="str" cm="1">
        <f t="array" ref="V6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9" spans="1:22">
      <c r="A659">
        <v>470</v>
      </c>
      <c r="B659" t="s">
        <v>443</v>
      </c>
      <c r="C659" t="s">
        <v>61</v>
      </c>
      <c r="D659" t="s">
        <v>62</v>
      </c>
      <c r="E659">
        <v>1185</v>
      </c>
      <c r="F659" t="s">
        <v>31</v>
      </c>
      <c r="G659" t="s">
        <v>52</v>
      </c>
      <c r="H659" t="s">
        <v>33</v>
      </c>
      <c r="I659">
        <v>3609000000</v>
      </c>
      <c r="J659" t="s">
        <v>34</v>
      </c>
      <c r="K659">
        <v>1976</v>
      </c>
      <c r="L659" t="s">
        <v>444</v>
      </c>
      <c r="M659" t="s">
        <v>389</v>
      </c>
      <c r="N659" t="s">
        <v>709</v>
      </c>
      <c r="O659" t="s">
        <v>38</v>
      </c>
      <c r="P659" t="s">
        <v>38</v>
      </c>
      <c r="Q65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13440.489466307758</v>
      </c>
      <c r="R65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13440.489466307758</v>
      </c>
      <c r="U659" s="107" t="str">
        <f>IFERROR(_xlfn.XLOOKUP("*"&amp;TRIM(Fusion[[#This Row],[Confinement Type]])&amp;"*", Map_Conf[From], Map_Conf[To], "", 2), "")</f>
        <v>MCF</v>
      </c>
      <c r="V659" s="108" t="str" cm="1">
        <f t="array" ref="V6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60" spans="1:22" hidden="1">
      <c r="A660">
        <v>312</v>
      </c>
      <c r="B660" t="s">
        <v>79</v>
      </c>
      <c r="C660" t="s">
        <v>61</v>
      </c>
      <c r="D660" t="s">
        <v>62</v>
      </c>
      <c r="E660" t="s">
        <v>257</v>
      </c>
      <c r="F660" t="s">
        <v>308</v>
      </c>
      <c r="G660" t="s">
        <v>32</v>
      </c>
      <c r="H660" t="s">
        <v>33</v>
      </c>
      <c r="I660">
        <v>25000000000</v>
      </c>
      <c r="J660" t="s">
        <v>34</v>
      </c>
      <c r="K660">
        <v>2017</v>
      </c>
      <c r="L660" t="s">
        <v>309</v>
      </c>
      <c r="M660" t="s">
        <v>310</v>
      </c>
      <c r="N660" t="s">
        <v>38</v>
      </c>
      <c r="O660" t="s">
        <v>38</v>
      </c>
      <c r="P660" t="s">
        <v>38</v>
      </c>
      <c r="Q66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25610619288.511749</v>
      </c>
      <c r="R66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25610619288.511749</v>
      </c>
      <c r="U660" s="107" t="str">
        <f>IFERROR(_xlfn.XLOOKUP("*"&amp;TRIM(Fusion[[#This Row],[Confinement Type]])&amp;"*", Map_Conf[From], Map_Conf[To], "", 2), "")</f>
        <v>MCF</v>
      </c>
      <c r="V660" s="108" t="str" cm="1">
        <f t="array" ref="V6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61" spans="1:22">
      <c r="A661">
        <v>479</v>
      </c>
      <c r="B661" t="s">
        <v>448</v>
      </c>
      <c r="C661" t="s">
        <v>61</v>
      </c>
      <c r="D661" t="s">
        <v>62</v>
      </c>
      <c r="E661">
        <v>2000</v>
      </c>
      <c r="F661" t="s">
        <v>31</v>
      </c>
      <c r="G661" t="s">
        <v>52</v>
      </c>
      <c r="H661" t="s">
        <v>76</v>
      </c>
      <c r="I661">
        <v>9000</v>
      </c>
      <c r="J661" t="s">
        <v>189</v>
      </c>
      <c r="K661">
        <v>2020</v>
      </c>
      <c r="L661" t="s">
        <v>730</v>
      </c>
      <c r="M661" t="s">
        <v>317</v>
      </c>
      <c r="N661" t="s">
        <v>38</v>
      </c>
      <c r="O661" t="s">
        <v>38</v>
      </c>
      <c r="P661" t="s">
        <v>38</v>
      </c>
      <c r="Q66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8732.0979401957429</v>
      </c>
      <c r="R66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8732.0979401957429</v>
      </c>
      <c r="U661" s="107" t="str">
        <f>IFERROR(_xlfn.XLOOKUP("*"&amp;TRIM(Fusion[[#This Row],[Confinement Type]])&amp;"*", Map_Conf[From], Map_Conf[To], "", 2), "")</f>
        <v>MCF</v>
      </c>
      <c r="V661" s="108" t="str" cm="1">
        <f t="array" ref="V6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62" spans="1:22" hidden="1">
      <c r="L662" t="s">
        <v>480</v>
      </c>
      <c r="Q662"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62"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U662" s="107" t="str">
        <f>IFERROR(_xlfn.XLOOKUP("*"&amp;TRIM(Fusion[[#This Row],[Confinement Type]])&amp;"*", Map_Conf[From], Map_Conf[To], "", 2), "")</f>
        <v>MCF</v>
      </c>
      <c r="V662" s="108" t="e" cm="1">
        <f t="array" ref="V6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3" spans="1:22" hidden="1">
      <c r="M663" t="s">
        <v>728</v>
      </c>
      <c r="N663">
        <v>0.9</v>
      </c>
      <c r="O663" t="s">
        <v>350</v>
      </c>
      <c r="P663" t="s">
        <v>487</v>
      </c>
      <c r="Q663"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63"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U663" s="107" t="str">
        <f>IFERROR(_xlfn.XLOOKUP("*"&amp;TRIM(Fusion[[#This Row],[Confinement Type]])&amp;"*", Map_Conf[From], Map_Conf[To], "", 2), "")</f>
        <v>MCF</v>
      </c>
      <c r="V663" s="108" t="e" cm="1">
        <f t="array" ref="V6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4" spans="1:22" hidden="1">
      <c r="N664" t="s">
        <v>122</v>
      </c>
      <c r="O664" t="s">
        <v>38</v>
      </c>
      <c r="P664" t="s">
        <v>38</v>
      </c>
      <c r="Q664"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64"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U664" s="107" t="str">
        <f>IFERROR(_xlfn.XLOOKUP("*"&amp;TRIM(Fusion[[#This Row],[Confinement Type]])&amp;"*", Map_Conf[From], Map_Conf[To], "", 2), "")</f>
        <v>MCF</v>
      </c>
      <c r="V664" s="108" t="e" cm="1">
        <f t="array" ref="V6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5" spans="1:22" hidden="1">
      <c r="N665" t="s">
        <v>122</v>
      </c>
      <c r="O665" t="s">
        <v>38</v>
      </c>
      <c r="P665" t="s">
        <v>38</v>
      </c>
      <c r="Q665"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65"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U665" s="107" t="str">
        <f>IFERROR(_xlfn.XLOOKUP("*"&amp;TRIM(Fusion[[#This Row],[Confinement Type]])&amp;"*", Map_Conf[From], Map_Conf[To], "", 2), "")</f>
        <v>MCF</v>
      </c>
      <c r="V665" s="108" t="e" cm="1">
        <f t="array" ref="V6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6" spans="1:22" hidden="1">
      <c r="M666" t="s">
        <v>490</v>
      </c>
      <c r="N666" t="s">
        <v>122</v>
      </c>
      <c r="O666" t="s">
        <v>38</v>
      </c>
      <c r="P666" t="s">
        <v>38</v>
      </c>
      <c r="Q666"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66"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U666" s="107" t="str">
        <f>IFERROR(_xlfn.XLOOKUP("*"&amp;TRIM(Fusion[[#This Row],[Confinement Type]])&amp;"*", Map_Conf[From], Map_Conf[To], "", 2), "")</f>
        <v>MCF</v>
      </c>
      <c r="V666" s="108" t="e" cm="1">
        <f t="array" ref="V6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7" spans="1:22" hidden="1">
      <c r="N667" t="s">
        <v>122</v>
      </c>
      <c r="O667" t="s">
        <v>38</v>
      </c>
      <c r="P667" t="s">
        <v>38</v>
      </c>
      <c r="Q667"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67"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U667" s="107" t="str">
        <f>IFERROR(_xlfn.XLOOKUP("*"&amp;TRIM(Fusion[[#This Row],[Confinement Type]])&amp;"*", Map_Conf[From], Map_Conf[To], "", 2), "")</f>
        <v>MCF</v>
      </c>
      <c r="V667" s="108" t="e" cm="1">
        <f t="array" ref="V6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8" spans="1:22" hidden="1">
      <c r="N668">
        <v>0.9</v>
      </c>
      <c r="O668" t="s">
        <v>350</v>
      </c>
      <c r="P668" t="s">
        <v>38</v>
      </c>
      <c r="Q668"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68"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U668" s="107" t="str">
        <f>IFERROR(_xlfn.XLOOKUP("*"&amp;TRIM(Fusion[[#This Row],[Confinement Type]])&amp;"*", Map_Conf[From], Map_Conf[To], "", 2), "")</f>
        <v>MCF</v>
      </c>
      <c r="V668" s="108" t="e" cm="1">
        <f t="array" ref="V6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9" spans="1:22" hidden="1">
      <c r="N669">
        <v>0.9</v>
      </c>
      <c r="O669" t="s">
        <v>350</v>
      </c>
      <c r="P669" t="s">
        <v>38</v>
      </c>
      <c r="Q669"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69"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U669" s="107" t="str">
        <f>IFERROR(_xlfn.XLOOKUP("*"&amp;TRIM(Fusion[[#This Row],[Confinement Type]])&amp;"*", Map_Conf[From], Map_Conf[To], "", 2), "")</f>
        <v>MCF</v>
      </c>
      <c r="V669" s="108" t="e" cm="1">
        <f t="array" ref="V6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70" spans="1:22" hidden="1">
      <c r="L670" t="s">
        <v>842</v>
      </c>
      <c r="Q670"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70"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U670" s="107" t="str">
        <f>IFERROR(_xlfn.XLOOKUP("*"&amp;TRIM(Fusion[[#This Row],[Confinement Type]])&amp;"*", Map_Conf[From], Map_Conf[To], "", 2), "")</f>
        <v>MCF</v>
      </c>
      <c r="V670" s="108" t="e" cm="1">
        <f t="array" ref="V6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71" spans="1:22" hidden="1">
      <c r="L671" t="s">
        <v>842</v>
      </c>
      <c r="Q671"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71"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U671" s="107" t="str">
        <f>IFERROR(_xlfn.XLOOKUP("*"&amp;TRIM(Fusion[[#This Row],[Confinement Type]])&amp;"*", Map_Conf[From], Map_Conf[To], "", 2), "")</f>
        <v>MCF</v>
      </c>
      <c r="V671" s="108" t="e" cm="1">
        <f t="array" ref="V6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72" spans="1:22" hidden="1">
      <c r="A672">
        <v>592</v>
      </c>
      <c r="B672" t="s">
        <v>443</v>
      </c>
      <c r="C672" t="s">
        <v>61</v>
      </c>
      <c r="D672" t="s">
        <v>62</v>
      </c>
      <c r="E672">
        <v>1185</v>
      </c>
      <c r="F672" t="s">
        <v>116</v>
      </c>
      <c r="G672" t="s">
        <v>52</v>
      </c>
      <c r="H672" t="s">
        <v>33</v>
      </c>
      <c r="I672">
        <v>3226666.6666666665</v>
      </c>
      <c r="J672" t="s">
        <v>34</v>
      </c>
      <c r="K672">
        <v>1967</v>
      </c>
      <c r="L672" t="s">
        <v>444</v>
      </c>
      <c r="M672" t="s">
        <v>1109</v>
      </c>
      <c r="N672" t="s">
        <v>709</v>
      </c>
      <c r="O672" t="s">
        <v>38</v>
      </c>
      <c r="P672" t="s">
        <v>38</v>
      </c>
      <c r="Q67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20.47142642984074</v>
      </c>
      <c r="R67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20.47142642984074</v>
      </c>
      <c r="U672" s="107" t="str">
        <f>IFERROR(_xlfn.XLOOKUP("*"&amp;TRIM(Fusion[[#This Row],[Confinement Type]])&amp;"*", Map_Conf[From], Map_Conf[To], "", 2), "")</f>
        <v>MCF</v>
      </c>
      <c r="V672" s="108" t="str" cm="1">
        <f t="array" ref="V6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3" spans="1:22">
      <c r="A673">
        <v>478</v>
      </c>
      <c r="B673" t="s">
        <v>447</v>
      </c>
      <c r="C673" t="s">
        <v>61</v>
      </c>
      <c r="D673" t="s">
        <v>62</v>
      </c>
      <c r="E673">
        <v>2000</v>
      </c>
      <c r="F673" t="s">
        <v>31</v>
      </c>
      <c r="G673" t="s">
        <v>32</v>
      </c>
      <c r="H673" t="s">
        <v>76</v>
      </c>
      <c r="I673">
        <v>12000</v>
      </c>
      <c r="J673" t="s">
        <v>189</v>
      </c>
      <c r="K673">
        <v>2020</v>
      </c>
      <c r="L673" t="s">
        <v>731</v>
      </c>
      <c r="N673" t="s">
        <v>38</v>
      </c>
      <c r="O673" t="s">
        <v>38</v>
      </c>
      <c r="P673" t="s">
        <v>38</v>
      </c>
      <c r="Q67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11642.797253594323</v>
      </c>
      <c r="R67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11642.797253594323</v>
      </c>
      <c r="U673" s="107" t="str">
        <f>IFERROR(_xlfn.XLOOKUP("*"&amp;TRIM(Fusion[[#This Row],[Confinement Type]])&amp;"*", Map_Conf[From], Map_Conf[To], "", 2), "")</f>
        <v>MCF</v>
      </c>
      <c r="V673" s="108" t="str" cm="1">
        <f t="array" ref="V6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4" spans="1:22" hidden="1">
      <c r="A674">
        <v>17</v>
      </c>
      <c r="B674" t="s">
        <v>81</v>
      </c>
      <c r="C674" t="s">
        <v>61</v>
      </c>
      <c r="D674" t="s">
        <v>62</v>
      </c>
      <c r="E674">
        <v>1500</v>
      </c>
      <c r="F674" t="s">
        <v>75</v>
      </c>
      <c r="G674" t="s">
        <v>32</v>
      </c>
      <c r="H674" t="s">
        <v>76</v>
      </c>
      <c r="I674">
        <v>64.5</v>
      </c>
      <c r="J674" t="s">
        <v>88</v>
      </c>
      <c r="K674">
        <v>2011</v>
      </c>
      <c r="L674" t="s">
        <v>83</v>
      </c>
      <c r="M674" t="s">
        <v>778</v>
      </c>
      <c r="N674" t="s">
        <v>706</v>
      </c>
      <c r="O674" t="s">
        <v>84</v>
      </c>
      <c r="P674" t="s">
        <v>38</v>
      </c>
      <c r="Q67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0.10030811433166326</v>
      </c>
      <c r="R67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0.10030811433166326</v>
      </c>
      <c r="U674" s="107" t="str">
        <f>IFERROR(_xlfn.XLOOKUP("*"&amp;TRIM(Fusion[[#This Row],[Confinement Type]])&amp;"*", Map_Conf[From], Map_Conf[To], "", 2), "")</f>
        <v>MCF</v>
      </c>
      <c r="V674" s="108" t="str" cm="1">
        <f t="array" ref="V6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5" spans="1:22" hidden="1">
      <c r="A675">
        <v>18</v>
      </c>
      <c r="B675" t="s">
        <v>81</v>
      </c>
      <c r="C675" t="s">
        <v>61</v>
      </c>
      <c r="D675" t="s">
        <v>62</v>
      </c>
      <c r="E675">
        <v>1500</v>
      </c>
      <c r="F675" t="s">
        <v>75</v>
      </c>
      <c r="G675" t="s">
        <v>52</v>
      </c>
      <c r="H675" t="s">
        <v>76</v>
      </c>
      <c r="I675">
        <v>61.1</v>
      </c>
      <c r="J675" t="s">
        <v>88</v>
      </c>
      <c r="K675">
        <v>2011</v>
      </c>
      <c r="L675" t="s">
        <v>83</v>
      </c>
      <c r="M675" t="s">
        <v>780</v>
      </c>
      <c r="N675" t="s">
        <v>706</v>
      </c>
      <c r="O675" t="s">
        <v>84</v>
      </c>
      <c r="P675" t="s">
        <v>38</v>
      </c>
      <c r="Q67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9.5020554816505814E-2</v>
      </c>
      <c r="R67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9.5020554816505814E-2</v>
      </c>
      <c r="U675" s="107" t="str">
        <f>IFERROR(_xlfn.XLOOKUP("*"&amp;TRIM(Fusion[[#This Row],[Confinement Type]])&amp;"*", Map_Conf[From], Map_Conf[To], "", 2), "")</f>
        <v>MCF</v>
      </c>
      <c r="V675" s="108" t="str" cm="1">
        <f t="array" ref="V6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6" spans="1:22" hidden="1">
      <c r="A676">
        <v>410</v>
      </c>
      <c r="B676" t="s">
        <v>398</v>
      </c>
      <c r="C676" t="s">
        <v>61</v>
      </c>
      <c r="D676" t="s">
        <v>251</v>
      </c>
      <c r="E676">
        <v>1204</v>
      </c>
      <c r="F676" t="s">
        <v>63</v>
      </c>
      <c r="G676" t="s">
        <v>32</v>
      </c>
      <c r="H676" t="s">
        <v>76</v>
      </c>
      <c r="I676">
        <v>0.15839403617452077</v>
      </c>
      <c r="J676" t="s">
        <v>128</v>
      </c>
      <c r="K676">
        <v>2023</v>
      </c>
      <c r="L676" t="s">
        <v>399</v>
      </c>
      <c r="M676" t="s">
        <v>373</v>
      </c>
      <c r="N676" t="s">
        <v>122</v>
      </c>
      <c r="O676" t="s">
        <v>38</v>
      </c>
      <c r="P676" t="s">
        <v>38</v>
      </c>
      <c r="Q67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1.3053360739895172E-4</v>
      </c>
      <c r="R67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1.3053360739895172E-4</v>
      </c>
      <c r="U676" s="107" t="str">
        <f>IFERROR(_xlfn.XLOOKUP("*"&amp;TRIM(Fusion[[#This Row],[Confinement Type]])&amp;"*", Map_Conf[From], Map_Conf[To], "", 2), "")</f>
        <v>MCF</v>
      </c>
      <c r="V676" s="108" t="str" cm="1">
        <f t="array" ref="V6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77" spans="1:22" hidden="1">
      <c r="A677">
        <v>450</v>
      </c>
      <c r="B677" t="s">
        <v>60</v>
      </c>
      <c r="C677" t="s">
        <v>61</v>
      </c>
      <c r="D677" t="s">
        <v>62</v>
      </c>
      <c r="E677">
        <v>1200</v>
      </c>
      <c r="F677" t="s">
        <v>63</v>
      </c>
      <c r="G677" t="s">
        <v>52</v>
      </c>
      <c r="H677" t="s">
        <v>76</v>
      </c>
      <c r="I677">
        <v>5.8541154431565393E-2</v>
      </c>
      <c r="J677" t="s">
        <v>128</v>
      </c>
      <c r="K677">
        <v>1983</v>
      </c>
      <c r="L677" t="s">
        <v>428</v>
      </c>
      <c r="M677" t="s">
        <v>429</v>
      </c>
      <c r="N677">
        <v>0.65</v>
      </c>
      <c r="O677" t="s">
        <v>38</v>
      </c>
      <c r="P677" t="s">
        <v>38</v>
      </c>
      <c r="Q67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1.4759130186593465E-4</v>
      </c>
      <c r="R67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1.4759130186593465E-4</v>
      </c>
      <c r="U677" s="107" t="str">
        <f>IFERROR(_xlfn.XLOOKUP("*"&amp;TRIM(Fusion[[#This Row],[Confinement Type]])&amp;"*", Map_Conf[From], Map_Conf[To], "", 2), "")</f>
        <v>MCF</v>
      </c>
      <c r="V677" s="108" t="str" cm="1">
        <f t="array" ref="V6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8" spans="1:22" hidden="1">
      <c r="B678" t="s">
        <v>941</v>
      </c>
      <c r="C678" t="s">
        <v>61</v>
      </c>
      <c r="D678" t="s">
        <v>62</v>
      </c>
      <c r="E678">
        <v>1209</v>
      </c>
      <c r="F678" t="s">
        <v>493</v>
      </c>
      <c r="G678" t="s">
        <v>32</v>
      </c>
      <c r="H678" t="s">
        <v>33</v>
      </c>
      <c r="I678">
        <v>8363400</v>
      </c>
      <c r="J678" t="s">
        <v>34</v>
      </c>
      <c r="K678">
        <v>1984</v>
      </c>
      <c r="L678" t="s">
        <v>938</v>
      </c>
      <c r="M678" t="s">
        <v>1098</v>
      </c>
      <c r="N678" t="s">
        <v>122</v>
      </c>
      <c r="O678" t="s">
        <v>38</v>
      </c>
      <c r="Q67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16.718597396332129</v>
      </c>
      <c r="R67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16.718597396332129</v>
      </c>
      <c r="U678" s="107" t="str">
        <f>IFERROR(_xlfn.XLOOKUP("*"&amp;TRIM(Fusion[[#This Row],[Confinement Type]])&amp;"*", Map_Conf[From], Map_Conf[To], "", 2), "")</f>
        <v>MCF</v>
      </c>
      <c r="V678" s="108" t="str" cm="1">
        <f t="array" ref="V6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9" spans="1:22" hidden="1">
      <c r="A679">
        <v>171</v>
      </c>
      <c r="B679" t="s">
        <v>215</v>
      </c>
      <c r="C679" t="s">
        <v>61</v>
      </c>
      <c r="D679" t="s">
        <v>62</v>
      </c>
      <c r="E679">
        <v>1527</v>
      </c>
      <c r="F679" t="s">
        <v>116</v>
      </c>
      <c r="G679" t="s">
        <v>52</v>
      </c>
      <c r="H679" t="s">
        <v>76</v>
      </c>
      <c r="I679">
        <v>8.5000000000000006E-3</v>
      </c>
      <c r="J679" t="s">
        <v>1111</v>
      </c>
      <c r="K679">
        <v>2005</v>
      </c>
      <c r="L679" t="s">
        <v>1110</v>
      </c>
      <c r="N679" t="s">
        <v>122</v>
      </c>
      <c r="O679" t="s">
        <v>38</v>
      </c>
      <c r="P679" t="s">
        <v>38</v>
      </c>
      <c r="Q67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1.3605357842037889E-2</v>
      </c>
      <c r="R67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1.3605357842037889E-2</v>
      </c>
      <c r="U679" s="107" t="str">
        <f>IFERROR(_xlfn.XLOOKUP("*"&amp;TRIM(Fusion[[#This Row],[Confinement Type]])&amp;"*", Map_Conf[From], Map_Conf[To], "", 2), "")</f>
        <v>MCF</v>
      </c>
      <c r="V679" s="108" t="str" cm="1">
        <f t="array" ref="V6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0" spans="1:22" hidden="1">
      <c r="A680">
        <v>172</v>
      </c>
      <c r="B680" t="s">
        <v>211</v>
      </c>
      <c r="C680" t="s">
        <v>61</v>
      </c>
      <c r="D680" t="s">
        <v>62</v>
      </c>
      <c r="E680">
        <v>1546</v>
      </c>
      <c r="F680" t="s">
        <v>115</v>
      </c>
      <c r="G680" t="s">
        <v>52</v>
      </c>
      <c r="H680" t="s">
        <v>76</v>
      </c>
      <c r="I680">
        <v>2.2500000000000003E-3</v>
      </c>
      <c r="J680" t="s">
        <v>1111</v>
      </c>
      <c r="K680">
        <v>2005</v>
      </c>
      <c r="L680" t="s">
        <v>1110</v>
      </c>
      <c r="N680" t="s">
        <v>122</v>
      </c>
      <c r="O680" t="s">
        <v>38</v>
      </c>
      <c r="P680" t="s">
        <v>38</v>
      </c>
      <c r="Q68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3.6014182523041475E-3</v>
      </c>
      <c r="R68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3.6014182523041475E-3</v>
      </c>
      <c r="U680" s="107" t="str">
        <f>IFERROR(_xlfn.XLOOKUP("*"&amp;TRIM(Fusion[[#This Row],[Confinement Type]])&amp;"*", Map_Conf[From], Map_Conf[To], "", 2), "")</f>
        <v>MCF</v>
      </c>
      <c r="V680" s="108" t="str" cm="1">
        <f t="array" ref="V6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1" spans="1:22" hidden="1">
      <c r="A681">
        <v>173</v>
      </c>
      <c r="B681" t="s">
        <v>213</v>
      </c>
      <c r="C681" t="s">
        <v>61</v>
      </c>
      <c r="D681" t="s">
        <v>62</v>
      </c>
      <c r="E681">
        <v>1332</v>
      </c>
      <c r="F681" t="s">
        <v>115</v>
      </c>
      <c r="G681" t="s">
        <v>52</v>
      </c>
      <c r="H681" t="s">
        <v>76</v>
      </c>
      <c r="I681">
        <v>3.2000000000000002E-3</v>
      </c>
      <c r="J681" t="s">
        <v>1111</v>
      </c>
      <c r="K681">
        <v>2005</v>
      </c>
      <c r="L681" t="s">
        <v>1110</v>
      </c>
      <c r="M681" t="s">
        <v>216</v>
      </c>
      <c r="N681" t="s">
        <v>122</v>
      </c>
      <c r="O681" t="s">
        <v>38</v>
      </c>
      <c r="P681" t="s">
        <v>38</v>
      </c>
      <c r="Q68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5.1220170699436763E-3</v>
      </c>
      <c r="R68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5.1220170699436763E-3</v>
      </c>
      <c r="U681" s="107" t="str">
        <f>IFERROR(_xlfn.XLOOKUP("*"&amp;TRIM(Fusion[[#This Row],[Confinement Type]])&amp;"*", Map_Conf[From], Map_Conf[To], "", 2), "")</f>
        <v>MCF</v>
      </c>
      <c r="V681" s="108" t="str" cm="1">
        <f t="array" ref="V6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2" spans="1:22" hidden="1">
      <c r="A682">
        <v>174</v>
      </c>
      <c r="B682" t="s">
        <v>214</v>
      </c>
      <c r="C682" t="s">
        <v>61</v>
      </c>
      <c r="D682" t="s">
        <v>62</v>
      </c>
      <c r="E682">
        <v>1449</v>
      </c>
      <c r="F682" t="s">
        <v>115</v>
      </c>
      <c r="G682" t="s">
        <v>52</v>
      </c>
      <c r="H682" t="s">
        <v>76</v>
      </c>
      <c r="I682">
        <v>1.7500000000000003E-3</v>
      </c>
      <c r="J682" t="s">
        <v>1111</v>
      </c>
      <c r="K682">
        <v>2005</v>
      </c>
      <c r="L682" t="s">
        <v>1110</v>
      </c>
      <c r="M682" t="s">
        <v>216</v>
      </c>
      <c r="N682" t="s">
        <v>122</v>
      </c>
      <c r="O682" t="s">
        <v>38</v>
      </c>
      <c r="P682" t="s">
        <v>38</v>
      </c>
      <c r="Q68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2.801103085125448E-3</v>
      </c>
      <c r="R68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2.801103085125448E-3</v>
      </c>
      <c r="U682" s="107" t="str">
        <f>IFERROR(_xlfn.XLOOKUP("*"&amp;TRIM(Fusion[[#This Row],[Confinement Type]])&amp;"*", Map_Conf[From], Map_Conf[To], "", 2), "")</f>
        <v>MCF</v>
      </c>
      <c r="V682" s="108" t="str" cm="1">
        <f t="array" ref="V6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3" spans="1:22" hidden="1">
      <c r="A683">
        <v>175</v>
      </c>
      <c r="B683" t="s">
        <v>215</v>
      </c>
      <c r="C683" t="s">
        <v>61</v>
      </c>
      <c r="D683" t="s">
        <v>62</v>
      </c>
      <c r="E683">
        <v>1527</v>
      </c>
      <c r="F683" t="s">
        <v>115</v>
      </c>
      <c r="G683" t="s">
        <v>52</v>
      </c>
      <c r="H683" t="s">
        <v>76</v>
      </c>
      <c r="I683">
        <v>1.25E-3</v>
      </c>
      <c r="J683" t="s">
        <v>1111</v>
      </c>
      <c r="K683">
        <v>2005</v>
      </c>
      <c r="L683" t="s">
        <v>1110</v>
      </c>
      <c r="M683" t="s">
        <v>216</v>
      </c>
      <c r="N683" t="s">
        <v>122</v>
      </c>
      <c r="O683" t="s">
        <v>38</v>
      </c>
      <c r="P683" t="s">
        <v>38</v>
      </c>
      <c r="Q68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2.0007879179467485E-3</v>
      </c>
      <c r="R68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2.0007879179467485E-3</v>
      </c>
      <c r="U683" s="107" t="str">
        <f>IFERROR(_xlfn.XLOOKUP("*"&amp;TRIM(Fusion[[#This Row],[Confinement Type]])&amp;"*", Map_Conf[From], Map_Conf[To], "", 2), "")</f>
        <v>MCF</v>
      </c>
      <c r="V683" s="108" t="str" cm="1">
        <f t="array" ref="V6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4" spans="1:22" hidden="1">
      <c r="A684">
        <v>176</v>
      </c>
      <c r="B684" t="s">
        <v>211</v>
      </c>
      <c r="C684" t="s">
        <v>61</v>
      </c>
      <c r="D684" t="s">
        <v>62</v>
      </c>
      <c r="E684">
        <v>1546</v>
      </c>
      <c r="F684" t="s">
        <v>217</v>
      </c>
      <c r="G684" t="s">
        <v>52</v>
      </c>
      <c r="H684" t="s">
        <v>76</v>
      </c>
      <c r="I684">
        <v>6400</v>
      </c>
      <c r="J684" t="s">
        <v>82</v>
      </c>
      <c r="K684">
        <v>2005</v>
      </c>
      <c r="L684" t="s">
        <v>1110</v>
      </c>
      <c r="M684" t="s">
        <v>218</v>
      </c>
      <c r="N684">
        <v>0.75</v>
      </c>
      <c r="O684" t="s">
        <v>212</v>
      </c>
      <c r="P684" t="s">
        <v>38</v>
      </c>
      <c r="Q68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10244.034139887352</v>
      </c>
      <c r="R68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10244.034139887352</v>
      </c>
      <c r="U684" s="107" t="str">
        <f>IFERROR(_xlfn.XLOOKUP("*"&amp;TRIM(Fusion[[#This Row],[Confinement Type]])&amp;"*", Map_Conf[From], Map_Conf[To], "", 2), "")</f>
        <v>MCF</v>
      </c>
      <c r="V684" s="108" t="str" cm="1">
        <f t="array" ref="V6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5" spans="1:22" hidden="1">
      <c r="A685">
        <v>177</v>
      </c>
      <c r="B685" t="s">
        <v>213</v>
      </c>
      <c r="C685" t="s">
        <v>61</v>
      </c>
      <c r="D685" t="s">
        <v>62</v>
      </c>
      <c r="E685">
        <v>1332</v>
      </c>
      <c r="F685" t="s">
        <v>217</v>
      </c>
      <c r="G685" t="s">
        <v>52</v>
      </c>
      <c r="H685" t="s">
        <v>76</v>
      </c>
      <c r="I685">
        <v>5500</v>
      </c>
      <c r="J685" t="s">
        <v>82</v>
      </c>
      <c r="K685">
        <v>2005</v>
      </c>
      <c r="L685" t="s">
        <v>1110</v>
      </c>
      <c r="M685" t="s">
        <v>219</v>
      </c>
      <c r="N685">
        <v>0.75</v>
      </c>
      <c r="O685" t="s">
        <v>212</v>
      </c>
      <c r="P685" t="s">
        <v>38</v>
      </c>
      <c r="Q68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8803.4668389656927</v>
      </c>
      <c r="R68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8803.4668389656927</v>
      </c>
      <c r="U685" s="107" t="str">
        <f>IFERROR(_xlfn.XLOOKUP("*"&amp;TRIM(Fusion[[#This Row],[Confinement Type]])&amp;"*", Map_Conf[From], Map_Conf[To], "", 2), "")</f>
        <v>MCF</v>
      </c>
      <c r="V685" s="108" t="str" cm="1">
        <f t="array" ref="V6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6" spans="1:22" hidden="1">
      <c r="A686">
        <v>178</v>
      </c>
      <c r="B686" t="s">
        <v>214</v>
      </c>
      <c r="C686" t="s">
        <v>61</v>
      </c>
      <c r="D686" t="s">
        <v>62</v>
      </c>
      <c r="E686">
        <v>1449</v>
      </c>
      <c r="F686" t="s">
        <v>217</v>
      </c>
      <c r="G686" t="s">
        <v>52</v>
      </c>
      <c r="H686" t="s">
        <v>76</v>
      </c>
      <c r="I686">
        <v>4400</v>
      </c>
      <c r="J686" t="s">
        <v>82</v>
      </c>
      <c r="K686">
        <v>2005</v>
      </c>
      <c r="L686" t="s">
        <v>1110</v>
      </c>
      <c r="M686" t="s">
        <v>220</v>
      </c>
      <c r="N686">
        <v>0.75</v>
      </c>
      <c r="O686" t="s">
        <v>212</v>
      </c>
      <c r="P686" t="s">
        <v>38</v>
      </c>
      <c r="Q68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7042.7734711725543</v>
      </c>
      <c r="R68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7042.7734711725543</v>
      </c>
      <c r="U686" s="107" t="str">
        <f>IFERROR(_xlfn.XLOOKUP("*"&amp;TRIM(Fusion[[#This Row],[Confinement Type]])&amp;"*", Map_Conf[From], Map_Conf[To], "", 2), "")</f>
        <v>MCF</v>
      </c>
      <c r="V686" s="108" t="str" cm="1">
        <f t="array" ref="V6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7" spans="1:22" hidden="1">
      <c r="A687">
        <v>179</v>
      </c>
      <c r="B687" t="s">
        <v>215</v>
      </c>
      <c r="C687" t="s">
        <v>61</v>
      </c>
      <c r="D687" t="s">
        <v>62</v>
      </c>
      <c r="E687">
        <v>1527</v>
      </c>
      <c r="F687" t="s">
        <v>217</v>
      </c>
      <c r="G687" t="s">
        <v>52</v>
      </c>
      <c r="H687" t="s">
        <v>76</v>
      </c>
      <c r="I687">
        <v>3100</v>
      </c>
      <c r="J687" t="s">
        <v>82</v>
      </c>
      <c r="K687">
        <v>2005</v>
      </c>
      <c r="L687" t="s">
        <v>1110</v>
      </c>
      <c r="M687" t="s">
        <v>221</v>
      </c>
      <c r="N687">
        <v>0.75</v>
      </c>
      <c r="O687" t="s">
        <v>212</v>
      </c>
      <c r="P687" t="s">
        <v>38</v>
      </c>
      <c r="Q687">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4961.9540365079356</v>
      </c>
      <c r="R687">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4961.9540365079356</v>
      </c>
      <c r="U687" s="107" t="str">
        <f>IFERROR(_xlfn.XLOOKUP("*"&amp;TRIM(Fusion[[#This Row],[Confinement Type]])&amp;"*", Map_Conf[From], Map_Conf[To], "", 2), "")</f>
        <v>MCF</v>
      </c>
      <c r="V687" s="108" t="str" cm="1">
        <f t="array" ref="V6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8" spans="1:22">
      <c r="A688">
        <v>477</v>
      </c>
      <c r="B688" t="s">
        <v>211</v>
      </c>
      <c r="C688" t="s">
        <v>61</v>
      </c>
      <c r="D688" t="s">
        <v>62</v>
      </c>
      <c r="E688">
        <v>500</v>
      </c>
      <c r="F688" t="s">
        <v>31</v>
      </c>
      <c r="G688" t="s">
        <v>32</v>
      </c>
      <c r="H688" t="s">
        <v>76</v>
      </c>
      <c r="I688">
        <v>30000</v>
      </c>
      <c r="J688" t="s">
        <v>189</v>
      </c>
      <c r="K688">
        <v>2020</v>
      </c>
      <c r="L688" t="s">
        <v>731</v>
      </c>
      <c r="N688" t="s">
        <v>38</v>
      </c>
      <c r="O688" t="s">
        <v>38</v>
      </c>
      <c r="P688" t="s">
        <v>38</v>
      </c>
      <c r="Q688">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29106.993133985809</v>
      </c>
      <c r="R688">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29106.993133985809</v>
      </c>
      <c r="U688" s="107" t="str">
        <f>IFERROR(_xlfn.XLOOKUP("*"&amp;TRIM(Fusion[[#This Row],[Confinement Type]])&amp;"*", Map_Conf[From], Map_Conf[To], "", 2), "")</f>
        <v>MCF</v>
      </c>
      <c r="V688" s="108" t="str" cm="1">
        <f t="array" ref="V6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9" spans="1:22">
      <c r="B689" t="s">
        <v>797</v>
      </c>
      <c r="C689" t="s">
        <v>30</v>
      </c>
      <c r="D689" t="s">
        <v>798</v>
      </c>
      <c r="E689">
        <v>999</v>
      </c>
      <c r="F689" t="s">
        <v>31</v>
      </c>
      <c r="G689" t="s">
        <v>52</v>
      </c>
      <c r="H689" t="s">
        <v>33</v>
      </c>
      <c r="I689">
        <v>2716020000</v>
      </c>
      <c r="J689" t="s">
        <v>34</v>
      </c>
      <c r="K689">
        <v>1991</v>
      </c>
      <c r="L689" t="s">
        <v>799</v>
      </c>
      <c r="M689" t="s">
        <v>805</v>
      </c>
      <c r="N689">
        <v>0.80800000000000005</v>
      </c>
      <c r="O689" t="s">
        <v>37</v>
      </c>
      <c r="P689">
        <v>397900000</v>
      </c>
      <c r="Q689">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5012.440003439563</v>
      </c>
      <c r="R689">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5746.7681296568235</v>
      </c>
      <c r="U689" s="107" t="str">
        <f>IFERROR(_xlfn.XLOOKUP("*"&amp;TRIM(Fusion[[#This Row],[Confinement Type]])&amp;"*", Map_Conf[From], Map_Conf[To], "", 2), "")</f>
        <v>ICF</v>
      </c>
      <c r="V689" s="108" t="str" cm="1">
        <f t="array" ref="V6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90" spans="1:22">
      <c r="B690" t="s">
        <v>795</v>
      </c>
      <c r="C690" t="s">
        <v>30</v>
      </c>
      <c r="D690" t="s">
        <v>796</v>
      </c>
      <c r="E690">
        <v>972</v>
      </c>
      <c r="F690" t="s">
        <v>31</v>
      </c>
      <c r="G690" t="s">
        <v>52</v>
      </c>
      <c r="H690" t="s">
        <v>33</v>
      </c>
      <c r="I690">
        <v>3929900000</v>
      </c>
      <c r="J690" t="s">
        <v>34</v>
      </c>
      <c r="K690">
        <v>1991</v>
      </c>
      <c r="L690" t="s">
        <v>799</v>
      </c>
      <c r="M690" t="s">
        <v>804</v>
      </c>
      <c r="N690">
        <v>0.79400000000000004</v>
      </c>
      <c r="O690" t="s">
        <v>37</v>
      </c>
      <c r="P690">
        <v>445270000</v>
      </c>
      <c r="Q69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7454.1297240502054</v>
      </c>
      <c r="R69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8298.7060090009236</v>
      </c>
      <c r="U690" s="107" t="str">
        <f>IFERROR(_xlfn.XLOOKUP("*"&amp;TRIM(Fusion[[#This Row],[Confinement Type]])&amp;"*", Map_Conf[From], Map_Conf[To], "", 2), "")</f>
        <v>ICF</v>
      </c>
      <c r="V690" s="108" t="str" cm="1">
        <f t="array" ref="V6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91" spans="1:22">
      <c r="A691">
        <v>503</v>
      </c>
      <c r="B691" t="s">
        <v>469</v>
      </c>
      <c r="C691" t="s">
        <v>470</v>
      </c>
      <c r="D691" t="s">
        <v>471</v>
      </c>
      <c r="E691">
        <v>150</v>
      </c>
      <c r="F691" t="s">
        <v>31</v>
      </c>
      <c r="G691" t="s">
        <v>52</v>
      </c>
      <c r="H691" t="s">
        <v>33</v>
      </c>
      <c r="I691">
        <v>603000000</v>
      </c>
      <c r="J691" t="s">
        <v>34</v>
      </c>
      <c r="K691">
        <v>2016</v>
      </c>
      <c r="L691" t="s">
        <v>472</v>
      </c>
      <c r="M691" t="s">
        <v>747</v>
      </c>
      <c r="N691" t="s">
        <v>38</v>
      </c>
      <c r="O691" t="s">
        <v>474</v>
      </c>
      <c r="P691">
        <v>98000000</v>
      </c>
      <c r="Q69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4205.9195773456604</v>
      </c>
      <c r="R69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4889.4686960519202</v>
      </c>
      <c r="U691" s="107" t="str">
        <f>IFERROR(_xlfn.XLOOKUP("*"&amp;TRIM(Fusion[[#This Row],[Confinement Type]])&amp;"*", Map_Conf[From], Map_Conf[To], "", 2), "")</f>
        <v>MIF</v>
      </c>
      <c r="V691" s="108" t="str" cm="1">
        <f t="array" ref="V6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692" spans="1:22">
      <c r="A692">
        <v>506</v>
      </c>
      <c r="B692" t="s">
        <v>481</v>
      </c>
      <c r="C692" t="s">
        <v>470</v>
      </c>
      <c r="D692" t="s">
        <v>471</v>
      </c>
      <c r="E692">
        <v>150</v>
      </c>
      <c r="F692" t="s">
        <v>31</v>
      </c>
      <c r="G692" t="s">
        <v>52</v>
      </c>
      <c r="H692" t="s">
        <v>33</v>
      </c>
      <c r="I692">
        <v>1313000000</v>
      </c>
      <c r="J692" t="s">
        <v>34</v>
      </c>
      <c r="K692">
        <v>2016</v>
      </c>
      <c r="L692" t="s">
        <v>472</v>
      </c>
      <c r="M692" t="s">
        <v>482</v>
      </c>
      <c r="N692" t="s">
        <v>38</v>
      </c>
      <c r="O692" t="s">
        <v>474</v>
      </c>
      <c r="P692">
        <v>154500000</v>
      </c>
      <c r="Q69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9158.1631924624417</v>
      </c>
      <c r="R69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10235.799303075883</v>
      </c>
      <c r="U692" s="107" t="str">
        <f>IFERROR(_xlfn.XLOOKUP("*"&amp;TRIM(Fusion[[#This Row],[Confinement Type]])&amp;"*", Map_Conf[From], Map_Conf[To], "", 2), "")</f>
        <v>MIF</v>
      </c>
      <c r="V692" s="108" t="str" cm="1">
        <f t="array" ref="V6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693" spans="1:22">
      <c r="A693">
        <v>513</v>
      </c>
      <c r="B693" t="s">
        <v>483</v>
      </c>
      <c r="C693" t="s">
        <v>470</v>
      </c>
      <c r="D693" t="s">
        <v>471</v>
      </c>
      <c r="E693">
        <v>150</v>
      </c>
      <c r="F693" t="s">
        <v>31</v>
      </c>
      <c r="G693" t="s">
        <v>52</v>
      </c>
      <c r="H693" t="s">
        <v>33</v>
      </c>
      <c r="I693">
        <v>1714000000</v>
      </c>
      <c r="J693" t="s">
        <v>34</v>
      </c>
      <c r="K693">
        <v>2016</v>
      </c>
      <c r="L693" t="s">
        <v>472</v>
      </c>
      <c r="M693" t="s">
        <v>473</v>
      </c>
      <c r="N693" t="s">
        <v>38</v>
      </c>
      <c r="O693" t="s">
        <v>474</v>
      </c>
      <c r="P693">
        <v>211000000</v>
      </c>
      <c r="Q69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11955.13458635234</v>
      </c>
      <c r="R69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13426.85768887296</v>
      </c>
      <c r="U693" s="107" t="str">
        <f>IFERROR(_xlfn.XLOOKUP("*"&amp;TRIM(Fusion[[#This Row],[Confinement Type]])&amp;"*", Map_Conf[From], Map_Conf[To], "", 2), "")</f>
        <v>MIF</v>
      </c>
      <c r="V693" s="108" t="str" cm="1">
        <f t="array" ref="V6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694" spans="1:22" hidden="1">
      <c r="A694">
        <v>488</v>
      </c>
      <c r="B694" t="s">
        <v>114</v>
      </c>
      <c r="C694" t="s">
        <v>61</v>
      </c>
      <c r="D694" t="s">
        <v>62</v>
      </c>
      <c r="E694">
        <v>1000</v>
      </c>
      <c r="F694" t="s">
        <v>115</v>
      </c>
      <c r="G694" t="s">
        <v>52</v>
      </c>
      <c r="H694" t="s">
        <v>33</v>
      </c>
      <c r="I694">
        <v>42000000</v>
      </c>
      <c r="J694" t="s">
        <v>34</v>
      </c>
      <c r="K694">
        <v>1990</v>
      </c>
      <c r="L694" t="s">
        <v>55</v>
      </c>
      <c r="M694" t="s">
        <v>459</v>
      </c>
      <c r="N694" t="s">
        <v>122</v>
      </c>
      <c r="O694" t="s">
        <v>38</v>
      </c>
      <c r="P694" t="s">
        <v>38</v>
      </c>
      <c r="Q69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80.692379495026785</v>
      </c>
      <c r="R69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80.692379495026785</v>
      </c>
      <c r="V694" s="108" t="str" cm="1">
        <f t="array" ref="V6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95" spans="1:22" hidden="1">
      <c r="A695">
        <v>489</v>
      </c>
      <c r="B695" t="s">
        <v>460</v>
      </c>
      <c r="C695" t="s">
        <v>61</v>
      </c>
      <c r="D695" t="s">
        <v>62</v>
      </c>
      <c r="E695">
        <v>1200</v>
      </c>
      <c r="F695" t="s">
        <v>115</v>
      </c>
      <c r="G695" t="s">
        <v>52</v>
      </c>
      <c r="H695" t="s">
        <v>33</v>
      </c>
      <c r="I695">
        <v>9000000</v>
      </c>
      <c r="J695" t="s">
        <v>34</v>
      </c>
      <c r="K695">
        <v>1990</v>
      </c>
      <c r="L695" t="s">
        <v>55</v>
      </c>
      <c r="M695" t="s">
        <v>461</v>
      </c>
      <c r="N695" t="s">
        <v>122</v>
      </c>
      <c r="O695" t="s">
        <v>38</v>
      </c>
      <c r="P695" t="s">
        <v>38</v>
      </c>
      <c r="Q69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14.409353481254783</v>
      </c>
      <c r="R69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14.409353481254783</v>
      </c>
      <c r="U695" s="107" t="str">
        <f>IFERROR(_xlfn.XLOOKUP("*"&amp;TRIM(Fusion[[#This Row],[Confinement Type]])&amp;"*", Map_Conf[From], Map_Conf[To], "", 2), "")</f>
        <v>MCF</v>
      </c>
      <c r="V695" s="108" t="str" cm="1">
        <f t="array" ref="V6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96" spans="1:22" hidden="1">
      <c r="A696">
        <v>490</v>
      </c>
      <c r="B696" t="s">
        <v>462</v>
      </c>
      <c r="C696" t="s">
        <v>61</v>
      </c>
      <c r="D696" t="s">
        <v>62</v>
      </c>
      <c r="E696">
        <v>1200</v>
      </c>
      <c r="F696" t="s">
        <v>115</v>
      </c>
      <c r="G696" t="s">
        <v>52</v>
      </c>
      <c r="H696" t="s">
        <v>33</v>
      </c>
      <c r="I696">
        <v>2000000</v>
      </c>
      <c r="J696" t="s">
        <v>34</v>
      </c>
      <c r="K696">
        <v>1990</v>
      </c>
      <c r="L696" t="s">
        <v>55</v>
      </c>
      <c r="M696" t="s">
        <v>461</v>
      </c>
      <c r="N696" t="s">
        <v>122</v>
      </c>
      <c r="O696" t="s">
        <v>38</v>
      </c>
      <c r="P696" t="s">
        <v>38</v>
      </c>
      <c r="Q69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3.2020785513899521</v>
      </c>
      <c r="R69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3.2020785513899521</v>
      </c>
      <c r="V696" s="108" t="str" cm="1">
        <f t="array" ref="V6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97" spans="1:22" hidden="1">
      <c r="M697" t="s">
        <v>463</v>
      </c>
      <c r="N697" t="s">
        <v>122</v>
      </c>
      <c r="O697" t="s">
        <v>38</v>
      </c>
      <c r="P697" t="s">
        <v>38</v>
      </c>
      <c r="Q697"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97"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V697" s="108" t="e" cm="1">
        <f t="array" ref="V6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98" spans="1:22" hidden="1">
      <c r="M698" t="s">
        <v>464</v>
      </c>
      <c r="N698" t="s">
        <v>122</v>
      </c>
      <c r="O698" t="s">
        <v>38</v>
      </c>
      <c r="P698" t="s">
        <v>38</v>
      </c>
      <c r="Q698"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98"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V698" s="108" t="e" cm="1">
        <f t="array" ref="V6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99" spans="1:22" hidden="1">
      <c r="M699" t="s">
        <v>464</v>
      </c>
      <c r="N699" t="s">
        <v>122</v>
      </c>
      <c r="O699" t="s">
        <v>38</v>
      </c>
      <c r="P699" t="s">
        <v>38</v>
      </c>
      <c r="Q699" t="str">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
      </c>
      <c r="R699" t="str">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
      </c>
      <c r="V699" s="108" t="e" cm="1">
        <f t="array" ref="V6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700" spans="1:22" hidden="1">
      <c r="A700">
        <v>494</v>
      </c>
      <c r="B700" t="s">
        <v>114</v>
      </c>
      <c r="C700" t="s">
        <v>61</v>
      </c>
      <c r="D700" t="s">
        <v>62</v>
      </c>
      <c r="E700">
        <v>1000</v>
      </c>
      <c r="F700" t="s">
        <v>116</v>
      </c>
      <c r="G700" t="s">
        <v>52</v>
      </c>
      <c r="H700" t="s">
        <v>33</v>
      </c>
      <c r="I700">
        <v>53000000</v>
      </c>
      <c r="J700" t="s">
        <v>34</v>
      </c>
      <c r="K700">
        <v>1990</v>
      </c>
      <c r="L700" t="s">
        <v>55</v>
      </c>
      <c r="M700" t="s">
        <v>1113</v>
      </c>
      <c r="N700" t="s">
        <v>122</v>
      </c>
      <c r="O700" t="s">
        <v>38</v>
      </c>
      <c r="P700" t="s">
        <v>38</v>
      </c>
      <c r="Q700">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101.82609793420048</v>
      </c>
      <c r="R700">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101.82609793420048</v>
      </c>
      <c r="V700" s="108" t="str" cm="1">
        <f t="array" ref="V7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01" spans="1:22" hidden="1">
      <c r="A701">
        <v>495</v>
      </c>
      <c r="B701" t="s">
        <v>460</v>
      </c>
      <c r="C701" t="s">
        <v>61</v>
      </c>
      <c r="D701" t="s">
        <v>62</v>
      </c>
      <c r="E701">
        <v>1200</v>
      </c>
      <c r="F701" t="s">
        <v>116</v>
      </c>
      <c r="G701" t="s">
        <v>52</v>
      </c>
      <c r="H701" t="s">
        <v>33</v>
      </c>
      <c r="I701">
        <v>11000000</v>
      </c>
      <c r="J701" t="s">
        <v>34</v>
      </c>
      <c r="K701">
        <v>1990</v>
      </c>
      <c r="L701" t="s">
        <v>55</v>
      </c>
      <c r="M701" t="s">
        <v>1113</v>
      </c>
      <c r="N701" t="s">
        <v>122</v>
      </c>
      <c r="O701" t="s">
        <v>38</v>
      </c>
      <c r="P701" t="s">
        <v>38</v>
      </c>
      <c r="Q701">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17.611432032644736</v>
      </c>
      <c r="R701">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17.611432032644736</v>
      </c>
      <c r="V701" s="108" t="str" cm="1">
        <f t="array" ref="V7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02" spans="1:22" hidden="1">
      <c r="A702">
        <v>542</v>
      </c>
      <c r="B702" t="s">
        <v>502</v>
      </c>
      <c r="C702" t="s">
        <v>61</v>
      </c>
      <c r="D702" t="s">
        <v>278</v>
      </c>
      <c r="E702">
        <v>2000</v>
      </c>
      <c r="F702" t="s">
        <v>217</v>
      </c>
      <c r="G702" t="s">
        <v>57</v>
      </c>
      <c r="H702" t="s">
        <v>33</v>
      </c>
      <c r="I702">
        <v>8010000000</v>
      </c>
      <c r="J702" t="s">
        <v>34</v>
      </c>
      <c r="K702">
        <v>2003</v>
      </c>
      <c r="L702" t="s">
        <v>498</v>
      </c>
      <c r="N702">
        <v>0.75</v>
      </c>
      <c r="O702" t="s">
        <v>430</v>
      </c>
      <c r="P702" t="s">
        <v>38</v>
      </c>
      <c r="Q702">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5465.6713858695657</v>
      </c>
      <c r="R702">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5465.6713858695657</v>
      </c>
      <c r="V702" s="108" t="str" cm="1">
        <f t="array" ref="V7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703" spans="1:22" hidden="1">
      <c r="A703">
        <v>579</v>
      </c>
      <c r="B703" t="s">
        <v>513</v>
      </c>
      <c r="C703" t="s">
        <v>61</v>
      </c>
      <c r="D703" t="s">
        <v>62</v>
      </c>
      <c r="E703">
        <v>1000</v>
      </c>
      <c r="F703" t="s">
        <v>108</v>
      </c>
      <c r="G703" t="s">
        <v>57</v>
      </c>
      <c r="H703" t="s">
        <v>76</v>
      </c>
      <c r="I703">
        <v>98</v>
      </c>
      <c r="J703" t="s">
        <v>77</v>
      </c>
      <c r="K703">
        <v>2011</v>
      </c>
      <c r="L703" t="s">
        <v>507</v>
      </c>
      <c r="M703" t="s">
        <v>504</v>
      </c>
      <c r="N703">
        <v>0.75</v>
      </c>
      <c r="O703" t="s">
        <v>38</v>
      </c>
      <c r="P703" t="s">
        <v>38</v>
      </c>
      <c r="Q703">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109.40070863656371</v>
      </c>
      <c r="R703">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109.40070863656371</v>
      </c>
      <c r="V703" s="108" t="str" cm="1">
        <f t="array" ref="V7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04" spans="1:22" hidden="1">
      <c r="A704">
        <v>580</v>
      </c>
      <c r="B704" t="s">
        <v>513</v>
      </c>
      <c r="C704" t="s">
        <v>61</v>
      </c>
      <c r="D704" t="s">
        <v>62</v>
      </c>
      <c r="E704">
        <v>1000</v>
      </c>
      <c r="F704" t="s">
        <v>217</v>
      </c>
      <c r="G704" t="s">
        <v>57</v>
      </c>
      <c r="H704" t="s">
        <v>33</v>
      </c>
      <c r="I704">
        <v>5112000000</v>
      </c>
      <c r="J704" t="s">
        <v>34</v>
      </c>
      <c r="K704">
        <v>2011</v>
      </c>
      <c r="L704" t="s">
        <v>507</v>
      </c>
      <c r="M704" t="s">
        <v>504</v>
      </c>
      <c r="N704">
        <v>0.75</v>
      </c>
      <c r="O704" t="s">
        <v>38</v>
      </c>
      <c r="P704" t="s">
        <v>38</v>
      </c>
      <c r="Q704">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5706.6981892868735</v>
      </c>
      <c r="R704">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5706.6981892868735</v>
      </c>
      <c r="V704" s="108" t="str" cm="1">
        <f t="array" ref="V7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05" spans="1:22" hidden="1">
      <c r="A705">
        <v>582</v>
      </c>
      <c r="B705" t="s">
        <v>514</v>
      </c>
      <c r="C705" t="s">
        <v>61</v>
      </c>
      <c r="D705" t="s">
        <v>107</v>
      </c>
      <c r="E705">
        <v>1000</v>
      </c>
      <c r="F705" t="s">
        <v>63</v>
      </c>
      <c r="G705" t="s">
        <v>57</v>
      </c>
      <c r="H705" t="s">
        <v>76</v>
      </c>
      <c r="I705">
        <v>0.04</v>
      </c>
      <c r="J705" t="s">
        <v>77</v>
      </c>
      <c r="K705">
        <v>2008</v>
      </c>
      <c r="L705" t="s">
        <v>507</v>
      </c>
      <c r="M705" t="s">
        <v>504</v>
      </c>
      <c r="N705" t="s">
        <v>38</v>
      </c>
      <c r="O705" t="s">
        <v>38</v>
      </c>
      <c r="P705" t="s">
        <v>38</v>
      </c>
      <c r="Q705">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4.6651834855993654E-2</v>
      </c>
      <c r="R705">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4.6651834855993654E-2</v>
      </c>
      <c r="V705" s="108" t="str" cm="1">
        <f t="array" ref="V7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06" spans="1:22" hidden="1">
      <c r="A706">
        <v>583</v>
      </c>
      <c r="B706" t="s">
        <v>514</v>
      </c>
      <c r="C706" t="s">
        <v>61</v>
      </c>
      <c r="D706" t="s">
        <v>107</v>
      </c>
      <c r="E706">
        <v>1000</v>
      </c>
      <c r="F706" t="s">
        <v>493</v>
      </c>
      <c r="G706" t="s">
        <v>57</v>
      </c>
      <c r="H706" t="s">
        <v>76</v>
      </c>
      <c r="I706">
        <v>0.6</v>
      </c>
      <c r="J706" t="s">
        <v>77</v>
      </c>
      <c r="K706">
        <v>2009</v>
      </c>
      <c r="L706" t="s">
        <v>507</v>
      </c>
      <c r="M706" t="s">
        <v>504</v>
      </c>
      <c r="N706" t="s">
        <v>38</v>
      </c>
      <c r="O706" t="s">
        <v>38</v>
      </c>
      <c r="P706" t="s">
        <v>38</v>
      </c>
      <c r="Q706">
        <f>IFERROR(_xlfn.LET(
  _xlpm.u,Fusion[[#This Row],[Unit]],
  _xlpm.v,Fusion[[#This Row],[Value]],
  _xlpm.cap,IFERROR(Fusion[[#This Row],[Capacity '[MW']]],""),
  _xlpm.val_kw, IF(ISNUMBER(SEARCH("/kW",_xlpm.u)), _xlpm.v,
           IF(ISNUMBER(SEARCH("/MW",_xlpm.u)), _xlpm.v/1000,
           IF(AND(ISNUMBER(_xlpm.cap),_xlpm.cap&gt;0), _xlpm.v/(_xlpm.cap*1000), _xlpm.v))),
  _xlpm.fac, IF(ISNUMBER(SEARCH("EUR",_xlpm.u)),
            VLOOKUP(Fusion[[#This Row],[Year]],Inflation!$A$2:$G$1010,7,FALSE),
            VLOOKUP(Fusion[[#This Row],[Year]],Inflation!$A$2:$G$1010,6,FALSE)),
  _xlpm.val_kw*_xlpm.fac
),"")</f>
        <v>0.70227606426863431</v>
      </c>
      <c r="R706">
        <f>IFERROR(_xlfn.LET(
  _xlpm.u,Fusion[[#This Row],[Unit]],
  _xlpm.v,Fusion[[#This Row],[Value]],
  _xlpm.cap,IFERROR(Fusion[[#This Row],[Capacity '[MW']]],""),
  _xlpm.y,Fusion[[#This Row],[Year]],
  _xlpm.cont,IFERROR(VALUE(Fusion[[#This Row],[Contingency]]),0),
  _xlpm.val_kw,IF(ISNUMBER(SEARCH("/kW",_xlpm.u)), _xlpm.v,
         IF(ISNUMBER(SEARCH("/MW",_xlpm.u)), _xlpm.v/1000,
         IF(AND(ISNUMBER(_xlpm.cap),_xlpm.cap&gt;0),  _xlpm.v/(_xlpm.cap*1000), _xlpm.v))),
  _xlpm.cont_kW,IF(AND(ISNUMBER(_xlpm.cont),ISNUMBER(_xlpm.cap),_xlpm.cap&gt;0), _xlpm.cont/(_xlpm.cap*1000), 0),
  _xlpm.fac,IF(ISNUMBER(SEARCH("EUR",_xlpm.u)),
          VLOOKUP(_xlpm.y,Inflation!$A$2:$G$1010,7,FALSE),
          VLOOKUP(_xlpm.y,Inflation!$A$2:$G$1010,6,FALSE)),
  (_xlpm.val_kw + _xlpm.cont_kW) * _xlpm.fac
),"")</f>
        <v>0.70227606426863431</v>
      </c>
      <c r="V706" s="108" t="str" cm="1">
        <f t="array" ref="V7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sheetData>
  <autoFilter ref="T1:V468" xr:uid="{E3D377B8-ACA9-43FB-B502-1FE0CDC7BAFB}"/>
  <phoneticPr fontId="10"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C230-326E-4C78-AC46-D5DD03A4D4D5}">
  <sheetPr>
    <tabColor theme="4" tint="0.39997558519241921"/>
  </sheetPr>
  <dimension ref="A1:W706"/>
  <sheetViews>
    <sheetView topLeftCell="H1" zoomScale="80" zoomScaleNormal="80" workbookViewId="0">
      <selection activeCell="R702" activeCellId="8" sqref="Q3:Q271 R300:R379 R394 R400 R443:R485 R498:R553 R560:R689 R701 R702"/>
    </sheetView>
  </sheetViews>
  <sheetFormatPr baseColWidth="10" defaultRowHeight="12.9"/>
  <cols>
    <col min="1" max="1" width="8.87890625" bestFit="1" customWidth="1"/>
    <col min="2" max="2" width="52.87890625" bestFit="1" customWidth="1"/>
    <col min="3" max="3" width="21.29296875" bestFit="1" customWidth="1"/>
    <col min="4" max="4" width="81" bestFit="1" customWidth="1"/>
    <col min="5" max="5" width="18.29296875" bestFit="1" customWidth="1"/>
    <col min="6" max="6" width="20.703125" bestFit="1" customWidth="1"/>
    <col min="7" max="7" width="20" bestFit="1" customWidth="1"/>
    <col min="8" max="8" width="21" bestFit="1" customWidth="1"/>
    <col min="9" max="9" width="12.703125" bestFit="1" customWidth="1"/>
    <col min="10" max="10" width="9.87890625" bestFit="1" customWidth="1"/>
    <col min="11" max="11" width="9.703125" bestFit="1" customWidth="1"/>
    <col min="12" max="12" width="79.703125" bestFit="1" customWidth="1"/>
    <col min="13" max="13" width="15.1171875" bestFit="1" customWidth="1"/>
    <col min="14" max="14" width="16" bestFit="1" customWidth="1"/>
    <col min="15" max="15" width="81" customWidth="1"/>
    <col min="16" max="16" width="81" bestFit="1" customWidth="1"/>
    <col min="17" max="17" width="25.703125" bestFit="1" customWidth="1"/>
    <col min="18" max="18" width="23.87890625" bestFit="1" customWidth="1"/>
    <col min="19" max="19" width="20.5859375" customWidth="1"/>
    <col min="20" max="20" width="14.29296875" customWidth="1"/>
    <col min="21" max="21" width="21.41015625" customWidth="1"/>
  </cols>
  <sheetData>
    <row r="1" spans="1:23">
      <c r="A1" t="s">
        <v>2</v>
      </c>
      <c r="B1" t="s">
        <v>3</v>
      </c>
      <c r="C1" t="s">
        <v>4</v>
      </c>
      <c r="D1" t="s">
        <v>5</v>
      </c>
      <c r="E1" t="s">
        <v>6</v>
      </c>
      <c r="F1" t="s">
        <v>7</v>
      </c>
      <c r="G1" t="s">
        <v>8</v>
      </c>
      <c r="H1" t="s">
        <v>9</v>
      </c>
      <c r="I1" t="s">
        <v>10</v>
      </c>
      <c r="J1" t="s">
        <v>11</v>
      </c>
      <c r="K1" t="s">
        <v>12</v>
      </c>
      <c r="L1" t="s">
        <v>13</v>
      </c>
      <c r="M1" t="s">
        <v>1141</v>
      </c>
      <c r="N1" t="s">
        <v>1140</v>
      </c>
      <c r="O1" t="s">
        <v>14</v>
      </c>
      <c r="P1" t="s">
        <v>721</v>
      </c>
      <c r="Q1" t="s">
        <v>843</v>
      </c>
      <c r="R1" t="s">
        <v>722</v>
      </c>
      <c r="U1" s="81" t="s">
        <v>555</v>
      </c>
      <c r="V1" s="109" t="s">
        <v>524</v>
      </c>
      <c r="W1" s="110" t="s">
        <v>556</v>
      </c>
    </row>
    <row r="2" spans="1:23" hidden="1">
      <c r="A2">
        <v>29</v>
      </c>
      <c r="B2" t="s">
        <v>95</v>
      </c>
      <c r="C2" t="s">
        <v>81</v>
      </c>
      <c r="D2" t="s">
        <v>81</v>
      </c>
      <c r="E2">
        <v>1000</v>
      </c>
      <c r="F2" t="s">
        <v>902</v>
      </c>
      <c r="G2" t="s">
        <v>57</v>
      </c>
      <c r="H2" t="s">
        <v>76</v>
      </c>
      <c r="J2" t="s">
        <v>82</v>
      </c>
      <c r="K2">
        <v>2019</v>
      </c>
      <c r="L2" t="s">
        <v>96</v>
      </c>
      <c r="O2" t="s">
        <v>97</v>
      </c>
      <c r="Q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2" s="107" t="str">
        <f>IFERROR(_xlfn.XLOOKUP("*"&amp;TRIM(Fusion[[#This Row],[Confinement Type]])&amp;"*", Map_Conf[From], Map_Conf[To], "", 2), "")</f>
        <v/>
      </c>
      <c r="W2" s="108" t="e" cm="1">
        <f t="array" ref="W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3" spans="1:23" s="4" customFormat="1">
      <c r="A3"/>
      <c r="B3" t="s">
        <v>839</v>
      </c>
      <c r="C3" t="s">
        <v>30</v>
      </c>
      <c r="D3" t="s">
        <v>796</v>
      </c>
      <c r="E3">
        <v>815</v>
      </c>
      <c r="F3" t="s">
        <v>670</v>
      </c>
      <c r="G3" t="s">
        <v>52</v>
      </c>
      <c r="H3" t="s">
        <v>76</v>
      </c>
      <c r="I3">
        <v>0.1</v>
      </c>
      <c r="J3" t="s">
        <v>77</v>
      </c>
      <c r="K3">
        <v>1985</v>
      </c>
      <c r="L3" t="s">
        <v>842</v>
      </c>
      <c r="M3"/>
      <c r="N3"/>
      <c r="O3"/>
      <c r="P3"/>
      <c r="Q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0.23337081784386618</v>
      </c>
      <c r="R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 s="107" t="str">
        <f>IFERROR(_xlfn.XLOOKUP("*"&amp;TRIM(Fusion[[#This Row],[Confinement Type]])&amp;"*", Map_Conf[From], Map_Conf[To], "", 2), "")</f>
        <v/>
      </c>
      <c r="W3" s="108" t="e" cm="1">
        <f t="array" ref="W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4" spans="1:23" s="4" customFormat="1">
      <c r="A4"/>
      <c r="B4" t="s">
        <v>125</v>
      </c>
      <c r="C4" t="s">
        <v>30</v>
      </c>
      <c r="D4" t="s">
        <v>796</v>
      </c>
      <c r="E4">
        <v>815</v>
      </c>
      <c r="F4" t="s">
        <v>670</v>
      </c>
      <c r="G4" t="s">
        <v>52</v>
      </c>
      <c r="H4" t="s">
        <v>76</v>
      </c>
      <c r="I4">
        <v>0.1</v>
      </c>
      <c r="J4" t="s">
        <v>77</v>
      </c>
      <c r="K4">
        <v>1985</v>
      </c>
      <c r="L4" t="s">
        <v>842</v>
      </c>
      <c r="M4"/>
      <c r="N4"/>
      <c r="O4"/>
      <c r="P4" t="s">
        <v>121</v>
      </c>
      <c r="Q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0.23337081784386618</v>
      </c>
      <c r="R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 s="107" t="str">
        <f>IFERROR(_xlfn.XLOOKUP("*"&amp;TRIM(Fusion[[#This Row],[Confinement Type]])&amp;"*", Map_Conf[From], Map_Conf[To], "", 2), "")</f>
        <v/>
      </c>
      <c r="W4" s="255" t="e" cm="1">
        <f t="array" ref="W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5" spans="1:23" s="4" customFormat="1">
      <c r="A5">
        <v>471</v>
      </c>
      <c r="B5" t="s">
        <v>445</v>
      </c>
      <c r="C5" t="s">
        <v>61</v>
      </c>
      <c r="D5" t="s">
        <v>62</v>
      </c>
      <c r="E5"/>
      <c r="F5" t="s">
        <v>670</v>
      </c>
      <c r="G5" t="s">
        <v>57</v>
      </c>
      <c r="H5" t="s">
        <v>76</v>
      </c>
      <c r="I5">
        <v>0.1</v>
      </c>
      <c r="J5" t="s">
        <v>671</v>
      </c>
      <c r="K5">
        <v>2000</v>
      </c>
      <c r="L5" t="s">
        <v>446</v>
      </c>
      <c r="M5"/>
      <c r="N5"/>
      <c r="O5" t="s">
        <v>672</v>
      </c>
      <c r="P5"/>
      <c r="Q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0.52495816967262177</v>
      </c>
      <c r="R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 s="107" t="str">
        <f>IFERROR(_xlfn.XLOOKUP("*"&amp;TRIM(Fusion[[#This Row],[Confinement Type]])&amp;"*", Map_Conf[From], Map_Conf[To], "", 2), "")</f>
        <v>MCF</v>
      </c>
      <c r="W5" s="255" t="str" cm="1">
        <f t="array" ref="W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 spans="1:23" s="4" customFormat="1" hidden="1">
      <c r="A6">
        <v>527</v>
      </c>
      <c r="B6" t="s">
        <v>492</v>
      </c>
      <c r="C6" t="s">
        <v>470</v>
      </c>
      <c r="D6" t="s">
        <v>471</v>
      </c>
      <c r="E6">
        <v>814.4</v>
      </c>
      <c r="F6" t="s">
        <v>63</v>
      </c>
      <c r="G6" t="s">
        <v>754</v>
      </c>
      <c r="H6" t="s">
        <v>76</v>
      </c>
      <c r="I6">
        <v>1.5574554019530741E-2</v>
      </c>
      <c r="J6" t="s">
        <v>128</v>
      </c>
      <c r="K6">
        <v>2020</v>
      </c>
      <c r="L6" t="s">
        <v>486</v>
      </c>
      <c r="M6"/>
      <c r="N6"/>
      <c r="O6"/>
      <c r="P6"/>
      <c r="Q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1.5110947897045745E-2</v>
      </c>
      <c r="R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 s="107" t="str">
        <f>IFERROR(_xlfn.XLOOKUP("*"&amp;TRIM(Fusion[[#This Row],[Confinement Type]])&amp;"*", Map_Conf[From], Map_Conf[To], "", 2), "")</f>
        <v>MCF</v>
      </c>
      <c r="W6" s="255" t="str" cm="1">
        <f t="array" ref="W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 spans="1:23" s="4" customFormat="1">
      <c r="A7">
        <v>143</v>
      </c>
      <c r="B7" t="s">
        <v>188</v>
      </c>
      <c r="C7" t="s">
        <v>61</v>
      </c>
      <c r="D7" t="s">
        <v>62</v>
      </c>
      <c r="E7">
        <v>1000</v>
      </c>
      <c r="F7" t="s">
        <v>670</v>
      </c>
      <c r="G7" t="s">
        <v>52</v>
      </c>
      <c r="H7" t="s">
        <v>76</v>
      </c>
      <c r="I7">
        <v>0.4</v>
      </c>
      <c r="J7" t="s">
        <v>77</v>
      </c>
      <c r="K7">
        <v>1999</v>
      </c>
      <c r="L7" t="s">
        <v>1123</v>
      </c>
      <c r="M7"/>
      <c r="N7"/>
      <c r="O7" t="s">
        <v>190</v>
      </c>
      <c r="P7"/>
      <c r="Q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0.6028979591836735</v>
      </c>
      <c r="R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7" s="107" t="str">
        <f>IFERROR(_xlfn.XLOOKUP("*"&amp;TRIM(Fusion[[#This Row],[Confinement Type]])&amp;"*", Map_Conf[From], Map_Conf[To], "", 2), "")</f>
        <v>MCF</v>
      </c>
      <c r="W7" s="255" t="str" cm="1">
        <f t="array" ref="W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 spans="1:23" s="4" customFormat="1">
      <c r="A8">
        <v>145</v>
      </c>
      <c r="B8" t="s">
        <v>200</v>
      </c>
      <c r="C8" t="s">
        <v>61</v>
      </c>
      <c r="D8" t="s">
        <v>62</v>
      </c>
      <c r="E8">
        <v>1000</v>
      </c>
      <c r="F8" t="s">
        <v>670</v>
      </c>
      <c r="G8" t="s">
        <v>52</v>
      </c>
      <c r="H8" t="s">
        <v>76</v>
      </c>
      <c r="I8">
        <v>0.4</v>
      </c>
      <c r="J8" t="s">
        <v>77</v>
      </c>
      <c r="K8">
        <v>1999</v>
      </c>
      <c r="L8" t="s">
        <v>1123</v>
      </c>
      <c r="M8"/>
      <c r="N8"/>
      <c r="O8" t="s">
        <v>190</v>
      </c>
      <c r="P8"/>
      <c r="Q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0.6028979591836735</v>
      </c>
      <c r="R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8" s="107" t="str">
        <f>IFERROR(_xlfn.XLOOKUP("*"&amp;TRIM(Fusion[[#This Row],[Confinement Type]])&amp;"*", Map_Conf[From], Map_Conf[To], "", 2), "")</f>
        <v>MCF</v>
      </c>
      <c r="W8" s="255" t="str" cm="1">
        <f t="array" ref="W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 spans="1:23" s="4" customFormat="1">
      <c r="A9">
        <v>94</v>
      </c>
      <c r="B9" t="s">
        <v>146</v>
      </c>
      <c r="C9" t="s">
        <v>61</v>
      </c>
      <c r="D9" t="s">
        <v>62</v>
      </c>
      <c r="E9">
        <v>1200</v>
      </c>
      <c r="F9" t="s">
        <v>670</v>
      </c>
      <c r="G9" t="s">
        <v>52</v>
      </c>
      <c r="H9" t="s">
        <v>76</v>
      </c>
      <c r="I9">
        <v>0.44</v>
      </c>
      <c r="J9" t="s">
        <v>77</v>
      </c>
      <c r="K9">
        <v>1986</v>
      </c>
      <c r="L9" t="s">
        <v>147</v>
      </c>
      <c r="M9"/>
      <c r="N9"/>
      <c r="O9" t="s">
        <v>162</v>
      </c>
      <c r="P9"/>
      <c r="Q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1.0080937956204381</v>
      </c>
      <c r="R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9" s="107" t="str">
        <f>IFERROR(_xlfn.XLOOKUP("*"&amp;TRIM(Fusion[[#This Row],[Confinement Type]])&amp;"*", Map_Conf[From], Map_Conf[To], "", 2), "")</f>
        <v>MCF</v>
      </c>
      <c r="W9" s="255" t="str" cm="1">
        <f t="array" ref="W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 spans="1:23" s="4" customFormat="1">
      <c r="A10">
        <v>472</v>
      </c>
      <c r="B10" t="s">
        <v>445</v>
      </c>
      <c r="C10" t="s">
        <v>61</v>
      </c>
      <c r="D10" t="s">
        <v>62</v>
      </c>
      <c r="E10"/>
      <c r="F10" t="s">
        <v>670</v>
      </c>
      <c r="G10" t="s">
        <v>57</v>
      </c>
      <c r="H10" t="s">
        <v>76</v>
      </c>
      <c r="I10">
        <v>0.36</v>
      </c>
      <c r="J10" t="s">
        <v>671</v>
      </c>
      <c r="K10">
        <v>2000</v>
      </c>
      <c r="L10" t="s">
        <v>446</v>
      </c>
      <c r="M10"/>
      <c r="N10"/>
      <c r="O10" t="s">
        <v>673</v>
      </c>
      <c r="P10"/>
      <c r="Q1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1.8898494108214381</v>
      </c>
      <c r="R1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0" s="254" t="str">
        <f>IFERROR(_xlfn.XLOOKUP("*"&amp;TRIM(Fusion[[#This Row],[Confinement Type]])&amp;"*", Map_Conf[From], Map_Conf[To], "", 2), "")</f>
        <v>MCF</v>
      </c>
      <c r="W10" s="255" t="str" cm="1">
        <f t="array" ref="W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 spans="1:23">
      <c r="A11">
        <v>392</v>
      </c>
      <c r="B11" t="s">
        <v>387</v>
      </c>
      <c r="C11" t="s">
        <v>30</v>
      </c>
      <c r="D11" t="s">
        <v>815</v>
      </c>
      <c r="E11">
        <v>1083</v>
      </c>
      <c r="F11" t="s">
        <v>391</v>
      </c>
      <c r="G11" t="s">
        <v>52</v>
      </c>
      <c r="H11" t="s">
        <v>76</v>
      </c>
      <c r="I11">
        <v>2.2400000000000002</v>
      </c>
      <c r="J11" t="s">
        <v>77</v>
      </c>
      <c r="K11">
        <v>1988</v>
      </c>
      <c r="L11" t="s">
        <v>386</v>
      </c>
      <c r="O11" t="s">
        <v>840</v>
      </c>
      <c r="Q1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4.7546887573964502</v>
      </c>
      <c r="R1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1" s="107" t="str">
        <f>IFERROR(_xlfn.XLOOKUP("*"&amp;TRIM(Fusion[[#This Row],[Confinement Type]])&amp;"*", Map_Conf[From], Map_Conf[To], "", 2), "")</f>
        <v>MCF</v>
      </c>
      <c r="W11" s="255" t="str" cm="1">
        <f t="array" ref="W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 spans="1:23">
      <c r="A12">
        <v>337</v>
      </c>
      <c r="B12" t="s">
        <v>340</v>
      </c>
      <c r="C12" t="s">
        <v>61</v>
      </c>
      <c r="D12" t="s">
        <v>62</v>
      </c>
      <c r="E12">
        <v>500</v>
      </c>
      <c r="F12" t="s">
        <v>670</v>
      </c>
      <c r="G12" t="s">
        <v>57</v>
      </c>
      <c r="H12" t="s">
        <v>76</v>
      </c>
      <c r="I12">
        <v>5.6661000566609996</v>
      </c>
      <c r="J12" t="s">
        <v>77</v>
      </c>
      <c r="K12">
        <v>2010</v>
      </c>
      <c r="L12" t="s">
        <v>331</v>
      </c>
      <c r="O12" t="s">
        <v>726</v>
      </c>
      <c r="Q1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6.5249173924495238</v>
      </c>
      <c r="R1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 s="107" t="str">
        <f>IFERROR(_xlfn.XLOOKUP("*"&amp;TRIM(Fusion[[#This Row],[Confinement Type]])&amp;"*", Map_Conf[From], Map_Conf[To], "", 2), "")</f>
        <v>MCF</v>
      </c>
      <c r="W12" s="255" t="str" cm="1">
        <f t="array" ref="W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 spans="1:23">
      <c r="A13">
        <v>195</v>
      </c>
      <c r="B13" t="s">
        <v>237</v>
      </c>
      <c r="C13" t="s">
        <v>61</v>
      </c>
      <c r="D13" t="s">
        <v>62</v>
      </c>
      <c r="E13">
        <v>1000</v>
      </c>
      <c r="F13" t="s">
        <v>670</v>
      </c>
      <c r="G13" t="s">
        <v>755</v>
      </c>
      <c r="H13" t="s">
        <v>76</v>
      </c>
      <c r="I13">
        <v>5.9</v>
      </c>
      <c r="J13" t="s">
        <v>77</v>
      </c>
      <c r="K13">
        <v>2000</v>
      </c>
      <c r="L13" t="s">
        <v>233</v>
      </c>
      <c r="O13" t="s">
        <v>241</v>
      </c>
      <c r="Q1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8.6035499419279926</v>
      </c>
      <c r="R1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 s="107" t="str">
        <f>IFERROR(_xlfn.XLOOKUP("*"&amp;TRIM(Fusion[[#This Row],[Confinement Type]])&amp;"*", Map_Conf[From], Map_Conf[To], "", 2), "")</f>
        <v>MCF</v>
      </c>
      <c r="W13" s="255" t="str" cm="1">
        <f t="array" ref="W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 spans="1:23" hidden="1">
      <c r="A14">
        <v>167</v>
      </c>
      <c r="B14" t="s">
        <v>215</v>
      </c>
      <c r="C14" t="s">
        <v>61</v>
      </c>
      <c r="D14" t="s">
        <v>62</v>
      </c>
      <c r="E14">
        <v>1527</v>
      </c>
      <c r="F14" t="s">
        <v>493</v>
      </c>
      <c r="G14" t="s">
        <v>52</v>
      </c>
      <c r="H14" t="s">
        <v>76</v>
      </c>
      <c r="I14">
        <v>2.5000000000000001E-4</v>
      </c>
      <c r="J14" t="s">
        <v>1111</v>
      </c>
      <c r="K14">
        <v>2005</v>
      </c>
      <c r="L14" t="s">
        <v>1110</v>
      </c>
      <c r="Q1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0.40015758358934966</v>
      </c>
      <c r="R1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4.0015758358934969E-4</v>
      </c>
      <c r="V14" s="107" t="str">
        <f>IFERROR(_xlfn.XLOOKUP("*"&amp;TRIM(Fusion[[#This Row],[Confinement Type]])&amp;"*", Map_Conf[From], Map_Conf[To], "", 2), "")</f>
        <v>MCF</v>
      </c>
      <c r="W14" s="255" t="str" cm="1">
        <f t="array" ref="W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15" spans="1:23" hidden="1">
      <c r="A15">
        <v>166</v>
      </c>
      <c r="B15" t="s">
        <v>214</v>
      </c>
      <c r="C15" t="s">
        <v>61</v>
      </c>
      <c r="D15" t="s">
        <v>62</v>
      </c>
      <c r="E15">
        <v>1449</v>
      </c>
      <c r="F15" t="s">
        <v>493</v>
      </c>
      <c r="G15" t="s">
        <v>52</v>
      </c>
      <c r="H15" t="s">
        <v>76</v>
      </c>
      <c r="I15">
        <v>3.5000000000000005E-4</v>
      </c>
      <c r="J15" t="s">
        <v>1111</v>
      </c>
      <c r="K15">
        <v>2005</v>
      </c>
      <c r="L15" t="s">
        <v>1110</v>
      </c>
      <c r="Q1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0.56022061702508963</v>
      </c>
      <c r="R1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5.602206170250896E-4</v>
      </c>
      <c r="V15" s="107" t="str">
        <f>IFERROR(_xlfn.XLOOKUP("*"&amp;TRIM(Fusion[[#This Row],[Confinement Type]])&amp;"*", Map_Conf[From], Map_Conf[To], "", 2), "")</f>
        <v>MCF</v>
      </c>
      <c r="W15" s="255" t="str" cm="1">
        <f t="array" ref="W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16" spans="1:23" hidden="1">
      <c r="A16">
        <v>165</v>
      </c>
      <c r="B16" t="s">
        <v>213</v>
      </c>
      <c r="C16" t="s">
        <v>61</v>
      </c>
      <c r="D16" t="s">
        <v>62</v>
      </c>
      <c r="E16">
        <v>1332</v>
      </c>
      <c r="F16" t="s">
        <v>493</v>
      </c>
      <c r="G16" t="s">
        <v>52</v>
      </c>
      <c r="H16" t="s">
        <v>76</v>
      </c>
      <c r="I16">
        <v>4.0000000000000002E-4</v>
      </c>
      <c r="J16" t="s">
        <v>1111</v>
      </c>
      <c r="K16">
        <v>2005</v>
      </c>
      <c r="L16" t="s">
        <v>1110</v>
      </c>
      <c r="Q1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0.64025213374295953</v>
      </c>
      <c r="R1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6.4025213374295953E-4</v>
      </c>
      <c r="V16" s="107" t="str">
        <f>IFERROR(_xlfn.XLOOKUP("*"&amp;TRIM(Fusion[[#This Row],[Confinement Type]])&amp;"*", Map_Conf[From], Map_Conf[To], "", 2), "")</f>
        <v>MCF</v>
      </c>
      <c r="W16" s="255" t="str" cm="1">
        <f t="array" ref="W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 spans="1:23" hidden="1">
      <c r="A17">
        <v>164</v>
      </c>
      <c r="B17" t="s">
        <v>211</v>
      </c>
      <c r="C17" t="s">
        <v>61</v>
      </c>
      <c r="D17" t="s">
        <v>62</v>
      </c>
      <c r="E17">
        <v>1546</v>
      </c>
      <c r="F17" t="s">
        <v>493</v>
      </c>
      <c r="G17" t="s">
        <v>52</v>
      </c>
      <c r="H17" t="s">
        <v>76</v>
      </c>
      <c r="I17">
        <v>4.4999999999999999E-4</v>
      </c>
      <c r="J17" t="s">
        <v>1111</v>
      </c>
      <c r="K17">
        <v>2005</v>
      </c>
      <c r="L17" t="s">
        <v>1110</v>
      </c>
      <c r="Q1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0.72028365046082943</v>
      </c>
      <c r="R1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7.2028365046082935E-4</v>
      </c>
      <c r="V17" s="107" t="str">
        <f>IFERROR(_xlfn.XLOOKUP("*"&amp;TRIM(Fusion[[#This Row],[Confinement Type]])&amp;"*", Map_Conf[From], Map_Conf[To], "", 2), "")</f>
        <v>MCF</v>
      </c>
      <c r="W17" s="255" t="str" cm="1">
        <f t="array" ref="W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 spans="1:23" hidden="1">
      <c r="A18">
        <v>175</v>
      </c>
      <c r="B18" t="s">
        <v>215</v>
      </c>
      <c r="C18" t="s">
        <v>61</v>
      </c>
      <c r="D18" t="s">
        <v>62</v>
      </c>
      <c r="E18">
        <v>1527</v>
      </c>
      <c r="F18" t="s">
        <v>115</v>
      </c>
      <c r="G18" t="s">
        <v>52</v>
      </c>
      <c r="H18" t="s">
        <v>76</v>
      </c>
      <c r="I18">
        <v>1.25E-3</v>
      </c>
      <c r="J18" t="s">
        <v>1111</v>
      </c>
      <c r="K18">
        <v>2005</v>
      </c>
      <c r="L18" t="s">
        <v>1110</v>
      </c>
      <c r="O18" t="s">
        <v>216</v>
      </c>
      <c r="Q1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2.0007879179467483</v>
      </c>
      <c r="R1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2.0007879179467485E-3</v>
      </c>
      <c r="V18" s="107" t="str">
        <f>IFERROR(_xlfn.XLOOKUP("*"&amp;TRIM(Fusion[[#This Row],[Confinement Type]])&amp;"*", Map_Conf[From], Map_Conf[To], "", 2), "")</f>
        <v>MCF</v>
      </c>
      <c r="W18" s="255" t="str" cm="1">
        <f t="array" ref="W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 spans="1:23" s="4" customFormat="1" hidden="1">
      <c r="A19">
        <v>174</v>
      </c>
      <c r="B19" t="s">
        <v>214</v>
      </c>
      <c r="C19" t="s">
        <v>61</v>
      </c>
      <c r="D19" t="s">
        <v>62</v>
      </c>
      <c r="E19">
        <v>1449</v>
      </c>
      <c r="F19" t="s">
        <v>115</v>
      </c>
      <c r="G19" t="s">
        <v>52</v>
      </c>
      <c r="H19" t="s">
        <v>76</v>
      </c>
      <c r="I19">
        <v>1.7500000000000003E-3</v>
      </c>
      <c r="J19" t="s">
        <v>1111</v>
      </c>
      <c r="K19">
        <v>2005</v>
      </c>
      <c r="L19" t="s">
        <v>1110</v>
      </c>
      <c r="M19"/>
      <c r="N19"/>
      <c r="O19" t="s">
        <v>216</v>
      </c>
      <c r="P19"/>
      <c r="Q1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2.8011030851254479</v>
      </c>
      <c r="R1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2.801103085125448E-3</v>
      </c>
      <c r="V19" s="254" t="str">
        <f>IFERROR(_xlfn.XLOOKUP("*"&amp;TRIM(Fusion[[#This Row],[Confinement Type]])&amp;"*", Map_Conf[From], Map_Conf[To], "", 2), "")</f>
        <v>MCF</v>
      </c>
      <c r="W19" s="255" t="str" cm="1">
        <f t="array" ref="W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0" spans="1:23" s="4" customFormat="1" hidden="1">
      <c r="A20">
        <v>172</v>
      </c>
      <c r="B20" t="s">
        <v>211</v>
      </c>
      <c r="C20" t="s">
        <v>61</v>
      </c>
      <c r="D20" t="s">
        <v>62</v>
      </c>
      <c r="E20">
        <v>1546</v>
      </c>
      <c r="F20" t="s">
        <v>115</v>
      </c>
      <c r="G20" t="s">
        <v>52</v>
      </c>
      <c r="H20" t="s">
        <v>76</v>
      </c>
      <c r="I20">
        <v>2.2500000000000003E-3</v>
      </c>
      <c r="J20" t="s">
        <v>1111</v>
      </c>
      <c r="K20">
        <v>2005</v>
      </c>
      <c r="L20" t="s">
        <v>1110</v>
      </c>
      <c r="M20"/>
      <c r="N20"/>
      <c r="O20"/>
      <c r="P20" t="s">
        <v>263</v>
      </c>
      <c r="Q2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3.6014182523041476</v>
      </c>
      <c r="R2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3.6014182523041475E-3</v>
      </c>
      <c r="V20" s="254" t="str">
        <f>IFERROR(_xlfn.XLOOKUP("*"&amp;TRIM(Fusion[[#This Row],[Confinement Type]])&amp;"*", Map_Conf[From], Map_Conf[To], "", 2), "")</f>
        <v>MCF</v>
      </c>
      <c r="W20" s="255" t="str" cm="1">
        <f t="array" ref="W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 spans="1:23" s="4" customFormat="1" hidden="1">
      <c r="A21">
        <v>173</v>
      </c>
      <c r="B21" t="s">
        <v>213</v>
      </c>
      <c r="C21" t="s">
        <v>61</v>
      </c>
      <c r="D21" t="s">
        <v>62</v>
      </c>
      <c r="E21">
        <v>1332</v>
      </c>
      <c r="F21" t="s">
        <v>115</v>
      </c>
      <c r="G21" t="s">
        <v>52</v>
      </c>
      <c r="H21" t="s">
        <v>76</v>
      </c>
      <c r="I21">
        <v>3.2000000000000002E-3</v>
      </c>
      <c r="J21" t="s">
        <v>1111</v>
      </c>
      <c r="K21">
        <v>2005</v>
      </c>
      <c r="L21" t="s">
        <v>1110</v>
      </c>
      <c r="M21"/>
      <c r="N21"/>
      <c r="O21" t="s">
        <v>216</v>
      </c>
      <c r="P21"/>
      <c r="Q2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5.1220170699436762</v>
      </c>
      <c r="R2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5.1220170699436763E-3</v>
      </c>
      <c r="V21" s="254" t="str">
        <f>IFERROR(_xlfn.XLOOKUP("*"&amp;TRIM(Fusion[[#This Row],[Confinement Type]])&amp;"*", Map_Conf[From], Map_Conf[To], "", 2), "")</f>
        <v>MIF</v>
      </c>
      <c r="W21" s="255" t="str" cm="1">
        <f t="array" ref="W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22" spans="1:23" s="4" customFormat="1">
      <c r="A22">
        <v>197</v>
      </c>
      <c r="B22" t="s">
        <v>240</v>
      </c>
      <c r="C22" t="s">
        <v>61</v>
      </c>
      <c r="D22" t="s">
        <v>62</v>
      </c>
      <c r="E22">
        <v>1000</v>
      </c>
      <c r="F22" t="s">
        <v>670</v>
      </c>
      <c r="G22" t="s">
        <v>755</v>
      </c>
      <c r="H22" t="s">
        <v>76</v>
      </c>
      <c r="I22">
        <v>5.9</v>
      </c>
      <c r="J22" t="s">
        <v>77</v>
      </c>
      <c r="K22">
        <v>2000</v>
      </c>
      <c r="L22" t="s">
        <v>233</v>
      </c>
      <c r="M22"/>
      <c r="N22"/>
      <c r="O22" t="s">
        <v>241</v>
      </c>
      <c r="P22"/>
      <c r="Q2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8.6035499419279926</v>
      </c>
      <c r="R2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 s="254" t="str">
        <f>IFERROR(_xlfn.XLOOKUP("*"&amp;TRIM(Fusion[[#This Row],[Confinement Type]])&amp;"*", Map_Conf[From], Map_Conf[To], "", 2), "")</f>
        <v>MIF</v>
      </c>
      <c r="W22" s="255" t="str" cm="1">
        <f t="array" ref="W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23" spans="1:23">
      <c r="A23">
        <v>338</v>
      </c>
      <c r="B23" t="s">
        <v>337</v>
      </c>
      <c r="C23" t="s">
        <v>61</v>
      </c>
      <c r="D23" t="s">
        <v>62</v>
      </c>
      <c r="E23">
        <v>500</v>
      </c>
      <c r="F23" t="s">
        <v>670</v>
      </c>
      <c r="G23" t="s">
        <v>32</v>
      </c>
      <c r="H23" t="s">
        <v>76</v>
      </c>
      <c r="I23">
        <v>7.6659000766589998</v>
      </c>
      <c r="J23" t="s">
        <v>77</v>
      </c>
      <c r="K23">
        <v>2010</v>
      </c>
      <c r="L23" t="s">
        <v>331</v>
      </c>
      <c r="O23" t="s">
        <v>725</v>
      </c>
      <c r="Q2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8.8278294133140616</v>
      </c>
      <c r="R2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 s="107" t="str">
        <f>IFERROR(_xlfn.XLOOKUP("*"&amp;TRIM(Fusion[[#This Row],[Confinement Type]])&amp;"*", Map_Conf[From], Map_Conf[To], "", 2), "")</f>
        <v>MCF</v>
      </c>
      <c r="W23" s="108" t="str" cm="1">
        <f t="array" ref="W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 spans="1:23">
      <c r="A24">
        <v>343</v>
      </c>
      <c r="B24" t="s">
        <v>342</v>
      </c>
      <c r="C24" t="s">
        <v>61</v>
      </c>
      <c r="D24" t="s">
        <v>62</v>
      </c>
      <c r="E24">
        <v>500</v>
      </c>
      <c r="F24" t="s">
        <v>670</v>
      </c>
      <c r="G24" t="s">
        <v>32</v>
      </c>
      <c r="H24" t="s">
        <v>76</v>
      </c>
      <c r="I24">
        <v>7.6659000766589998</v>
      </c>
      <c r="J24" t="s">
        <v>77</v>
      </c>
      <c r="K24">
        <v>2010</v>
      </c>
      <c r="L24" t="s">
        <v>331</v>
      </c>
      <c r="O24" t="s">
        <v>725</v>
      </c>
      <c r="Q2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8.8278294133140616</v>
      </c>
      <c r="R2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 s="107" t="str">
        <f>IFERROR(_xlfn.XLOOKUP("*"&amp;TRIM(Fusion[[#This Row],[Confinement Type]])&amp;"*", Map_Conf[From], Map_Conf[To], "", 2), "")</f>
        <v>MCF</v>
      </c>
      <c r="W24" s="108" t="str" cm="1">
        <f t="array" ref="W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 spans="1:23">
      <c r="A25">
        <v>382</v>
      </c>
      <c r="B25" t="s">
        <v>696</v>
      </c>
      <c r="C25" t="s">
        <v>61</v>
      </c>
      <c r="D25" t="s">
        <v>62</v>
      </c>
      <c r="E25">
        <v>1200</v>
      </c>
      <c r="F25" t="s">
        <v>116</v>
      </c>
      <c r="G25" t="s">
        <v>32</v>
      </c>
      <c r="H25" t="s">
        <v>76</v>
      </c>
      <c r="I25">
        <v>5.2</v>
      </c>
      <c r="J25" t="s">
        <v>77</v>
      </c>
      <c r="K25">
        <v>1990</v>
      </c>
      <c r="L25" t="s">
        <v>369</v>
      </c>
      <c r="O25" t="s">
        <v>375</v>
      </c>
      <c r="Q2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9.9904850803366507</v>
      </c>
      <c r="R2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 s="107" t="str">
        <f>IFERROR(_xlfn.XLOOKUP("*"&amp;TRIM(Fusion[[#This Row],[Confinement Type]])&amp;"*", Map_Conf[From], Map_Conf[To], "", 2), "")</f>
        <v>MCF</v>
      </c>
      <c r="W25" s="108" t="str" cm="1">
        <f t="array" ref="W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 spans="1:23" hidden="1">
      <c r="A26">
        <v>34</v>
      </c>
      <c r="B26" t="s">
        <v>85</v>
      </c>
      <c r="C26" t="s">
        <v>61</v>
      </c>
      <c r="D26" t="s">
        <v>107</v>
      </c>
      <c r="E26">
        <v>735.77</v>
      </c>
      <c r="F26" t="s">
        <v>108</v>
      </c>
      <c r="G26" t="s">
        <v>32</v>
      </c>
      <c r="H26" t="s">
        <v>76</v>
      </c>
      <c r="I26">
        <v>0.06</v>
      </c>
      <c r="J26" t="s">
        <v>109</v>
      </c>
      <c r="K26">
        <v>2009</v>
      </c>
      <c r="L26" t="s">
        <v>86</v>
      </c>
      <c r="O26" t="s">
        <v>110</v>
      </c>
      <c r="Q2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70.227606426863431</v>
      </c>
      <c r="R2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7.0227606426863431E-2</v>
      </c>
      <c r="V26" s="107" t="str">
        <f>IFERROR(_xlfn.XLOOKUP("*"&amp;TRIM(Fusion[[#This Row],[Confinement Type]])&amp;"*", Map_Conf[From], Map_Conf[To], "", 2), "")</f>
        <v>MCF</v>
      </c>
      <c r="W26" s="108" t="str" cm="1">
        <f t="array" ref="W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 spans="1:23" hidden="1">
      <c r="A27">
        <v>393</v>
      </c>
      <c r="B27" t="s">
        <v>387</v>
      </c>
      <c r="C27" t="s">
        <v>30</v>
      </c>
      <c r="D27" t="s">
        <v>815</v>
      </c>
      <c r="E27">
        <v>1083</v>
      </c>
      <c r="F27" t="s">
        <v>63</v>
      </c>
      <c r="G27" t="s">
        <v>52</v>
      </c>
      <c r="H27" t="s">
        <v>76</v>
      </c>
      <c r="I27">
        <v>0.01</v>
      </c>
      <c r="J27" t="s">
        <v>77</v>
      </c>
      <c r="K27">
        <v>1988</v>
      </c>
      <c r="L27" t="s">
        <v>386</v>
      </c>
      <c r="O27" t="s">
        <v>841</v>
      </c>
      <c r="Q2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2.1226289095519865E-2</v>
      </c>
      <c r="R2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 s="107" t="str">
        <f>IFERROR(_xlfn.XLOOKUP("*"&amp;TRIM(Fusion[[#This Row],[Confinement Type]])&amp;"*", Map_Conf[From], Map_Conf[To], "", 2), "")</f>
        <v>MCF</v>
      </c>
      <c r="W27" s="108" t="str" cm="1">
        <f t="array" ref="W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 spans="1:23" hidden="1">
      <c r="A28" s="4">
        <v>259</v>
      </c>
      <c r="B28" s="4" t="s">
        <v>286</v>
      </c>
      <c r="C28" s="4" t="s">
        <v>61</v>
      </c>
      <c r="D28" s="4" t="s">
        <v>278</v>
      </c>
      <c r="E28" s="4">
        <v>1598</v>
      </c>
      <c r="F28" s="4" t="s">
        <v>63</v>
      </c>
      <c r="G28" s="4" t="s">
        <v>57</v>
      </c>
      <c r="H28" s="4" t="s">
        <v>76</v>
      </c>
      <c r="I28" s="4">
        <v>2.1000000000000001E-2</v>
      </c>
      <c r="J28" s="4" t="s">
        <v>77</v>
      </c>
      <c r="K28" s="4">
        <v>2002</v>
      </c>
      <c r="L28" s="4" t="s">
        <v>287</v>
      </c>
      <c r="O28" s="4"/>
      <c r="P28" s="4" t="s">
        <v>442</v>
      </c>
      <c r="Q28"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2.9312101167315179E-2</v>
      </c>
      <c r="R2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 s="107" t="str">
        <f>IFERROR(_xlfn.XLOOKUP("*"&amp;TRIM(Fusion[[#This Row],[Confinement Type]])&amp;"*", Map_Conf[From], Map_Conf[To], "", 2), "")</f>
        <v>MCF</v>
      </c>
      <c r="W28" s="108" t="str" cm="1">
        <f t="array" ref="W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9" spans="1:23">
      <c r="A29">
        <v>182</v>
      </c>
      <c r="B29" t="s">
        <v>222</v>
      </c>
      <c r="C29" t="s">
        <v>61</v>
      </c>
      <c r="D29" t="s">
        <v>62</v>
      </c>
      <c r="E29">
        <v>953</v>
      </c>
      <c r="F29" t="s">
        <v>116</v>
      </c>
      <c r="G29" t="s">
        <v>32</v>
      </c>
      <c r="H29" t="s">
        <v>76</v>
      </c>
      <c r="I29">
        <v>9.81</v>
      </c>
      <c r="J29" t="s">
        <v>77</v>
      </c>
      <c r="K29">
        <v>2015</v>
      </c>
      <c r="L29" t="s">
        <v>223</v>
      </c>
      <c r="Q2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10.393177156068974</v>
      </c>
      <c r="R2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9" s="107" t="str">
        <f>IFERROR(_xlfn.XLOOKUP("*"&amp;TRIM(Fusion[[#This Row],[Confinement Type]])&amp;"*", Map_Conf[From], Map_Conf[To], "", 2), "")</f>
        <v>MCF</v>
      </c>
      <c r="W29" s="108" t="str" cm="1">
        <f t="array" ref="W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0" spans="1:23">
      <c r="A30">
        <v>335</v>
      </c>
      <c r="B30" t="s">
        <v>335</v>
      </c>
      <c r="C30" t="s">
        <v>61</v>
      </c>
      <c r="D30" t="s">
        <v>62</v>
      </c>
      <c r="E30">
        <v>250</v>
      </c>
      <c r="F30" t="s">
        <v>670</v>
      </c>
      <c r="G30" t="s">
        <v>57</v>
      </c>
      <c r="H30" t="s">
        <v>76</v>
      </c>
      <c r="I30">
        <v>9.332400093323999</v>
      </c>
      <c r="J30" t="s">
        <v>77</v>
      </c>
      <c r="K30">
        <v>2010</v>
      </c>
      <c r="L30" t="s">
        <v>331</v>
      </c>
      <c r="O30" t="s">
        <v>724</v>
      </c>
      <c r="P30" t="s">
        <v>216</v>
      </c>
      <c r="Q3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10.74692276403451</v>
      </c>
      <c r="R3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0" s="107" t="str">
        <f>IFERROR(_xlfn.XLOOKUP("*"&amp;TRIM(Fusion[[#This Row],[Confinement Type]])&amp;"*", Map_Conf[From], Map_Conf[To], "", 2), "")</f>
        <v>MCF</v>
      </c>
      <c r="W30" s="108" t="str" cm="1">
        <f t="array" ref="W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1" spans="1:23" hidden="1">
      <c r="A31">
        <v>49</v>
      </c>
      <c r="B31" t="s">
        <v>114</v>
      </c>
      <c r="C31" t="s">
        <v>61</v>
      </c>
      <c r="D31" t="s">
        <v>62</v>
      </c>
      <c r="E31">
        <v>1000</v>
      </c>
      <c r="F31" t="s">
        <v>493</v>
      </c>
      <c r="G31" t="s">
        <v>52</v>
      </c>
      <c r="H31" t="s">
        <v>33</v>
      </c>
      <c r="I31">
        <v>500000</v>
      </c>
      <c r="J31" t="s">
        <v>34</v>
      </c>
      <c r="K31">
        <v>1988</v>
      </c>
      <c r="L31" t="s">
        <v>120</v>
      </c>
      <c r="Q3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1.0613144547759932</v>
      </c>
      <c r="V31" s="107" t="str">
        <f>IFERROR(_xlfn.XLOOKUP("*"&amp;TRIM(Fusion[[#This Row],[Confinement Type]])&amp;"*", Map_Conf[From], Map_Conf[To], "", 2), "")</f>
        <v>MCF</v>
      </c>
      <c r="W31" s="108" t="str" cm="1">
        <f t="array" ref="W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2" spans="1:23" hidden="1">
      <c r="A32">
        <v>52</v>
      </c>
      <c r="B32" t="s">
        <v>126</v>
      </c>
      <c r="C32" t="s">
        <v>61</v>
      </c>
      <c r="D32" t="s">
        <v>62</v>
      </c>
      <c r="E32">
        <v>1000</v>
      </c>
      <c r="F32" t="s">
        <v>493</v>
      </c>
      <c r="G32" t="s">
        <v>52</v>
      </c>
      <c r="H32" t="s">
        <v>33</v>
      </c>
      <c r="I32">
        <v>500000</v>
      </c>
      <c r="J32" t="s">
        <v>34</v>
      </c>
      <c r="K32">
        <v>1988</v>
      </c>
      <c r="L32" t="s">
        <v>120</v>
      </c>
      <c r="Q3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1.0613144547759932</v>
      </c>
      <c r="V32" s="107" t="str">
        <f>IFERROR(_xlfn.XLOOKUP("*"&amp;TRIM(Fusion[[#This Row],[Confinement Type]])&amp;"*", Map_Conf[From], Map_Conf[To], "", 2), "")</f>
        <v>MCF</v>
      </c>
      <c r="W32" s="108" t="str" cm="1">
        <f t="array" ref="W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3" spans="1:23" hidden="1">
      <c r="A33">
        <v>53</v>
      </c>
      <c r="B33" t="s">
        <v>112</v>
      </c>
      <c r="C33" t="s">
        <v>61</v>
      </c>
      <c r="D33" t="s">
        <v>113</v>
      </c>
      <c r="E33">
        <v>970</v>
      </c>
      <c r="F33" t="s">
        <v>493</v>
      </c>
      <c r="G33" t="s">
        <v>52</v>
      </c>
      <c r="H33" t="s">
        <v>33</v>
      </c>
      <c r="I33">
        <v>500000</v>
      </c>
      <c r="J33" t="s">
        <v>34</v>
      </c>
      <c r="K33">
        <v>1988</v>
      </c>
      <c r="L33" t="s">
        <v>120</v>
      </c>
      <c r="Q3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1.0941386131711268</v>
      </c>
      <c r="V33" s="107" t="str">
        <f>IFERROR(_xlfn.XLOOKUP("*"&amp;TRIM(Fusion[[#This Row],[Confinement Type]])&amp;"*", Map_Conf[From], Map_Conf[To], "", 2), "")</f>
        <v>MCF</v>
      </c>
      <c r="W33" s="108" t="str" cm="1">
        <f t="array" ref="W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4" spans="1:23">
      <c r="A34">
        <v>196</v>
      </c>
      <c r="B34" t="s">
        <v>239</v>
      </c>
      <c r="C34" t="s">
        <v>61</v>
      </c>
      <c r="D34" t="s">
        <v>62</v>
      </c>
      <c r="E34">
        <v>1000</v>
      </c>
      <c r="F34" t="s">
        <v>670</v>
      </c>
      <c r="G34" t="s">
        <v>52</v>
      </c>
      <c r="H34" t="s">
        <v>76</v>
      </c>
      <c r="I34">
        <v>7.7</v>
      </c>
      <c r="J34" t="s">
        <v>77</v>
      </c>
      <c r="K34">
        <v>2000</v>
      </c>
      <c r="L34" t="s">
        <v>233</v>
      </c>
      <c r="O34" t="s">
        <v>241</v>
      </c>
      <c r="Q3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11.228361788617887</v>
      </c>
      <c r="R3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4" s="107" t="str">
        <f>IFERROR(_xlfn.XLOOKUP("*"&amp;TRIM(Fusion[[#This Row],[Confinement Type]])&amp;"*", Map_Conf[From], Map_Conf[To], "", 2), "")</f>
        <v>MCF</v>
      </c>
      <c r="W34" s="108" t="str" cm="1">
        <f t="array" ref="W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5" spans="1:23" hidden="1">
      <c r="A35">
        <v>428</v>
      </c>
      <c r="B35" t="s">
        <v>402</v>
      </c>
      <c r="C35" t="s">
        <v>61</v>
      </c>
      <c r="D35" t="s">
        <v>251</v>
      </c>
      <c r="E35">
        <v>2272</v>
      </c>
      <c r="F35" t="s">
        <v>493</v>
      </c>
      <c r="G35" t="s">
        <v>32</v>
      </c>
      <c r="H35" t="s">
        <v>33</v>
      </c>
      <c r="I35">
        <v>3900000</v>
      </c>
      <c r="J35" t="s">
        <v>34</v>
      </c>
      <c r="K35">
        <v>2023</v>
      </c>
      <c r="L35" t="s">
        <v>399</v>
      </c>
      <c r="Q3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1.4146200025404643</v>
      </c>
      <c r="V35" s="107" t="str">
        <f>IFERROR(_xlfn.XLOOKUP("*"&amp;TRIM(Fusion[[#This Row],[Confinement Type]])&amp;"*", Map_Conf[From], Map_Conf[To], "", 2), "")</f>
        <v>MCF</v>
      </c>
      <c r="W35" s="108" t="str" cm="1">
        <f t="array" ref="W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 spans="1:23" hidden="1">
      <c r="A36">
        <v>424</v>
      </c>
      <c r="B36" t="s">
        <v>406</v>
      </c>
      <c r="C36" t="s">
        <v>61</v>
      </c>
      <c r="D36" t="s">
        <v>251</v>
      </c>
      <c r="E36">
        <v>1945</v>
      </c>
      <c r="F36" t="s">
        <v>493</v>
      </c>
      <c r="G36" t="s">
        <v>32</v>
      </c>
      <c r="H36" t="s">
        <v>33</v>
      </c>
      <c r="I36">
        <v>3900000</v>
      </c>
      <c r="J36" t="s">
        <v>34</v>
      </c>
      <c r="K36">
        <v>2023</v>
      </c>
      <c r="L36" t="s">
        <v>399</v>
      </c>
      <c r="Q3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1.6524507176205319</v>
      </c>
      <c r="V36" s="107" t="str">
        <f>IFERROR(_xlfn.XLOOKUP("*"&amp;TRIM(Fusion[[#This Row],[Confinement Type]])&amp;"*", Map_Conf[From], Map_Conf[To], "", 2), "")</f>
        <v>MCF</v>
      </c>
      <c r="W36" s="108" t="str" cm="1">
        <f t="array" ref="W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 spans="1:23" hidden="1">
      <c r="A37">
        <v>429</v>
      </c>
      <c r="B37" t="s">
        <v>403</v>
      </c>
      <c r="C37" t="s">
        <v>61</v>
      </c>
      <c r="D37" t="s">
        <v>251</v>
      </c>
      <c r="E37">
        <v>1368</v>
      </c>
      <c r="F37" t="s">
        <v>493</v>
      </c>
      <c r="G37" t="s">
        <v>32</v>
      </c>
      <c r="H37" t="s">
        <v>33</v>
      </c>
      <c r="I37">
        <v>3900000</v>
      </c>
      <c r="J37" t="s">
        <v>34</v>
      </c>
      <c r="K37">
        <v>2023</v>
      </c>
      <c r="L37" t="s">
        <v>399</v>
      </c>
      <c r="Q3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2.3494273726403034</v>
      </c>
      <c r="V37" s="107" t="str">
        <f>IFERROR(_xlfn.XLOOKUP("*"&amp;TRIM(Fusion[[#This Row],[Confinement Type]])&amp;"*", Map_Conf[From], Map_Conf[To], "", 2), "")</f>
        <v>MCF</v>
      </c>
      <c r="W37" s="108" t="str" cm="1">
        <f t="array" ref="W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 spans="1:23" hidden="1">
      <c r="A38">
        <v>427</v>
      </c>
      <c r="B38" t="s">
        <v>401</v>
      </c>
      <c r="C38" t="s">
        <v>61</v>
      </c>
      <c r="D38" t="s">
        <v>251</v>
      </c>
      <c r="E38">
        <v>1313</v>
      </c>
      <c r="F38" t="s">
        <v>493</v>
      </c>
      <c r="G38" t="s">
        <v>32</v>
      </c>
      <c r="H38" t="s">
        <v>33</v>
      </c>
      <c r="I38">
        <v>3900000</v>
      </c>
      <c r="J38" t="s">
        <v>34</v>
      </c>
      <c r="K38">
        <v>2023</v>
      </c>
      <c r="L38" t="s">
        <v>399</v>
      </c>
      <c r="Q3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2.4478420759877642</v>
      </c>
      <c r="V38" s="107" t="str">
        <f>IFERROR(_xlfn.XLOOKUP("*"&amp;TRIM(Fusion[[#This Row],[Confinement Type]])&amp;"*", Map_Conf[From], Map_Conf[To], "", 2), "")</f>
        <v>MCF</v>
      </c>
      <c r="W38" s="108" t="str" cm="1">
        <f t="array" ref="W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 spans="1:23" hidden="1">
      <c r="A39">
        <v>426</v>
      </c>
      <c r="B39" t="s">
        <v>398</v>
      </c>
      <c r="C39" t="s">
        <v>61</v>
      </c>
      <c r="D39" t="s">
        <v>251</v>
      </c>
      <c r="E39">
        <v>1204</v>
      </c>
      <c r="F39" t="s">
        <v>493</v>
      </c>
      <c r="G39" t="s">
        <v>32</v>
      </c>
      <c r="H39" t="s">
        <v>33</v>
      </c>
      <c r="I39">
        <v>3900000</v>
      </c>
      <c r="J39" t="s">
        <v>34</v>
      </c>
      <c r="K39">
        <v>2023</v>
      </c>
      <c r="L39" t="s">
        <v>399</v>
      </c>
      <c r="Q3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2.6694490413388161</v>
      </c>
      <c r="V39" s="107" t="str">
        <f>IFERROR(_xlfn.XLOOKUP("*"&amp;TRIM(Fusion[[#This Row],[Confinement Type]])&amp;"*", Map_Conf[From], Map_Conf[To], "", 2), "")</f>
        <v>MCF</v>
      </c>
      <c r="W39" s="108" t="str" cm="1">
        <f t="array" ref="W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 spans="1:23" hidden="1">
      <c r="A40">
        <v>425</v>
      </c>
      <c r="B40" t="s">
        <v>407</v>
      </c>
      <c r="C40" t="s">
        <v>61</v>
      </c>
      <c r="D40" t="s">
        <v>251</v>
      </c>
      <c r="E40">
        <v>1165</v>
      </c>
      <c r="F40" t="s">
        <v>493</v>
      </c>
      <c r="G40" t="s">
        <v>32</v>
      </c>
      <c r="H40" t="s">
        <v>33</v>
      </c>
      <c r="I40">
        <v>3900000</v>
      </c>
      <c r="J40" t="s">
        <v>34</v>
      </c>
      <c r="K40">
        <v>2023</v>
      </c>
      <c r="L40" t="s">
        <v>399</v>
      </c>
      <c r="Q4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2.7588125714780554</v>
      </c>
      <c r="V40" s="107" t="str">
        <f>IFERROR(_xlfn.XLOOKUP("*"&amp;TRIM(Fusion[[#This Row],[Confinement Type]])&amp;"*", Map_Conf[From], Map_Conf[To], "", 2), "")</f>
        <v>MCF</v>
      </c>
      <c r="W40" s="108" t="str" cm="1">
        <f t="array" ref="W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 spans="1:23" hidden="1">
      <c r="A41">
        <v>490</v>
      </c>
      <c r="B41" t="s">
        <v>462</v>
      </c>
      <c r="C41" t="s">
        <v>61</v>
      </c>
      <c r="D41" t="s">
        <v>62</v>
      </c>
      <c r="E41">
        <v>1200</v>
      </c>
      <c r="F41" t="s">
        <v>115</v>
      </c>
      <c r="G41" t="s">
        <v>52</v>
      </c>
      <c r="H41" t="s">
        <v>33</v>
      </c>
      <c r="I41">
        <v>2000000</v>
      </c>
      <c r="J41" t="s">
        <v>34</v>
      </c>
      <c r="K41">
        <v>1990</v>
      </c>
      <c r="L41" t="s">
        <v>55</v>
      </c>
      <c r="O41" t="s">
        <v>461</v>
      </c>
      <c r="Q4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3.2020785513899521</v>
      </c>
      <c r="V41" s="107" t="str">
        <f>IFERROR(_xlfn.XLOOKUP("*"&amp;TRIM(Fusion[[#This Row],[Confinement Type]])&amp;"*", Map_Conf[From], Map_Conf[To], "", 2), "")</f>
        <v>MCF</v>
      </c>
      <c r="W41" s="108" t="str" cm="1">
        <f t="array" ref="W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 spans="1:23" hidden="1">
      <c r="A42">
        <v>422</v>
      </c>
      <c r="B42" t="s">
        <v>404</v>
      </c>
      <c r="C42" t="s">
        <v>61</v>
      </c>
      <c r="D42" t="s">
        <v>251</v>
      </c>
      <c r="E42">
        <v>914</v>
      </c>
      <c r="F42" t="s">
        <v>493</v>
      </c>
      <c r="G42" t="s">
        <v>32</v>
      </c>
      <c r="H42" t="s">
        <v>33</v>
      </c>
      <c r="I42">
        <v>3900000</v>
      </c>
      <c r="J42" t="s">
        <v>34</v>
      </c>
      <c r="K42">
        <v>2023</v>
      </c>
      <c r="L42" t="s">
        <v>399</v>
      </c>
      <c r="P42" t="s">
        <v>429</v>
      </c>
      <c r="Q4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3.516429590560104</v>
      </c>
      <c r="V42" s="107" t="str">
        <f>IFERROR(_xlfn.XLOOKUP("*"&amp;TRIM(Fusion[[#This Row],[Confinement Type]])&amp;"*", Map_Conf[From], Map_Conf[To], "", 2), "")</f>
        <v>MCF</v>
      </c>
      <c r="W42" s="108" t="str" cm="1">
        <f t="array" ref="W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43" spans="1:23" hidden="1">
      <c r="A43">
        <v>423</v>
      </c>
      <c r="B43" t="s">
        <v>405</v>
      </c>
      <c r="C43" t="s">
        <v>61</v>
      </c>
      <c r="D43" t="s">
        <v>251</v>
      </c>
      <c r="E43">
        <v>774</v>
      </c>
      <c r="F43" t="s">
        <v>493</v>
      </c>
      <c r="G43" t="s">
        <v>32</v>
      </c>
      <c r="H43" t="s">
        <v>33</v>
      </c>
      <c r="I43">
        <v>3900000</v>
      </c>
      <c r="J43" t="s">
        <v>34</v>
      </c>
      <c r="K43">
        <v>2023</v>
      </c>
      <c r="L43" t="s">
        <v>399</v>
      </c>
      <c r="Q4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4.1524762865270475</v>
      </c>
      <c r="V43" s="107" t="str">
        <f>IFERROR(_xlfn.XLOOKUP("*"&amp;TRIM(Fusion[[#This Row],[Confinement Type]])&amp;"*", Map_Conf[From], Map_Conf[To], "", 2), "")</f>
        <v>MCF</v>
      </c>
      <c r="W43" s="108" t="str" cm="1">
        <f t="array" ref="W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44" spans="1:23" hidden="1">
      <c r="A44">
        <v>225</v>
      </c>
      <c r="B44" t="s">
        <v>261</v>
      </c>
      <c r="C44" t="s">
        <v>61</v>
      </c>
      <c r="D44" t="s">
        <v>62</v>
      </c>
      <c r="E44">
        <v>1600</v>
      </c>
      <c r="F44" t="s">
        <v>115</v>
      </c>
      <c r="G44" t="s">
        <v>57</v>
      </c>
      <c r="H44" t="s">
        <v>33</v>
      </c>
      <c r="I44">
        <v>7500000</v>
      </c>
      <c r="J44" t="s">
        <v>34</v>
      </c>
      <c r="K44">
        <v>2010</v>
      </c>
      <c r="L44" t="s">
        <v>262</v>
      </c>
      <c r="O44" t="s">
        <v>263</v>
      </c>
      <c r="Q4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5.3979897939061514</v>
      </c>
      <c r="V44" s="107" t="str">
        <f>IFERROR(_xlfn.XLOOKUP("*"&amp;TRIM(Fusion[[#This Row],[Confinement Type]])&amp;"*", Map_Conf[From], Map_Conf[To], "", 2), "")</f>
        <v>MCF</v>
      </c>
      <c r="W44" s="108" t="str" cm="1">
        <f t="array" ref="W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 spans="1:23" s="4" customFormat="1" hidden="1">
      <c r="A45">
        <v>226</v>
      </c>
      <c r="B45" t="s">
        <v>261</v>
      </c>
      <c r="C45" t="s">
        <v>61</v>
      </c>
      <c r="D45" t="s">
        <v>62</v>
      </c>
      <c r="E45">
        <v>1420</v>
      </c>
      <c r="F45" t="s">
        <v>115</v>
      </c>
      <c r="G45" t="s">
        <v>57</v>
      </c>
      <c r="H45" t="s">
        <v>33</v>
      </c>
      <c r="I45">
        <v>7500000</v>
      </c>
      <c r="J45" t="s">
        <v>34</v>
      </c>
      <c r="K45">
        <v>2010</v>
      </c>
      <c r="L45" t="s">
        <v>262</v>
      </c>
      <c r="M45"/>
      <c r="N45"/>
      <c r="O45" t="s">
        <v>263</v>
      </c>
      <c r="P45"/>
      <c r="Q4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6.0822420213027062</v>
      </c>
      <c r="V45" s="254" t="str">
        <f>IFERROR(_xlfn.XLOOKUP("*"&amp;TRIM(Fusion[[#This Row],[Confinement Type]])&amp;"*", Map_Conf[From], Map_Conf[To], "", 2), "")</f>
        <v>MCF</v>
      </c>
      <c r="W45" s="255" t="str" cm="1">
        <f t="array" ref="W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 spans="1:23">
      <c r="A46">
        <v>194</v>
      </c>
      <c r="B46" t="s">
        <v>235</v>
      </c>
      <c r="C46" t="s">
        <v>61</v>
      </c>
      <c r="D46" t="s">
        <v>62</v>
      </c>
      <c r="E46">
        <v>1000</v>
      </c>
      <c r="F46" t="s">
        <v>670</v>
      </c>
      <c r="G46" t="s">
        <v>52</v>
      </c>
      <c r="H46" t="s">
        <v>76</v>
      </c>
      <c r="I46">
        <v>7.78</v>
      </c>
      <c r="J46" t="s">
        <v>77</v>
      </c>
      <c r="K46">
        <v>2000</v>
      </c>
      <c r="L46" t="s">
        <v>233</v>
      </c>
      <c r="O46" t="s">
        <v>241</v>
      </c>
      <c r="Q4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11.345020092915217</v>
      </c>
      <c r="R4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 s="107" t="str">
        <f>IFERROR(_xlfn.XLOOKUP("*"&amp;TRIM(Fusion[[#This Row],[Confinement Type]])&amp;"*", Map_Conf[From], Map_Conf[To], "", 2), "")</f>
        <v>ICF</v>
      </c>
      <c r="W46" s="108" t="str" cm="1">
        <f t="array" ref="W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7" spans="1:23" hidden="1">
      <c r="A47" s="4">
        <v>260</v>
      </c>
      <c r="B47" s="4" t="s">
        <v>286</v>
      </c>
      <c r="C47" s="4" t="s">
        <v>61</v>
      </c>
      <c r="D47" s="4" t="s">
        <v>278</v>
      </c>
      <c r="E47" s="4">
        <v>1598</v>
      </c>
      <c r="F47" s="4" t="s">
        <v>63</v>
      </c>
      <c r="G47" s="4" t="s">
        <v>57</v>
      </c>
      <c r="H47" s="4" t="s">
        <v>76</v>
      </c>
      <c r="I47" s="4">
        <v>2.1000000000000001E-2</v>
      </c>
      <c r="J47" s="4" t="s">
        <v>77</v>
      </c>
      <c r="K47" s="4">
        <v>2002</v>
      </c>
      <c r="L47" s="4" t="s">
        <v>287</v>
      </c>
      <c r="O47" s="4"/>
      <c r="P47" s="4"/>
      <c r="Q47"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2.9312101167315179E-2</v>
      </c>
      <c r="R4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7" s="107" t="str">
        <f>IFERROR(_xlfn.XLOOKUP("*"&amp;TRIM(Fusion[[#This Row],[Confinement Type]])&amp;"*", Map_Conf[From], Map_Conf[To], "", 2), "")</f>
        <v>ICF</v>
      </c>
      <c r="W47" s="108" t="str" cm="1">
        <f t="array" ref="W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8" spans="1:23">
      <c r="A48">
        <v>162</v>
      </c>
      <c r="B48" t="s">
        <v>207</v>
      </c>
      <c r="C48" t="s">
        <v>61</v>
      </c>
      <c r="D48" t="s">
        <v>62</v>
      </c>
      <c r="E48">
        <v>1000</v>
      </c>
      <c r="F48" t="s">
        <v>116</v>
      </c>
      <c r="G48" t="s">
        <v>52</v>
      </c>
      <c r="H48" t="s">
        <v>76</v>
      </c>
      <c r="I48">
        <v>6.87</v>
      </c>
      <c r="J48" t="s">
        <v>77</v>
      </c>
      <c r="K48">
        <v>1992</v>
      </c>
      <c r="L48" t="s">
        <v>1206</v>
      </c>
      <c r="Q4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12.295831004989308</v>
      </c>
      <c r="R4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8" s="107" t="str">
        <f>IFERROR(_xlfn.XLOOKUP("*"&amp;TRIM(Fusion[[#This Row],[Confinement Type]])&amp;"*", Map_Conf[From], Map_Conf[To], "", 2), "")</f>
        <v>MCF</v>
      </c>
      <c r="W48" s="108" t="str" cm="1">
        <f t="array" ref="W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 spans="1:23">
      <c r="A49">
        <v>438</v>
      </c>
      <c r="B49" t="s">
        <v>232</v>
      </c>
      <c r="C49" t="s">
        <v>61</v>
      </c>
      <c r="D49" t="s">
        <v>62</v>
      </c>
      <c r="E49">
        <v>1000</v>
      </c>
      <c r="F49" t="s">
        <v>116</v>
      </c>
      <c r="G49" t="s">
        <v>52</v>
      </c>
      <c r="H49" t="s">
        <v>76</v>
      </c>
      <c r="I49">
        <v>6.87</v>
      </c>
      <c r="J49" t="s">
        <v>77</v>
      </c>
      <c r="K49">
        <v>1992</v>
      </c>
      <c r="L49" t="s">
        <v>420</v>
      </c>
      <c r="Q4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12.295831004989308</v>
      </c>
      <c r="R4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9" s="107" t="str">
        <f>IFERROR(_xlfn.XLOOKUP("*"&amp;TRIM(Fusion[[#This Row],[Confinement Type]])&amp;"*", Map_Conf[From], Map_Conf[To], "", 2), "")</f>
        <v>MCF</v>
      </c>
      <c r="W49" s="108" t="str" cm="1">
        <f t="array" ref="W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 spans="1:23" hidden="1">
      <c r="B50" t="s">
        <v>797</v>
      </c>
      <c r="C50" t="s">
        <v>30</v>
      </c>
      <c r="D50" t="s">
        <v>798</v>
      </c>
      <c r="E50">
        <v>999</v>
      </c>
      <c r="F50" t="s">
        <v>493</v>
      </c>
      <c r="G50" t="s">
        <v>52</v>
      </c>
      <c r="H50" t="s">
        <v>33</v>
      </c>
      <c r="I50">
        <v>4560000</v>
      </c>
      <c r="J50" t="s">
        <v>34</v>
      </c>
      <c r="K50">
        <v>1991</v>
      </c>
      <c r="L50" t="s">
        <v>799</v>
      </c>
      <c r="O50" t="s">
        <v>802</v>
      </c>
      <c r="P50" t="s">
        <v>504</v>
      </c>
      <c r="Q5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8.4155221300595748</v>
      </c>
      <c r="V50" s="107" t="str">
        <f>IFERROR(_xlfn.XLOOKUP("*"&amp;TRIM(Fusion[[#This Row],[Confinement Type]])&amp;"*", Map_Conf[From], Map_Conf[To], "", 2), "")</f>
        <v>MCF</v>
      </c>
      <c r="W50" s="108" t="str" cm="1">
        <f t="array" ref="W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 spans="1:23" hidden="1">
      <c r="A51">
        <v>227</v>
      </c>
      <c r="B51" t="s">
        <v>261</v>
      </c>
      <c r="C51" t="s">
        <v>61</v>
      </c>
      <c r="D51" t="s">
        <v>62</v>
      </c>
      <c r="E51">
        <v>1000</v>
      </c>
      <c r="F51" t="s">
        <v>115</v>
      </c>
      <c r="G51" t="s">
        <v>57</v>
      </c>
      <c r="H51" t="s">
        <v>33</v>
      </c>
      <c r="I51">
        <v>7500000</v>
      </c>
      <c r="J51" t="s">
        <v>34</v>
      </c>
      <c r="K51">
        <v>2010</v>
      </c>
      <c r="L51" t="s">
        <v>262</v>
      </c>
      <c r="O51" t="s">
        <v>263</v>
      </c>
      <c r="Q5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8.6367836702498426</v>
      </c>
      <c r="V51" s="107" t="str">
        <f>IFERROR(_xlfn.XLOOKUP("*"&amp;TRIM(Fusion[[#This Row],[Confinement Type]])&amp;"*", Map_Conf[From], Map_Conf[To], "", 2), "")</f>
        <v>MCF</v>
      </c>
      <c r="W51" s="108" t="str" cm="1">
        <f t="array" ref="W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 spans="1:23" hidden="1">
      <c r="B52" t="s">
        <v>795</v>
      </c>
      <c r="C52" t="s">
        <v>30</v>
      </c>
      <c r="D52" t="s">
        <v>796</v>
      </c>
      <c r="E52">
        <v>972</v>
      </c>
      <c r="F52" t="s">
        <v>493</v>
      </c>
      <c r="G52" t="s">
        <v>52</v>
      </c>
      <c r="H52" t="s">
        <v>33</v>
      </c>
      <c r="I52">
        <v>4560000</v>
      </c>
      <c r="J52" t="s">
        <v>34</v>
      </c>
      <c r="K52">
        <v>1991</v>
      </c>
      <c r="L52" t="s">
        <v>799</v>
      </c>
      <c r="O52" t="s">
        <v>802</v>
      </c>
      <c r="P52" t="s">
        <v>121</v>
      </c>
      <c r="Q5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8.6492866336723413</v>
      </c>
      <c r="V52" s="107" t="str">
        <f>IFERROR(_xlfn.XLOOKUP("*"&amp;TRIM(Fusion[[#This Row],[Confinement Type]])&amp;"*", Map_Conf[From], Map_Conf[To], "", 2), "")</f>
        <v>MCF</v>
      </c>
      <c r="W52" s="108" t="str" cm="1">
        <f t="array" ref="W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 spans="1:23" hidden="1">
      <c r="A53">
        <v>129</v>
      </c>
      <c r="B53" t="s">
        <v>183</v>
      </c>
      <c r="C53" t="s">
        <v>61</v>
      </c>
      <c r="D53" t="s">
        <v>62</v>
      </c>
      <c r="E53">
        <v>1200</v>
      </c>
      <c r="F53" t="s">
        <v>115</v>
      </c>
      <c r="G53" t="s">
        <v>52</v>
      </c>
      <c r="H53" t="s">
        <v>33</v>
      </c>
      <c r="I53">
        <v>6220000</v>
      </c>
      <c r="J53" t="s">
        <v>34</v>
      </c>
      <c r="K53">
        <v>1986</v>
      </c>
      <c r="L53" t="s">
        <v>147</v>
      </c>
      <c r="O53" t="s">
        <v>691</v>
      </c>
      <c r="P53" t="s">
        <v>490</v>
      </c>
      <c r="Q5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11.87565039537713</v>
      </c>
      <c r="V53" s="107" t="str">
        <f>IFERROR(_xlfn.XLOOKUP("*"&amp;TRIM(Fusion[[#This Row],[Confinement Type]])&amp;"*", Map_Conf[From], Map_Conf[To], "", 2), "")</f>
        <v>MCF</v>
      </c>
      <c r="W53" s="108" t="str" cm="1">
        <f t="array" ref="W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 spans="1:23" hidden="1">
      <c r="A54">
        <v>88</v>
      </c>
      <c r="B54" t="s">
        <v>146</v>
      </c>
      <c r="C54" t="s">
        <v>61</v>
      </c>
      <c r="D54" t="s">
        <v>62</v>
      </c>
      <c r="E54">
        <v>1200</v>
      </c>
      <c r="F54" t="s">
        <v>690</v>
      </c>
      <c r="G54" t="s">
        <v>52</v>
      </c>
      <c r="H54" t="s">
        <v>33</v>
      </c>
      <c r="I54">
        <v>6830000</v>
      </c>
      <c r="J54" t="s">
        <v>34</v>
      </c>
      <c r="K54">
        <v>1986</v>
      </c>
      <c r="L54" t="s">
        <v>147</v>
      </c>
      <c r="O54" t="s">
        <v>689</v>
      </c>
      <c r="Q5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13.040304212287106</v>
      </c>
      <c r="V54" s="107" t="str">
        <f>IFERROR(_xlfn.XLOOKUP("*"&amp;TRIM(Fusion[[#This Row],[Confinement Type]])&amp;"*", Map_Conf[From], Map_Conf[To], "", 2), "")</f>
        <v>MCF</v>
      </c>
      <c r="W54" s="108" t="str" cm="1">
        <f t="array" ref="W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 spans="1:23" hidden="1">
      <c r="A55">
        <v>95</v>
      </c>
      <c r="B55" t="s">
        <v>165</v>
      </c>
      <c r="C55" t="s">
        <v>61</v>
      </c>
      <c r="D55" t="s">
        <v>62</v>
      </c>
      <c r="E55">
        <v>1200</v>
      </c>
      <c r="F55" t="s">
        <v>690</v>
      </c>
      <c r="G55" t="s">
        <v>52</v>
      </c>
      <c r="H55" t="s">
        <v>33</v>
      </c>
      <c r="I55">
        <v>6830000</v>
      </c>
      <c r="J55" t="s">
        <v>34</v>
      </c>
      <c r="K55">
        <v>1986</v>
      </c>
      <c r="L55" t="s">
        <v>147</v>
      </c>
      <c r="O55" t="s">
        <v>689</v>
      </c>
      <c r="P55" t="s">
        <v>372</v>
      </c>
      <c r="Q5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13.040304212287106</v>
      </c>
      <c r="V55" s="107" t="str">
        <f>IFERROR(_xlfn.XLOOKUP("*"&amp;TRIM(Fusion[[#This Row],[Confinement Type]])&amp;"*", Map_Conf[From], Map_Conf[To], "", 2), "")</f>
        <v>ICF</v>
      </c>
      <c r="W55" s="108" t="str" cm="1">
        <f t="array" ref="W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6" spans="1:23" hidden="1">
      <c r="A56">
        <v>100</v>
      </c>
      <c r="B56" t="s">
        <v>170</v>
      </c>
      <c r="C56" t="s">
        <v>61</v>
      </c>
      <c r="D56" t="s">
        <v>113</v>
      </c>
      <c r="E56">
        <v>1200</v>
      </c>
      <c r="F56" t="s">
        <v>690</v>
      </c>
      <c r="G56" t="s">
        <v>52</v>
      </c>
      <c r="H56" t="s">
        <v>33</v>
      </c>
      <c r="I56">
        <v>6830000</v>
      </c>
      <c r="J56" t="s">
        <v>34</v>
      </c>
      <c r="K56">
        <v>1986</v>
      </c>
      <c r="L56" t="s">
        <v>147</v>
      </c>
      <c r="O56" t="s">
        <v>689</v>
      </c>
      <c r="Q5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13.040304212287106</v>
      </c>
      <c r="V56" s="107" t="str">
        <f>IFERROR(_xlfn.XLOOKUP("*"&amp;TRIM(Fusion[[#This Row],[Confinement Type]])&amp;"*", Map_Conf[From], Map_Conf[To], "", 2), "")</f>
        <v>MCF</v>
      </c>
      <c r="W56" s="108" t="str" cm="1">
        <f t="array" ref="W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7" spans="1:23" hidden="1">
      <c r="A57">
        <v>110</v>
      </c>
      <c r="B57" t="s">
        <v>172</v>
      </c>
      <c r="C57" t="s">
        <v>61</v>
      </c>
      <c r="D57" t="s">
        <v>113</v>
      </c>
      <c r="E57">
        <v>1200</v>
      </c>
      <c r="F57" t="s">
        <v>690</v>
      </c>
      <c r="G57" t="s">
        <v>52</v>
      </c>
      <c r="H57" t="s">
        <v>33</v>
      </c>
      <c r="I57">
        <v>6830000</v>
      </c>
      <c r="J57" t="s">
        <v>34</v>
      </c>
      <c r="K57">
        <v>1986</v>
      </c>
      <c r="L57" t="s">
        <v>147</v>
      </c>
      <c r="O57" t="s">
        <v>689</v>
      </c>
      <c r="Q5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13.040304212287106</v>
      </c>
      <c r="V57" s="107" t="str">
        <f>IFERROR(_xlfn.XLOOKUP("*"&amp;TRIM(Fusion[[#This Row],[Confinement Type]])&amp;"*", Map_Conf[From], Map_Conf[To], "", 2), "")</f>
        <v>MCF</v>
      </c>
      <c r="W57" s="108" t="str" cm="1">
        <f t="array" ref="W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8" spans="1:23" hidden="1">
      <c r="A58">
        <v>115</v>
      </c>
      <c r="B58" t="s">
        <v>174</v>
      </c>
      <c r="C58" t="s">
        <v>61</v>
      </c>
      <c r="D58" t="s">
        <v>62</v>
      </c>
      <c r="E58">
        <v>1200</v>
      </c>
      <c r="F58" t="s">
        <v>690</v>
      </c>
      <c r="G58" t="s">
        <v>52</v>
      </c>
      <c r="H58" t="s">
        <v>33</v>
      </c>
      <c r="I58">
        <v>6830000</v>
      </c>
      <c r="J58" t="s">
        <v>34</v>
      </c>
      <c r="K58">
        <v>1986</v>
      </c>
      <c r="L58" t="s">
        <v>147</v>
      </c>
      <c r="O58" t="s">
        <v>689</v>
      </c>
      <c r="Q5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13.040304212287106</v>
      </c>
      <c r="V58" s="107" t="str">
        <f>IFERROR(_xlfn.XLOOKUP("*"&amp;TRIM(Fusion[[#This Row],[Confinement Type]])&amp;"*", Map_Conf[From], Map_Conf[To], "", 2), "")</f>
        <v>MCF</v>
      </c>
      <c r="W58" s="108" t="str" cm="1">
        <f t="array" ref="W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9" spans="1:23" hidden="1">
      <c r="A59">
        <v>119</v>
      </c>
      <c r="B59" t="s">
        <v>176</v>
      </c>
      <c r="C59" t="s">
        <v>61</v>
      </c>
      <c r="D59" t="s">
        <v>62</v>
      </c>
      <c r="E59">
        <v>1200</v>
      </c>
      <c r="F59" t="s">
        <v>690</v>
      </c>
      <c r="G59" t="s">
        <v>52</v>
      </c>
      <c r="H59" t="s">
        <v>33</v>
      </c>
      <c r="I59">
        <v>6830000</v>
      </c>
      <c r="J59" t="s">
        <v>34</v>
      </c>
      <c r="K59">
        <v>1986</v>
      </c>
      <c r="L59" t="s">
        <v>147</v>
      </c>
      <c r="O59" t="s">
        <v>689</v>
      </c>
      <c r="P59" t="s">
        <v>338</v>
      </c>
      <c r="Q5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13.040304212287106</v>
      </c>
      <c r="V59" s="107" t="str">
        <f>IFERROR(_xlfn.XLOOKUP("*"&amp;TRIM(Fusion[[#This Row],[Confinement Type]])&amp;"*", Map_Conf[From], Map_Conf[To], "", 2), "")</f>
        <v>MCF</v>
      </c>
      <c r="W59" s="108" t="str" cm="1">
        <f t="array" ref="W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0" spans="1:23" hidden="1">
      <c r="A60">
        <v>489</v>
      </c>
      <c r="B60" t="s">
        <v>460</v>
      </c>
      <c r="C60" t="s">
        <v>61</v>
      </c>
      <c r="D60" t="s">
        <v>62</v>
      </c>
      <c r="E60">
        <v>1200</v>
      </c>
      <c r="F60" t="s">
        <v>115</v>
      </c>
      <c r="G60" t="s">
        <v>52</v>
      </c>
      <c r="H60" t="s">
        <v>33</v>
      </c>
      <c r="I60">
        <v>9000000</v>
      </c>
      <c r="J60" t="s">
        <v>34</v>
      </c>
      <c r="K60">
        <v>1990</v>
      </c>
      <c r="L60" t="s">
        <v>55</v>
      </c>
      <c r="O60" t="s">
        <v>461</v>
      </c>
      <c r="Q6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14.409353481254783</v>
      </c>
      <c r="V60" s="107" t="str">
        <f>IFERROR(_xlfn.XLOOKUP("*"&amp;TRIM(Fusion[[#This Row],[Confinement Type]])&amp;"*", Map_Conf[From], Map_Conf[To], "", 2), "")</f>
        <v>MCF</v>
      </c>
      <c r="W60" s="108" t="str" cm="1">
        <f t="array" ref="W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1" spans="1:23" hidden="1">
      <c r="A61">
        <v>123</v>
      </c>
      <c r="B61" t="s">
        <v>182</v>
      </c>
      <c r="C61" t="s">
        <v>61</v>
      </c>
      <c r="D61" t="s">
        <v>62</v>
      </c>
      <c r="E61">
        <v>1200</v>
      </c>
      <c r="F61" t="s">
        <v>690</v>
      </c>
      <c r="G61" t="s">
        <v>52</v>
      </c>
      <c r="H61" t="s">
        <v>33</v>
      </c>
      <c r="I61">
        <v>7880000</v>
      </c>
      <c r="J61" t="s">
        <v>34</v>
      </c>
      <c r="K61">
        <v>1986</v>
      </c>
      <c r="L61" t="s">
        <v>147</v>
      </c>
      <c r="O61" t="s">
        <v>689</v>
      </c>
      <c r="Q6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15.045036192214113</v>
      </c>
      <c r="V61" s="107" t="str">
        <f>IFERROR(_xlfn.XLOOKUP("*"&amp;TRIM(Fusion[[#This Row],[Confinement Type]])&amp;"*", Map_Conf[From], Map_Conf[To], "", 2), "")</f>
        <v>MCF</v>
      </c>
      <c r="W61" s="108" t="str" cm="1">
        <f t="array" ref="W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2" spans="1:23" s="4" customFormat="1" hidden="1">
      <c r="A62">
        <v>128</v>
      </c>
      <c r="B62" t="s">
        <v>183</v>
      </c>
      <c r="C62" t="s">
        <v>61</v>
      </c>
      <c r="D62" t="s">
        <v>62</v>
      </c>
      <c r="E62">
        <v>1200</v>
      </c>
      <c r="F62" t="s">
        <v>690</v>
      </c>
      <c r="G62" t="s">
        <v>52</v>
      </c>
      <c r="H62" t="s">
        <v>33</v>
      </c>
      <c r="I62">
        <v>7880000</v>
      </c>
      <c r="J62" t="s">
        <v>34</v>
      </c>
      <c r="K62">
        <v>1986</v>
      </c>
      <c r="L62" t="s">
        <v>147</v>
      </c>
      <c r="M62"/>
      <c r="N62"/>
      <c r="O62" t="s">
        <v>691</v>
      </c>
      <c r="P62"/>
      <c r="Q6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15.045036192214113</v>
      </c>
      <c r="V62" s="254" t="str">
        <f>IFERROR(_xlfn.XLOOKUP("*"&amp;TRIM(Fusion[[#This Row],[Confinement Type]])&amp;"*", Map_Conf[From], Map_Conf[To], "", 2), "")</f>
        <v>MCF</v>
      </c>
      <c r="W62" s="255" t="str" cm="1">
        <f t="array" ref="W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 spans="1:23" s="4" customFormat="1" hidden="1">
      <c r="A63">
        <v>523</v>
      </c>
      <c r="B63" t="s">
        <v>488</v>
      </c>
      <c r="C63" t="s">
        <v>470</v>
      </c>
      <c r="D63" t="s">
        <v>471</v>
      </c>
      <c r="E63">
        <v>383.1</v>
      </c>
      <c r="F63" t="s">
        <v>115</v>
      </c>
      <c r="G63" t="s">
        <v>754</v>
      </c>
      <c r="H63" t="s">
        <v>33</v>
      </c>
      <c r="I63">
        <v>6100000</v>
      </c>
      <c r="J63" t="s">
        <v>34</v>
      </c>
      <c r="K63">
        <v>2020</v>
      </c>
      <c r="L63" t="s">
        <v>486</v>
      </c>
      <c r="M63"/>
      <c r="N63"/>
      <c r="O63"/>
      <c r="P63"/>
      <c r="Q6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15.448765171609974</v>
      </c>
      <c r="V63" s="254" t="str">
        <f>IFERROR(_xlfn.XLOOKUP("*"&amp;TRIM(Fusion[[#This Row],[Confinement Type]])&amp;"*", Map_Conf[From], Map_Conf[To], "", 2), "")</f>
        <v>MCF</v>
      </c>
      <c r="W63" s="255" t="str" cm="1">
        <f t="array" ref="W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4" spans="1:23" hidden="1">
      <c r="B64" t="s">
        <v>1102</v>
      </c>
      <c r="C64" t="s">
        <v>61</v>
      </c>
      <c r="D64" t="s">
        <v>62</v>
      </c>
      <c r="E64">
        <v>1164</v>
      </c>
      <c r="F64" t="s">
        <v>493</v>
      </c>
      <c r="G64" t="s">
        <v>32</v>
      </c>
      <c r="H64" t="s">
        <v>33</v>
      </c>
      <c r="I64">
        <v>7763760</v>
      </c>
      <c r="J64" t="s">
        <v>34</v>
      </c>
      <c r="K64">
        <v>1984</v>
      </c>
      <c r="L64" t="s">
        <v>938</v>
      </c>
      <c r="O64" t="s">
        <v>1104</v>
      </c>
      <c r="P64" t="s">
        <v>148</v>
      </c>
      <c r="Q6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16.119901854479426</v>
      </c>
      <c r="V64" s="107" t="str">
        <f>IFERROR(_xlfn.XLOOKUP("*"&amp;TRIM(Fusion[[#This Row],[Confinement Type]])&amp;"*", Map_Conf[From], Map_Conf[To], "", 2), "")</f>
        <v>MCF</v>
      </c>
      <c r="W64" s="108" t="str" cm="1">
        <f t="array" ref="W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5" spans="1:23" hidden="1">
      <c r="B65" t="s">
        <v>941</v>
      </c>
      <c r="C65" t="s">
        <v>61</v>
      </c>
      <c r="D65" t="s">
        <v>62</v>
      </c>
      <c r="E65">
        <v>1209</v>
      </c>
      <c r="F65" t="s">
        <v>493</v>
      </c>
      <c r="G65" t="s">
        <v>32</v>
      </c>
      <c r="H65" t="s">
        <v>33</v>
      </c>
      <c r="I65">
        <v>8363400</v>
      </c>
      <c r="J65" t="s">
        <v>34</v>
      </c>
      <c r="K65">
        <v>1984</v>
      </c>
      <c r="L65" t="s">
        <v>938</v>
      </c>
      <c r="O65" t="s">
        <v>1098</v>
      </c>
      <c r="Q6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16.718597396332129</v>
      </c>
      <c r="V65" s="107" t="str">
        <f>IFERROR(_xlfn.XLOOKUP("*"&amp;TRIM(Fusion[[#This Row],[Confinement Type]])&amp;"*", Map_Conf[From], Map_Conf[To], "", 2), "")</f>
        <v>MCF</v>
      </c>
      <c r="W65" s="108" t="str" cm="1">
        <f t="array" ref="W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6" spans="1:23" hidden="1">
      <c r="A66">
        <v>258</v>
      </c>
      <c r="B66" t="s">
        <v>286</v>
      </c>
      <c r="C66" t="s">
        <v>61</v>
      </c>
      <c r="D66" t="s">
        <v>278</v>
      </c>
      <c r="E66">
        <v>1601</v>
      </c>
      <c r="F66" t="s">
        <v>63</v>
      </c>
      <c r="G66" t="s">
        <v>57</v>
      </c>
      <c r="H66" t="s">
        <v>76</v>
      </c>
      <c r="I66">
        <v>2.1999999999999999E-2</v>
      </c>
      <c r="J66" t="s">
        <v>77</v>
      </c>
      <c r="K66">
        <v>2002</v>
      </c>
      <c r="L66" t="s">
        <v>287</v>
      </c>
      <c r="Q6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3.0707915508615898E-2</v>
      </c>
      <c r="R6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6" s="107" t="str">
        <f>IFERROR(_xlfn.XLOOKUP("*"&amp;TRIM(Fusion[[#This Row],[Confinement Type]])&amp;"*", Map_Conf[From], Map_Conf[To], "", 2), "")</f>
        <v>MCF</v>
      </c>
      <c r="W66" s="108" t="str" cm="1">
        <f t="array" ref="W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 spans="1:23" hidden="1">
      <c r="B67" t="s">
        <v>940</v>
      </c>
      <c r="C67" t="s">
        <v>61</v>
      </c>
      <c r="D67" t="s">
        <v>62</v>
      </c>
      <c r="E67">
        <v>1203</v>
      </c>
      <c r="F67" t="s">
        <v>493</v>
      </c>
      <c r="G67" t="s">
        <v>32</v>
      </c>
      <c r="H67" t="s">
        <v>33</v>
      </c>
      <c r="I67">
        <v>11456280</v>
      </c>
      <c r="J67" t="s">
        <v>34</v>
      </c>
      <c r="K67">
        <v>1984</v>
      </c>
      <c r="L67" t="s">
        <v>938</v>
      </c>
      <c r="O67" t="s">
        <v>1098</v>
      </c>
      <c r="Q6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23.015545047871178</v>
      </c>
      <c r="V67" s="107" t="str">
        <f>IFERROR(_xlfn.XLOOKUP("*"&amp;TRIM(Fusion[[#This Row],[Confinement Type]])&amp;"*", Map_Conf[From], Map_Conf[To], "", 2), "")</f>
        <v>MCF</v>
      </c>
      <c r="W67" s="108" t="str" cm="1">
        <f t="array" ref="W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8" spans="1:23" hidden="1">
      <c r="B68" t="s">
        <v>939</v>
      </c>
      <c r="C68" t="s">
        <v>61</v>
      </c>
      <c r="D68" t="s">
        <v>62</v>
      </c>
      <c r="E68">
        <v>1247</v>
      </c>
      <c r="F68" t="s">
        <v>493</v>
      </c>
      <c r="G68" t="s">
        <v>32</v>
      </c>
      <c r="H68" t="s">
        <v>33</v>
      </c>
      <c r="I68">
        <v>12024360</v>
      </c>
      <c r="J68" t="s">
        <v>34</v>
      </c>
      <c r="K68">
        <v>1984</v>
      </c>
      <c r="L68" t="s">
        <v>938</v>
      </c>
      <c r="O68" t="s">
        <v>1098</v>
      </c>
      <c r="P68" t="s">
        <v>461</v>
      </c>
      <c r="Q6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23.304446293973676</v>
      </c>
      <c r="V68" s="107" t="str">
        <f>IFERROR(_xlfn.XLOOKUP("*"&amp;TRIM(Fusion[[#This Row],[Confinement Type]])&amp;"*", Map_Conf[From], Map_Conf[To], "", 2), "")</f>
        <v>MCF</v>
      </c>
      <c r="W68" s="108" t="str" cm="1">
        <f t="array" ref="W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9" spans="1:23" hidden="1">
      <c r="A69">
        <v>111</v>
      </c>
      <c r="B69" t="s">
        <v>172</v>
      </c>
      <c r="C69" t="s">
        <v>61</v>
      </c>
      <c r="D69" t="s">
        <v>113</v>
      </c>
      <c r="E69">
        <v>1200</v>
      </c>
      <c r="F69" t="s">
        <v>115</v>
      </c>
      <c r="G69" t="s">
        <v>52</v>
      </c>
      <c r="H69" t="s">
        <v>33</v>
      </c>
      <c r="I69">
        <v>14519999.999999998</v>
      </c>
      <c r="J69" t="s">
        <v>34</v>
      </c>
      <c r="K69">
        <v>1986</v>
      </c>
      <c r="L69" t="s">
        <v>147</v>
      </c>
      <c r="O69" t="s">
        <v>691</v>
      </c>
      <c r="Q6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27.722579379562042</v>
      </c>
      <c r="V69" s="107" t="str">
        <f>IFERROR(_xlfn.XLOOKUP("*"&amp;TRIM(Fusion[[#This Row],[Confinement Type]])&amp;"*", Map_Conf[From], Map_Conf[To], "", 2), "")</f>
        <v>MCF</v>
      </c>
      <c r="W69" s="108" t="str" cm="1">
        <f t="array" ref="W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70" spans="1:23" hidden="1">
      <c r="A70">
        <v>250</v>
      </c>
      <c r="B70" t="s">
        <v>281</v>
      </c>
      <c r="C70" t="s">
        <v>61</v>
      </c>
      <c r="D70" t="s">
        <v>278</v>
      </c>
      <c r="E70">
        <v>1940</v>
      </c>
      <c r="F70" t="s">
        <v>115</v>
      </c>
      <c r="G70" t="s">
        <v>57</v>
      </c>
      <c r="H70" t="s">
        <v>33</v>
      </c>
      <c r="I70">
        <v>43171000</v>
      </c>
      <c r="J70" t="s">
        <v>34</v>
      </c>
      <c r="K70">
        <v>2003</v>
      </c>
      <c r="L70" t="s">
        <v>279</v>
      </c>
      <c r="O70" t="s">
        <v>282</v>
      </c>
      <c r="P70" t="s">
        <v>673</v>
      </c>
      <c r="Q7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30.369061791237115</v>
      </c>
      <c r="V70" s="107" t="str">
        <f>IFERROR(_xlfn.XLOOKUP("*"&amp;TRIM(Fusion[[#This Row],[Confinement Type]])&amp;"*", Map_Conf[From], Map_Conf[To], "", 2), "")</f>
        <v>MCF</v>
      </c>
      <c r="W70" s="108" t="str" cm="1">
        <f t="array" ref="W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1" spans="1:23" hidden="1">
      <c r="A71">
        <v>109</v>
      </c>
      <c r="B71" t="s">
        <v>170</v>
      </c>
      <c r="C71" t="s">
        <v>61</v>
      </c>
      <c r="D71" t="s">
        <v>113</v>
      </c>
      <c r="E71">
        <v>1200</v>
      </c>
      <c r="F71" t="s">
        <v>115</v>
      </c>
      <c r="G71" t="s">
        <v>52</v>
      </c>
      <c r="H71" t="s">
        <v>33</v>
      </c>
      <c r="I71">
        <v>17920000</v>
      </c>
      <c r="J71" t="s">
        <v>34</v>
      </c>
      <c r="K71">
        <v>1986</v>
      </c>
      <c r="L71" t="s">
        <v>147</v>
      </c>
      <c r="O71" t="s">
        <v>691</v>
      </c>
      <c r="Q7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34.214092457420932</v>
      </c>
      <c r="V71" s="107" t="str">
        <f>IFERROR(_xlfn.XLOOKUP("*"&amp;TRIM(Fusion[[#This Row],[Confinement Type]])&amp;"*", Map_Conf[From], Map_Conf[To], "", 2), "")</f>
        <v>MCF</v>
      </c>
      <c r="W71" s="108" t="str" cm="1">
        <f t="array" ref="W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2" spans="1:23" hidden="1">
      <c r="A72">
        <v>529</v>
      </c>
      <c r="B72" t="s">
        <v>492</v>
      </c>
      <c r="C72" t="s">
        <v>470</v>
      </c>
      <c r="D72" t="s">
        <v>471</v>
      </c>
      <c r="E72">
        <v>814.4</v>
      </c>
      <c r="F72" t="s">
        <v>115</v>
      </c>
      <c r="G72" t="s">
        <v>754</v>
      </c>
      <c r="H72" t="s">
        <v>33</v>
      </c>
      <c r="I72">
        <v>29500000</v>
      </c>
      <c r="J72" t="s">
        <v>34</v>
      </c>
      <c r="K72">
        <v>2020</v>
      </c>
      <c r="L72" t="s">
        <v>486</v>
      </c>
      <c r="Q7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35.144740399991051</v>
      </c>
      <c r="V72" s="107" t="str">
        <f>IFERROR(_xlfn.XLOOKUP("*"&amp;TRIM(Fusion[[#This Row],[Confinement Type]])&amp;"*", Map_Conf[From], Map_Conf[To], "", 2), "")</f>
        <v>MCF</v>
      </c>
      <c r="W72" s="108" t="str" cm="1">
        <f t="array" ref="W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3" spans="1:23" hidden="1">
      <c r="B73" t="s">
        <v>797</v>
      </c>
      <c r="C73" t="s">
        <v>30</v>
      </c>
      <c r="D73" t="s">
        <v>798</v>
      </c>
      <c r="E73">
        <v>999</v>
      </c>
      <c r="F73" t="s">
        <v>115</v>
      </c>
      <c r="G73" t="s">
        <v>52</v>
      </c>
      <c r="H73" t="s">
        <v>33</v>
      </c>
      <c r="I73">
        <v>20170000</v>
      </c>
      <c r="J73" t="s">
        <v>34</v>
      </c>
      <c r="K73">
        <v>1991</v>
      </c>
      <c r="L73" t="s">
        <v>799</v>
      </c>
      <c r="O73" t="s">
        <v>801</v>
      </c>
      <c r="Q7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37.223921351601234</v>
      </c>
      <c r="V73" s="107" t="str">
        <f>IFERROR(_xlfn.XLOOKUP("*"&amp;TRIM(Fusion[[#This Row],[Confinement Type]])&amp;"*", Map_Conf[From], Map_Conf[To], "", 2), "")</f>
        <v>MCF</v>
      </c>
      <c r="W73" s="108" t="str" cm="1">
        <f t="array" ref="W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4" spans="1:23" hidden="1">
      <c r="A74">
        <v>96</v>
      </c>
      <c r="B74" t="s">
        <v>165</v>
      </c>
      <c r="C74" t="s">
        <v>61</v>
      </c>
      <c r="D74" t="s">
        <v>62</v>
      </c>
      <c r="E74">
        <v>1200</v>
      </c>
      <c r="F74" t="s">
        <v>115</v>
      </c>
      <c r="G74" t="s">
        <v>52</v>
      </c>
      <c r="H74" t="s">
        <v>33</v>
      </c>
      <c r="I74">
        <v>20470000.000000007</v>
      </c>
      <c r="J74" t="s">
        <v>34</v>
      </c>
      <c r="K74">
        <v>1986</v>
      </c>
      <c r="L74" t="s">
        <v>147</v>
      </c>
      <c r="O74" t="s">
        <v>691</v>
      </c>
      <c r="Q7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39.082727265815109</v>
      </c>
      <c r="V74" s="107" t="str">
        <f>IFERROR(_xlfn.XLOOKUP("*"&amp;TRIM(Fusion[[#This Row],[Confinement Type]])&amp;"*", Map_Conf[From], Map_Conf[To], "", 2), "")</f>
        <v>MCF</v>
      </c>
      <c r="W74" s="108" t="str" cm="1">
        <f t="array" ref="W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5" spans="1:23" s="4" customFormat="1" hidden="1">
      <c r="A75">
        <v>116</v>
      </c>
      <c r="B75" t="s">
        <v>174</v>
      </c>
      <c r="C75" t="s">
        <v>61</v>
      </c>
      <c r="D75" t="s">
        <v>62</v>
      </c>
      <c r="E75">
        <v>1200</v>
      </c>
      <c r="F75" t="s">
        <v>115</v>
      </c>
      <c r="G75" t="s">
        <v>52</v>
      </c>
      <c r="H75" t="s">
        <v>33</v>
      </c>
      <c r="I75">
        <v>22490000.000000004</v>
      </c>
      <c r="J75" t="s">
        <v>34</v>
      </c>
      <c r="K75">
        <v>1986</v>
      </c>
      <c r="L75" t="s">
        <v>147</v>
      </c>
      <c r="M75"/>
      <c r="N75"/>
      <c r="O75" t="s">
        <v>691</v>
      </c>
      <c r="P75" t="s">
        <v>504</v>
      </c>
      <c r="Q7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42.939449741484196</v>
      </c>
      <c r="V75" s="254" t="str">
        <f>IFERROR(_xlfn.XLOOKUP("*"&amp;TRIM(Fusion[[#This Row],[Confinement Type]])&amp;"*", Map_Conf[From], Map_Conf[To], "", 2), "")</f>
        <v>MCF</v>
      </c>
      <c r="W75" s="255" t="str" cm="1">
        <f t="array" ref="W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6" spans="1:23" s="4" customFormat="1" hidden="1">
      <c r="A76">
        <v>6</v>
      </c>
      <c r="B76" t="s">
        <v>60</v>
      </c>
      <c r="C76" t="s">
        <v>61</v>
      </c>
      <c r="D76" t="s">
        <v>62</v>
      </c>
      <c r="E76">
        <v>1200</v>
      </c>
      <c r="F76" t="s">
        <v>115</v>
      </c>
      <c r="G76" t="s">
        <v>52</v>
      </c>
      <c r="H76" t="s">
        <v>33</v>
      </c>
      <c r="I76">
        <v>17360000</v>
      </c>
      <c r="J76" t="s">
        <v>34</v>
      </c>
      <c r="K76">
        <v>1980</v>
      </c>
      <c r="L76" t="s">
        <v>975</v>
      </c>
      <c r="M76"/>
      <c r="N76"/>
      <c r="O76" t="s">
        <v>78</v>
      </c>
      <c r="P76" t="s">
        <v>236</v>
      </c>
      <c r="Q7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44.085937702265369</v>
      </c>
      <c r="V76" s="254" t="str">
        <f>IFERROR(_xlfn.XLOOKUP("*"&amp;TRIM(Fusion[[#This Row],[Confinement Type]])&amp;"*", Map_Conf[From], Map_Conf[To], "", 2), "")</f>
        <v>MCF</v>
      </c>
      <c r="W76" s="255" t="str" cm="1">
        <f t="array" ref="W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7" spans="1:23" s="4" customFormat="1" hidden="1">
      <c r="A77"/>
      <c r="B77" t="s">
        <v>795</v>
      </c>
      <c r="C77" t="s">
        <v>30</v>
      </c>
      <c r="D77" t="s">
        <v>796</v>
      </c>
      <c r="E77">
        <v>972</v>
      </c>
      <c r="F77" t="s">
        <v>115</v>
      </c>
      <c r="G77" t="s">
        <v>52</v>
      </c>
      <c r="H77" t="s">
        <v>33</v>
      </c>
      <c r="I77">
        <v>24290000</v>
      </c>
      <c r="J77" t="s">
        <v>34</v>
      </c>
      <c r="K77">
        <v>1991</v>
      </c>
      <c r="L77" t="s">
        <v>799</v>
      </c>
      <c r="M77"/>
      <c r="N77"/>
      <c r="O77" t="s">
        <v>801</v>
      </c>
      <c r="P77"/>
      <c r="Q7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46.072625511381837</v>
      </c>
      <c r="V77" s="254" t="str">
        <f>IFERROR(_xlfn.XLOOKUP("*"&amp;TRIM(Fusion[[#This Row],[Confinement Type]])&amp;"*", Map_Conf[From], Map_Conf[To], "", 2), "")</f>
        <v>MCF</v>
      </c>
      <c r="W77" s="255" t="str" cm="1">
        <f t="array" ref="W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78" spans="1:23" hidden="1">
      <c r="A78">
        <v>256</v>
      </c>
      <c r="B78" t="s">
        <v>286</v>
      </c>
      <c r="C78" t="s">
        <v>61</v>
      </c>
      <c r="D78" t="s">
        <v>278</v>
      </c>
      <c r="E78">
        <v>1604</v>
      </c>
      <c r="F78" t="s">
        <v>63</v>
      </c>
      <c r="G78" t="s">
        <v>57</v>
      </c>
      <c r="H78" t="s">
        <v>76</v>
      </c>
      <c r="I78">
        <v>2.3E-2</v>
      </c>
      <c r="J78" t="s">
        <v>77</v>
      </c>
      <c r="K78">
        <v>2002</v>
      </c>
      <c r="L78" t="s">
        <v>287</v>
      </c>
      <c r="O78" t="s">
        <v>288</v>
      </c>
      <c r="Q7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3.2103729849916621E-2</v>
      </c>
      <c r="R7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78" s="107" t="str">
        <f>IFERROR(_xlfn.XLOOKUP("*"&amp;TRIM(Fusion[[#This Row],[Confinement Type]])&amp;"*", Map_Conf[From], Map_Conf[To], "", 2), "")</f>
        <v>MCF</v>
      </c>
      <c r="W78" s="108" t="str" cm="1">
        <f t="array" ref="W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79" spans="1:23" hidden="1">
      <c r="A79">
        <v>519</v>
      </c>
      <c r="B79" t="s">
        <v>488</v>
      </c>
      <c r="C79" t="s">
        <v>470</v>
      </c>
      <c r="D79" t="s">
        <v>471</v>
      </c>
      <c r="E79">
        <v>383.1</v>
      </c>
      <c r="F79" t="s">
        <v>63</v>
      </c>
      <c r="G79" t="s">
        <v>754</v>
      </c>
      <c r="H79" t="s">
        <v>76</v>
      </c>
      <c r="I79">
        <v>3.3108631671902464E-2</v>
      </c>
      <c r="J79" t="s">
        <v>128</v>
      </c>
      <c r="K79">
        <v>2020</v>
      </c>
      <c r="L79" t="s">
        <v>486</v>
      </c>
      <c r="Q7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3.2123090491657666E-2</v>
      </c>
      <c r="R7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79" s="107" t="str">
        <f>IFERROR(_xlfn.XLOOKUP("*"&amp;TRIM(Fusion[[#This Row],[Confinement Type]])&amp;"*", Map_Conf[From], Map_Conf[To], "", 2), "")</f>
        <v>MCF</v>
      </c>
      <c r="W79" s="108" t="str" cm="1">
        <f t="array" ref="W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0" spans="1:23" s="4" customFormat="1" hidden="1">
      <c r="A80">
        <v>576</v>
      </c>
      <c r="B80" t="s">
        <v>513</v>
      </c>
      <c r="C80" t="s">
        <v>61</v>
      </c>
      <c r="D80" t="s">
        <v>62</v>
      </c>
      <c r="E80">
        <v>1000</v>
      </c>
      <c r="F80" t="s">
        <v>63</v>
      </c>
      <c r="G80" t="s">
        <v>57</v>
      </c>
      <c r="H80" t="s">
        <v>76</v>
      </c>
      <c r="I80">
        <v>0.04</v>
      </c>
      <c r="J80" t="s">
        <v>77</v>
      </c>
      <c r="K80">
        <v>2011</v>
      </c>
      <c r="L80" t="s">
        <v>507</v>
      </c>
      <c r="M80"/>
      <c r="N80"/>
      <c r="O80" t="s">
        <v>504</v>
      </c>
      <c r="P80"/>
      <c r="Q8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4.4653350463903556E-2</v>
      </c>
      <c r="R8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80" s="254" t="str">
        <f>IFERROR(_xlfn.XLOOKUP("*"&amp;TRIM(Fusion[[#This Row],[Confinement Type]])&amp;"*", Map_Conf[From], Map_Conf[To], "", 2), "")</f>
        <v>MCF</v>
      </c>
      <c r="W80" s="255" t="str" cm="1">
        <f t="array" ref="W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81" spans="1:23" s="4" customFormat="1" hidden="1">
      <c r="A81"/>
      <c r="B81" t="s">
        <v>737</v>
      </c>
      <c r="C81" t="s">
        <v>61</v>
      </c>
      <c r="D81" t="s">
        <v>62</v>
      </c>
      <c r="E81">
        <v>1000</v>
      </c>
      <c r="F81" t="s">
        <v>115</v>
      </c>
      <c r="G81" t="s">
        <v>52</v>
      </c>
      <c r="H81" t="s">
        <v>33</v>
      </c>
      <c r="I81">
        <v>55000000</v>
      </c>
      <c r="J81" t="s">
        <v>34</v>
      </c>
      <c r="K81">
        <v>2010</v>
      </c>
      <c r="L81" t="s">
        <v>732</v>
      </c>
      <c r="M81"/>
      <c r="N81"/>
      <c r="O81"/>
      <c r="P81"/>
      <c r="Q8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8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63.336413581832183</v>
      </c>
      <c r="V81" s="254" t="str">
        <f>IFERROR(_xlfn.XLOOKUP("*"&amp;TRIM(Fusion[[#This Row],[Confinement Type]])&amp;"*", Map_Conf[From], Map_Conf[To], "", 2), "")</f>
        <v>MCF</v>
      </c>
      <c r="W81" s="255" t="str" cm="1">
        <f t="array" ref="W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82" spans="1:23" s="4" customFormat="1" hidden="1">
      <c r="A82"/>
      <c r="B82" t="s">
        <v>736</v>
      </c>
      <c r="C82" t="s">
        <v>61</v>
      </c>
      <c r="D82" t="s">
        <v>62</v>
      </c>
      <c r="E82">
        <v>1000</v>
      </c>
      <c r="F82" t="s">
        <v>115</v>
      </c>
      <c r="G82" t="s">
        <v>52</v>
      </c>
      <c r="H82" t="s">
        <v>33</v>
      </c>
      <c r="I82">
        <v>55000000</v>
      </c>
      <c r="J82" t="s">
        <v>34</v>
      </c>
      <c r="K82">
        <v>2010</v>
      </c>
      <c r="L82" t="s">
        <v>732</v>
      </c>
      <c r="M82"/>
      <c r="N82"/>
      <c r="O82"/>
      <c r="P82"/>
      <c r="Q8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8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63.336413581832183</v>
      </c>
      <c r="V82" s="254" t="str">
        <f>IFERROR(_xlfn.XLOOKUP("*"&amp;TRIM(Fusion[[#This Row],[Confinement Type]])&amp;"*", Map_Conf[From], Map_Conf[To], "", 2), "")</f>
        <v>MCF</v>
      </c>
      <c r="W82" s="255" t="str" cm="1">
        <f t="array" ref="W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3" spans="1:23" s="4" customFormat="1" hidden="1">
      <c r="A83">
        <v>582</v>
      </c>
      <c r="B83" t="s">
        <v>514</v>
      </c>
      <c r="C83" t="s">
        <v>61</v>
      </c>
      <c r="D83" t="s">
        <v>107</v>
      </c>
      <c r="E83">
        <v>1000</v>
      </c>
      <c r="F83" t="s">
        <v>63</v>
      </c>
      <c r="G83" t="s">
        <v>57</v>
      </c>
      <c r="H83" t="s">
        <v>76</v>
      </c>
      <c r="I83">
        <v>0.04</v>
      </c>
      <c r="J83" t="s">
        <v>77</v>
      </c>
      <c r="K83">
        <v>2008</v>
      </c>
      <c r="L83" t="s">
        <v>507</v>
      </c>
      <c r="M83"/>
      <c r="N83"/>
      <c r="O83" t="s">
        <v>504</v>
      </c>
      <c r="P83"/>
      <c r="Q8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4.6651834855993654E-2</v>
      </c>
      <c r="R8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83" s="254" t="str">
        <f>IFERROR(_xlfn.XLOOKUP("*"&amp;TRIM(Fusion[[#This Row],[Confinement Type]])&amp;"*", Map_Conf[From], Map_Conf[To], "", 2), "")</f>
        <v>MCF</v>
      </c>
      <c r="W83" s="255" t="str" cm="1">
        <f t="array" ref="W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4" spans="1:23" s="4" customFormat="1" hidden="1">
      <c r="A84">
        <v>588</v>
      </c>
      <c r="B84" t="s">
        <v>515</v>
      </c>
      <c r="C84" t="s">
        <v>61</v>
      </c>
      <c r="D84" t="s">
        <v>278</v>
      </c>
      <c r="E84">
        <v>1000</v>
      </c>
      <c r="F84" t="s">
        <v>63</v>
      </c>
      <c r="G84" t="s">
        <v>57</v>
      </c>
      <c r="H84" t="s">
        <v>76</v>
      </c>
      <c r="I84">
        <v>0.04</v>
      </c>
      <c r="J84" t="s">
        <v>77</v>
      </c>
      <c r="K84">
        <v>2008</v>
      </c>
      <c r="L84" t="s">
        <v>507</v>
      </c>
      <c r="M84"/>
      <c r="N84"/>
      <c r="O84" t="s">
        <v>504</v>
      </c>
      <c r="P84" t="s">
        <v>704</v>
      </c>
      <c r="Q8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4.6651834855993654E-2</v>
      </c>
      <c r="R8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84" s="254" t="str">
        <f>IFERROR(_xlfn.XLOOKUP("*"&amp;TRIM(Fusion[[#This Row],[Confinement Type]])&amp;"*", Map_Conf[From], Map_Conf[To], "", 2), "")</f>
        <v>MCF</v>
      </c>
      <c r="W84" s="255" t="str" cm="1">
        <f t="array" ref="W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85" spans="1:23" hidden="1">
      <c r="B85" t="s">
        <v>735</v>
      </c>
      <c r="C85" t="s">
        <v>61</v>
      </c>
      <c r="D85" t="s">
        <v>62</v>
      </c>
      <c r="E85">
        <v>1450</v>
      </c>
      <c r="F85" t="s">
        <v>63</v>
      </c>
      <c r="G85" t="s">
        <v>52</v>
      </c>
      <c r="H85" t="s">
        <v>76</v>
      </c>
      <c r="I85">
        <v>4.1988138350915867E-2</v>
      </c>
      <c r="J85" t="s">
        <v>128</v>
      </c>
      <c r="K85">
        <v>2010</v>
      </c>
      <c r="L85" t="s">
        <v>732</v>
      </c>
      <c r="Q8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4.8352329020450842E-2</v>
      </c>
      <c r="R8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85" s="107" t="str">
        <f>IFERROR(_xlfn.XLOOKUP("*"&amp;TRIM(Fusion[[#This Row],[Confinement Type]])&amp;"*", Map_Conf[From], Map_Conf[To], "", 2), "")</f>
        <v>MCF</v>
      </c>
      <c r="W85" s="108" t="str" cm="1">
        <f t="array" ref="W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6" spans="1:23" s="4" customFormat="1" hidden="1">
      <c r="A86">
        <v>160</v>
      </c>
      <c r="B86" t="s">
        <v>207</v>
      </c>
      <c r="C86" t="s">
        <v>61</v>
      </c>
      <c r="D86" t="s">
        <v>62</v>
      </c>
      <c r="E86">
        <v>1000</v>
      </c>
      <c r="F86" t="s">
        <v>63</v>
      </c>
      <c r="G86" t="s">
        <v>52</v>
      </c>
      <c r="H86" t="s">
        <v>76</v>
      </c>
      <c r="I86">
        <v>0.03</v>
      </c>
      <c r="J86" t="s">
        <v>77</v>
      </c>
      <c r="K86">
        <v>1992</v>
      </c>
      <c r="L86" t="s">
        <v>208</v>
      </c>
      <c r="M86"/>
      <c r="N86"/>
      <c r="O86"/>
      <c r="P86"/>
      <c r="Q8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5.3693585174625795E-2</v>
      </c>
      <c r="R8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86" s="254" t="str">
        <f>IFERROR(_xlfn.XLOOKUP("*"&amp;TRIM(Fusion[[#This Row],[Confinement Type]])&amp;"*", Map_Conf[From], Map_Conf[To], "", 2), "")</f>
        <v>MCF</v>
      </c>
      <c r="W86" s="255" t="str" cm="1">
        <f t="array" ref="W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87" spans="1:23" s="4" customFormat="1">
      <c r="A87">
        <v>169</v>
      </c>
      <c r="B87" t="s">
        <v>213</v>
      </c>
      <c r="C87" t="s">
        <v>61</v>
      </c>
      <c r="D87" t="s">
        <v>62</v>
      </c>
      <c r="E87">
        <v>1332</v>
      </c>
      <c r="F87" t="s">
        <v>116</v>
      </c>
      <c r="G87" t="s">
        <v>52</v>
      </c>
      <c r="H87" t="s">
        <v>76</v>
      </c>
      <c r="I87">
        <v>8.0000000000000002E-3</v>
      </c>
      <c r="J87" t="s">
        <v>1111</v>
      </c>
      <c r="K87">
        <v>2005</v>
      </c>
      <c r="L87" t="s">
        <v>1110</v>
      </c>
      <c r="M87"/>
      <c r="N87"/>
      <c r="O87"/>
      <c r="P87" t="s">
        <v>504</v>
      </c>
      <c r="Q8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12.805042674859189</v>
      </c>
      <c r="R87"/>
      <c r="V87" s="254" t="str">
        <f>IFERROR(_xlfn.XLOOKUP("*"&amp;TRIM(Fusion[[#This Row],[Confinement Type]])&amp;"*", Map_Conf[From], Map_Conf[To], "", 2), "")</f>
        <v>MCF</v>
      </c>
      <c r="W87" s="255" t="str" cm="1">
        <f t="array" ref="W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8" spans="1:23" s="4" customFormat="1" hidden="1">
      <c r="A88"/>
      <c r="B88" t="s">
        <v>200</v>
      </c>
      <c r="C88" t="s">
        <v>61</v>
      </c>
      <c r="D88" t="s">
        <v>62</v>
      </c>
      <c r="E88">
        <v>1000</v>
      </c>
      <c r="F88" t="s">
        <v>115</v>
      </c>
      <c r="G88" t="s">
        <v>52</v>
      </c>
      <c r="H88" t="s">
        <v>33</v>
      </c>
      <c r="I88">
        <v>63900000</v>
      </c>
      <c r="J88" t="s">
        <v>34</v>
      </c>
      <c r="K88">
        <v>2010</v>
      </c>
      <c r="L88" t="s">
        <v>732</v>
      </c>
      <c r="M88"/>
      <c r="N88"/>
      <c r="O88"/>
      <c r="P88"/>
      <c r="Q8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8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73.585396870528655</v>
      </c>
      <c r="V88" s="254" t="str">
        <f>IFERROR(_xlfn.XLOOKUP("*"&amp;TRIM(Fusion[[#This Row],[Confinement Type]])&amp;"*", Map_Conf[From], Map_Conf[To], "", 2), "")</f>
        <v>MCF</v>
      </c>
      <c r="W88" s="255" t="str" cm="1">
        <f t="array" ref="W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89" spans="1:23" s="4" customFormat="1">
      <c r="A89">
        <v>378</v>
      </c>
      <c r="B89" t="s">
        <v>695</v>
      </c>
      <c r="C89" t="s">
        <v>61</v>
      </c>
      <c r="D89" t="s">
        <v>62</v>
      </c>
      <c r="E89">
        <v>1200</v>
      </c>
      <c r="F89" t="s">
        <v>116</v>
      </c>
      <c r="G89" t="s">
        <v>52</v>
      </c>
      <c r="H89" t="s">
        <v>76</v>
      </c>
      <c r="I89">
        <v>6.7</v>
      </c>
      <c r="J89" t="s">
        <v>77</v>
      </c>
      <c r="K89">
        <v>1990</v>
      </c>
      <c r="L89" t="s">
        <v>369</v>
      </c>
      <c r="M89"/>
      <c r="N89"/>
      <c r="O89"/>
      <c r="P89"/>
      <c r="Q8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12.872355776587607</v>
      </c>
      <c r="R8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89" s="254" t="str">
        <f>IFERROR(_xlfn.XLOOKUP("*"&amp;TRIM(Fusion[[#This Row],[Confinement Type]])&amp;"*", Map_Conf[From], Map_Conf[To], "", 2), "")</f>
        <v>MCF</v>
      </c>
      <c r="W89" s="255" t="str" cm="1">
        <f t="array" ref="W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0" spans="1:23" s="4" customFormat="1">
      <c r="A90">
        <v>562</v>
      </c>
      <c r="B90" t="s">
        <v>506</v>
      </c>
      <c r="C90" t="s">
        <v>61</v>
      </c>
      <c r="D90" t="s">
        <v>62</v>
      </c>
      <c r="E90">
        <v>1000</v>
      </c>
      <c r="F90" t="s">
        <v>116</v>
      </c>
      <c r="G90" t="s">
        <v>57</v>
      </c>
      <c r="H90" t="s">
        <v>76</v>
      </c>
      <c r="I90">
        <v>11.7</v>
      </c>
      <c r="J90" t="s">
        <v>77</v>
      </c>
      <c r="K90">
        <v>2011</v>
      </c>
      <c r="L90" t="s">
        <v>507</v>
      </c>
      <c r="M90"/>
      <c r="N90"/>
      <c r="O90" t="s">
        <v>504</v>
      </c>
      <c r="P90"/>
      <c r="Q9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13.061105010691788</v>
      </c>
      <c r="R9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90" s="254" t="str">
        <f>IFERROR(_xlfn.XLOOKUP("*"&amp;TRIM(Fusion[[#This Row],[Confinement Type]])&amp;"*", Map_Conf[From], Map_Conf[To], "", 2), "")</f>
        <v>MCF</v>
      </c>
      <c r="W90" s="255" t="str" cm="1">
        <f t="array" ref="W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1" spans="1:23" s="4" customFormat="1">
      <c r="A91" s="4">
        <v>568</v>
      </c>
      <c r="B91" s="4" t="s">
        <v>508</v>
      </c>
      <c r="C91" s="4" t="s">
        <v>61</v>
      </c>
      <c r="D91" s="4" t="s">
        <v>62</v>
      </c>
      <c r="E91" s="4">
        <v>1000</v>
      </c>
      <c r="F91" s="4" t="s">
        <v>116</v>
      </c>
      <c r="G91" s="4" t="s">
        <v>57</v>
      </c>
      <c r="H91" s="4" t="s">
        <v>76</v>
      </c>
      <c r="I91" s="4">
        <v>11.9</v>
      </c>
      <c r="J91" s="4" t="s">
        <v>77</v>
      </c>
      <c r="K91" s="4">
        <v>2011</v>
      </c>
      <c r="L91" s="4" t="s">
        <v>507</v>
      </c>
      <c r="M91"/>
      <c r="N91"/>
      <c r="O91" s="4" t="s">
        <v>504</v>
      </c>
      <c r="Q91"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13.284371763011308</v>
      </c>
      <c r="R9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91" s="254" t="str">
        <f>IFERROR(_xlfn.XLOOKUP("*"&amp;TRIM(Fusion[[#This Row],[Confinement Type]])&amp;"*", Map_Conf[From], Map_Conf[To], "", 2), "")</f>
        <v>MCF</v>
      </c>
      <c r="W91" s="255" t="str" cm="1">
        <f t="array" ref="W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92" spans="1:23" s="4" customFormat="1">
      <c r="A92" s="4">
        <v>587</v>
      </c>
      <c r="B92" s="4" t="s">
        <v>515</v>
      </c>
      <c r="C92" s="4" t="s">
        <v>61</v>
      </c>
      <c r="D92" s="4" t="s">
        <v>278</v>
      </c>
      <c r="E92" s="4">
        <v>1000</v>
      </c>
      <c r="F92" s="4" t="s">
        <v>116</v>
      </c>
      <c r="G92" s="4" t="s">
        <v>57</v>
      </c>
      <c r="H92" s="4" t="s">
        <v>76</v>
      </c>
      <c r="I92" s="4">
        <v>11</v>
      </c>
      <c r="J92" s="4" t="s">
        <v>77</v>
      </c>
      <c r="K92" s="4">
        <v>2007</v>
      </c>
      <c r="L92" s="4" t="s">
        <v>507</v>
      </c>
      <c r="M92"/>
      <c r="N92"/>
      <c r="O92" s="4" t="s">
        <v>504</v>
      </c>
      <c r="Q92"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13.321840244620001</v>
      </c>
      <c r="R9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92" s="254" t="str">
        <f>IFERROR(_xlfn.XLOOKUP("*"&amp;TRIM(Fusion[[#This Row],[Confinement Type]])&amp;"*", Map_Conf[From], Map_Conf[To], "", 2), "")</f>
        <v>MCF</v>
      </c>
      <c r="W92" s="255" t="str" cm="1">
        <f t="array" ref="W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93" spans="1:23" s="4" customFormat="1">
      <c r="A93" s="4">
        <v>309</v>
      </c>
      <c r="B93" s="4" t="s">
        <v>304</v>
      </c>
      <c r="C93" s="4" t="s">
        <v>61</v>
      </c>
      <c r="D93" s="4" t="s">
        <v>62</v>
      </c>
      <c r="E93" s="4">
        <v>1000</v>
      </c>
      <c r="F93" s="4" t="s">
        <v>670</v>
      </c>
      <c r="G93" s="4" t="s">
        <v>52</v>
      </c>
      <c r="H93" s="4" t="s">
        <v>76</v>
      </c>
      <c r="I93" s="4">
        <v>7.5</v>
      </c>
      <c r="J93" s="4" t="s">
        <v>77</v>
      </c>
      <c r="K93" s="4">
        <v>1992</v>
      </c>
      <c r="L93" s="4" t="s">
        <v>294</v>
      </c>
      <c r="M93"/>
      <c r="N93"/>
      <c r="O93" s="4" t="s">
        <v>307</v>
      </c>
      <c r="P93" s="4" t="s">
        <v>148</v>
      </c>
      <c r="Q93"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13.423396293656449</v>
      </c>
      <c r="R9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93" s="254" t="str">
        <f>IFERROR(_xlfn.XLOOKUP("*"&amp;TRIM(Fusion[[#This Row],[Confinement Type]])&amp;"*", Map_Conf[From], Map_Conf[To], "", 2), "")</f>
        <v>MCF</v>
      </c>
      <c r="W93" s="255" t="str" cm="1">
        <f t="array" ref="W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4" spans="1:23" hidden="1">
      <c r="A94">
        <v>305</v>
      </c>
      <c r="B94" t="s">
        <v>126</v>
      </c>
      <c r="C94" t="s">
        <v>61</v>
      </c>
      <c r="D94" t="s">
        <v>62</v>
      </c>
      <c r="E94">
        <v>1000</v>
      </c>
      <c r="F94" t="s">
        <v>63</v>
      </c>
      <c r="G94" t="s">
        <v>52</v>
      </c>
      <c r="H94" t="s">
        <v>76</v>
      </c>
      <c r="I94">
        <v>0.03</v>
      </c>
      <c r="J94" t="s">
        <v>77</v>
      </c>
      <c r="K94">
        <v>1992</v>
      </c>
      <c r="L94" t="s">
        <v>294</v>
      </c>
      <c r="Q9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5.3693585174625795E-2</v>
      </c>
      <c r="R9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94" s="107" t="str">
        <f>IFERROR(_xlfn.XLOOKUP("*"&amp;TRIM(Fusion[[#This Row],[Confinement Type]])&amp;"*", Map_Conf[From], Map_Conf[To], "", 2), "")</f>
        <v>MCF</v>
      </c>
      <c r="W94" s="108" t="str" cm="1">
        <f t="array" ref="W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5" spans="1:23" s="4" customFormat="1">
      <c r="A95">
        <v>310</v>
      </c>
      <c r="B95" t="s">
        <v>114</v>
      </c>
      <c r="C95" t="s">
        <v>61</v>
      </c>
      <c r="D95" t="s">
        <v>62</v>
      </c>
      <c r="E95">
        <v>1000</v>
      </c>
      <c r="F95" t="s">
        <v>670</v>
      </c>
      <c r="G95" t="s">
        <v>52</v>
      </c>
      <c r="H95" t="s">
        <v>76</v>
      </c>
      <c r="I95">
        <v>7.5</v>
      </c>
      <c r="J95" t="s">
        <v>77</v>
      </c>
      <c r="K95">
        <v>1992</v>
      </c>
      <c r="L95" t="s">
        <v>294</v>
      </c>
      <c r="M95"/>
      <c r="N95"/>
      <c r="O95" t="s">
        <v>307</v>
      </c>
      <c r="P95"/>
      <c r="Q9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13.423396293656449</v>
      </c>
      <c r="R9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95" s="254" t="str">
        <f>IFERROR(_xlfn.XLOOKUP("*"&amp;TRIM(Fusion[[#This Row],[Confinement Type]])&amp;"*", Map_Conf[From], Map_Conf[To], "", 2), "")</f>
        <v>MCF</v>
      </c>
      <c r="W95" s="255" t="str" cm="1">
        <f t="array" ref="W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96" spans="1:23" hidden="1">
      <c r="A96" s="4">
        <v>306</v>
      </c>
      <c r="B96" s="4" t="s">
        <v>304</v>
      </c>
      <c r="C96" s="4" t="s">
        <v>61</v>
      </c>
      <c r="D96" s="4" t="s">
        <v>62</v>
      </c>
      <c r="E96" s="4">
        <v>1000</v>
      </c>
      <c r="F96" s="4" t="s">
        <v>63</v>
      </c>
      <c r="G96" s="4" t="s">
        <v>52</v>
      </c>
      <c r="H96" s="4" t="s">
        <v>76</v>
      </c>
      <c r="I96" s="4">
        <v>0.03</v>
      </c>
      <c r="J96" s="4" t="s">
        <v>77</v>
      </c>
      <c r="K96" s="4">
        <v>1992</v>
      </c>
      <c r="L96" s="4" t="s">
        <v>294</v>
      </c>
      <c r="O96" s="4"/>
      <c r="P96" s="4"/>
      <c r="Q96"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5.3693585174625795E-2</v>
      </c>
      <c r="R9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96" s="107" t="str">
        <f>IFERROR(_xlfn.XLOOKUP("*"&amp;TRIM(Fusion[[#This Row],[Confinement Type]])&amp;"*", Map_Conf[From], Map_Conf[To], "", 2), "")</f>
        <v>MCF</v>
      </c>
      <c r="W96" s="108" t="str" cm="1">
        <f t="array" ref="W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97" spans="1:23" hidden="1">
      <c r="B97" t="s">
        <v>735</v>
      </c>
      <c r="C97" t="s">
        <v>61</v>
      </c>
      <c r="D97" t="s">
        <v>62</v>
      </c>
      <c r="E97">
        <v>1450</v>
      </c>
      <c r="F97" t="s">
        <v>115</v>
      </c>
      <c r="G97" t="s">
        <v>52</v>
      </c>
      <c r="H97" t="s">
        <v>33</v>
      </c>
      <c r="I97">
        <v>99800000</v>
      </c>
      <c r="J97" t="s">
        <v>34</v>
      </c>
      <c r="K97">
        <v>2010</v>
      </c>
      <c r="L97" t="s">
        <v>732</v>
      </c>
      <c r="Q9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9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79.259863015258333</v>
      </c>
      <c r="V97" s="107" t="str">
        <f>IFERROR(_xlfn.XLOOKUP("*"&amp;TRIM(Fusion[[#This Row],[Confinement Type]])&amp;"*", Map_Conf[From], Map_Conf[To], "", 2), "")</f>
        <v>MCF</v>
      </c>
      <c r="W97" s="108" t="str" cm="1">
        <f t="array" ref="W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98" spans="1:23">
      <c r="A98">
        <v>170</v>
      </c>
      <c r="B98" t="s">
        <v>214</v>
      </c>
      <c r="C98" t="s">
        <v>61</v>
      </c>
      <c r="D98" t="s">
        <v>62</v>
      </c>
      <c r="E98">
        <v>1449</v>
      </c>
      <c r="F98" t="s">
        <v>116</v>
      </c>
      <c r="G98" t="s">
        <v>52</v>
      </c>
      <c r="H98" t="s">
        <v>76</v>
      </c>
      <c r="I98">
        <v>8.3999999999999995E-3</v>
      </c>
      <c r="J98" t="s">
        <v>1111</v>
      </c>
      <c r="K98">
        <v>2005</v>
      </c>
      <c r="L98" t="s">
        <v>1110</v>
      </c>
      <c r="P98" t="s">
        <v>478</v>
      </c>
      <c r="Q9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13.445294808602149</v>
      </c>
      <c r="V98" s="107" t="str">
        <f>IFERROR(_xlfn.XLOOKUP("*"&amp;TRIM(Fusion[[#This Row],[Confinement Type]])&amp;"*", Map_Conf[From], Map_Conf[To], "", 2), "")</f>
        <v>MCF</v>
      </c>
      <c r="W98" s="108" t="str" cm="1">
        <f t="array" ref="W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99" spans="1:23" s="4" customFormat="1" hidden="1">
      <c r="A99">
        <v>488</v>
      </c>
      <c r="B99" t="s">
        <v>114</v>
      </c>
      <c r="C99" t="s">
        <v>61</v>
      </c>
      <c r="D99" t="s">
        <v>62</v>
      </c>
      <c r="E99">
        <v>1000</v>
      </c>
      <c r="F99" t="s">
        <v>115</v>
      </c>
      <c r="G99" t="s">
        <v>52</v>
      </c>
      <c r="H99" t="s">
        <v>33</v>
      </c>
      <c r="I99">
        <v>42000000</v>
      </c>
      <c r="J99" t="s">
        <v>34</v>
      </c>
      <c r="K99">
        <v>1990</v>
      </c>
      <c r="L99" t="s">
        <v>55</v>
      </c>
      <c r="M99"/>
      <c r="N99"/>
      <c r="O99" t="s">
        <v>459</v>
      </c>
      <c r="P99"/>
      <c r="Q9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9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80.692379495026785</v>
      </c>
      <c r="V99" s="254" t="str">
        <f>IFERROR(_xlfn.XLOOKUP("*"&amp;TRIM(Fusion[[#This Row],[Confinement Type]])&amp;"*", Map_Conf[From], Map_Conf[To], "", 2), "")</f>
        <v>MCF</v>
      </c>
      <c r="W99" s="255" t="str" cm="1">
        <f t="array" ref="W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0" spans="1:23" s="4" customFormat="1" hidden="1">
      <c r="A100"/>
      <c r="B100" t="s">
        <v>741</v>
      </c>
      <c r="C100" t="s">
        <v>61</v>
      </c>
      <c r="D100" t="s">
        <v>62</v>
      </c>
      <c r="E100">
        <v>1000</v>
      </c>
      <c r="F100" t="s">
        <v>115</v>
      </c>
      <c r="G100" t="s">
        <v>52</v>
      </c>
      <c r="H100" t="s">
        <v>33</v>
      </c>
      <c r="I100">
        <v>70100000</v>
      </c>
      <c r="J100" t="s">
        <v>34</v>
      </c>
      <c r="K100">
        <v>2010</v>
      </c>
      <c r="L100" t="s">
        <v>732</v>
      </c>
      <c r="M100"/>
      <c r="N100"/>
      <c r="O100"/>
      <c r="P100"/>
      <c r="Q10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0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80.725138037935196</v>
      </c>
      <c r="V100" s="254" t="str">
        <f>IFERROR(_xlfn.XLOOKUP("*"&amp;TRIM(Fusion[[#This Row],[Confinement Type]])&amp;"*", Map_Conf[From], Map_Conf[To], "", 2), "")</f>
        <v>MCF</v>
      </c>
      <c r="W100" s="255" t="str" cm="1">
        <f t="array" ref="W1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1" spans="1:23" s="4" customFormat="1" hidden="1">
      <c r="A101">
        <v>120</v>
      </c>
      <c r="B101" t="s">
        <v>176</v>
      </c>
      <c r="C101" t="s">
        <v>61</v>
      </c>
      <c r="D101" t="s">
        <v>62</v>
      </c>
      <c r="E101">
        <v>1200</v>
      </c>
      <c r="F101" t="s">
        <v>115</v>
      </c>
      <c r="G101" t="s">
        <v>52</v>
      </c>
      <c r="H101" t="s">
        <v>33</v>
      </c>
      <c r="I101">
        <v>46110000</v>
      </c>
      <c r="J101" t="s">
        <v>34</v>
      </c>
      <c r="K101">
        <v>1986</v>
      </c>
      <c r="L101" t="s">
        <v>147</v>
      </c>
      <c r="M101"/>
      <c r="N101"/>
      <c r="O101" t="s">
        <v>691</v>
      </c>
      <c r="P101"/>
      <c r="Q10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0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88.036372947080295</v>
      </c>
      <c r="V101" s="254" t="str">
        <f>IFERROR(_xlfn.XLOOKUP("*"&amp;TRIM(Fusion[[#This Row],[Confinement Type]])&amp;"*", Map_Conf[From], Map_Conf[To], "", 2), "")</f>
        <v>MCF</v>
      </c>
      <c r="W101" s="255" t="str" cm="1">
        <f t="array" ref="W1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2" spans="1:23" s="4" customFormat="1">
      <c r="A102">
        <v>171</v>
      </c>
      <c r="B102" t="s">
        <v>215</v>
      </c>
      <c r="C102" t="s">
        <v>61</v>
      </c>
      <c r="D102" t="s">
        <v>62</v>
      </c>
      <c r="E102">
        <v>1527</v>
      </c>
      <c r="F102" t="s">
        <v>116</v>
      </c>
      <c r="G102" t="s">
        <v>52</v>
      </c>
      <c r="H102" t="s">
        <v>76</v>
      </c>
      <c r="I102">
        <v>8.5000000000000006E-3</v>
      </c>
      <c r="J102" t="s">
        <v>1111</v>
      </c>
      <c r="K102">
        <v>2005</v>
      </c>
      <c r="L102" t="s">
        <v>1110</v>
      </c>
      <c r="M102"/>
      <c r="N102"/>
      <c r="O102"/>
      <c r="P102"/>
      <c r="Q10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13.605357842037888</v>
      </c>
      <c r="R102"/>
      <c r="V102" s="254" t="str">
        <f>IFERROR(_xlfn.XLOOKUP("*"&amp;TRIM(Fusion[[#This Row],[Confinement Type]])&amp;"*", Map_Conf[From], Map_Conf[To], "", 2), "")</f>
        <v>MCF</v>
      </c>
      <c r="W102" s="255" t="str" cm="1">
        <f t="array" ref="W1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3" spans="1:23">
      <c r="A103">
        <v>168</v>
      </c>
      <c r="B103" t="s">
        <v>211</v>
      </c>
      <c r="C103" t="s">
        <v>61</v>
      </c>
      <c r="D103" t="s">
        <v>62</v>
      </c>
      <c r="E103">
        <v>1546</v>
      </c>
      <c r="F103" t="s">
        <v>116</v>
      </c>
      <c r="G103" t="s">
        <v>52</v>
      </c>
      <c r="H103" t="s">
        <v>76</v>
      </c>
      <c r="I103">
        <v>8.5500000000000003E-3</v>
      </c>
      <c r="J103" t="s">
        <v>1111</v>
      </c>
      <c r="K103">
        <v>2005</v>
      </c>
      <c r="L103" t="s">
        <v>1110</v>
      </c>
      <c r="Q10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13.68538935875576</v>
      </c>
      <c r="V103" s="107" t="str">
        <f>IFERROR(_xlfn.XLOOKUP("*"&amp;TRIM(Fusion[[#This Row],[Confinement Type]])&amp;"*", Map_Conf[From], Map_Conf[To], "", 2), "")</f>
        <v>MCF</v>
      </c>
      <c r="W103" s="108" t="str" cm="1">
        <f t="array" ref="W1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4" spans="1:23" s="4" customFormat="1" hidden="1">
      <c r="A104" s="4">
        <v>307</v>
      </c>
      <c r="B104" s="4" t="s">
        <v>114</v>
      </c>
      <c r="C104" s="4" t="s">
        <v>61</v>
      </c>
      <c r="D104" s="4" t="s">
        <v>62</v>
      </c>
      <c r="E104" s="4">
        <v>1000</v>
      </c>
      <c r="F104" s="4" t="s">
        <v>63</v>
      </c>
      <c r="G104" s="4" t="s">
        <v>52</v>
      </c>
      <c r="H104" s="4" t="s">
        <v>76</v>
      </c>
      <c r="I104" s="4">
        <v>0.03</v>
      </c>
      <c r="J104" s="4" t="s">
        <v>77</v>
      </c>
      <c r="K104" s="4">
        <v>1992</v>
      </c>
      <c r="L104" s="4" t="s">
        <v>294</v>
      </c>
      <c r="M104"/>
      <c r="N104"/>
      <c r="Q104"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5.3693585174625795E-2</v>
      </c>
      <c r="R10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04" s="254" t="str">
        <f>IFERROR(_xlfn.XLOOKUP("*"&amp;TRIM(Fusion[[#This Row],[Confinement Type]])&amp;"*", Map_Conf[From], Map_Conf[To], "", 2), "")</f>
        <v>MCF</v>
      </c>
      <c r="W104" s="255" t="str" cm="1">
        <f t="array" ref="W1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5" spans="1:23" s="4" customFormat="1">
      <c r="A105">
        <v>39</v>
      </c>
      <c r="B105" t="s">
        <v>114</v>
      </c>
      <c r="C105" t="s">
        <v>61</v>
      </c>
      <c r="D105" t="s">
        <v>62</v>
      </c>
      <c r="E105">
        <v>1000</v>
      </c>
      <c r="F105" t="s">
        <v>116</v>
      </c>
      <c r="G105" t="s">
        <v>52</v>
      </c>
      <c r="H105" t="s">
        <v>76</v>
      </c>
      <c r="I105">
        <v>6.7</v>
      </c>
      <c r="J105" t="s">
        <v>77</v>
      </c>
      <c r="K105">
        <v>1988</v>
      </c>
      <c r="L105" t="s">
        <v>597</v>
      </c>
      <c r="M105"/>
      <c r="N105"/>
      <c r="O105"/>
      <c r="P105"/>
      <c r="Q10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14.221613693998309</v>
      </c>
      <c r="R10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05" s="254" t="str">
        <f>IFERROR(_xlfn.XLOOKUP("*"&amp;TRIM(Fusion[[#This Row],[Confinement Type]])&amp;"*", Map_Conf[From], Map_Conf[To], "", 2), "")</f>
        <v>MCF</v>
      </c>
      <c r="W105" s="255" t="str" cm="1">
        <f t="array" ref="W1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6" spans="1:23" s="4" customFormat="1" hidden="1">
      <c r="A106">
        <v>92</v>
      </c>
      <c r="B106" t="s">
        <v>146</v>
      </c>
      <c r="C106" t="s">
        <v>61</v>
      </c>
      <c r="D106" t="s">
        <v>62</v>
      </c>
      <c r="E106">
        <v>1200</v>
      </c>
      <c r="F106" t="s">
        <v>115</v>
      </c>
      <c r="G106" t="s">
        <v>52</v>
      </c>
      <c r="H106" t="s">
        <v>33</v>
      </c>
      <c r="I106">
        <v>48370000</v>
      </c>
      <c r="J106" t="s">
        <v>34</v>
      </c>
      <c r="K106">
        <v>1986</v>
      </c>
      <c r="L106" t="s">
        <v>147</v>
      </c>
      <c r="M106"/>
      <c r="N106"/>
      <c r="O106" t="s">
        <v>691</v>
      </c>
      <c r="P106"/>
      <c r="Q10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0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92.351319875304142</v>
      </c>
      <c r="V106" s="254" t="str">
        <f>IFERROR(_xlfn.XLOOKUP("*"&amp;TRIM(Fusion[[#This Row],[Confinement Type]])&amp;"*", Map_Conf[From], Map_Conf[To], "", 2), "")</f>
        <v>MCF</v>
      </c>
      <c r="W106" s="255" t="str" cm="1">
        <f t="array" ref="W1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7" spans="1:23" s="4" customFormat="1">
      <c r="A107" s="4">
        <v>575</v>
      </c>
      <c r="B107" s="4" t="s">
        <v>513</v>
      </c>
      <c r="C107" s="4" t="s">
        <v>61</v>
      </c>
      <c r="D107" s="4" t="s">
        <v>62</v>
      </c>
      <c r="E107" s="4">
        <v>1000</v>
      </c>
      <c r="F107" s="4" t="s">
        <v>116</v>
      </c>
      <c r="G107" s="4" t="s">
        <v>57</v>
      </c>
      <c r="H107" s="4" t="s">
        <v>76</v>
      </c>
      <c r="I107" s="4">
        <v>13</v>
      </c>
      <c r="J107" s="4" t="s">
        <v>77</v>
      </c>
      <c r="K107" s="4">
        <v>2011</v>
      </c>
      <c r="L107" s="4" t="s">
        <v>507</v>
      </c>
      <c r="M107"/>
      <c r="N107"/>
      <c r="O107" s="4" t="s">
        <v>504</v>
      </c>
      <c r="P107" s="4" t="s">
        <v>689</v>
      </c>
      <c r="Q107"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14.512338900768654</v>
      </c>
      <c r="R10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07" s="254" t="str">
        <f>IFERROR(_xlfn.XLOOKUP("*"&amp;TRIM(Fusion[[#This Row],[Confinement Type]])&amp;"*", Map_Conf[From], Map_Conf[To], "", 2), "")</f>
        <v>MCF</v>
      </c>
      <c r="W107" s="255" t="str" cm="1">
        <f t="array" ref="W1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8" spans="1:23" s="4" customFormat="1">
      <c r="A108">
        <v>63</v>
      </c>
      <c r="B108" t="s">
        <v>112</v>
      </c>
      <c r="C108" t="s">
        <v>61</v>
      </c>
      <c r="D108" t="s">
        <v>113</v>
      </c>
      <c r="E108">
        <v>970</v>
      </c>
      <c r="F108" t="s">
        <v>116</v>
      </c>
      <c r="G108" t="s">
        <v>52</v>
      </c>
      <c r="H108" t="s">
        <v>76</v>
      </c>
      <c r="I108">
        <v>7</v>
      </c>
      <c r="J108" t="s">
        <v>77</v>
      </c>
      <c r="K108">
        <v>1988</v>
      </c>
      <c r="L108" t="s">
        <v>120</v>
      </c>
      <c r="M108"/>
      <c r="N108"/>
      <c r="O108" t="s">
        <v>121</v>
      </c>
      <c r="P108" t="s">
        <v>241</v>
      </c>
      <c r="Q10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14.858402366863904</v>
      </c>
      <c r="R10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08" s="254" t="str">
        <f>IFERROR(_xlfn.XLOOKUP("*"&amp;TRIM(Fusion[[#This Row],[Confinement Type]])&amp;"*", Map_Conf[From], Map_Conf[To], "", 2), "")</f>
        <v>MCF</v>
      </c>
      <c r="W108" s="255" t="str" cm="1">
        <f t="array" ref="W1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09" spans="1:23" s="4" customFormat="1">
      <c r="A109">
        <v>60</v>
      </c>
      <c r="B109" t="s">
        <v>126</v>
      </c>
      <c r="C109" t="s">
        <v>61</v>
      </c>
      <c r="D109" t="s">
        <v>62</v>
      </c>
      <c r="E109">
        <v>1000</v>
      </c>
      <c r="F109" t="s">
        <v>116</v>
      </c>
      <c r="G109" t="s">
        <v>52</v>
      </c>
      <c r="H109" t="s">
        <v>76</v>
      </c>
      <c r="I109">
        <v>7</v>
      </c>
      <c r="J109" t="s">
        <v>77</v>
      </c>
      <c r="K109">
        <v>1988</v>
      </c>
      <c r="L109" t="s">
        <v>120</v>
      </c>
      <c r="M109"/>
      <c r="N109"/>
      <c r="O109" t="s">
        <v>121</v>
      </c>
      <c r="P109" t="s">
        <v>375</v>
      </c>
      <c r="Q10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14.858402366863904</v>
      </c>
      <c r="R10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09" s="254" t="str">
        <f>IFERROR(_xlfn.XLOOKUP("*"&amp;TRIM(Fusion[[#This Row],[Confinement Type]])&amp;"*", Map_Conf[From], Map_Conf[To], "", 2), "")</f>
        <v>MCF</v>
      </c>
      <c r="W109" s="255" t="str" cm="1">
        <f t="array" ref="W1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0" spans="1:23" s="4" customFormat="1">
      <c r="A110">
        <v>62</v>
      </c>
      <c r="B110" t="s">
        <v>114</v>
      </c>
      <c r="C110" t="s">
        <v>61</v>
      </c>
      <c r="D110" t="s">
        <v>62</v>
      </c>
      <c r="E110">
        <v>1000</v>
      </c>
      <c r="F110" t="s">
        <v>116</v>
      </c>
      <c r="G110" t="s">
        <v>52</v>
      </c>
      <c r="H110" t="s">
        <v>76</v>
      </c>
      <c r="I110">
        <v>7</v>
      </c>
      <c r="J110" t="s">
        <v>77</v>
      </c>
      <c r="K110">
        <v>1988</v>
      </c>
      <c r="L110" t="s">
        <v>120</v>
      </c>
      <c r="M110"/>
      <c r="N110"/>
      <c r="O110" t="s">
        <v>121</v>
      </c>
      <c r="P110" t="s">
        <v>689</v>
      </c>
      <c r="Q11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14.858402366863904</v>
      </c>
      <c r="R11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10" s="254" t="str">
        <f>IFERROR(_xlfn.XLOOKUP("*"&amp;TRIM(Fusion[[#This Row],[Confinement Type]])&amp;"*", Map_Conf[From], Map_Conf[To], "", 2), "")</f>
        <v>MCF</v>
      </c>
      <c r="W110" s="255" t="str" cm="1">
        <f t="array" ref="W1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1" spans="1:23">
      <c r="A111">
        <v>55</v>
      </c>
      <c r="B111" t="s">
        <v>125</v>
      </c>
      <c r="C111" t="s">
        <v>30</v>
      </c>
      <c r="D111" t="s">
        <v>796</v>
      </c>
      <c r="E111">
        <v>815</v>
      </c>
      <c r="F111" t="s">
        <v>116</v>
      </c>
      <c r="G111" t="s">
        <v>52</v>
      </c>
      <c r="H111" t="s">
        <v>76</v>
      </c>
      <c r="I111">
        <v>7</v>
      </c>
      <c r="J111" t="s">
        <v>77</v>
      </c>
      <c r="K111">
        <v>1988</v>
      </c>
      <c r="L111" t="s">
        <v>120</v>
      </c>
      <c r="O111" t="s">
        <v>121</v>
      </c>
      <c r="Q11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14.858402366863904</v>
      </c>
      <c r="R11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11" s="107" t="str">
        <f>IFERROR(_xlfn.XLOOKUP("*"&amp;TRIM(Fusion[[#This Row],[Confinement Type]])&amp;"*", Map_Conf[From], Map_Conf[To], "", 2), "")</f>
        <v>MCF</v>
      </c>
      <c r="W111" s="108" t="str" cm="1">
        <f t="array" ref="W1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2" spans="1:23">
      <c r="A112">
        <v>58</v>
      </c>
      <c r="B112" t="s">
        <v>124</v>
      </c>
      <c r="C112" t="s">
        <v>30</v>
      </c>
      <c r="D112" t="s">
        <v>796</v>
      </c>
      <c r="E112">
        <v>1010</v>
      </c>
      <c r="F112" t="s">
        <v>116</v>
      </c>
      <c r="G112" t="s">
        <v>52</v>
      </c>
      <c r="H112" t="s">
        <v>76</v>
      </c>
      <c r="I112">
        <v>7</v>
      </c>
      <c r="J112" t="s">
        <v>77</v>
      </c>
      <c r="K112">
        <v>1988</v>
      </c>
      <c r="L112" t="s">
        <v>120</v>
      </c>
      <c r="O112" t="s">
        <v>121</v>
      </c>
      <c r="Q11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14.858402366863904</v>
      </c>
      <c r="R11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12" s="107" t="str">
        <f>IFERROR(_xlfn.XLOOKUP("*"&amp;TRIM(Fusion[[#This Row],[Confinement Type]])&amp;"*", Map_Conf[From], Map_Conf[To], "", 2), "")</f>
        <v>MCF</v>
      </c>
      <c r="W112" s="108" t="str" cm="1">
        <f t="array" ref="W1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3" spans="1:23">
      <c r="A113">
        <v>548</v>
      </c>
      <c r="B113" t="s">
        <v>501</v>
      </c>
      <c r="C113" t="s">
        <v>61</v>
      </c>
      <c r="D113" t="s">
        <v>278</v>
      </c>
      <c r="E113">
        <v>1000</v>
      </c>
      <c r="F113" t="s">
        <v>116</v>
      </c>
      <c r="G113" t="s">
        <v>57</v>
      </c>
      <c r="H113" t="s">
        <v>76</v>
      </c>
      <c r="I113">
        <v>11</v>
      </c>
      <c r="J113" t="s">
        <v>77</v>
      </c>
      <c r="K113">
        <v>2003</v>
      </c>
      <c r="L113" t="s">
        <v>503</v>
      </c>
      <c r="O113" t="s">
        <v>504</v>
      </c>
      <c r="Q11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15.011831521739131</v>
      </c>
      <c r="R11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13" s="107" t="str">
        <f>IFERROR(_xlfn.XLOOKUP("*"&amp;TRIM(Fusion[[#This Row],[Confinement Type]])&amp;"*", Map_Conf[From], Map_Conf[To], "", 2), "")</f>
        <v>MCF</v>
      </c>
      <c r="W113" s="108" t="str" cm="1">
        <f t="array" ref="W1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4" spans="1:23" hidden="1">
      <c r="A114">
        <v>440</v>
      </c>
      <c r="B114" t="s">
        <v>232</v>
      </c>
      <c r="C114" t="s">
        <v>61</v>
      </c>
      <c r="D114" t="s">
        <v>62</v>
      </c>
      <c r="E114">
        <v>1000</v>
      </c>
      <c r="F114" t="s">
        <v>63</v>
      </c>
      <c r="G114" t="s">
        <v>52</v>
      </c>
      <c r="H114" t="s">
        <v>76</v>
      </c>
      <c r="I114">
        <v>0.03</v>
      </c>
      <c r="J114" t="s">
        <v>77</v>
      </c>
      <c r="K114">
        <v>1992</v>
      </c>
      <c r="L114" t="s">
        <v>420</v>
      </c>
      <c r="Q11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5.3693585174625795E-2</v>
      </c>
      <c r="R11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14" s="107" t="str">
        <f>IFERROR(_xlfn.XLOOKUP("*"&amp;TRIM(Fusion[[#This Row],[Confinement Type]])&amp;"*", Map_Conf[From], Map_Conf[To], "", 2), "")</f>
        <v>MCF</v>
      </c>
      <c r="W114" s="108" t="str" cm="1">
        <f t="array" ref="W1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5" spans="1:23" hidden="1">
      <c r="A115">
        <v>549</v>
      </c>
      <c r="B115" t="s">
        <v>497</v>
      </c>
      <c r="C115" t="s">
        <v>61</v>
      </c>
      <c r="D115" t="s">
        <v>62</v>
      </c>
      <c r="E115">
        <v>1000</v>
      </c>
      <c r="F115" t="s">
        <v>63</v>
      </c>
      <c r="G115" t="s">
        <v>57</v>
      </c>
      <c r="H115" t="s">
        <v>76</v>
      </c>
      <c r="I115">
        <v>0.04</v>
      </c>
      <c r="J115" t="s">
        <v>77</v>
      </c>
      <c r="K115">
        <v>2003</v>
      </c>
      <c r="L115" t="s">
        <v>503</v>
      </c>
      <c r="O115" t="s">
        <v>504</v>
      </c>
      <c r="P115" t="s">
        <v>510</v>
      </c>
      <c r="Q11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5.4588478260869565E-2</v>
      </c>
      <c r="R11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15" s="107" t="str">
        <f>IFERROR(_xlfn.XLOOKUP("*"&amp;TRIM(Fusion[[#This Row],[Confinement Type]])&amp;"*", Map_Conf[From], Map_Conf[To], "", 2), "")</f>
        <v>MCF</v>
      </c>
      <c r="W115" s="108" t="str" cm="1">
        <f t="array" ref="W1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6" spans="1:23">
      <c r="A116" s="4">
        <v>308</v>
      </c>
      <c r="B116" s="4" t="s">
        <v>301</v>
      </c>
      <c r="C116" s="4" t="s">
        <v>61</v>
      </c>
      <c r="D116" s="4" t="s">
        <v>62</v>
      </c>
      <c r="E116" s="4">
        <v>1000</v>
      </c>
      <c r="F116" s="4" t="s">
        <v>670</v>
      </c>
      <c r="G116" s="4" t="s">
        <v>52</v>
      </c>
      <c r="H116" s="4" t="s">
        <v>76</v>
      </c>
      <c r="I116" s="4">
        <v>9.1999999999999993</v>
      </c>
      <c r="J116" s="4" t="s">
        <v>77</v>
      </c>
      <c r="K116" s="4">
        <v>1992</v>
      </c>
      <c r="L116" s="4" t="s">
        <v>294</v>
      </c>
      <c r="O116" s="4" t="s">
        <v>307</v>
      </c>
      <c r="P116" s="4" t="s">
        <v>373</v>
      </c>
      <c r="Q116"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16.466032786885243</v>
      </c>
      <c r="R11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16" s="107" t="str">
        <f>IFERROR(_xlfn.XLOOKUP("*"&amp;TRIM(Fusion[[#This Row],[Confinement Type]])&amp;"*", Map_Conf[From], Map_Conf[To], "", 2), "")</f>
        <v>MCF</v>
      </c>
      <c r="W116" s="108" t="str" cm="1">
        <f t="array" ref="W1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7" spans="1:23" hidden="1">
      <c r="A117">
        <v>550</v>
      </c>
      <c r="B117" t="s">
        <v>505</v>
      </c>
      <c r="C117" t="s">
        <v>61</v>
      </c>
      <c r="D117" t="s">
        <v>107</v>
      </c>
      <c r="E117">
        <v>1000</v>
      </c>
      <c r="F117" t="s">
        <v>63</v>
      </c>
      <c r="G117" t="s">
        <v>57</v>
      </c>
      <c r="H117" t="s">
        <v>76</v>
      </c>
      <c r="I117">
        <v>0.04</v>
      </c>
      <c r="J117" t="s">
        <v>77</v>
      </c>
      <c r="K117">
        <v>2003</v>
      </c>
      <c r="L117" t="s">
        <v>503</v>
      </c>
      <c r="O117" t="s">
        <v>504</v>
      </c>
      <c r="P117" t="s">
        <v>162</v>
      </c>
      <c r="Q11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5.4588478260869565E-2</v>
      </c>
      <c r="R11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17" s="107" t="str">
        <f>IFERROR(_xlfn.XLOOKUP("*"&amp;TRIM(Fusion[[#This Row],[Confinement Type]])&amp;"*", Map_Conf[From], Map_Conf[To], "", 2), "")</f>
        <v>MCF</v>
      </c>
      <c r="W117" s="108" t="str" cm="1">
        <f t="array" ref="W1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8" spans="1:23" hidden="1">
      <c r="A118">
        <v>124</v>
      </c>
      <c r="B118" t="s">
        <v>182</v>
      </c>
      <c r="C118" t="s">
        <v>61</v>
      </c>
      <c r="D118" t="s">
        <v>62</v>
      </c>
      <c r="E118">
        <v>1200</v>
      </c>
      <c r="F118" t="s">
        <v>115</v>
      </c>
      <c r="G118" t="s">
        <v>52</v>
      </c>
      <c r="H118" t="s">
        <v>33</v>
      </c>
      <c r="I118">
        <v>56159999.999999993</v>
      </c>
      <c r="J118" t="s">
        <v>34</v>
      </c>
      <c r="K118">
        <v>1986</v>
      </c>
      <c r="L118" t="s">
        <v>147</v>
      </c>
      <c r="O118" t="s">
        <v>691</v>
      </c>
      <c r="Q11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1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107.22452189781022</v>
      </c>
      <c r="V118" s="107" t="str">
        <f>IFERROR(_xlfn.XLOOKUP("*"&amp;TRIM(Fusion[[#This Row],[Confinement Type]])&amp;"*", Map_Conf[From], Map_Conf[To], "", 2), "")</f>
        <v>MCF</v>
      </c>
      <c r="W118" s="108" t="str" cm="1">
        <f t="array" ref="W1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19" spans="1:23" hidden="1">
      <c r="A119">
        <v>551</v>
      </c>
      <c r="B119" t="s">
        <v>501</v>
      </c>
      <c r="C119" t="s">
        <v>61</v>
      </c>
      <c r="D119" t="s">
        <v>278</v>
      </c>
      <c r="E119">
        <v>1000</v>
      </c>
      <c r="F119" t="s">
        <v>63</v>
      </c>
      <c r="G119" t="s">
        <v>57</v>
      </c>
      <c r="H119" t="s">
        <v>76</v>
      </c>
      <c r="I119">
        <v>0.04</v>
      </c>
      <c r="J119" t="s">
        <v>77</v>
      </c>
      <c r="K119">
        <v>2003</v>
      </c>
      <c r="L119" t="s">
        <v>503</v>
      </c>
      <c r="O119" t="s">
        <v>504</v>
      </c>
      <c r="Q11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5.4588478260869565E-2</v>
      </c>
      <c r="R11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19" s="107" t="str">
        <f>IFERROR(_xlfn.XLOOKUP("*"&amp;TRIM(Fusion[[#This Row],[Confinement Type]])&amp;"*", Map_Conf[From], Map_Conf[To], "", 2), "")</f>
        <v>MCF</v>
      </c>
      <c r="W119" s="108" t="str" cm="1">
        <f t="array" ref="W1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0" spans="1:23" hidden="1">
      <c r="B120" t="s">
        <v>200</v>
      </c>
      <c r="C120" t="s">
        <v>61</v>
      </c>
      <c r="D120" t="s">
        <v>62</v>
      </c>
      <c r="E120">
        <v>1000</v>
      </c>
      <c r="F120" t="s">
        <v>63</v>
      </c>
      <c r="G120" t="s">
        <v>52</v>
      </c>
      <c r="H120" t="s">
        <v>76</v>
      </c>
      <c r="I120">
        <v>5.3720118184260007E-2</v>
      </c>
      <c r="J120" t="s">
        <v>128</v>
      </c>
      <c r="K120">
        <v>2010</v>
      </c>
      <c r="L120" t="s">
        <v>732</v>
      </c>
      <c r="Q12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6.1862538599694462E-2</v>
      </c>
      <c r="R12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0" s="107" t="str">
        <f>IFERROR(_xlfn.XLOOKUP("*"&amp;TRIM(Fusion[[#This Row],[Confinement Type]])&amp;"*", Map_Conf[From], Map_Conf[To], "", 2), "")</f>
        <v>MCF</v>
      </c>
      <c r="W120" s="108" t="str" cm="1">
        <f t="array" ref="W1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1" spans="1:23">
      <c r="A121">
        <v>311</v>
      </c>
      <c r="B121" t="s">
        <v>126</v>
      </c>
      <c r="C121" t="s">
        <v>61</v>
      </c>
      <c r="D121" t="s">
        <v>62</v>
      </c>
      <c r="E121">
        <v>1000</v>
      </c>
      <c r="F121" t="s">
        <v>670</v>
      </c>
      <c r="G121" t="s">
        <v>52</v>
      </c>
      <c r="H121" t="s">
        <v>76</v>
      </c>
      <c r="I121">
        <v>9.1999999999999993</v>
      </c>
      <c r="J121" t="s">
        <v>77</v>
      </c>
      <c r="K121">
        <v>1992</v>
      </c>
      <c r="L121" t="s">
        <v>294</v>
      </c>
      <c r="O121" t="s">
        <v>307</v>
      </c>
      <c r="Q12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16.466032786885243</v>
      </c>
      <c r="R12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1" s="107" t="str">
        <f>IFERROR(_xlfn.XLOOKUP("*"&amp;TRIM(Fusion[[#This Row],[Confinement Type]])&amp;"*", Map_Conf[From], Map_Conf[To], "", 2), "")</f>
        <v>MCF</v>
      </c>
      <c r="W121" s="108" t="str" cm="1">
        <f t="array" ref="W1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2" spans="1:23" hidden="1">
      <c r="B122" t="s">
        <v>737</v>
      </c>
      <c r="C122" t="s">
        <v>61</v>
      </c>
      <c r="D122" t="s">
        <v>62</v>
      </c>
      <c r="E122">
        <v>1000</v>
      </c>
      <c r="F122" t="s">
        <v>63</v>
      </c>
      <c r="G122" t="s">
        <v>52</v>
      </c>
      <c r="H122" t="s">
        <v>76</v>
      </c>
      <c r="I122">
        <v>5.3720118184260007E-2</v>
      </c>
      <c r="J122" t="s">
        <v>128</v>
      </c>
      <c r="K122">
        <v>2010</v>
      </c>
      <c r="L122" t="s">
        <v>732</v>
      </c>
      <c r="P122" t="s">
        <v>504</v>
      </c>
      <c r="Q12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6.1862538599694462E-2</v>
      </c>
      <c r="R12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2" s="107" t="str">
        <f>IFERROR(_xlfn.XLOOKUP("*"&amp;TRIM(Fusion[[#This Row],[Confinement Type]])&amp;"*", Map_Conf[From], Map_Conf[To], "", 2), "")</f>
        <v>MCF</v>
      </c>
      <c r="W122" s="108" t="str" cm="1">
        <f t="array" ref="W1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3" spans="1:23" hidden="1">
      <c r="B123" t="s">
        <v>736</v>
      </c>
      <c r="C123" t="s">
        <v>61</v>
      </c>
      <c r="D123" t="s">
        <v>62</v>
      </c>
      <c r="E123">
        <v>1000</v>
      </c>
      <c r="F123" t="s">
        <v>63</v>
      </c>
      <c r="G123" t="s">
        <v>52</v>
      </c>
      <c r="H123" t="s">
        <v>76</v>
      </c>
      <c r="I123">
        <v>5.3720118184260007E-2</v>
      </c>
      <c r="J123" t="s">
        <v>128</v>
      </c>
      <c r="K123">
        <v>2010</v>
      </c>
      <c r="L123" t="s">
        <v>732</v>
      </c>
      <c r="Q12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6.1862538599694462E-2</v>
      </c>
      <c r="R12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3" s="107" t="str">
        <f>IFERROR(_xlfn.XLOOKUP("*"&amp;TRIM(Fusion[[#This Row],[Confinement Type]])&amp;"*", Map_Conf[From], Map_Conf[To], "", 2), "")</f>
        <v>MCF</v>
      </c>
      <c r="W123" s="108" t="str" cm="1">
        <f t="array" ref="W1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4" spans="1:23" hidden="1">
      <c r="B124" t="s">
        <v>741</v>
      </c>
      <c r="C124" t="s">
        <v>61</v>
      </c>
      <c r="D124" t="s">
        <v>62</v>
      </c>
      <c r="E124">
        <v>1000</v>
      </c>
      <c r="F124" t="s">
        <v>63</v>
      </c>
      <c r="G124" t="s">
        <v>52</v>
      </c>
      <c r="H124" t="s">
        <v>76</v>
      </c>
      <c r="I124">
        <v>5.7077625570776253E-2</v>
      </c>
      <c r="J124" t="s">
        <v>128</v>
      </c>
      <c r="K124">
        <v>2010</v>
      </c>
      <c r="L124" t="s">
        <v>732</v>
      </c>
      <c r="Q12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6.5728947262175361E-2</v>
      </c>
      <c r="R12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4" s="107" t="str">
        <f>IFERROR(_xlfn.XLOOKUP("*"&amp;TRIM(Fusion[[#This Row],[Confinement Type]])&amp;"*", Map_Conf[From], Map_Conf[To], "", 2), "")</f>
        <v>MCF</v>
      </c>
      <c r="W124" s="108" t="str" cm="1">
        <f t="array" ref="W1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5" spans="1:23" hidden="1">
      <c r="A125">
        <v>412</v>
      </c>
      <c r="B125" t="s">
        <v>402</v>
      </c>
      <c r="C125" t="s">
        <v>61</v>
      </c>
      <c r="D125" t="s">
        <v>251</v>
      </c>
      <c r="E125">
        <v>2272</v>
      </c>
      <c r="F125" t="s">
        <v>63</v>
      </c>
      <c r="G125" t="s">
        <v>32</v>
      </c>
      <c r="H125" t="s">
        <v>76</v>
      </c>
      <c r="I125">
        <v>8.3937684662906256E-2</v>
      </c>
      <c r="J125" t="s">
        <v>128</v>
      </c>
      <c r="K125">
        <v>2023</v>
      </c>
      <c r="L125" t="s">
        <v>399</v>
      </c>
      <c r="O125" t="s">
        <v>373</v>
      </c>
      <c r="Q12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6.9173619413881102E-2</v>
      </c>
      <c r="R12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5" s="107" t="str">
        <f>IFERROR(_xlfn.XLOOKUP("*"&amp;TRIM(Fusion[[#This Row],[Confinement Type]])&amp;"*", Map_Conf[From], Map_Conf[To], "", 2), "")</f>
        <v>MCF</v>
      </c>
      <c r="W125" s="108" t="str" cm="1">
        <f t="array" ref="W1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6" spans="1:23" hidden="1">
      <c r="A126">
        <v>408</v>
      </c>
      <c r="B126" t="s">
        <v>406</v>
      </c>
      <c r="C126" t="s">
        <v>61</v>
      </c>
      <c r="D126" t="s">
        <v>251</v>
      </c>
      <c r="E126">
        <v>1945</v>
      </c>
      <c r="F126" t="s">
        <v>63</v>
      </c>
      <c r="G126" t="s">
        <v>32</v>
      </c>
      <c r="H126" t="s">
        <v>76</v>
      </c>
      <c r="I126">
        <v>9.8049573035538823E-2</v>
      </c>
      <c r="J126" t="s">
        <v>128</v>
      </c>
      <c r="K126">
        <v>2023</v>
      </c>
      <c r="L126" t="s">
        <v>399</v>
      </c>
      <c r="O126" t="s">
        <v>373</v>
      </c>
      <c r="P126" t="s">
        <v>400</v>
      </c>
      <c r="Q12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8.0803323037705849E-2</v>
      </c>
      <c r="R12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6" s="107" t="str">
        <f>IFERROR(_xlfn.XLOOKUP("*"&amp;TRIM(Fusion[[#This Row],[Confinement Type]])&amp;"*", Map_Conf[From], Map_Conf[To], "", 2), "")</f>
        <v>MCF</v>
      </c>
      <c r="W126" s="108" t="str" cm="1">
        <f t="array" ref="W1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7" spans="1:23">
      <c r="A127">
        <v>84</v>
      </c>
      <c r="B127" t="s">
        <v>144</v>
      </c>
      <c r="C127" t="s">
        <v>61</v>
      </c>
      <c r="D127" t="s">
        <v>62</v>
      </c>
      <c r="E127">
        <v>1200</v>
      </c>
      <c r="F127" t="s">
        <v>116</v>
      </c>
      <c r="G127" t="s">
        <v>52</v>
      </c>
      <c r="H127" t="s">
        <v>76</v>
      </c>
      <c r="I127">
        <v>8.6999999999999993</v>
      </c>
      <c r="J127" t="s">
        <v>77</v>
      </c>
      <c r="K127">
        <v>1990</v>
      </c>
      <c r="L127" t="s">
        <v>140</v>
      </c>
      <c r="Q12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16.714850038255548</v>
      </c>
      <c r="R12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7" s="107" t="str">
        <f>IFERROR(_xlfn.XLOOKUP("*"&amp;TRIM(Fusion[[#This Row],[Confinement Type]])&amp;"*", Map_Conf[From], Map_Conf[To], "", 2), "")</f>
        <v>MCF</v>
      </c>
      <c r="W127" s="108" t="str" cm="1">
        <f t="array" ref="W1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8" spans="1:23">
      <c r="A128">
        <v>85</v>
      </c>
      <c r="B128" t="s">
        <v>114</v>
      </c>
      <c r="C128" t="s">
        <v>61</v>
      </c>
      <c r="D128" t="s">
        <v>62</v>
      </c>
      <c r="E128">
        <v>1200</v>
      </c>
      <c r="F128" t="s">
        <v>116</v>
      </c>
      <c r="G128" t="s">
        <v>52</v>
      </c>
      <c r="H128" t="s">
        <v>76</v>
      </c>
      <c r="I128">
        <v>8.6999999999999993</v>
      </c>
      <c r="J128" t="s">
        <v>77</v>
      </c>
      <c r="K128">
        <v>1990</v>
      </c>
      <c r="L128" t="s">
        <v>140</v>
      </c>
      <c r="P128" t="s">
        <v>691</v>
      </c>
      <c r="Q12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16.714850038255548</v>
      </c>
      <c r="R12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8" s="107" t="str">
        <f>IFERROR(_xlfn.XLOOKUP("*"&amp;TRIM(Fusion[[#This Row],[Confinement Type]])&amp;"*", Map_Conf[From], Map_Conf[To], "", 2), "")</f>
        <v>MCF</v>
      </c>
      <c r="W128" s="108" t="str" cm="1">
        <f t="array" ref="W1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29" spans="1:23">
      <c r="A129" s="4">
        <v>581</v>
      </c>
      <c r="B129" s="4" t="s">
        <v>514</v>
      </c>
      <c r="C129" s="4" t="s">
        <v>61</v>
      </c>
      <c r="D129" s="4" t="s">
        <v>107</v>
      </c>
      <c r="E129" s="4">
        <v>1000</v>
      </c>
      <c r="F129" s="4" t="s">
        <v>116</v>
      </c>
      <c r="G129" s="4" t="s">
        <v>57</v>
      </c>
      <c r="H129" s="4" t="s">
        <v>76</v>
      </c>
      <c r="I129" s="4">
        <v>14.4</v>
      </c>
      <c r="J129" s="4" t="s">
        <v>77</v>
      </c>
      <c r="K129" s="4">
        <v>2007</v>
      </c>
      <c r="L129" s="4" t="s">
        <v>507</v>
      </c>
      <c r="O129" s="4" t="s">
        <v>504</v>
      </c>
      <c r="P129" s="4"/>
      <c r="Q129"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17.439499956593455</v>
      </c>
      <c r="R12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29" s="107" t="str">
        <f>IFERROR(_xlfn.XLOOKUP("*"&amp;TRIM(Fusion[[#This Row],[Confinement Type]])&amp;"*", Map_Conf[From], Map_Conf[To], "", 2), "")</f>
        <v>MCF</v>
      </c>
      <c r="W129" s="108" t="str" cm="1">
        <f t="array" ref="W1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0" spans="1:23">
      <c r="A130">
        <v>546</v>
      </c>
      <c r="B130" t="s">
        <v>497</v>
      </c>
      <c r="C130" t="s">
        <v>61</v>
      </c>
      <c r="D130" t="s">
        <v>62</v>
      </c>
      <c r="E130">
        <v>1000</v>
      </c>
      <c r="F130" t="s">
        <v>116</v>
      </c>
      <c r="G130" t="s">
        <v>57</v>
      </c>
      <c r="H130" t="s">
        <v>76</v>
      </c>
      <c r="I130">
        <v>13</v>
      </c>
      <c r="J130" t="s">
        <v>77</v>
      </c>
      <c r="K130">
        <v>2003</v>
      </c>
      <c r="L130" t="s">
        <v>503</v>
      </c>
      <c r="O130" t="s">
        <v>504</v>
      </c>
      <c r="Q13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17.741255434782609</v>
      </c>
      <c r="R13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0" s="107" t="str">
        <f>IFERROR(_xlfn.XLOOKUP("*"&amp;TRIM(Fusion[[#This Row],[Confinement Type]])&amp;"*", Map_Conf[From], Map_Conf[To], "", 2), "")</f>
        <v>MCF</v>
      </c>
      <c r="W130" s="108" t="str" cm="1">
        <f t="array" ref="W1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1" spans="1:23">
      <c r="A131">
        <v>464</v>
      </c>
      <c r="B131" t="s">
        <v>81</v>
      </c>
      <c r="C131" t="s">
        <v>61</v>
      </c>
      <c r="D131" t="s">
        <v>62</v>
      </c>
      <c r="E131">
        <v>1000</v>
      </c>
      <c r="F131" t="s">
        <v>116</v>
      </c>
      <c r="G131" t="s">
        <v>57</v>
      </c>
      <c r="H131" t="s">
        <v>76</v>
      </c>
      <c r="I131">
        <v>14</v>
      </c>
      <c r="J131" t="s">
        <v>77</v>
      </c>
      <c r="K131">
        <v>2003</v>
      </c>
      <c r="L131" t="s">
        <v>440</v>
      </c>
      <c r="O131" t="s">
        <v>441</v>
      </c>
      <c r="P131" t="s">
        <v>228</v>
      </c>
      <c r="Q13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19.105967391304347</v>
      </c>
      <c r="R13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1" s="107" t="str">
        <f>IFERROR(_xlfn.XLOOKUP("*"&amp;TRIM(Fusion[[#This Row],[Confinement Type]])&amp;"*", Map_Conf[From], Map_Conf[To], "", 2), "")</f>
        <v>MCF</v>
      </c>
      <c r="W131" s="108" t="str" cm="1">
        <f t="array" ref="W1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2" spans="1:23">
      <c r="A132">
        <v>547</v>
      </c>
      <c r="B132" t="s">
        <v>505</v>
      </c>
      <c r="C132" t="s">
        <v>61</v>
      </c>
      <c r="D132" t="s">
        <v>107</v>
      </c>
      <c r="E132">
        <v>1000</v>
      </c>
      <c r="F132" t="s">
        <v>116</v>
      </c>
      <c r="G132" t="s">
        <v>57</v>
      </c>
      <c r="H132" t="s">
        <v>76</v>
      </c>
      <c r="I132">
        <v>14.4</v>
      </c>
      <c r="J132" t="s">
        <v>77</v>
      </c>
      <c r="K132">
        <v>2003</v>
      </c>
      <c r="L132" t="s">
        <v>503</v>
      </c>
      <c r="O132" t="s">
        <v>504</v>
      </c>
      <c r="Q13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19.651852173913046</v>
      </c>
      <c r="R13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2" s="107" t="str">
        <f>IFERROR(_xlfn.XLOOKUP("*"&amp;TRIM(Fusion[[#This Row],[Confinement Type]])&amp;"*", Map_Conf[From], Map_Conf[To], "", 2), "")</f>
        <v>MCF</v>
      </c>
      <c r="W132" s="108" t="str" cm="1">
        <f t="array" ref="W1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3" spans="1:23">
      <c r="B133" t="s">
        <v>828</v>
      </c>
      <c r="C133" t="s">
        <v>30</v>
      </c>
      <c r="D133" t="s">
        <v>796</v>
      </c>
      <c r="E133">
        <v>2000</v>
      </c>
      <c r="F133" t="s">
        <v>116</v>
      </c>
      <c r="G133" t="s">
        <v>52</v>
      </c>
      <c r="H133" t="s">
        <v>76</v>
      </c>
      <c r="I133">
        <v>8</v>
      </c>
      <c r="J133" t="s">
        <v>77</v>
      </c>
      <c r="K133">
        <v>1983</v>
      </c>
      <c r="L133" t="s">
        <v>825</v>
      </c>
      <c r="Q13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20.169236947791166</v>
      </c>
      <c r="R13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3" s="107" t="str">
        <f>IFERROR(_xlfn.XLOOKUP("*"&amp;TRIM(Fusion[[#This Row],[Confinement Type]])&amp;"*", Map_Conf[From], Map_Conf[To], "", 2), "")</f>
        <v>MCF</v>
      </c>
      <c r="W133" s="108" t="str" cm="1">
        <f t="array" ref="W1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4" spans="1:23">
      <c r="A134">
        <v>505</v>
      </c>
      <c r="B134" t="s">
        <v>479</v>
      </c>
      <c r="C134" t="s">
        <v>61</v>
      </c>
      <c r="D134" t="s">
        <v>62</v>
      </c>
      <c r="E134">
        <v>1200</v>
      </c>
      <c r="F134" t="s">
        <v>116</v>
      </c>
      <c r="G134" t="s">
        <v>52</v>
      </c>
      <c r="H134" t="s">
        <v>76</v>
      </c>
      <c r="I134">
        <v>8.9</v>
      </c>
      <c r="J134" t="s">
        <v>77</v>
      </c>
      <c r="K134">
        <v>1986</v>
      </c>
      <c r="L134" t="s">
        <v>480</v>
      </c>
      <c r="Q13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20.390988138686133</v>
      </c>
      <c r="R13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4" s="107" t="str">
        <f>IFERROR(_xlfn.XLOOKUP("*"&amp;TRIM(Fusion[[#This Row],[Confinement Type]])&amp;"*", Map_Conf[From], Map_Conf[To], "", 2), "")</f>
        <v>MCF</v>
      </c>
      <c r="W134" s="108" t="str" cm="1">
        <f t="array" ref="W1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135" spans="1:23">
      <c r="B135" t="s">
        <v>1100</v>
      </c>
      <c r="C135" t="s">
        <v>61</v>
      </c>
      <c r="D135" t="s">
        <v>62</v>
      </c>
      <c r="E135">
        <v>1200</v>
      </c>
      <c r="F135" t="s">
        <v>116</v>
      </c>
      <c r="G135" t="s">
        <v>52</v>
      </c>
      <c r="H135" t="s">
        <v>76</v>
      </c>
      <c r="I135">
        <v>8.9</v>
      </c>
      <c r="J135" t="s">
        <v>77</v>
      </c>
      <c r="K135">
        <v>1986</v>
      </c>
      <c r="L135" t="s">
        <v>1105</v>
      </c>
      <c r="O135" t="s">
        <v>1099</v>
      </c>
      <c r="Q13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20.390988138686133</v>
      </c>
      <c r="R13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5" s="107" t="str">
        <f>IFERROR(_xlfn.XLOOKUP("*"&amp;TRIM(Fusion[[#This Row],[Confinement Type]])&amp;"*", Map_Conf[From], Map_Conf[To], "", 2), "")</f>
        <v>MCF</v>
      </c>
      <c r="W135" s="108" t="str" cm="1">
        <f t="array" ref="W1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6" spans="1:23">
      <c r="A136">
        <v>56</v>
      </c>
      <c r="B136" t="s">
        <v>119</v>
      </c>
      <c r="C136" t="s">
        <v>61</v>
      </c>
      <c r="D136" t="s">
        <v>113</v>
      </c>
      <c r="E136">
        <v>1200</v>
      </c>
      <c r="F136" t="s">
        <v>116</v>
      </c>
      <c r="G136" t="s">
        <v>52</v>
      </c>
      <c r="H136" t="s">
        <v>76</v>
      </c>
      <c r="I136">
        <v>10</v>
      </c>
      <c r="J136" t="s">
        <v>77</v>
      </c>
      <c r="K136">
        <v>1988</v>
      </c>
      <c r="L136" t="s">
        <v>120</v>
      </c>
      <c r="O136" t="s">
        <v>121</v>
      </c>
      <c r="P136" t="s">
        <v>504</v>
      </c>
      <c r="Q13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21.226289095519864</v>
      </c>
      <c r="R13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6" s="107" t="str">
        <f>IFERROR(_xlfn.XLOOKUP("*"&amp;TRIM(Fusion[[#This Row],[Confinement Type]])&amp;"*", Map_Conf[From], Map_Conf[To], "", 2), "")</f>
        <v>MCF</v>
      </c>
      <c r="W136" s="108" t="str" cm="1">
        <f t="array" ref="W1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137" spans="1:23" hidden="1">
      <c r="A137">
        <v>37</v>
      </c>
      <c r="B137" t="s">
        <v>114</v>
      </c>
      <c r="C137" t="s">
        <v>61</v>
      </c>
      <c r="D137" t="s">
        <v>62</v>
      </c>
      <c r="E137">
        <v>1000</v>
      </c>
      <c r="F137" t="s">
        <v>63</v>
      </c>
      <c r="G137" t="s">
        <v>52</v>
      </c>
      <c r="H137" t="s">
        <v>76</v>
      </c>
      <c r="I137">
        <v>0.04</v>
      </c>
      <c r="J137" t="s">
        <v>77</v>
      </c>
      <c r="K137">
        <v>1988</v>
      </c>
      <c r="L137" t="s">
        <v>597</v>
      </c>
      <c r="Q13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8.4905156382079461E-2</v>
      </c>
      <c r="R13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7" s="107" t="str">
        <f>IFERROR(_xlfn.XLOOKUP("*"&amp;TRIM(Fusion[[#This Row],[Confinement Type]])&amp;"*", Map_Conf[From], Map_Conf[To], "", 2), "")</f>
        <v>MCF</v>
      </c>
      <c r="W137" s="108" t="str" cm="1">
        <f t="array" ref="W1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8" spans="1:23">
      <c r="B138" t="s">
        <v>827</v>
      </c>
      <c r="C138" t="s">
        <v>30</v>
      </c>
      <c r="D138" t="s">
        <v>796</v>
      </c>
      <c r="E138">
        <v>1010</v>
      </c>
      <c r="F138" t="s">
        <v>116</v>
      </c>
      <c r="G138" t="s">
        <v>52</v>
      </c>
      <c r="H138" t="s">
        <v>76</v>
      </c>
      <c r="I138">
        <v>11</v>
      </c>
      <c r="J138" t="s">
        <v>77</v>
      </c>
      <c r="K138">
        <v>1983</v>
      </c>
      <c r="L138" t="s">
        <v>825</v>
      </c>
      <c r="P138" t="s">
        <v>373</v>
      </c>
      <c r="Q13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27.732700803212854</v>
      </c>
      <c r="R13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8" s="107" t="str">
        <f>IFERROR(_xlfn.XLOOKUP("*"&amp;TRIM(Fusion[[#This Row],[Confinement Type]])&amp;"*", Map_Conf[From], Map_Conf[To], "", 2), "")</f>
        <v>MCF</v>
      </c>
      <c r="W138" s="108" t="str" cm="1">
        <f t="array" ref="W1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39" spans="1:23">
      <c r="A139" s="4"/>
      <c r="B139" s="4" t="s">
        <v>172</v>
      </c>
      <c r="C139" s="4" t="s">
        <v>61</v>
      </c>
      <c r="D139" s="4" t="s">
        <v>113</v>
      </c>
      <c r="E139" s="4">
        <v>970</v>
      </c>
      <c r="F139" s="4" t="s">
        <v>116</v>
      </c>
      <c r="G139" s="4" t="s">
        <v>52</v>
      </c>
      <c r="H139" s="4" t="s">
        <v>76</v>
      </c>
      <c r="I139" s="4">
        <v>12.8</v>
      </c>
      <c r="J139" s="4" t="s">
        <v>77</v>
      </c>
      <c r="K139" s="4">
        <v>1986</v>
      </c>
      <c r="L139" s="4" t="s">
        <v>1105</v>
      </c>
      <c r="O139" s="4" t="s">
        <v>1099</v>
      </c>
      <c r="P139" s="4"/>
      <c r="Q139"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29.326364963503654</v>
      </c>
      <c r="R13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39" s="107" t="str">
        <f>IFERROR(_xlfn.XLOOKUP("*"&amp;TRIM(Fusion[[#This Row],[Confinement Type]])&amp;"*", Map_Conf[From], Map_Conf[To], "", 2), "")</f>
        <v>MCF</v>
      </c>
      <c r="W139" s="108" t="str" cm="1">
        <f t="array" ref="W1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0" spans="1:23">
      <c r="A140" s="4"/>
      <c r="B140" s="4" t="s">
        <v>165</v>
      </c>
      <c r="C140" s="4" t="s">
        <v>61</v>
      </c>
      <c r="D140" s="4" t="s">
        <v>62</v>
      </c>
      <c r="E140" s="4">
        <v>1200</v>
      </c>
      <c r="F140" s="4" t="s">
        <v>116</v>
      </c>
      <c r="G140" s="4" t="s">
        <v>52</v>
      </c>
      <c r="H140" s="4" t="s">
        <v>76</v>
      </c>
      <c r="I140" s="4">
        <v>13.2</v>
      </c>
      <c r="J140" s="4" t="s">
        <v>77</v>
      </c>
      <c r="K140" s="4">
        <v>1986</v>
      </c>
      <c r="L140" s="4" t="s">
        <v>1105</v>
      </c>
      <c r="O140" s="4" t="s">
        <v>1099</v>
      </c>
      <c r="P140" s="4"/>
      <c r="Q140"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30.24281386861314</v>
      </c>
      <c r="R14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40" s="107" t="str">
        <f>IFERROR(_xlfn.XLOOKUP("*"&amp;TRIM(Fusion[[#This Row],[Confinement Type]])&amp;"*", Map_Conf[From], Map_Conf[To], "", 2), "")</f>
        <v>MCF</v>
      </c>
      <c r="W140" s="108" t="str" cm="1">
        <f t="array" ref="W1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1" spans="1:23">
      <c r="A141" s="4"/>
      <c r="B141" s="4" t="s">
        <v>174</v>
      </c>
      <c r="C141" s="4" t="s">
        <v>61</v>
      </c>
      <c r="D141" s="4" t="s">
        <v>62</v>
      </c>
      <c r="E141" s="4">
        <v>1200</v>
      </c>
      <c r="F141" s="4" t="s">
        <v>116</v>
      </c>
      <c r="G141" s="4" t="s">
        <v>52</v>
      </c>
      <c r="H141" s="4" t="s">
        <v>76</v>
      </c>
      <c r="I141" s="4">
        <v>13.4</v>
      </c>
      <c r="J141" s="4" t="s">
        <v>77</v>
      </c>
      <c r="K141" s="4">
        <v>1986</v>
      </c>
      <c r="L141" s="4" t="s">
        <v>1105</v>
      </c>
      <c r="O141" s="4" t="s">
        <v>1099</v>
      </c>
      <c r="P141" s="4"/>
      <c r="Q141"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30.701038321167889</v>
      </c>
      <c r="R14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41" s="107" t="str">
        <f>IFERROR(_xlfn.XLOOKUP("*"&amp;TRIM(Fusion[[#This Row],[Confinement Type]])&amp;"*", Map_Conf[From], Map_Conf[To], "", 2), "")</f>
        <v>MCF</v>
      </c>
      <c r="W141" s="108" t="str" cm="1">
        <f t="array" ref="W1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2" spans="1:23" hidden="1">
      <c r="A142" s="4">
        <v>329</v>
      </c>
      <c r="B142" s="4" t="s">
        <v>325</v>
      </c>
      <c r="C142" s="4" t="s">
        <v>61</v>
      </c>
      <c r="D142" s="4" t="s">
        <v>326</v>
      </c>
      <c r="E142" s="4">
        <v>1100</v>
      </c>
      <c r="F142" s="4" t="s">
        <v>115</v>
      </c>
      <c r="G142" s="4" t="s">
        <v>52</v>
      </c>
      <c r="H142" s="4" t="s">
        <v>33</v>
      </c>
      <c r="I142" s="4">
        <v>70000000</v>
      </c>
      <c r="J142" s="4" t="s">
        <v>34</v>
      </c>
      <c r="K142" s="4">
        <v>1982</v>
      </c>
      <c r="L142" s="4" t="s">
        <v>327</v>
      </c>
      <c r="O142" s="4" t="s">
        <v>328</v>
      </c>
      <c r="P142" s="4"/>
      <c r="Q142"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4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165.59105040037682</v>
      </c>
      <c r="V142" s="107" t="str">
        <f>IFERROR(_xlfn.XLOOKUP("*"&amp;TRIM(Fusion[[#This Row],[Confinement Type]])&amp;"*", Map_Conf[From], Map_Conf[To], "", 2), "")</f>
        <v>MCF</v>
      </c>
      <c r="W142" s="108" t="str" cm="1">
        <f t="array" ref="W1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3" spans="1:23" hidden="1">
      <c r="A143">
        <v>380</v>
      </c>
      <c r="B143" t="s">
        <v>696</v>
      </c>
      <c r="C143" t="s">
        <v>61</v>
      </c>
      <c r="D143" t="s">
        <v>62</v>
      </c>
      <c r="E143">
        <v>1200</v>
      </c>
      <c r="F143" t="s">
        <v>63</v>
      </c>
      <c r="G143" t="s">
        <v>32</v>
      </c>
      <c r="H143" t="s">
        <v>76</v>
      </c>
      <c r="I143">
        <v>0.05</v>
      </c>
      <c r="J143" t="s">
        <v>77</v>
      </c>
      <c r="K143">
        <v>1990</v>
      </c>
      <c r="L143" t="s">
        <v>369</v>
      </c>
      <c r="O143" t="s">
        <v>373</v>
      </c>
      <c r="Q14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9.6062356541698563E-2</v>
      </c>
      <c r="R14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43" s="107" t="str">
        <f>IFERROR(_xlfn.XLOOKUP("*"&amp;TRIM(Fusion[[#This Row],[Confinement Type]])&amp;"*", Map_Conf[From], Map_Conf[To], "", 2), "")</f>
        <v>MCF</v>
      </c>
      <c r="W143" s="108" t="str" cm="1">
        <f t="array" ref="W1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4" spans="1:23" hidden="1">
      <c r="A144">
        <v>413</v>
      </c>
      <c r="B144" t="s">
        <v>403</v>
      </c>
      <c r="C144" t="s">
        <v>61</v>
      </c>
      <c r="D144" t="s">
        <v>251</v>
      </c>
      <c r="E144">
        <v>1368</v>
      </c>
      <c r="F144" t="s">
        <v>63</v>
      </c>
      <c r="G144" t="s">
        <v>32</v>
      </c>
      <c r="H144" t="s">
        <v>76</v>
      </c>
      <c r="I144">
        <v>0.13940527745184431</v>
      </c>
      <c r="J144" t="s">
        <v>128</v>
      </c>
      <c r="K144">
        <v>2023</v>
      </c>
      <c r="L144" t="s">
        <v>399</v>
      </c>
      <c r="O144" t="s">
        <v>373</v>
      </c>
      <c r="Q14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0.1148848415996622</v>
      </c>
      <c r="R14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44" s="107" t="str">
        <f>IFERROR(_xlfn.XLOOKUP("*"&amp;TRIM(Fusion[[#This Row],[Confinement Type]])&amp;"*", Map_Conf[From], Map_Conf[To], "", 2), "")</f>
        <v>ICF</v>
      </c>
      <c r="W144" s="108" t="str" cm="1">
        <f t="array" ref="W1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145" spans="1:23" hidden="1">
      <c r="A145">
        <v>377</v>
      </c>
      <c r="B145" t="s">
        <v>695</v>
      </c>
      <c r="C145" t="s">
        <v>61</v>
      </c>
      <c r="D145" t="s">
        <v>62</v>
      </c>
      <c r="E145">
        <v>1200</v>
      </c>
      <c r="F145" t="s">
        <v>63</v>
      </c>
      <c r="G145" t="s">
        <v>52</v>
      </c>
      <c r="H145" t="s">
        <v>76</v>
      </c>
      <c r="I145">
        <v>0.06</v>
      </c>
      <c r="J145" t="s">
        <v>77</v>
      </c>
      <c r="K145">
        <v>1990</v>
      </c>
      <c r="L145" t="s">
        <v>369</v>
      </c>
      <c r="O145" t="s">
        <v>373</v>
      </c>
      <c r="Q14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0.11527482785003826</v>
      </c>
      <c r="R14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45" s="107" t="str">
        <f>IFERROR(_xlfn.XLOOKUP("*"&amp;TRIM(Fusion[[#This Row],[Confinement Type]])&amp;"*", Map_Conf[From], Map_Conf[To], "", 2), "")</f>
        <v>ICF</v>
      </c>
      <c r="W145" s="108" t="str" cm="1">
        <f t="array" ref="W1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146" spans="1:23" hidden="1">
      <c r="A146">
        <v>411</v>
      </c>
      <c r="B146" t="s">
        <v>401</v>
      </c>
      <c r="C146" t="s">
        <v>61</v>
      </c>
      <c r="D146" t="s">
        <v>251</v>
      </c>
      <c r="E146">
        <v>1313</v>
      </c>
      <c r="F146" t="s">
        <v>63</v>
      </c>
      <c r="G146" t="s">
        <v>32</v>
      </c>
      <c r="H146" t="s">
        <v>76</v>
      </c>
      <c r="I146">
        <v>0.14524479783253846</v>
      </c>
      <c r="J146" t="s">
        <v>128</v>
      </c>
      <c r="K146">
        <v>2023</v>
      </c>
      <c r="L146" t="s">
        <v>399</v>
      </c>
      <c r="O146" t="s">
        <v>373</v>
      </c>
      <c r="Q14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0.11969723024245077</v>
      </c>
      <c r="R14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146" s="107" t="str">
        <f>IFERROR(_xlfn.XLOOKUP("*"&amp;TRIM(Fusion[[#This Row],[Confinement Type]])&amp;"*", Map_Conf[From], Map_Conf[To], "", 2), "")</f>
        <v>MCF</v>
      </c>
      <c r="W146" s="108" t="str" cm="1">
        <f t="array" ref="W1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7" spans="1:23" hidden="1">
      <c r="B147" t="s">
        <v>81</v>
      </c>
      <c r="C147" t="s">
        <v>61</v>
      </c>
      <c r="D147" t="s">
        <v>62</v>
      </c>
      <c r="E147">
        <v>1500</v>
      </c>
      <c r="F147" t="s">
        <v>217</v>
      </c>
      <c r="G147" t="s">
        <v>755</v>
      </c>
      <c r="H147" t="s">
        <v>76</v>
      </c>
      <c r="I147">
        <v>1850</v>
      </c>
      <c r="J147" t="s">
        <v>82</v>
      </c>
      <c r="K147">
        <v>2011</v>
      </c>
      <c r="L147" t="s">
        <v>83</v>
      </c>
      <c r="O147" t="s">
        <v>1171</v>
      </c>
      <c r="Q14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4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2877.0544420709616</v>
      </c>
      <c r="V147" s="107" t="str">
        <f>IFERROR(_xlfn.XLOOKUP("*"&amp;TRIM(Fusion[[#This Row],[Confinement Type]])&amp;"*", Map_Conf[From], Map_Conf[To], "", 2), "")</f>
        <v>MCF</v>
      </c>
      <c r="W147" s="108" t="str" cm="1">
        <f t="array" ref="W1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8" spans="1:23" hidden="1">
      <c r="B148" t="s">
        <v>182</v>
      </c>
      <c r="C148" t="s">
        <v>61</v>
      </c>
      <c r="D148" t="s">
        <v>62</v>
      </c>
      <c r="E148">
        <v>1200</v>
      </c>
      <c r="F148" t="s">
        <v>31</v>
      </c>
      <c r="G148" t="s">
        <v>52</v>
      </c>
      <c r="H148" t="s">
        <v>76</v>
      </c>
      <c r="I148">
        <v>1380</v>
      </c>
      <c r="J148" t="s">
        <v>189</v>
      </c>
      <c r="K148">
        <v>1986</v>
      </c>
      <c r="L148" t="s">
        <v>1105</v>
      </c>
      <c r="O148" t="s">
        <v>1099</v>
      </c>
      <c r="Q14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4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3161.7487226277376</v>
      </c>
      <c r="V148" s="107" t="str">
        <f>IFERROR(_xlfn.XLOOKUP("*"&amp;TRIM(Fusion[[#This Row],[Confinement Type]])&amp;"*", Map_Conf[From], Map_Conf[To], "", 2), "")</f>
        <v>MCF</v>
      </c>
      <c r="W148" s="108" t="str" cm="1">
        <f t="array" ref="W1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49" spans="1:23" hidden="1">
      <c r="A149">
        <v>201</v>
      </c>
      <c r="B149" t="s">
        <v>240</v>
      </c>
      <c r="C149" t="s">
        <v>61</v>
      </c>
      <c r="D149" t="s">
        <v>62</v>
      </c>
      <c r="E149">
        <v>1000</v>
      </c>
      <c r="F149" t="s">
        <v>31</v>
      </c>
      <c r="G149" t="s">
        <v>755</v>
      </c>
      <c r="H149" t="s">
        <v>76</v>
      </c>
      <c r="I149">
        <v>2170</v>
      </c>
      <c r="J149" t="s">
        <v>189</v>
      </c>
      <c r="K149">
        <v>2000</v>
      </c>
      <c r="L149" t="s">
        <v>233</v>
      </c>
      <c r="O149" t="s">
        <v>245</v>
      </c>
      <c r="Q14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4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3164.356504065041</v>
      </c>
      <c r="V149" s="107" t="str">
        <f>IFERROR(_xlfn.XLOOKUP("*"&amp;TRIM(Fusion[[#This Row],[Confinement Type]])&amp;"*", Map_Conf[From], Map_Conf[To], "", 2), "")</f>
        <v>MCF</v>
      </c>
      <c r="W149" s="108" t="str" cm="1">
        <f t="array" ref="W1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0" spans="1:23" hidden="1">
      <c r="B150" t="s">
        <v>81</v>
      </c>
      <c r="C150" t="s">
        <v>61</v>
      </c>
      <c r="D150" t="s">
        <v>62</v>
      </c>
      <c r="E150">
        <v>1500</v>
      </c>
      <c r="F150" t="s">
        <v>217</v>
      </c>
      <c r="G150" t="s">
        <v>755</v>
      </c>
      <c r="H150" t="s">
        <v>76</v>
      </c>
      <c r="I150">
        <v>2050</v>
      </c>
      <c r="J150" t="s">
        <v>82</v>
      </c>
      <c r="K150">
        <v>2011</v>
      </c>
      <c r="L150" t="s">
        <v>83</v>
      </c>
      <c r="O150" t="s">
        <v>1168</v>
      </c>
      <c r="P150" t="s">
        <v>159</v>
      </c>
      <c r="Q15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5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3188.0873547272818</v>
      </c>
      <c r="V150" s="107" t="str">
        <f>IFERROR(_xlfn.XLOOKUP("*"&amp;TRIM(Fusion[[#This Row],[Confinement Type]])&amp;"*", Map_Conf[From], Map_Conf[To], "", 2), "")</f>
        <v>MCF</v>
      </c>
      <c r="W150" s="108" t="str" cm="1">
        <f t="array" ref="W1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1" spans="1:23" hidden="1">
      <c r="A151">
        <v>466</v>
      </c>
      <c r="B151" t="s">
        <v>81</v>
      </c>
      <c r="C151" t="s">
        <v>61</v>
      </c>
      <c r="D151" t="s">
        <v>62</v>
      </c>
      <c r="E151">
        <v>1000</v>
      </c>
      <c r="F151" t="s">
        <v>31</v>
      </c>
      <c r="G151" t="s">
        <v>57</v>
      </c>
      <c r="H151" t="s">
        <v>76</v>
      </c>
      <c r="I151">
        <v>2400</v>
      </c>
      <c r="J151" t="s">
        <v>189</v>
      </c>
      <c r="K151">
        <v>2003</v>
      </c>
      <c r="L151" t="s">
        <v>440</v>
      </c>
      <c r="O151" t="s">
        <v>632</v>
      </c>
      <c r="Q15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5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3275.3086956521738</v>
      </c>
      <c r="V151" s="107" t="str">
        <f>IFERROR(_xlfn.XLOOKUP("*"&amp;TRIM(Fusion[[#This Row],[Confinement Type]])&amp;"*", Map_Conf[From], Map_Conf[To], "", 2), "")</f>
        <v>MCF</v>
      </c>
      <c r="W151" s="108" t="str" cm="1">
        <f t="array" ref="W1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2" spans="1:23" hidden="1">
      <c r="B152" t="s">
        <v>170</v>
      </c>
      <c r="C152" t="s">
        <v>61</v>
      </c>
      <c r="D152" t="s">
        <v>113</v>
      </c>
      <c r="E152">
        <v>970</v>
      </c>
      <c r="F152" t="s">
        <v>31</v>
      </c>
      <c r="G152" t="s">
        <v>52</v>
      </c>
      <c r="H152" t="s">
        <v>76</v>
      </c>
      <c r="I152">
        <v>1501</v>
      </c>
      <c r="J152" t="s">
        <v>189</v>
      </c>
      <c r="K152">
        <v>1986</v>
      </c>
      <c r="L152" t="s">
        <v>1105</v>
      </c>
      <c r="O152" t="s">
        <v>1099</v>
      </c>
      <c r="Q15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5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3438.9745164233582</v>
      </c>
      <c r="V152" s="107" t="str">
        <f>IFERROR(_xlfn.XLOOKUP("*"&amp;TRIM(Fusion[[#This Row],[Confinement Type]])&amp;"*", Map_Conf[From], Map_Conf[To], "", 2), "")</f>
        <v>MCF</v>
      </c>
      <c r="W152" s="108" t="str" cm="1">
        <f t="array" ref="W1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3" spans="1:23" hidden="1">
      <c r="B153" t="s">
        <v>172</v>
      </c>
      <c r="C153" t="s">
        <v>61</v>
      </c>
      <c r="D153" t="s">
        <v>113</v>
      </c>
      <c r="E153">
        <v>970</v>
      </c>
      <c r="F153" t="s">
        <v>31</v>
      </c>
      <c r="G153" t="s">
        <v>52</v>
      </c>
      <c r="H153" t="s">
        <v>76</v>
      </c>
      <c r="I153">
        <v>1523</v>
      </c>
      <c r="J153" t="s">
        <v>189</v>
      </c>
      <c r="K153">
        <v>1986</v>
      </c>
      <c r="L153" t="s">
        <v>1105</v>
      </c>
      <c r="O153" t="s">
        <v>1099</v>
      </c>
      <c r="Q15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5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3489.3792062043799</v>
      </c>
      <c r="V153" s="107" t="str">
        <f>IFERROR(_xlfn.XLOOKUP("*"&amp;TRIM(Fusion[[#This Row],[Confinement Type]])&amp;"*", Map_Conf[From], Map_Conf[To], "", 2), "")</f>
        <v>MCF</v>
      </c>
      <c r="W153" s="108" t="str" cm="1">
        <f t="array" ref="W1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4" spans="1:23" hidden="1">
      <c r="B154" t="s">
        <v>81</v>
      </c>
      <c r="C154" t="s">
        <v>61</v>
      </c>
      <c r="D154" t="s">
        <v>62</v>
      </c>
      <c r="E154">
        <v>1500</v>
      </c>
      <c r="F154" t="s">
        <v>217</v>
      </c>
      <c r="G154" t="s">
        <v>754</v>
      </c>
      <c r="H154" t="s">
        <v>76</v>
      </c>
      <c r="I154">
        <v>2250</v>
      </c>
      <c r="J154" t="s">
        <v>82</v>
      </c>
      <c r="K154">
        <v>2011</v>
      </c>
      <c r="L154" t="s">
        <v>83</v>
      </c>
      <c r="O154" t="s">
        <v>1174</v>
      </c>
      <c r="Q15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5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3499.1202673836019</v>
      </c>
      <c r="V154" s="107" t="str">
        <f>IFERROR(_xlfn.XLOOKUP("*"&amp;TRIM(Fusion[[#This Row],[Confinement Type]])&amp;"*", Map_Conf[From], Map_Conf[To], "", 2), "")</f>
        <v>MIF</v>
      </c>
      <c r="W154" s="108" t="str" cm="1">
        <f t="array" ref="W1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155" spans="1:23" hidden="1">
      <c r="B155" t="s">
        <v>737</v>
      </c>
      <c r="C155" t="s">
        <v>61</v>
      </c>
      <c r="D155" t="s">
        <v>62</v>
      </c>
      <c r="E155">
        <v>1000</v>
      </c>
      <c r="F155" t="s">
        <v>31</v>
      </c>
      <c r="G155" t="s">
        <v>52</v>
      </c>
      <c r="H155" t="s">
        <v>76</v>
      </c>
      <c r="I155">
        <v>3045.326086956522</v>
      </c>
      <c r="J155" t="s">
        <v>189</v>
      </c>
      <c r="K155">
        <v>2010</v>
      </c>
      <c r="L155" t="s">
        <v>732</v>
      </c>
      <c r="O155" t="s">
        <v>734</v>
      </c>
      <c r="Q15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5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3506.9096824549256</v>
      </c>
      <c r="V155" s="107" t="str">
        <f>IFERROR(_xlfn.XLOOKUP("*"&amp;TRIM(Fusion[[#This Row],[Confinement Type]])&amp;"*", Map_Conf[From], Map_Conf[To], "", 2), "")</f>
        <v>MIF</v>
      </c>
      <c r="W155" s="108" t="str" cm="1">
        <f t="array" ref="W1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156" spans="1:23" hidden="1">
      <c r="A156">
        <v>15</v>
      </c>
      <c r="B156" t="s">
        <v>81</v>
      </c>
      <c r="C156" t="s">
        <v>61</v>
      </c>
      <c r="D156" t="s">
        <v>62</v>
      </c>
      <c r="E156">
        <v>1500</v>
      </c>
      <c r="F156" t="s">
        <v>217</v>
      </c>
      <c r="G156" t="s">
        <v>52</v>
      </c>
      <c r="H156" t="s">
        <v>76</v>
      </c>
      <c r="I156">
        <v>2600</v>
      </c>
      <c r="J156" t="s">
        <v>82</v>
      </c>
      <c r="K156">
        <v>2011</v>
      </c>
      <c r="L156" t="s">
        <v>83</v>
      </c>
      <c r="O156" t="s">
        <v>1150</v>
      </c>
      <c r="Q15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5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4043.4278645321624</v>
      </c>
      <c r="V156" s="107" t="str">
        <f>IFERROR(_xlfn.XLOOKUP("*"&amp;TRIM(Fusion[[#This Row],[Confinement Type]])&amp;"*", Map_Conf[From], Map_Conf[To], "", 2), "")</f>
        <v>MCF</v>
      </c>
      <c r="W156" s="108" t="str" cm="1">
        <f t="array" ref="W1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7" spans="1:23" hidden="1">
      <c r="B157" t="s">
        <v>81</v>
      </c>
      <c r="C157" t="s">
        <v>61</v>
      </c>
      <c r="D157" t="s">
        <v>62</v>
      </c>
      <c r="E157">
        <v>1500</v>
      </c>
      <c r="F157" t="s">
        <v>217</v>
      </c>
      <c r="G157" t="s">
        <v>755</v>
      </c>
      <c r="H157" t="s">
        <v>76</v>
      </c>
      <c r="I157">
        <v>2600</v>
      </c>
      <c r="J157" t="s">
        <v>82</v>
      </c>
      <c r="K157">
        <v>2011</v>
      </c>
      <c r="L157" t="s">
        <v>83</v>
      </c>
      <c r="O157" t="s">
        <v>1170</v>
      </c>
      <c r="Q15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5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4043.4278645321624</v>
      </c>
      <c r="V157" s="107" t="str">
        <f>IFERROR(_xlfn.XLOOKUP("*"&amp;TRIM(Fusion[[#This Row],[Confinement Type]])&amp;"*", Map_Conf[From], Map_Conf[To], "", 2), "")</f>
        <v>MCF</v>
      </c>
      <c r="W157" s="108" t="str" cm="1">
        <f t="array" ref="W1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8" spans="1:23" hidden="1">
      <c r="A158">
        <v>27</v>
      </c>
      <c r="B158" t="s">
        <v>81</v>
      </c>
      <c r="C158" t="s">
        <v>61</v>
      </c>
      <c r="D158" t="s">
        <v>62</v>
      </c>
      <c r="E158">
        <v>1500</v>
      </c>
      <c r="F158" t="s">
        <v>217</v>
      </c>
      <c r="G158" t="s">
        <v>57</v>
      </c>
      <c r="H158" t="s">
        <v>76</v>
      </c>
      <c r="I158">
        <v>2600</v>
      </c>
      <c r="J158" t="s">
        <v>82</v>
      </c>
      <c r="K158">
        <v>2011</v>
      </c>
      <c r="L158" t="s">
        <v>83</v>
      </c>
      <c r="O158" t="s">
        <v>1177</v>
      </c>
      <c r="Q15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5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4043.4278645321624</v>
      </c>
      <c r="V158" s="107" t="str">
        <f>IFERROR(_xlfn.XLOOKUP("*"&amp;TRIM(Fusion[[#This Row],[Confinement Type]])&amp;"*", Map_Conf[From], Map_Conf[To], "", 2), "")</f>
        <v>MCF</v>
      </c>
      <c r="W158" s="108" t="str" cm="1">
        <f t="array" ref="W1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59" spans="1:23" hidden="1">
      <c r="A159">
        <v>200</v>
      </c>
      <c r="B159" t="s">
        <v>239</v>
      </c>
      <c r="C159" t="s">
        <v>61</v>
      </c>
      <c r="D159" t="s">
        <v>62</v>
      </c>
      <c r="E159">
        <v>1000</v>
      </c>
      <c r="F159" t="s">
        <v>31</v>
      </c>
      <c r="G159" t="s">
        <v>52</v>
      </c>
      <c r="H159" t="s">
        <v>76</v>
      </c>
      <c r="I159">
        <v>2820</v>
      </c>
      <c r="J159" t="s">
        <v>189</v>
      </c>
      <c r="K159">
        <v>2000</v>
      </c>
      <c r="L159" t="s">
        <v>233</v>
      </c>
      <c r="O159" t="s">
        <v>244</v>
      </c>
      <c r="Q15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5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4112.2052264808362</v>
      </c>
      <c r="V159" s="107" t="str">
        <f>IFERROR(_xlfn.XLOOKUP("*"&amp;TRIM(Fusion[[#This Row],[Confinement Type]])&amp;"*", Map_Conf[From], Map_Conf[To], "", 2), "")</f>
        <v>MCF</v>
      </c>
      <c r="W159" s="108" t="str" cm="1">
        <f t="array" ref="W1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0" spans="1:23" hidden="1">
      <c r="A160">
        <v>189</v>
      </c>
      <c r="B160" t="s">
        <v>232</v>
      </c>
      <c r="C160" t="s">
        <v>61</v>
      </c>
      <c r="D160" t="s">
        <v>62</v>
      </c>
      <c r="E160">
        <v>1000</v>
      </c>
      <c r="F160" t="s">
        <v>31</v>
      </c>
      <c r="G160" t="s">
        <v>52</v>
      </c>
      <c r="H160" t="s">
        <v>76</v>
      </c>
      <c r="I160">
        <v>2849</v>
      </c>
      <c r="J160" t="s">
        <v>189</v>
      </c>
      <c r="K160">
        <v>2000</v>
      </c>
      <c r="L160" t="s">
        <v>233</v>
      </c>
      <c r="Q16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6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4154.4938617886182</v>
      </c>
      <c r="V160" s="107" t="str">
        <f>IFERROR(_xlfn.XLOOKUP("*"&amp;TRIM(Fusion[[#This Row],[Confinement Type]])&amp;"*", Map_Conf[From], Map_Conf[To], "", 2), "")</f>
        <v>MCF</v>
      </c>
      <c r="W160" s="108" t="str" cm="1">
        <f t="array" ref="W1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1" spans="1:23" hidden="1">
      <c r="A161">
        <v>205</v>
      </c>
      <c r="B161" t="s">
        <v>215</v>
      </c>
      <c r="C161" t="s">
        <v>61</v>
      </c>
      <c r="D161" t="s">
        <v>62</v>
      </c>
      <c r="E161">
        <v>1000</v>
      </c>
      <c r="F161" t="s">
        <v>31</v>
      </c>
      <c r="G161" t="s">
        <v>52</v>
      </c>
      <c r="H161" t="s">
        <v>76</v>
      </c>
      <c r="I161">
        <v>2868</v>
      </c>
      <c r="J161" t="s">
        <v>189</v>
      </c>
      <c r="K161">
        <v>2000</v>
      </c>
      <c r="L161" t="s">
        <v>233</v>
      </c>
      <c r="O161" t="s">
        <v>246</v>
      </c>
      <c r="Q16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6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4182.2002090592341</v>
      </c>
      <c r="V161" s="107" t="str">
        <f>IFERROR(_xlfn.XLOOKUP("*"&amp;TRIM(Fusion[[#This Row],[Confinement Type]])&amp;"*", Map_Conf[From], Map_Conf[To], "", 2), "")</f>
        <v>MCF</v>
      </c>
      <c r="W161" s="108" t="str" cm="1">
        <f t="array" ref="W1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2" spans="1:23" hidden="1">
      <c r="B162" t="s">
        <v>176</v>
      </c>
      <c r="C162" t="s">
        <v>61</v>
      </c>
      <c r="D162" t="s">
        <v>62</v>
      </c>
      <c r="E162">
        <v>1200</v>
      </c>
      <c r="F162" t="s">
        <v>31</v>
      </c>
      <c r="G162" t="s">
        <v>52</v>
      </c>
      <c r="H162" t="s">
        <v>76</v>
      </c>
      <c r="I162">
        <v>1873</v>
      </c>
      <c r="J162" t="s">
        <v>189</v>
      </c>
      <c r="K162">
        <v>1986</v>
      </c>
      <c r="L162" t="s">
        <v>1105</v>
      </c>
      <c r="O162" t="s">
        <v>1099</v>
      </c>
      <c r="Q16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6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4291.2719981751834</v>
      </c>
      <c r="V162" s="107" t="str">
        <f>IFERROR(_xlfn.XLOOKUP("*"&amp;TRIM(Fusion[[#This Row],[Confinement Type]])&amp;"*", Map_Conf[From], Map_Conf[To], "", 2), "")</f>
        <v>MCF</v>
      </c>
      <c r="W162" s="108" t="str" cm="1">
        <f t="array" ref="W1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3" spans="1:23" hidden="1">
      <c r="A163">
        <v>199</v>
      </c>
      <c r="B163" t="s">
        <v>237</v>
      </c>
      <c r="C163" t="s">
        <v>61</v>
      </c>
      <c r="D163" t="s">
        <v>62</v>
      </c>
      <c r="E163">
        <v>1000</v>
      </c>
      <c r="F163" t="s">
        <v>31</v>
      </c>
      <c r="G163" t="s">
        <v>755</v>
      </c>
      <c r="H163" t="s">
        <v>76</v>
      </c>
      <c r="I163">
        <v>2950</v>
      </c>
      <c r="J163" t="s">
        <v>189</v>
      </c>
      <c r="K163">
        <v>2000</v>
      </c>
      <c r="L163" t="s">
        <v>233</v>
      </c>
      <c r="O163" t="s">
        <v>243</v>
      </c>
      <c r="P163" t="s">
        <v>691</v>
      </c>
      <c r="Q16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6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4301.7749709639957</v>
      </c>
      <c r="V163" s="107" t="str">
        <f>IFERROR(_xlfn.XLOOKUP("*"&amp;TRIM(Fusion[[#This Row],[Confinement Type]])&amp;"*", Map_Conf[From], Map_Conf[To], "", 2), "")</f>
        <v>MCF</v>
      </c>
      <c r="W163" s="108" t="str" cm="1">
        <f t="array" ref="W1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4" spans="1:23" hidden="1">
      <c r="A164">
        <v>314</v>
      </c>
      <c r="B164" t="s">
        <v>313</v>
      </c>
      <c r="C164" t="s">
        <v>61</v>
      </c>
      <c r="D164" t="s">
        <v>62</v>
      </c>
      <c r="E164">
        <v>1500</v>
      </c>
      <c r="F164" t="s">
        <v>31</v>
      </c>
      <c r="G164" t="s">
        <v>754</v>
      </c>
      <c r="H164" t="s">
        <v>76</v>
      </c>
      <c r="I164">
        <v>2576</v>
      </c>
      <c r="J164" t="s">
        <v>82</v>
      </c>
      <c r="K164">
        <v>1998</v>
      </c>
      <c r="L164" t="s">
        <v>311</v>
      </c>
      <c r="O164" t="s">
        <v>314</v>
      </c>
      <c r="Q16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6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4411.9741663617315</v>
      </c>
      <c r="V164" s="107" t="str">
        <f>IFERROR(_xlfn.XLOOKUP("*"&amp;TRIM(Fusion[[#This Row],[Confinement Type]])&amp;"*", Map_Conf[From], Map_Conf[To], "", 2), "")</f>
        <v>MCF</v>
      </c>
      <c r="W164" s="108" t="str" cm="1">
        <f t="array" ref="W1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5" spans="1:23" hidden="1">
      <c r="B165" t="s">
        <v>81</v>
      </c>
      <c r="C165" t="s">
        <v>61</v>
      </c>
      <c r="D165" t="s">
        <v>62</v>
      </c>
      <c r="E165">
        <v>1500</v>
      </c>
      <c r="F165" t="s">
        <v>217</v>
      </c>
      <c r="G165" t="s">
        <v>755</v>
      </c>
      <c r="H165" t="s">
        <v>76</v>
      </c>
      <c r="I165">
        <v>2850</v>
      </c>
      <c r="J165" t="s">
        <v>82</v>
      </c>
      <c r="K165">
        <v>2011</v>
      </c>
      <c r="L165" t="s">
        <v>83</v>
      </c>
      <c r="O165" t="s">
        <v>1167</v>
      </c>
      <c r="Q16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6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4432.2190053525628</v>
      </c>
      <c r="V165" s="107" t="str">
        <f>IFERROR(_xlfn.XLOOKUP("*"&amp;TRIM(Fusion[[#This Row],[Confinement Type]])&amp;"*", Map_Conf[From], Map_Conf[To], "", 2), "")</f>
        <v>MCF</v>
      </c>
      <c r="W165" s="108" t="str" cm="1">
        <f t="array" ref="W1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6" spans="1:23" hidden="1">
      <c r="A166">
        <v>454</v>
      </c>
      <c r="B166" t="s">
        <v>736</v>
      </c>
      <c r="C166" t="s">
        <v>61</v>
      </c>
      <c r="D166" t="s">
        <v>62</v>
      </c>
      <c r="E166">
        <v>1000</v>
      </c>
      <c r="F166" t="s">
        <v>31</v>
      </c>
      <c r="G166" t="s">
        <v>52</v>
      </c>
      <c r="H166" t="s">
        <v>76</v>
      </c>
      <c r="I166">
        <v>3949.239130434783</v>
      </c>
      <c r="J166" t="s">
        <v>189</v>
      </c>
      <c r="K166">
        <v>2010</v>
      </c>
      <c r="L166" t="s">
        <v>732</v>
      </c>
      <c r="O166" t="s">
        <v>734</v>
      </c>
      <c r="P166" t="s">
        <v>373</v>
      </c>
      <c r="Q16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6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4547.829870886776</v>
      </c>
      <c r="V166" s="107" t="str">
        <f>IFERROR(_xlfn.XLOOKUP("*"&amp;TRIM(Fusion[[#This Row],[Confinement Type]])&amp;"*", Map_Conf[From], Map_Conf[To], "", 2), "")</f>
        <v>MCF</v>
      </c>
      <c r="W166" s="108" t="str" cm="1">
        <f t="array" ref="W1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7" spans="1:23" hidden="1">
      <c r="B167" t="s">
        <v>81</v>
      </c>
      <c r="C167" t="s">
        <v>61</v>
      </c>
      <c r="D167" t="s">
        <v>62</v>
      </c>
      <c r="E167">
        <v>1500</v>
      </c>
      <c r="F167" t="s">
        <v>217</v>
      </c>
      <c r="G167" t="s">
        <v>754</v>
      </c>
      <c r="H167" t="s">
        <v>76</v>
      </c>
      <c r="I167">
        <v>3150</v>
      </c>
      <c r="J167" t="s">
        <v>82</v>
      </c>
      <c r="K167">
        <v>2011</v>
      </c>
      <c r="L167" t="s">
        <v>83</v>
      </c>
      <c r="O167" t="s">
        <v>1173</v>
      </c>
      <c r="P167" t="s">
        <v>691</v>
      </c>
      <c r="Q16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6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4898.7683743370426</v>
      </c>
      <c r="V167" s="107" t="str">
        <f>IFERROR(_xlfn.XLOOKUP("*"&amp;TRIM(Fusion[[#This Row],[Confinement Type]])&amp;"*", Map_Conf[From], Map_Conf[To], "", 2), "")</f>
        <v>MCF</v>
      </c>
      <c r="W167" s="108" t="str" cm="1">
        <f t="array" ref="W1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8" spans="1:23" hidden="1">
      <c r="A168">
        <v>179</v>
      </c>
      <c r="B168" t="s">
        <v>215</v>
      </c>
      <c r="C168" t="s">
        <v>61</v>
      </c>
      <c r="D168" t="s">
        <v>62</v>
      </c>
      <c r="E168">
        <v>1527</v>
      </c>
      <c r="F168" t="s">
        <v>217</v>
      </c>
      <c r="G168" t="s">
        <v>52</v>
      </c>
      <c r="H168" t="s">
        <v>76</v>
      </c>
      <c r="I168">
        <v>3100</v>
      </c>
      <c r="J168" t="s">
        <v>82</v>
      </c>
      <c r="K168">
        <v>2005</v>
      </c>
      <c r="L168" t="s">
        <v>1110</v>
      </c>
      <c r="O168" t="s">
        <v>221</v>
      </c>
      <c r="P168" t="s">
        <v>665</v>
      </c>
      <c r="Q16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6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4961.9540365079356</v>
      </c>
      <c r="V168" s="107" t="str">
        <f>IFERROR(_xlfn.XLOOKUP("*"&amp;TRIM(Fusion[[#This Row],[Confinement Type]])&amp;"*", Map_Conf[From], Map_Conf[To], "", 2), "")</f>
        <v>MCF</v>
      </c>
      <c r="W168" s="108" t="str" cm="1">
        <f t="array" ref="W1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69" spans="1:23" hidden="1">
      <c r="B169" t="s">
        <v>187</v>
      </c>
      <c r="C169" t="s">
        <v>61</v>
      </c>
      <c r="D169" t="s">
        <v>62</v>
      </c>
      <c r="E169">
        <v>1200</v>
      </c>
      <c r="F169" t="s">
        <v>31</v>
      </c>
      <c r="G169" t="s">
        <v>52</v>
      </c>
      <c r="H169" t="s">
        <v>76</v>
      </c>
      <c r="I169">
        <v>2178</v>
      </c>
      <c r="J169" t="s">
        <v>189</v>
      </c>
      <c r="K169">
        <v>1986</v>
      </c>
      <c r="L169" t="s">
        <v>1105</v>
      </c>
      <c r="O169" t="s">
        <v>1099</v>
      </c>
      <c r="Q16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6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4990.0642883211685</v>
      </c>
      <c r="V169" s="107" t="str">
        <f>IFERROR(_xlfn.XLOOKUP("*"&amp;TRIM(Fusion[[#This Row],[Confinement Type]])&amp;"*", Map_Conf[From], Map_Conf[To], "", 2), "")</f>
        <v>MCF</v>
      </c>
      <c r="W169" s="108" t="str" cm="1">
        <f t="array" ref="W1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0" spans="1:23" hidden="1">
      <c r="A170">
        <v>315</v>
      </c>
      <c r="B170" t="s">
        <v>313</v>
      </c>
      <c r="C170" t="s">
        <v>61</v>
      </c>
      <c r="D170" t="s">
        <v>62</v>
      </c>
      <c r="E170">
        <v>1500</v>
      </c>
      <c r="F170" t="s">
        <v>31</v>
      </c>
      <c r="G170" t="s">
        <v>52</v>
      </c>
      <c r="H170" t="s">
        <v>76</v>
      </c>
      <c r="I170">
        <v>2926</v>
      </c>
      <c r="J170" t="s">
        <v>82</v>
      </c>
      <c r="K170">
        <v>1998</v>
      </c>
      <c r="L170" t="s">
        <v>311</v>
      </c>
      <c r="O170" t="s">
        <v>315</v>
      </c>
      <c r="P170" t="s">
        <v>464</v>
      </c>
      <c r="Q17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7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5011.4271780956624</v>
      </c>
      <c r="V170" s="107" t="str">
        <f>IFERROR(_xlfn.XLOOKUP("*"&amp;TRIM(Fusion[[#This Row],[Confinement Type]])&amp;"*", Map_Conf[From], Map_Conf[To], "", 2), "")</f>
        <v>MCF</v>
      </c>
      <c r="W170" s="108" t="str" cm="1">
        <f t="array" ref="W1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171" spans="1:23" hidden="1">
      <c r="B171" t="s">
        <v>165</v>
      </c>
      <c r="C171" t="s">
        <v>61</v>
      </c>
      <c r="D171" t="s">
        <v>62</v>
      </c>
      <c r="E171">
        <v>1200</v>
      </c>
      <c r="F171" t="s">
        <v>31</v>
      </c>
      <c r="G171" t="s">
        <v>52</v>
      </c>
      <c r="H171" t="s">
        <v>76</v>
      </c>
      <c r="I171">
        <v>2193</v>
      </c>
      <c r="J171" t="s">
        <v>189</v>
      </c>
      <c r="K171">
        <v>1986</v>
      </c>
      <c r="L171" t="s">
        <v>1105</v>
      </c>
      <c r="O171" t="s">
        <v>1099</v>
      </c>
      <c r="Q17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7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5024.4311222627739</v>
      </c>
      <c r="V171" s="107" t="str">
        <f>IFERROR(_xlfn.XLOOKUP("*"&amp;TRIM(Fusion[[#This Row],[Confinement Type]])&amp;"*", Map_Conf[From], Map_Conf[To], "", 2), "")</f>
        <v>MIF</v>
      </c>
      <c r="W171" s="108" t="str" cm="1">
        <f t="array" ref="W1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172" spans="1:23" hidden="1">
      <c r="B172" t="s">
        <v>81</v>
      </c>
      <c r="C172" t="s">
        <v>61</v>
      </c>
      <c r="D172" t="s">
        <v>62</v>
      </c>
      <c r="E172">
        <v>1500</v>
      </c>
      <c r="F172" t="s">
        <v>217</v>
      </c>
      <c r="G172" t="s">
        <v>755</v>
      </c>
      <c r="H172" t="s">
        <v>76</v>
      </c>
      <c r="I172">
        <v>3300</v>
      </c>
      <c r="J172" t="s">
        <v>82</v>
      </c>
      <c r="K172">
        <v>2011</v>
      </c>
      <c r="L172" t="s">
        <v>83</v>
      </c>
      <c r="O172" t="s">
        <v>1169</v>
      </c>
      <c r="Q17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7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5132.0430588292829</v>
      </c>
      <c r="V172" s="107" t="str">
        <f>IFERROR(_xlfn.XLOOKUP("*"&amp;TRIM(Fusion[[#This Row],[Confinement Type]])&amp;"*", Map_Conf[From], Map_Conf[To], "", 2), "")</f>
        <v>MCF</v>
      </c>
      <c r="W172" s="108" t="str" cm="1">
        <f t="array" ref="W1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3" spans="1:23" hidden="1">
      <c r="A173">
        <v>347</v>
      </c>
      <c r="B173" t="s">
        <v>347</v>
      </c>
      <c r="C173" t="s">
        <v>61</v>
      </c>
      <c r="D173" t="s">
        <v>62</v>
      </c>
      <c r="E173">
        <v>1500</v>
      </c>
      <c r="F173" t="s">
        <v>31</v>
      </c>
      <c r="G173" t="s">
        <v>52</v>
      </c>
      <c r="H173" t="s">
        <v>76</v>
      </c>
      <c r="I173">
        <v>5747</v>
      </c>
      <c r="J173" t="s">
        <v>189</v>
      </c>
      <c r="K173">
        <v>2020</v>
      </c>
      <c r="L173" t="s">
        <v>344</v>
      </c>
      <c r="Q17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7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5575.9296513672143</v>
      </c>
      <c r="V173" s="107" t="str">
        <f>IFERROR(_xlfn.XLOOKUP("*"&amp;TRIM(Fusion[[#This Row],[Confinement Type]])&amp;"*", Map_Conf[From], Map_Conf[To], "", 2), "")</f>
        <v>MCF</v>
      </c>
      <c r="W173" s="108" t="str" cm="1">
        <f t="array" ref="W1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4" spans="1:23" hidden="1">
      <c r="A174">
        <v>453</v>
      </c>
      <c r="B174" t="s">
        <v>200</v>
      </c>
      <c r="C174" t="s">
        <v>61</v>
      </c>
      <c r="D174" t="s">
        <v>62</v>
      </c>
      <c r="E174">
        <v>1000</v>
      </c>
      <c r="F174" t="s">
        <v>31</v>
      </c>
      <c r="G174" t="s">
        <v>52</v>
      </c>
      <c r="H174" t="s">
        <v>76</v>
      </c>
      <c r="I174">
        <v>4897.2521739130434</v>
      </c>
      <c r="J174" t="s">
        <v>189</v>
      </c>
      <c r="K174">
        <v>2010</v>
      </c>
      <c r="L174" t="s">
        <v>732</v>
      </c>
      <c r="O174" t="s">
        <v>733</v>
      </c>
      <c r="Q17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7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5639.5343472996956</v>
      </c>
      <c r="V174" s="107" t="str">
        <f>IFERROR(_xlfn.XLOOKUP("*"&amp;TRIM(Fusion[[#This Row],[Confinement Type]])&amp;"*", Map_Conf[From], Map_Conf[To], "", 2), "")</f>
        <v>MCF</v>
      </c>
      <c r="W174" s="108" t="str" cm="1">
        <f t="array" ref="W1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175" spans="1:23" hidden="1">
      <c r="B175" t="s">
        <v>81</v>
      </c>
      <c r="C175" t="s">
        <v>61</v>
      </c>
      <c r="D175" t="s">
        <v>62</v>
      </c>
      <c r="E175">
        <v>1500</v>
      </c>
      <c r="F175" t="s">
        <v>217</v>
      </c>
      <c r="G175" t="s">
        <v>755</v>
      </c>
      <c r="H175" t="s">
        <v>76</v>
      </c>
      <c r="I175">
        <v>3650</v>
      </c>
      <c r="J175" t="s">
        <v>82</v>
      </c>
      <c r="K175">
        <v>2011</v>
      </c>
      <c r="L175" t="s">
        <v>83</v>
      </c>
      <c r="O175" t="s">
        <v>1166</v>
      </c>
      <c r="Q17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7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5676.3506559778434</v>
      </c>
      <c r="V175" s="107" t="str">
        <f>IFERROR(_xlfn.XLOOKUP("*"&amp;TRIM(Fusion[[#This Row],[Confinement Type]])&amp;"*", Map_Conf[From], Map_Conf[To], "", 2), "")</f>
        <v>MCF</v>
      </c>
      <c r="W175" s="108" t="str" cm="1">
        <f t="array" ref="W1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6" spans="1:23" hidden="1">
      <c r="A176">
        <v>198</v>
      </c>
      <c r="B176" t="s">
        <v>235</v>
      </c>
      <c r="C176" t="s">
        <v>61</v>
      </c>
      <c r="D176" t="s">
        <v>62</v>
      </c>
      <c r="E176">
        <v>1000</v>
      </c>
      <c r="F176" t="s">
        <v>31</v>
      </c>
      <c r="G176" t="s">
        <v>52</v>
      </c>
      <c r="H176" t="s">
        <v>76</v>
      </c>
      <c r="I176">
        <v>3940</v>
      </c>
      <c r="J176" t="s">
        <v>189</v>
      </c>
      <c r="K176">
        <v>2000</v>
      </c>
      <c r="L176" t="s">
        <v>233</v>
      </c>
      <c r="O176" t="s">
        <v>242</v>
      </c>
      <c r="Q17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7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5745.4214866434386</v>
      </c>
      <c r="V176" s="107" t="str">
        <f>IFERROR(_xlfn.XLOOKUP("*"&amp;TRIM(Fusion[[#This Row],[Confinement Type]])&amp;"*", Map_Conf[From], Map_Conf[To], "", 2), "")</f>
        <v>MCF</v>
      </c>
      <c r="W176" s="108" t="str" cm="1">
        <f t="array" ref="W1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177" spans="1:23" hidden="1">
      <c r="A177">
        <v>13</v>
      </c>
      <c r="B177" t="s">
        <v>81</v>
      </c>
      <c r="C177" t="s">
        <v>61</v>
      </c>
      <c r="D177" t="s">
        <v>62</v>
      </c>
      <c r="E177">
        <v>1500</v>
      </c>
      <c r="F177" t="s">
        <v>217</v>
      </c>
      <c r="G177" t="s">
        <v>52</v>
      </c>
      <c r="H177" t="s">
        <v>76</v>
      </c>
      <c r="I177">
        <v>3700</v>
      </c>
      <c r="J177" t="s">
        <v>82</v>
      </c>
      <c r="K177">
        <v>2011</v>
      </c>
      <c r="L177" t="s">
        <v>83</v>
      </c>
      <c r="O177" t="s">
        <v>1148</v>
      </c>
      <c r="Q17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7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5754.1088841419232</v>
      </c>
      <c r="V177" s="107" t="str">
        <f>IFERROR(_xlfn.XLOOKUP("*"&amp;TRIM(Fusion[[#This Row],[Confinement Type]])&amp;"*", Map_Conf[From], Map_Conf[To], "", 2), "")</f>
        <v>MCF</v>
      </c>
      <c r="W177" s="108" t="str" cm="1">
        <f t="array" ref="W1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8" spans="1:23" hidden="1">
      <c r="A178">
        <v>26</v>
      </c>
      <c r="B178" t="s">
        <v>81</v>
      </c>
      <c r="C178" t="s">
        <v>61</v>
      </c>
      <c r="D178" t="s">
        <v>62</v>
      </c>
      <c r="E178">
        <v>1500</v>
      </c>
      <c r="F178" t="s">
        <v>217</v>
      </c>
      <c r="G178" t="s">
        <v>57</v>
      </c>
      <c r="H178" t="s">
        <v>76</v>
      </c>
      <c r="I178">
        <v>3700</v>
      </c>
      <c r="J178" t="s">
        <v>82</v>
      </c>
      <c r="K178">
        <v>2011</v>
      </c>
      <c r="L178" t="s">
        <v>83</v>
      </c>
      <c r="O178" t="s">
        <v>1176</v>
      </c>
      <c r="Q17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7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5754.1088841419232</v>
      </c>
      <c r="V178" s="107" t="str">
        <f>IFERROR(_xlfn.XLOOKUP("*"&amp;TRIM(Fusion[[#This Row],[Confinement Type]])&amp;"*", Map_Conf[From], Map_Conf[To], "", 2), "")</f>
        <v>MCF</v>
      </c>
      <c r="W178" s="108" t="str" cm="1">
        <f t="array" ref="W1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79" spans="1:23" hidden="1">
      <c r="B179" t="s">
        <v>174</v>
      </c>
      <c r="C179" t="s">
        <v>61</v>
      </c>
      <c r="D179" t="s">
        <v>62</v>
      </c>
      <c r="E179">
        <v>1200</v>
      </c>
      <c r="F179" t="s">
        <v>31</v>
      </c>
      <c r="G179" t="s">
        <v>52</v>
      </c>
      <c r="H179" t="s">
        <v>76</v>
      </c>
      <c r="I179">
        <v>2563</v>
      </c>
      <c r="J179" t="s">
        <v>189</v>
      </c>
      <c r="K179">
        <v>1986</v>
      </c>
      <c r="L179" t="s">
        <v>1105</v>
      </c>
      <c r="O179" t="s">
        <v>1099</v>
      </c>
      <c r="Q17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7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5872.146359489052</v>
      </c>
      <c r="V179" s="107" t="str">
        <f>IFERROR(_xlfn.XLOOKUP("*"&amp;TRIM(Fusion[[#This Row],[Confinement Type]])&amp;"*", Map_Conf[From], Map_Conf[To], "", 2), "")</f>
        <v>MCF</v>
      </c>
      <c r="W179" s="108" t="str" cm="1">
        <f t="array" ref="W1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0" spans="1:23" hidden="1">
      <c r="A180">
        <v>394</v>
      </c>
      <c r="B180" t="s">
        <v>392</v>
      </c>
      <c r="C180" t="s">
        <v>81</v>
      </c>
      <c r="D180" t="s">
        <v>81</v>
      </c>
      <c r="F180" t="s">
        <v>31</v>
      </c>
      <c r="G180" t="s">
        <v>57</v>
      </c>
      <c r="H180" t="s">
        <v>76</v>
      </c>
      <c r="I180">
        <v>5000</v>
      </c>
      <c r="J180" t="s">
        <v>82</v>
      </c>
      <c r="K180">
        <v>2018</v>
      </c>
      <c r="L180" t="s">
        <v>393</v>
      </c>
      <c r="O180" t="s">
        <v>394</v>
      </c>
      <c r="P180" t="s">
        <v>504</v>
      </c>
      <c r="Q18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8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5908.5</v>
      </c>
      <c r="V180" s="107" t="str">
        <f>IFERROR(_xlfn.XLOOKUP("*"&amp;TRIM(Fusion[[#This Row],[Confinement Type]])&amp;"*", Map_Conf[From], Map_Conf[To], "", 2), "")</f>
        <v>MCF</v>
      </c>
      <c r="W180" s="108" t="str" cm="1">
        <f t="array" ref="W1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1" spans="1:23" hidden="1">
      <c r="A181">
        <v>257</v>
      </c>
      <c r="B181" t="s">
        <v>232</v>
      </c>
      <c r="C181" t="s">
        <v>61</v>
      </c>
      <c r="D181" t="s">
        <v>62</v>
      </c>
      <c r="F181" t="s">
        <v>217</v>
      </c>
      <c r="G181" t="s">
        <v>52</v>
      </c>
      <c r="H181" t="s">
        <v>76</v>
      </c>
      <c r="I181">
        <v>5616</v>
      </c>
      <c r="J181" t="s">
        <v>189</v>
      </c>
      <c r="K181">
        <v>2015</v>
      </c>
      <c r="L181" t="s">
        <v>289</v>
      </c>
      <c r="O181" t="s">
        <v>685</v>
      </c>
      <c r="Q18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8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5949.8555462266422</v>
      </c>
      <c r="V181" s="107" t="str">
        <f>IFERROR(_xlfn.XLOOKUP("*"&amp;TRIM(Fusion[[#This Row],[Confinement Type]])&amp;"*", Map_Conf[From], Map_Conf[To], "", 2), "")</f>
        <v>MCF</v>
      </c>
      <c r="W181" s="108" t="str" cm="1">
        <f t="array" ref="W1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2" spans="1:23" hidden="1">
      <c r="A182">
        <v>204</v>
      </c>
      <c r="B182" t="s">
        <v>214</v>
      </c>
      <c r="C182" t="s">
        <v>61</v>
      </c>
      <c r="D182" t="s">
        <v>62</v>
      </c>
      <c r="E182">
        <v>1000</v>
      </c>
      <c r="F182" t="s">
        <v>31</v>
      </c>
      <c r="G182" t="s">
        <v>52</v>
      </c>
      <c r="H182" t="s">
        <v>76</v>
      </c>
      <c r="I182">
        <v>4155</v>
      </c>
      <c r="J182" t="s">
        <v>189</v>
      </c>
      <c r="K182">
        <v>2000</v>
      </c>
      <c r="L182" t="s">
        <v>233</v>
      </c>
      <c r="O182" t="s">
        <v>246</v>
      </c>
      <c r="P182" t="s">
        <v>339</v>
      </c>
      <c r="Q18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8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6058.9406794425095</v>
      </c>
      <c r="V182" s="107" t="str">
        <f>IFERROR(_xlfn.XLOOKUP("*"&amp;TRIM(Fusion[[#This Row],[Confinement Type]])&amp;"*", Map_Conf[From], Map_Conf[To], "", 2), "")</f>
        <v>MCF</v>
      </c>
      <c r="W182" s="108" t="str" cm="1">
        <f t="array" ref="W1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3" spans="1:23" hidden="1">
      <c r="A183">
        <v>467</v>
      </c>
      <c r="B183" t="s">
        <v>81</v>
      </c>
      <c r="C183" t="s">
        <v>61</v>
      </c>
      <c r="D183" t="s">
        <v>62</v>
      </c>
      <c r="E183">
        <v>1000</v>
      </c>
      <c r="F183" t="s">
        <v>31</v>
      </c>
      <c r="G183" t="s">
        <v>32</v>
      </c>
      <c r="H183" t="s">
        <v>76</v>
      </c>
      <c r="I183">
        <v>4480</v>
      </c>
      <c r="J183" t="s">
        <v>189</v>
      </c>
      <c r="K183">
        <v>2003</v>
      </c>
      <c r="L183" t="s">
        <v>440</v>
      </c>
      <c r="O183" t="s">
        <v>631</v>
      </c>
      <c r="Q18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8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6113.909565217391</v>
      </c>
      <c r="V183" s="107" t="str">
        <f>IFERROR(_xlfn.XLOOKUP("*"&amp;TRIM(Fusion[[#This Row],[Confinement Type]])&amp;"*", Map_Conf[From], Map_Conf[To], "", 2), "")</f>
        <v>ICF</v>
      </c>
      <c r="W183" s="108" t="str" cm="1">
        <f t="array" ref="W1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184" spans="1:23" hidden="1">
      <c r="B184" t="s">
        <v>738</v>
      </c>
      <c r="C184" t="s">
        <v>61</v>
      </c>
      <c r="D184" t="s">
        <v>62</v>
      </c>
      <c r="E184">
        <v>1000</v>
      </c>
      <c r="F184" t="s">
        <v>31</v>
      </c>
      <c r="G184" t="s">
        <v>32</v>
      </c>
      <c r="H184" t="s">
        <v>76</v>
      </c>
      <c r="I184">
        <v>5324.347826086957</v>
      </c>
      <c r="J184" t="s">
        <v>189</v>
      </c>
      <c r="K184">
        <v>2010</v>
      </c>
      <c r="L184" t="s">
        <v>732</v>
      </c>
      <c r="O184" t="s">
        <v>739</v>
      </c>
      <c r="Q18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8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6131.3653812104103</v>
      </c>
      <c r="V184" s="107" t="str">
        <f>IFERROR(_xlfn.XLOOKUP("*"&amp;TRIM(Fusion[[#This Row],[Confinement Type]])&amp;"*", Map_Conf[From], Map_Conf[To], "", 2), "")</f>
        <v>ICF</v>
      </c>
      <c r="W184" s="108" t="str" cm="1">
        <f t="array" ref="W1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185" spans="1:23" hidden="1">
      <c r="B185" t="s">
        <v>81</v>
      </c>
      <c r="C185" t="s">
        <v>61</v>
      </c>
      <c r="D185" t="s">
        <v>62</v>
      </c>
      <c r="E185">
        <v>1500</v>
      </c>
      <c r="F185" t="s">
        <v>217</v>
      </c>
      <c r="G185" t="s">
        <v>754</v>
      </c>
      <c r="H185" t="s">
        <v>76</v>
      </c>
      <c r="I185">
        <v>3950</v>
      </c>
      <c r="J185" t="s">
        <v>82</v>
      </c>
      <c r="K185">
        <v>2011</v>
      </c>
      <c r="L185" t="s">
        <v>83</v>
      </c>
      <c r="O185" t="s">
        <v>1172</v>
      </c>
      <c r="P185" t="s">
        <v>341</v>
      </c>
      <c r="Q18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8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6142.9000249623232</v>
      </c>
      <c r="V185" s="107" t="str">
        <f>IFERROR(_xlfn.XLOOKUP("*"&amp;TRIM(Fusion[[#This Row],[Confinement Type]])&amp;"*", Map_Conf[From], Map_Conf[To], "", 2), "")</f>
        <v>MCF</v>
      </c>
      <c r="W185" s="108" t="str" cm="1">
        <f t="array" ref="W1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6" spans="1:23" hidden="1">
      <c r="B186" t="s">
        <v>1100</v>
      </c>
      <c r="C186" t="s">
        <v>61</v>
      </c>
      <c r="D186" t="s">
        <v>62</v>
      </c>
      <c r="E186">
        <v>1200</v>
      </c>
      <c r="F186" t="s">
        <v>31</v>
      </c>
      <c r="G186" t="s">
        <v>52</v>
      </c>
      <c r="H186" t="s">
        <v>76</v>
      </c>
      <c r="I186">
        <v>2787</v>
      </c>
      <c r="J186" t="s">
        <v>189</v>
      </c>
      <c r="K186">
        <v>1986</v>
      </c>
      <c r="L186" t="s">
        <v>1105</v>
      </c>
      <c r="O186" t="s">
        <v>1099</v>
      </c>
      <c r="Q18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8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6385.3577463503652</v>
      </c>
      <c r="V186" s="107" t="str">
        <f>IFERROR(_xlfn.XLOOKUP("*"&amp;TRIM(Fusion[[#This Row],[Confinement Type]])&amp;"*", Map_Conf[From], Map_Conf[To], "", 2), "")</f>
        <v>MCF</v>
      </c>
      <c r="W186" s="108" t="str" cm="1">
        <f t="array" ref="W1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7" spans="1:23" hidden="1">
      <c r="A187">
        <v>12</v>
      </c>
      <c r="B187" t="s">
        <v>81</v>
      </c>
      <c r="C187" t="s">
        <v>61</v>
      </c>
      <c r="D187" t="s">
        <v>62</v>
      </c>
      <c r="E187">
        <v>1500</v>
      </c>
      <c r="F187" t="s">
        <v>217</v>
      </c>
      <c r="G187" t="s">
        <v>52</v>
      </c>
      <c r="H187" t="s">
        <v>76</v>
      </c>
      <c r="I187">
        <v>4300</v>
      </c>
      <c r="J187" t="s">
        <v>82</v>
      </c>
      <c r="K187">
        <v>2011</v>
      </c>
      <c r="L187" t="s">
        <v>83</v>
      </c>
      <c r="O187" t="s">
        <v>1147</v>
      </c>
      <c r="Q18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8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6687.2076221108837</v>
      </c>
      <c r="V187" s="107" t="str">
        <f>IFERROR(_xlfn.XLOOKUP("*"&amp;TRIM(Fusion[[#This Row],[Confinement Type]])&amp;"*", Map_Conf[From], Map_Conf[To], "", 2), "")</f>
        <v>MCF</v>
      </c>
      <c r="W187" s="108" t="str" cm="1">
        <f t="array" ref="W1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188" spans="1:23" hidden="1">
      <c r="A188">
        <v>350</v>
      </c>
      <c r="B188" t="s">
        <v>348</v>
      </c>
      <c r="C188" t="s">
        <v>61</v>
      </c>
      <c r="D188" t="s">
        <v>62</v>
      </c>
      <c r="E188">
        <v>200</v>
      </c>
      <c r="F188" t="s">
        <v>31</v>
      </c>
      <c r="G188" t="s">
        <v>754</v>
      </c>
      <c r="H188" t="s">
        <v>76</v>
      </c>
      <c r="I188">
        <v>7219</v>
      </c>
      <c r="J188" t="s">
        <v>189</v>
      </c>
      <c r="K188">
        <v>2020</v>
      </c>
      <c r="L188" t="s">
        <v>344</v>
      </c>
      <c r="O188" t="s">
        <v>349</v>
      </c>
      <c r="Q18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8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7004.1127811414517</v>
      </c>
      <c r="V188" s="107" t="str">
        <f>IFERROR(_xlfn.XLOOKUP("*"&amp;TRIM(Fusion[[#This Row],[Confinement Type]])&amp;"*", Map_Conf[From], Map_Conf[To], "", 2), "")</f>
        <v>MCF</v>
      </c>
      <c r="W188" s="108" t="str" cm="1">
        <f t="array" ref="W1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89" spans="1:23" hidden="1">
      <c r="A189">
        <v>455</v>
      </c>
      <c r="B189" t="s">
        <v>735</v>
      </c>
      <c r="C189" t="s">
        <v>61</v>
      </c>
      <c r="D189" t="s">
        <v>62</v>
      </c>
      <c r="E189">
        <v>1450</v>
      </c>
      <c r="F189" t="s">
        <v>31</v>
      </c>
      <c r="G189" t="s">
        <v>52</v>
      </c>
      <c r="H189" t="s">
        <v>76</v>
      </c>
      <c r="I189">
        <v>6093.04347826087</v>
      </c>
      <c r="J189" t="s">
        <v>189</v>
      </c>
      <c r="K189">
        <v>2010</v>
      </c>
      <c r="L189" t="s">
        <v>732</v>
      </c>
      <c r="O189" t="s">
        <v>745</v>
      </c>
      <c r="Q18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8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7016.5731220221051</v>
      </c>
      <c r="V189" s="107" t="str">
        <f>IFERROR(_xlfn.XLOOKUP("*"&amp;TRIM(Fusion[[#This Row],[Confinement Type]])&amp;"*", Map_Conf[From], Map_Conf[To], "", 2), "")</f>
        <v>MCF</v>
      </c>
      <c r="W189" s="108" t="str" cm="1">
        <f t="array" ref="W1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0" spans="1:23" hidden="1">
      <c r="A190">
        <v>178</v>
      </c>
      <c r="B190" t="s">
        <v>214</v>
      </c>
      <c r="C190" t="s">
        <v>61</v>
      </c>
      <c r="D190" t="s">
        <v>62</v>
      </c>
      <c r="E190">
        <v>1449</v>
      </c>
      <c r="F190" t="s">
        <v>217</v>
      </c>
      <c r="G190" t="s">
        <v>52</v>
      </c>
      <c r="H190" t="s">
        <v>76</v>
      </c>
      <c r="I190">
        <v>4400</v>
      </c>
      <c r="J190" t="s">
        <v>82</v>
      </c>
      <c r="K190">
        <v>2005</v>
      </c>
      <c r="L190" t="s">
        <v>1110</v>
      </c>
      <c r="O190" t="s">
        <v>220</v>
      </c>
      <c r="Q19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9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7042.7734711725543</v>
      </c>
      <c r="V190" s="107" t="str">
        <f>IFERROR(_xlfn.XLOOKUP("*"&amp;TRIM(Fusion[[#This Row],[Confinement Type]])&amp;"*", Map_Conf[From], Map_Conf[To], "", 2), "")</f>
        <v>MCF</v>
      </c>
      <c r="W190" s="108" t="str" cm="1">
        <f t="array" ref="W1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1" spans="1:23" hidden="1">
      <c r="B191" t="s">
        <v>741</v>
      </c>
      <c r="C191" t="s">
        <v>61</v>
      </c>
      <c r="D191" t="s">
        <v>62</v>
      </c>
      <c r="E191">
        <v>1000</v>
      </c>
      <c r="F191" t="s">
        <v>31</v>
      </c>
      <c r="G191" t="s">
        <v>52</v>
      </c>
      <c r="H191" t="s">
        <v>76</v>
      </c>
      <c r="I191">
        <v>6252.0652173913049</v>
      </c>
      <c r="J191" t="s">
        <v>189</v>
      </c>
      <c r="K191">
        <v>2010</v>
      </c>
      <c r="L191" t="s">
        <v>732</v>
      </c>
      <c r="O191" t="s">
        <v>746</v>
      </c>
      <c r="P191" t="s">
        <v>162</v>
      </c>
      <c r="Q19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9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7199.697969986968</v>
      </c>
      <c r="V191" s="107" t="str">
        <f>IFERROR(_xlfn.XLOOKUP("*"&amp;TRIM(Fusion[[#This Row],[Confinement Type]])&amp;"*", Map_Conf[From], Map_Conf[To], "", 2), "")</f>
        <v>MCF</v>
      </c>
      <c r="W191" s="108" t="str" cm="1">
        <f t="array" ref="W1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2" spans="1:23" hidden="1">
      <c r="A192">
        <v>346</v>
      </c>
      <c r="B192" t="s">
        <v>347</v>
      </c>
      <c r="C192" t="s">
        <v>61</v>
      </c>
      <c r="D192" t="s">
        <v>62</v>
      </c>
      <c r="E192">
        <v>1500</v>
      </c>
      <c r="F192" t="s">
        <v>31</v>
      </c>
      <c r="G192" t="s">
        <v>57</v>
      </c>
      <c r="H192" t="s">
        <v>76</v>
      </c>
      <c r="I192">
        <v>7733</v>
      </c>
      <c r="J192" t="s">
        <v>189</v>
      </c>
      <c r="K192">
        <v>2020</v>
      </c>
      <c r="L192" t="s">
        <v>344</v>
      </c>
      <c r="Q19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9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7502.812596837075</v>
      </c>
      <c r="V192" s="107" t="str">
        <f>IFERROR(_xlfn.XLOOKUP("*"&amp;TRIM(Fusion[[#This Row],[Confinement Type]])&amp;"*", Map_Conf[From], Map_Conf[To], "", 2), "")</f>
        <v>MCF</v>
      </c>
      <c r="W192" s="108" t="str" cm="1">
        <f t="array" ref="W1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3" spans="1:23" hidden="1">
      <c r="A193">
        <v>203</v>
      </c>
      <c r="B193" t="s">
        <v>213</v>
      </c>
      <c r="C193" t="s">
        <v>61</v>
      </c>
      <c r="D193" t="s">
        <v>62</v>
      </c>
      <c r="E193">
        <v>1000</v>
      </c>
      <c r="F193" t="s">
        <v>31</v>
      </c>
      <c r="G193" t="s">
        <v>52</v>
      </c>
      <c r="H193" t="s">
        <v>76</v>
      </c>
      <c r="I193">
        <v>5215</v>
      </c>
      <c r="J193" t="s">
        <v>189</v>
      </c>
      <c r="K193">
        <v>2000</v>
      </c>
      <c r="L193" t="s">
        <v>233</v>
      </c>
      <c r="O193" t="s">
        <v>246</v>
      </c>
      <c r="Q19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9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7604.6632113821142</v>
      </c>
      <c r="V193" s="107" t="str">
        <f>IFERROR(_xlfn.XLOOKUP("*"&amp;TRIM(Fusion[[#This Row],[Confinement Type]])&amp;"*", Map_Conf[From], Map_Conf[To], "", 2), "")</f>
        <v>MCF</v>
      </c>
      <c r="W193" s="108" t="str" cm="1">
        <f t="array" ref="W1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4" spans="1:23" hidden="1">
      <c r="A194">
        <v>345</v>
      </c>
      <c r="B194" t="s">
        <v>343</v>
      </c>
      <c r="C194" t="s">
        <v>61</v>
      </c>
      <c r="D194" t="s">
        <v>62</v>
      </c>
      <c r="E194">
        <v>1500</v>
      </c>
      <c r="F194" t="s">
        <v>31</v>
      </c>
      <c r="G194" t="s">
        <v>52</v>
      </c>
      <c r="H194" t="s">
        <v>76</v>
      </c>
      <c r="I194">
        <v>8168</v>
      </c>
      <c r="J194" t="s">
        <v>189</v>
      </c>
      <c r="K194">
        <v>2020</v>
      </c>
      <c r="L194" t="s">
        <v>344</v>
      </c>
      <c r="O194" t="s">
        <v>346</v>
      </c>
      <c r="Q19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9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7924.8639972798692</v>
      </c>
      <c r="V194" s="107" t="str">
        <f>IFERROR(_xlfn.XLOOKUP("*"&amp;TRIM(Fusion[[#This Row],[Confinement Type]])&amp;"*", Map_Conf[From], Map_Conf[To], "", 2), "")</f>
        <v>MCF</v>
      </c>
      <c r="W194" s="108" t="str" cm="1">
        <f t="array" ref="W1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5" spans="1:23" hidden="1">
      <c r="A195">
        <v>202</v>
      </c>
      <c r="B195" t="s">
        <v>211</v>
      </c>
      <c r="C195" t="s">
        <v>61</v>
      </c>
      <c r="D195" t="s">
        <v>62</v>
      </c>
      <c r="E195">
        <v>1000</v>
      </c>
      <c r="F195" t="s">
        <v>31</v>
      </c>
      <c r="G195" t="s">
        <v>52</v>
      </c>
      <c r="H195" t="s">
        <v>76</v>
      </c>
      <c r="I195">
        <v>5625</v>
      </c>
      <c r="J195" t="s">
        <v>189</v>
      </c>
      <c r="K195">
        <v>2000</v>
      </c>
      <c r="L195" t="s">
        <v>233</v>
      </c>
      <c r="O195" t="s">
        <v>246</v>
      </c>
      <c r="Q19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9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8202.5370209059238</v>
      </c>
      <c r="V195" s="107" t="str">
        <f>IFERROR(_xlfn.XLOOKUP("*"&amp;TRIM(Fusion[[#This Row],[Confinement Type]])&amp;"*", Map_Conf[From], Map_Conf[To], "", 2), "")</f>
        <v>MIF</v>
      </c>
      <c r="W195" s="108" t="str" cm="1">
        <f t="array" ref="W1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196" spans="1:23" hidden="1">
      <c r="A196">
        <v>475</v>
      </c>
      <c r="B196" t="s">
        <v>445</v>
      </c>
      <c r="C196" t="s">
        <v>61</v>
      </c>
      <c r="D196" t="s">
        <v>62</v>
      </c>
      <c r="F196" t="s">
        <v>230</v>
      </c>
      <c r="G196" t="s">
        <v>57</v>
      </c>
      <c r="H196" t="s">
        <v>76</v>
      </c>
      <c r="I196">
        <v>5670</v>
      </c>
      <c r="J196" t="s">
        <v>189</v>
      </c>
      <c r="K196">
        <v>2000</v>
      </c>
      <c r="L196" t="s">
        <v>446</v>
      </c>
      <c r="O196" t="s">
        <v>1129</v>
      </c>
      <c r="Q19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9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8268.1573170731717</v>
      </c>
      <c r="V196" s="107" t="str">
        <f>IFERROR(_xlfn.XLOOKUP("*"&amp;TRIM(Fusion[[#This Row],[Confinement Type]])&amp;"*", Map_Conf[From], Map_Conf[To], "", 2), "")</f>
        <v>MCF</v>
      </c>
      <c r="W196" s="108" t="str" cm="1">
        <f t="array" ref="W1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7" spans="1:23" hidden="1">
      <c r="A197">
        <v>395</v>
      </c>
      <c r="B197" t="s">
        <v>395</v>
      </c>
      <c r="C197" t="s">
        <v>81</v>
      </c>
      <c r="D197" t="s">
        <v>81</v>
      </c>
      <c r="F197" t="s">
        <v>31</v>
      </c>
      <c r="G197" t="s">
        <v>57</v>
      </c>
      <c r="H197" t="s">
        <v>76</v>
      </c>
      <c r="I197">
        <v>7000</v>
      </c>
      <c r="J197" t="s">
        <v>82</v>
      </c>
      <c r="K197">
        <v>2018</v>
      </c>
      <c r="L197" t="s">
        <v>393</v>
      </c>
      <c r="O197" t="s">
        <v>394</v>
      </c>
      <c r="Q19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9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8271.9</v>
      </c>
      <c r="V197" s="107" t="str">
        <f>IFERROR(_xlfn.XLOOKUP("*"&amp;TRIM(Fusion[[#This Row],[Confinement Type]])&amp;"*", Map_Conf[From], Map_Conf[To], "", 2), "")</f>
        <v>MCF</v>
      </c>
      <c r="W197" s="108" t="str" cm="1">
        <f t="array" ref="W1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8" spans="1:23" hidden="1">
      <c r="A198">
        <v>25</v>
      </c>
      <c r="B198" t="s">
        <v>81</v>
      </c>
      <c r="C198" t="s">
        <v>61</v>
      </c>
      <c r="D198" t="s">
        <v>62</v>
      </c>
      <c r="E198">
        <v>1500</v>
      </c>
      <c r="F198" t="s">
        <v>217</v>
      </c>
      <c r="G198" t="s">
        <v>57</v>
      </c>
      <c r="H198" t="s">
        <v>76</v>
      </c>
      <c r="I198">
        <v>5350</v>
      </c>
      <c r="J198" t="s">
        <v>82</v>
      </c>
      <c r="K198">
        <v>2011</v>
      </c>
      <c r="L198" t="s">
        <v>83</v>
      </c>
      <c r="O198" t="s">
        <v>1175</v>
      </c>
      <c r="Q19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9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8320.1304135565642</v>
      </c>
      <c r="V198" s="107" t="str">
        <f>IFERROR(_xlfn.XLOOKUP("*"&amp;TRIM(Fusion[[#This Row],[Confinement Type]])&amp;"*", Map_Conf[From], Map_Conf[To], "", 2), "")</f>
        <v>MCF</v>
      </c>
      <c r="W198" s="108" t="str" cm="1">
        <f t="array" ref="W1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199" spans="1:23" hidden="1">
      <c r="A199">
        <v>479</v>
      </c>
      <c r="B199" t="s">
        <v>448</v>
      </c>
      <c r="C199" t="s">
        <v>61</v>
      </c>
      <c r="D199" t="s">
        <v>62</v>
      </c>
      <c r="E199">
        <v>2000</v>
      </c>
      <c r="F199" t="s">
        <v>31</v>
      </c>
      <c r="G199" t="s">
        <v>52</v>
      </c>
      <c r="H199" t="s">
        <v>76</v>
      </c>
      <c r="I199">
        <v>9000</v>
      </c>
      <c r="J199" t="s">
        <v>189</v>
      </c>
      <c r="K199">
        <v>2020</v>
      </c>
      <c r="L199" t="s">
        <v>730</v>
      </c>
      <c r="O199" t="s">
        <v>317</v>
      </c>
      <c r="P199" t="s">
        <v>464</v>
      </c>
      <c r="Q19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19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8732.0979401957429</v>
      </c>
      <c r="V199" s="107" t="str">
        <f>IFERROR(_xlfn.XLOOKUP("*"&amp;TRIM(Fusion[[#This Row],[Confinement Type]])&amp;"*", Map_Conf[From], Map_Conf[To], "", 2), "")</f>
        <v>MCF</v>
      </c>
      <c r="W199" s="108" t="str" cm="1">
        <f t="array" ref="W1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00" spans="1:23" hidden="1">
      <c r="A200">
        <v>177</v>
      </c>
      <c r="B200" t="s">
        <v>213</v>
      </c>
      <c r="C200" t="s">
        <v>61</v>
      </c>
      <c r="D200" t="s">
        <v>62</v>
      </c>
      <c r="E200">
        <v>1332</v>
      </c>
      <c r="F200" t="s">
        <v>217</v>
      </c>
      <c r="G200" t="s">
        <v>52</v>
      </c>
      <c r="H200" t="s">
        <v>76</v>
      </c>
      <c r="I200">
        <v>5500</v>
      </c>
      <c r="J200" t="s">
        <v>82</v>
      </c>
      <c r="K200">
        <v>2005</v>
      </c>
      <c r="L200" t="s">
        <v>1110</v>
      </c>
      <c r="O200" t="s">
        <v>219</v>
      </c>
      <c r="Q20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0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8803.4668389656927</v>
      </c>
      <c r="V200" s="107" t="str">
        <f>IFERROR(_xlfn.XLOOKUP("*"&amp;TRIM(Fusion[[#This Row],[Confinement Type]])&amp;"*", Map_Conf[From], Map_Conf[To], "", 2), "")</f>
        <v>MCF</v>
      </c>
      <c r="W200" s="108" t="str" cm="1">
        <f t="array" ref="W2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01" spans="1:23" hidden="1">
      <c r="A201">
        <v>316</v>
      </c>
      <c r="B201" t="s">
        <v>316</v>
      </c>
      <c r="C201" t="s">
        <v>61</v>
      </c>
      <c r="D201" t="s">
        <v>62</v>
      </c>
      <c r="E201">
        <v>1000</v>
      </c>
      <c r="F201" t="s">
        <v>31</v>
      </c>
      <c r="G201" t="s">
        <v>57</v>
      </c>
      <c r="H201" t="s">
        <v>76</v>
      </c>
      <c r="I201">
        <v>5220</v>
      </c>
      <c r="J201" t="s">
        <v>82</v>
      </c>
      <c r="K201">
        <v>1998</v>
      </c>
      <c r="L201" t="s">
        <v>311</v>
      </c>
      <c r="O201" t="s">
        <v>317</v>
      </c>
      <c r="Q20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0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8940.4134892889124</v>
      </c>
      <c r="V201" s="107" t="str">
        <f>IFERROR(_xlfn.XLOOKUP("*"&amp;TRIM(Fusion[[#This Row],[Confinement Type]])&amp;"*", Map_Conf[From], Map_Conf[To], "", 2), "")</f>
        <v>MCF</v>
      </c>
      <c r="W201" s="108" t="str" cm="1">
        <f t="array" ref="W2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2" spans="1:23" hidden="1">
      <c r="A202">
        <v>14</v>
      </c>
      <c r="B202" t="s">
        <v>81</v>
      </c>
      <c r="C202" t="s">
        <v>61</v>
      </c>
      <c r="D202" t="s">
        <v>62</v>
      </c>
      <c r="E202">
        <v>1500</v>
      </c>
      <c r="F202" t="s">
        <v>217</v>
      </c>
      <c r="G202" t="s">
        <v>32</v>
      </c>
      <c r="H202" t="s">
        <v>76</v>
      </c>
      <c r="I202">
        <v>6000</v>
      </c>
      <c r="J202" t="s">
        <v>82</v>
      </c>
      <c r="K202">
        <v>2011</v>
      </c>
      <c r="L202" t="s">
        <v>83</v>
      </c>
      <c r="O202" t="s">
        <v>1149</v>
      </c>
      <c r="Q20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0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9330.9873796896063</v>
      </c>
      <c r="V202" s="107" t="str">
        <f>IFERROR(_xlfn.XLOOKUP("*"&amp;TRIM(Fusion[[#This Row],[Confinement Type]])&amp;"*", Map_Conf[From], Map_Conf[To], "", 2), "")</f>
        <v>MCF</v>
      </c>
      <c r="W202" s="108" t="str" cm="1">
        <f t="array" ref="W2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3" spans="1:23" hidden="1">
      <c r="A203">
        <v>188</v>
      </c>
      <c r="B203" t="s">
        <v>229</v>
      </c>
      <c r="C203" t="s">
        <v>61</v>
      </c>
      <c r="D203" t="s">
        <v>62</v>
      </c>
      <c r="E203">
        <v>1000</v>
      </c>
      <c r="F203" t="s">
        <v>230</v>
      </c>
      <c r="G203" t="s">
        <v>52</v>
      </c>
      <c r="H203" t="s">
        <v>76</v>
      </c>
      <c r="I203">
        <v>6600</v>
      </c>
      <c r="J203" t="s">
        <v>189</v>
      </c>
      <c r="K203">
        <v>2000</v>
      </c>
      <c r="L203" t="s">
        <v>227</v>
      </c>
      <c r="O203" t="s">
        <v>231</v>
      </c>
      <c r="P203" t="s">
        <v>485</v>
      </c>
      <c r="Q20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0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9624.3101045296171</v>
      </c>
      <c r="V203" s="107" t="str">
        <f>IFERROR(_xlfn.XLOOKUP("*"&amp;TRIM(Fusion[[#This Row],[Confinement Type]])&amp;"*", Map_Conf[From], Map_Conf[To], "", 2), "")</f>
        <v>MCF</v>
      </c>
      <c r="W203" s="108" t="str" cm="1">
        <f t="array" ref="W2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04" spans="1:23" hidden="1">
      <c r="A204">
        <v>176</v>
      </c>
      <c r="B204" t="s">
        <v>211</v>
      </c>
      <c r="C204" t="s">
        <v>61</v>
      </c>
      <c r="D204" t="s">
        <v>62</v>
      </c>
      <c r="E204">
        <v>1546</v>
      </c>
      <c r="F204" t="s">
        <v>217</v>
      </c>
      <c r="G204" t="s">
        <v>52</v>
      </c>
      <c r="H204" t="s">
        <v>76</v>
      </c>
      <c r="I204">
        <v>6400</v>
      </c>
      <c r="J204" t="s">
        <v>82</v>
      </c>
      <c r="K204">
        <v>2005</v>
      </c>
      <c r="L204" t="s">
        <v>1110</v>
      </c>
      <c r="O204" t="s">
        <v>218</v>
      </c>
      <c r="Q20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0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10244.034139887352</v>
      </c>
      <c r="V204" s="107" t="str">
        <f>IFERROR(_xlfn.XLOOKUP("*"&amp;TRIM(Fusion[[#This Row],[Confinement Type]])&amp;"*", Map_Conf[From], Map_Conf[To], "", 2), "")</f>
        <v>MCF</v>
      </c>
      <c r="W204" s="108" t="str" cm="1">
        <f t="array" ref="W2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5" spans="1:23" hidden="1">
      <c r="A205">
        <v>344</v>
      </c>
      <c r="B205" t="s">
        <v>343</v>
      </c>
      <c r="C205" t="s">
        <v>61</v>
      </c>
      <c r="D205" t="s">
        <v>62</v>
      </c>
      <c r="E205">
        <v>1500</v>
      </c>
      <c r="F205" t="s">
        <v>31</v>
      </c>
      <c r="G205" t="s">
        <v>57</v>
      </c>
      <c r="H205" t="s">
        <v>76</v>
      </c>
      <c r="I205">
        <v>11580</v>
      </c>
      <c r="J205" t="s">
        <v>189</v>
      </c>
      <c r="K205">
        <v>2020</v>
      </c>
      <c r="L205" t="s">
        <v>344</v>
      </c>
      <c r="O205" t="s">
        <v>345</v>
      </c>
      <c r="Q20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0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11235.299349718522</v>
      </c>
      <c r="V205" s="107" t="str">
        <f>IFERROR(_xlfn.XLOOKUP("*"&amp;TRIM(Fusion[[#This Row],[Confinement Type]])&amp;"*", Map_Conf[From], Map_Conf[To], "", 2), "")</f>
        <v>MCF</v>
      </c>
      <c r="W205" s="108" t="str" cm="1">
        <f t="array" ref="W2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6" spans="1:23" hidden="1">
      <c r="A206">
        <v>11</v>
      </c>
      <c r="B206" t="s">
        <v>81</v>
      </c>
      <c r="C206" t="s">
        <v>61</v>
      </c>
      <c r="D206" t="s">
        <v>62</v>
      </c>
      <c r="E206">
        <v>1500</v>
      </c>
      <c r="F206" t="s">
        <v>217</v>
      </c>
      <c r="G206" t="s">
        <v>32</v>
      </c>
      <c r="H206" t="s">
        <v>76</v>
      </c>
      <c r="I206">
        <v>7450</v>
      </c>
      <c r="J206" t="s">
        <v>82</v>
      </c>
      <c r="K206">
        <v>2011</v>
      </c>
      <c r="L206" t="s">
        <v>83</v>
      </c>
      <c r="O206" t="s">
        <v>1146</v>
      </c>
      <c r="Q20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0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11585.975996447927</v>
      </c>
      <c r="V206" s="107" t="str">
        <f>IFERROR(_xlfn.XLOOKUP("*"&amp;TRIM(Fusion[[#This Row],[Confinement Type]])&amp;"*", Map_Conf[From], Map_Conf[To], "", 2), "")</f>
        <v>MCF</v>
      </c>
      <c r="W206" s="108" t="str" cm="1">
        <f t="array" ref="W2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07" spans="1:23" hidden="1">
      <c r="A207">
        <v>478</v>
      </c>
      <c r="B207" t="s">
        <v>447</v>
      </c>
      <c r="C207" t="s">
        <v>61</v>
      </c>
      <c r="D207" t="s">
        <v>62</v>
      </c>
      <c r="E207">
        <v>2000</v>
      </c>
      <c r="F207" t="s">
        <v>31</v>
      </c>
      <c r="G207" t="s">
        <v>32</v>
      </c>
      <c r="H207" t="s">
        <v>76</v>
      </c>
      <c r="I207">
        <v>12000</v>
      </c>
      <c r="J207" t="s">
        <v>189</v>
      </c>
      <c r="K207">
        <v>2020</v>
      </c>
      <c r="L207" t="s">
        <v>731</v>
      </c>
      <c r="P207" t="s">
        <v>322</v>
      </c>
      <c r="Q20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0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11642.797253594323</v>
      </c>
      <c r="V207" s="107" t="str">
        <f>IFERROR(_xlfn.XLOOKUP("*"&amp;TRIM(Fusion[[#This Row],[Confinement Type]])&amp;"*", Map_Conf[From], Map_Conf[To], "", 2), "")</f>
        <v>MCF</v>
      </c>
      <c r="W207" s="108" t="str" cm="1">
        <f t="array" ref="W2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8" spans="1:23" hidden="1">
      <c r="A208">
        <v>349</v>
      </c>
      <c r="B208" t="s">
        <v>348</v>
      </c>
      <c r="C208" t="s">
        <v>61</v>
      </c>
      <c r="D208" t="s">
        <v>62</v>
      </c>
      <c r="E208">
        <v>200</v>
      </c>
      <c r="F208" t="s">
        <v>31</v>
      </c>
      <c r="G208" t="s">
        <v>52</v>
      </c>
      <c r="H208" t="s">
        <v>76</v>
      </c>
      <c r="I208">
        <v>12095</v>
      </c>
      <c r="J208" t="s">
        <v>189</v>
      </c>
      <c r="K208">
        <v>2020</v>
      </c>
      <c r="L208" t="s">
        <v>344</v>
      </c>
      <c r="O208" t="s">
        <v>349</v>
      </c>
      <c r="P208" t="s">
        <v>121</v>
      </c>
      <c r="Q20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0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11734.969398518611</v>
      </c>
      <c r="V208" s="107" t="str">
        <f>IFERROR(_xlfn.XLOOKUP("*"&amp;TRIM(Fusion[[#This Row],[Confinement Type]])&amp;"*", Map_Conf[From], Map_Conf[To], "", 2), "")</f>
        <v>MCF</v>
      </c>
      <c r="W208" s="108" t="str" cm="1">
        <f t="array" ref="W2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09" spans="1:23" hidden="1">
      <c r="A209">
        <v>396</v>
      </c>
      <c r="B209" t="s">
        <v>396</v>
      </c>
      <c r="C209" t="s">
        <v>81</v>
      </c>
      <c r="D209" t="s">
        <v>81</v>
      </c>
      <c r="F209" t="s">
        <v>31</v>
      </c>
      <c r="G209" t="s">
        <v>57</v>
      </c>
      <c r="H209" t="s">
        <v>76</v>
      </c>
      <c r="I209">
        <v>10000</v>
      </c>
      <c r="J209" t="s">
        <v>82</v>
      </c>
      <c r="K209">
        <v>2018</v>
      </c>
      <c r="L209" t="s">
        <v>393</v>
      </c>
      <c r="O209" t="s">
        <v>394</v>
      </c>
      <c r="P209" t="s">
        <v>400</v>
      </c>
      <c r="Q20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0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11817</v>
      </c>
      <c r="V209" s="107" t="str">
        <f>IFERROR(_xlfn.XLOOKUP("*"&amp;TRIM(Fusion[[#This Row],[Confinement Type]])&amp;"*", Map_Conf[From], Map_Conf[To], "", 2), "")</f>
        <v>MCF</v>
      </c>
      <c r="W209" s="108" t="str" cm="1">
        <f t="array" ref="W2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10" spans="1:23" hidden="1">
      <c r="A210">
        <v>187</v>
      </c>
      <c r="B210" t="s">
        <v>226</v>
      </c>
      <c r="C210" t="s">
        <v>61</v>
      </c>
      <c r="D210" t="s">
        <v>62</v>
      </c>
      <c r="E210">
        <v>1000</v>
      </c>
      <c r="F210" t="s">
        <v>230</v>
      </c>
      <c r="G210" t="s">
        <v>52</v>
      </c>
      <c r="H210" t="s">
        <v>76</v>
      </c>
      <c r="I210">
        <v>8500</v>
      </c>
      <c r="J210" t="s">
        <v>189</v>
      </c>
      <c r="K210">
        <v>2000</v>
      </c>
      <c r="L210" t="s">
        <v>227</v>
      </c>
      <c r="O210" t="s">
        <v>231</v>
      </c>
      <c r="Q21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1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12394.944831591174</v>
      </c>
      <c r="V210" s="107" t="str">
        <f>IFERROR(_xlfn.XLOOKUP("*"&amp;TRIM(Fusion[[#This Row],[Confinement Type]])&amp;"*", Map_Conf[From], Map_Conf[To], "", 2), "")</f>
        <v>MCF</v>
      </c>
      <c r="W210" s="108" t="str" cm="1">
        <f t="array" ref="W2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11" spans="1:23" hidden="1">
      <c r="A211">
        <v>10</v>
      </c>
      <c r="B211" t="s">
        <v>81</v>
      </c>
      <c r="C211" t="s">
        <v>61</v>
      </c>
      <c r="D211" t="s">
        <v>62</v>
      </c>
      <c r="E211">
        <v>1500</v>
      </c>
      <c r="F211" t="s">
        <v>31</v>
      </c>
      <c r="G211" t="s">
        <v>32</v>
      </c>
      <c r="H211" t="s">
        <v>76</v>
      </c>
      <c r="I211">
        <v>8000</v>
      </c>
      <c r="J211" t="s">
        <v>82</v>
      </c>
      <c r="K211">
        <v>2011</v>
      </c>
      <c r="L211" t="s">
        <v>83</v>
      </c>
      <c r="O211" t="s">
        <v>1145</v>
      </c>
      <c r="Q21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1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12441.316506252808</v>
      </c>
      <c r="V211" s="107" t="str">
        <f>IFERROR(_xlfn.XLOOKUP("*"&amp;TRIM(Fusion[[#This Row],[Confinement Type]])&amp;"*", Map_Conf[From], Map_Conf[To], "", 2), "")</f>
        <v>ICF</v>
      </c>
      <c r="W211" s="108" t="str" cm="1">
        <f t="array" ref="W2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12" spans="1:23" hidden="1">
      <c r="A212">
        <v>476</v>
      </c>
      <c r="B212" t="s">
        <v>445</v>
      </c>
      <c r="C212" t="s">
        <v>61</v>
      </c>
      <c r="D212" t="s">
        <v>62</v>
      </c>
      <c r="F212" t="s">
        <v>230</v>
      </c>
      <c r="G212" t="s">
        <v>57</v>
      </c>
      <c r="H212" t="s">
        <v>76</v>
      </c>
      <c r="I212">
        <v>8820</v>
      </c>
      <c r="J212" t="s">
        <v>189</v>
      </c>
      <c r="K212">
        <v>2000</v>
      </c>
      <c r="L212" t="s">
        <v>446</v>
      </c>
      <c r="O212" t="s">
        <v>1130</v>
      </c>
      <c r="Q21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1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12861.578048780488</v>
      </c>
      <c r="V212" s="107" t="str">
        <f>IFERROR(_xlfn.XLOOKUP("*"&amp;TRIM(Fusion[[#This Row],[Confinement Type]])&amp;"*", Map_Conf[From], Map_Conf[To], "", 2), "")</f>
        <v>MCF</v>
      </c>
      <c r="W212" s="108" t="str" cm="1">
        <f t="array" ref="W2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3" spans="1:23" hidden="1">
      <c r="A213">
        <v>320</v>
      </c>
      <c r="B213" t="s">
        <v>81</v>
      </c>
      <c r="C213" t="s">
        <v>61</v>
      </c>
      <c r="D213" t="s">
        <v>62</v>
      </c>
      <c r="E213">
        <v>1000</v>
      </c>
      <c r="F213" t="s">
        <v>902</v>
      </c>
      <c r="G213" t="s">
        <v>32</v>
      </c>
      <c r="H213" t="s">
        <v>76</v>
      </c>
      <c r="I213">
        <v>7855</v>
      </c>
      <c r="J213" t="s">
        <v>82</v>
      </c>
      <c r="K213">
        <v>1998</v>
      </c>
      <c r="L213" t="s">
        <v>311</v>
      </c>
      <c r="O213" t="s">
        <v>321</v>
      </c>
      <c r="Q21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1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13453.438306200078</v>
      </c>
      <c r="V213" s="107" t="str">
        <f>IFERROR(_xlfn.XLOOKUP("*"&amp;TRIM(Fusion[[#This Row],[Confinement Type]])&amp;"*", Map_Conf[From], Map_Conf[To], "", 2), "")</f>
        <v>MCF</v>
      </c>
      <c r="W213" s="108" t="str" cm="1">
        <f t="array" ref="W2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4" spans="1:23" hidden="1">
      <c r="A214">
        <v>317</v>
      </c>
      <c r="B214" t="s">
        <v>318</v>
      </c>
      <c r="C214" t="s">
        <v>61</v>
      </c>
      <c r="D214" t="s">
        <v>62</v>
      </c>
      <c r="E214">
        <v>1000</v>
      </c>
      <c r="F214" t="s">
        <v>31</v>
      </c>
      <c r="G214" t="s">
        <v>32</v>
      </c>
      <c r="H214" t="s">
        <v>76</v>
      </c>
      <c r="I214">
        <v>7906</v>
      </c>
      <c r="J214" t="s">
        <v>82</v>
      </c>
      <c r="K214">
        <v>1998</v>
      </c>
      <c r="L214" t="s">
        <v>311</v>
      </c>
      <c r="O214" t="s">
        <v>319</v>
      </c>
      <c r="Q21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1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13540.787173624165</v>
      </c>
      <c r="V214" s="107" t="str">
        <f>IFERROR(_xlfn.XLOOKUP("*"&amp;TRIM(Fusion[[#This Row],[Confinement Type]])&amp;"*", Map_Conf[From], Map_Conf[To], "", 2), "")</f>
        <v>MCF</v>
      </c>
      <c r="W214" s="108" t="str" cm="1">
        <f t="array" ref="W2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5" spans="1:23" hidden="1">
      <c r="A215">
        <v>348</v>
      </c>
      <c r="B215" t="s">
        <v>348</v>
      </c>
      <c r="C215" t="s">
        <v>61</v>
      </c>
      <c r="D215" t="s">
        <v>62</v>
      </c>
      <c r="E215">
        <v>200</v>
      </c>
      <c r="F215" t="s">
        <v>31</v>
      </c>
      <c r="G215" t="s">
        <v>57</v>
      </c>
      <c r="H215" t="s">
        <v>76</v>
      </c>
      <c r="I215">
        <v>16343</v>
      </c>
      <c r="J215" t="s">
        <v>189</v>
      </c>
      <c r="K215">
        <v>2020</v>
      </c>
      <c r="L215" t="s">
        <v>344</v>
      </c>
      <c r="O215" t="s">
        <v>349</v>
      </c>
      <c r="P215" t="s">
        <v>504</v>
      </c>
      <c r="Q21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1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15856.519626291001</v>
      </c>
      <c r="V215" s="107" t="str">
        <f>IFERROR(_xlfn.XLOOKUP("*"&amp;TRIM(Fusion[[#This Row],[Confinement Type]])&amp;"*", Map_Conf[From], Map_Conf[To], "", 2), "")</f>
        <v>MCF</v>
      </c>
      <c r="W215" s="108" t="str" cm="1">
        <f t="array" ref="W2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6" spans="1:23" hidden="1">
      <c r="A216">
        <v>477</v>
      </c>
      <c r="B216" t="s">
        <v>211</v>
      </c>
      <c r="C216" t="s">
        <v>61</v>
      </c>
      <c r="D216" t="s">
        <v>62</v>
      </c>
      <c r="E216">
        <v>500</v>
      </c>
      <c r="F216" t="s">
        <v>31</v>
      </c>
      <c r="G216" t="s">
        <v>32</v>
      </c>
      <c r="H216" t="s">
        <v>76</v>
      </c>
      <c r="I216">
        <v>30000</v>
      </c>
      <c r="J216" t="s">
        <v>189</v>
      </c>
      <c r="K216">
        <v>2020</v>
      </c>
      <c r="L216" t="s">
        <v>731</v>
      </c>
      <c r="Q21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1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29106.993133985809</v>
      </c>
      <c r="V216" s="107" t="str">
        <f>IFERROR(_xlfn.XLOOKUP("*"&amp;TRIM(Fusion[[#This Row],[Confinement Type]])&amp;"*", Map_Conf[From], Map_Conf[To], "", 2), "")</f>
        <v>MCF</v>
      </c>
      <c r="W216" s="108" t="str" cm="1">
        <f t="array" ref="W2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7" spans="1:23" hidden="1">
      <c r="A217">
        <v>1</v>
      </c>
      <c r="B217" t="s">
        <v>29</v>
      </c>
      <c r="C217" t="s">
        <v>30</v>
      </c>
      <c r="D217" t="s">
        <v>798</v>
      </c>
      <c r="E217">
        <v>400</v>
      </c>
      <c r="F217" t="s">
        <v>217</v>
      </c>
      <c r="G217" t="s">
        <v>32</v>
      </c>
      <c r="H217" t="s">
        <v>33</v>
      </c>
      <c r="I217">
        <v>6000000000</v>
      </c>
      <c r="J217" t="s">
        <v>34</v>
      </c>
      <c r="K217">
        <v>2011</v>
      </c>
      <c r="L217" t="s">
        <v>35</v>
      </c>
      <c r="O217" t="s">
        <v>1178</v>
      </c>
      <c r="Q21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1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17" s="107" t="str">
        <f>IFERROR(_xlfn.XLOOKUP("*"&amp;TRIM(Fusion[[#This Row],[Confinement Type]])&amp;"*", Map_Conf[From], Map_Conf[To], "", 2), "")</f>
        <v>MCF</v>
      </c>
      <c r="W217" s="108" t="str" cm="1">
        <f t="array" ref="W2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8" spans="1:23" hidden="1">
      <c r="A218">
        <v>2</v>
      </c>
      <c r="B218" t="s">
        <v>51</v>
      </c>
      <c r="C218" t="s">
        <v>30</v>
      </c>
      <c r="D218" t="s">
        <v>798</v>
      </c>
      <c r="E218">
        <v>2200</v>
      </c>
      <c r="F218" t="s">
        <v>217</v>
      </c>
      <c r="G218" t="s">
        <v>57</v>
      </c>
      <c r="H218" t="s">
        <v>33</v>
      </c>
      <c r="I218">
        <v>5000000000</v>
      </c>
      <c r="J218" t="s">
        <v>34</v>
      </c>
      <c r="K218">
        <v>2011</v>
      </c>
      <c r="L218" t="s">
        <v>35</v>
      </c>
      <c r="O218" t="s">
        <v>1179</v>
      </c>
      <c r="Q21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1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18" s="107" t="str">
        <f>IFERROR(_xlfn.XLOOKUP("*"&amp;TRIM(Fusion[[#This Row],[Confinement Type]])&amp;"*", Map_Conf[From], Map_Conf[To], "", 2), "")</f>
        <v>MCF</v>
      </c>
      <c r="W218" s="108" t="str" cm="1">
        <f t="array" ref="W2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19" spans="1:23" hidden="1">
      <c r="A219">
        <v>3</v>
      </c>
      <c r="B219" t="s">
        <v>56</v>
      </c>
      <c r="C219" t="s">
        <v>30</v>
      </c>
      <c r="D219" t="s">
        <v>798</v>
      </c>
      <c r="E219">
        <v>2660</v>
      </c>
      <c r="F219" t="s">
        <v>217</v>
      </c>
      <c r="G219" t="s">
        <v>52</v>
      </c>
      <c r="H219" t="s">
        <v>33</v>
      </c>
      <c r="I219">
        <v>4000000000</v>
      </c>
      <c r="J219" t="s">
        <v>34</v>
      </c>
      <c r="K219">
        <v>2011</v>
      </c>
      <c r="L219" t="s">
        <v>35</v>
      </c>
      <c r="O219" t="s">
        <v>1180</v>
      </c>
      <c r="Q21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1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19" s="107" t="str">
        <f>IFERROR(_xlfn.XLOOKUP("*"&amp;TRIM(Fusion[[#This Row],[Confinement Type]])&amp;"*", Map_Conf[From], Map_Conf[To], "", 2), "")</f>
        <v>MCF</v>
      </c>
      <c r="W219" s="108" t="str" cm="1">
        <f t="array" ref="W2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0" spans="1:23" hidden="1">
      <c r="A220">
        <v>4</v>
      </c>
      <c r="B220" t="s">
        <v>443</v>
      </c>
      <c r="C220" t="s">
        <v>61</v>
      </c>
      <c r="D220" t="s">
        <v>62</v>
      </c>
      <c r="E220">
        <v>1985</v>
      </c>
      <c r="F220" t="s">
        <v>31</v>
      </c>
      <c r="G220" t="s">
        <v>52</v>
      </c>
      <c r="H220" t="s">
        <v>33</v>
      </c>
      <c r="I220">
        <v>3270000000</v>
      </c>
      <c r="J220" t="s">
        <v>34</v>
      </c>
      <c r="K220">
        <v>1975</v>
      </c>
      <c r="L220" t="s">
        <v>1075</v>
      </c>
      <c r="O220" t="s">
        <v>1069</v>
      </c>
      <c r="Q22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2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0" s="107" t="str">
        <f>IFERROR(_xlfn.XLOOKUP("*"&amp;TRIM(Fusion[[#This Row],[Confinement Type]])&amp;"*", Map_Conf[From], Map_Conf[To], "", 2), "")</f>
        <v>MCF</v>
      </c>
      <c r="W220" s="108" t="str" cm="1">
        <f t="array" ref="W2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1" spans="1:23" hidden="1">
      <c r="A221">
        <v>16</v>
      </c>
      <c r="B221" t="s">
        <v>81</v>
      </c>
      <c r="C221" t="s">
        <v>61</v>
      </c>
      <c r="D221" t="s">
        <v>62</v>
      </c>
      <c r="E221">
        <v>1500</v>
      </c>
      <c r="F221" t="s">
        <v>75</v>
      </c>
      <c r="G221" t="s">
        <v>32</v>
      </c>
      <c r="H221" t="s">
        <v>76</v>
      </c>
      <c r="I221">
        <v>78.400000000000006</v>
      </c>
      <c r="J221" t="s">
        <v>88</v>
      </c>
      <c r="K221">
        <v>2011</v>
      </c>
      <c r="L221" t="s">
        <v>83</v>
      </c>
      <c r="O221" t="s">
        <v>1151</v>
      </c>
      <c r="Q22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121.92490176127752</v>
      </c>
      <c r="R22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1" s="107" t="str">
        <f>IFERROR(_xlfn.XLOOKUP("*"&amp;TRIM(Fusion[[#This Row],[Confinement Type]])&amp;"*", Map_Conf[From], Map_Conf[To], "", 2), "")</f>
        <v>MCF</v>
      </c>
      <c r="W221" s="108" t="str" cm="1">
        <f t="array" ref="W2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2" spans="1:23" hidden="1">
      <c r="A222">
        <v>17</v>
      </c>
      <c r="B222" t="s">
        <v>81</v>
      </c>
      <c r="C222" t="s">
        <v>61</v>
      </c>
      <c r="D222" t="s">
        <v>62</v>
      </c>
      <c r="E222">
        <v>1500</v>
      </c>
      <c r="F222" t="s">
        <v>75</v>
      </c>
      <c r="G222" t="s">
        <v>32</v>
      </c>
      <c r="H222" t="s">
        <v>76</v>
      </c>
      <c r="I222">
        <v>64.5</v>
      </c>
      <c r="J222" t="s">
        <v>88</v>
      </c>
      <c r="K222">
        <v>2011</v>
      </c>
      <c r="L222" t="s">
        <v>83</v>
      </c>
      <c r="O222" t="s">
        <v>1152</v>
      </c>
      <c r="Q22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100.30811433166326</v>
      </c>
      <c r="R22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2" s="107" t="str">
        <f>IFERROR(_xlfn.XLOOKUP("*"&amp;TRIM(Fusion[[#This Row],[Confinement Type]])&amp;"*", Map_Conf[From], Map_Conf[To], "", 2), "")</f>
        <v>MCF</v>
      </c>
      <c r="W222" s="108" t="str" cm="1">
        <f t="array" ref="W2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3" spans="1:23" hidden="1">
      <c r="A223">
        <v>18</v>
      </c>
      <c r="B223" t="s">
        <v>81</v>
      </c>
      <c r="C223" t="s">
        <v>61</v>
      </c>
      <c r="D223" t="s">
        <v>62</v>
      </c>
      <c r="E223">
        <v>1500</v>
      </c>
      <c r="F223" t="s">
        <v>75</v>
      </c>
      <c r="G223" t="s">
        <v>52</v>
      </c>
      <c r="H223" t="s">
        <v>76</v>
      </c>
      <c r="I223">
        <v>61.1</v>
      </c>
      <c r="J223" t="s">
        <v>88</v>
      </c>
      <c r="K223">
        <v>2011</v>
      </c>
      <c r="L223" t="s">
        <v>83</v>
      </c>
      <c r="O223" t="s">
        <v>1153</v>
      </c>
      <c r="Q22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95.020554816505822</v>
      </c>
      <c r="R22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3" s="107" t="str">
        <f>IFERROR(_xlfn.XLOOKUP("*"&amp;TRIM(Fusion[[#This Row],[Confinement Type]])&amp;"*", Map_Conf[From], Map_Conf[To], "", 2), "")</f>
        <v>MCF</v>
      </c>
      <c r="W223" s="108" t="str" cm="1">
        <f t="array" ref="W2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4" spans="1:23" hidden="1">
      <c r="A224">
        <v>19</v>
      </c>
      <c r="B224" t="s">
        <v>81</v>
      </c>
      <c r="C224" t="s">
        <v>61</v>
      </c>
      <c r="D224" t="s">
        <v>62</v>
      </c>
      <c r="E224">
        <v>1500</v>
      </c>
      <c r="F224" t="s">
        <v>75</v>
      </c>
      <c r="G224" t="s">
        <v>52</v>
      </c>
      <c r="H224" t="s">
        <v>76</v>
      </c>
      <c r="I224">
        <v>49.3</v>
      </c>
      <c r="J224" t="s">
        <v>88</v>
      </c>
      <c r="K224">
        <v>2011</v>
      </c>
      <c r="L224" t="s">
        <v>83</v>
      </c>
      <c r="O224" t="s">
        <v>1154</v>
      </c>
      <c r="Q22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76.669612969782918</v>
      </c>
      <c r="R22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4" s="107" t="str">
        <f>IFERROR(_xlfn.XLOOKUP("*"&amp;TRIM(Fusion[[#This Row],[Confinement Type]])&amp;"*", Map_Conf[From], Map_Conf[To], "", 2), "")</f>
        <v>MCF</v>
      </c>
      <c r="W224" s="108" t="str" cm="1">
        <f t="array" ref="W2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5" spans="1:23" hidden="1">
      <c r="A225">
        <v>20</v>
      </c>
      <c r="B225" t="s">
        <v>81</v>
      </c>
      <c r="C225" t="s">
        <v>61</v>
      </c>
      <c r="D225" t="s">
        <v>62</v>
      </c>
      <c r="E225">
        <v>1500</v>
      </c>
      <c r="F225" t="s">
        <v>75</v>
      </c>
      <c r="G225" t="s">
        <v>32</v>
      </c>
      <c r="H225" t="s">
        <v>76</v>
      </c>
      <c r="I225">
        <v>51.3</v>
      </c>
      <c r="J225" t="s">
        <v>88</v>
      </c>
      <c r="K225">
        <v>2011</v>
      </c>
      <c r="L225" t="s">
        <v>83</v>
      </c>
      <c r="O225" t="s">
        <v>1155</v>
      </c>
      <c r="Q22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79.779942096346119</v>
      </c>
      <c r="R22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5" s="107" t="str">
        <f>IFERROR(_xlfn.XLOOKUP("*"&amp;TRIM(Fusion[[#This Row],[Confinement Type]])&amp;"*", Map_Conf[From], Map_Conf[To], "", 2), "")</f>
        <v>MCF</v>
      </c>
      <c r="W225" s="108" t="str" cm="1">
        <f t="array" ref="W2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6" spans="1:23" hidden="1">
      <c r="A226">
        <v>21</v>
      </c>
      <c r="B226" t="s">
        <v>81</v>
      </c>
      <c r="C226" t="s">
        <v>61</v>
      </c>
      <c r="D226" t="s">
        <v>62</v>
      </c>
      <c r="E226">
        <v>1500</v>
      </c>
      <c r="F226" t="s">
        <v>75</v>
      </c>
      <c r="G226" t="s">
        <v>52</v>
      </c>
      <c r="H226" t="s">
        <v>76</v>
      </c>
      <c r="I226">
        <v>39.4</v>
      </c>
      <c r="J226" t="s">
        <v>88</v>
      </c>
      <c r="K226">
        <v>2011</v>
      </c>
      <c r="L226" t="s">
        <v>83</v>
      </c>
      <c r="O226" t="s">
        <v>1156</v>
      </c>
      <c r="P226" t="s">
        <v>307</v>
      </c>
      <c r="Q22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61.273483793295071</v>
      </c>
      <c r="R22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6" s="107" t="str">
        <f>IFERROR(_xlfn.XLOOKUP("*"&amp;TRIM(Fusion[[#This Row],[Confinement Type]])&amp;"*", Map_Conf[From], Map_Conf[To], "", 2), "")</f>
        <v>MCF</v>
      </c>
      <c r="W226" s="108" t="str" cm="1">
        <f t="array" ref="W2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27" spans="1:23" hidden="1">
      <c r="B227" t="s">
        <v>81</v>
      </c>
      <c r="C227" t="s">
        <v>61</v>
      </c>
      <c r="D227" t="s">
        <v>62</v>
      </c>
      <c r="E227">
        <v>1500</v>
      </c>
      <c r="F227" t="s">
        <v>75</v>
      </c>
      <c r="G227" t="s">
        <v>57</v>
      </c>
      <c r="H227" t="s">
        <v>76</v>
      </c>
      <c r="I227">
        <v>66.7</v>
      </c>
      <c r="J227" t="s">
        <v>88</v>
      </c>
      <c r="K227">
        <v>2011</v>
      </c>
      <c r="L227" t="s">
        <v>83</v>
      </c>
      <c r="O227" t="s">
        <v>1157</v>
      </c>
      <c r="P227" t="s">
        <v>482</v>
      </c>
      <c r="Q22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103.72947637088278</v>
      </c>
      <c r="R22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7" s="107" t="str">
        <f>IFERROR(_xlfn.XLOOKUP("*"&amp;TRIM(Fusion[[#This Row],[Confinement Type]])&amp;"*", Map_Conf[From], Map_Conf[To], "", 2), "")</f>
        <v>MCF</v>
      </c>
      <c r="W227" s="108" t="str" cm="1">
        <f t="array" ref="W2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228" spans="1:23" hidden="1">
      <c r="B228" t="s">
        <v>81</v>
      </c>
      <c r="C228" t="s">
        <v>61</v>
      </c>
      <c r="D228" t="s">
        <v>62</v>
      </c>
      <c r="E228">
        <v>1500</v>
      </c>
      <c r="F228" t="s">
        <v>75</v>
      </c>
      <c r="G228" t="s">
        <v>57</v>
      </c>
      <c r="H228" t="s">
        <v>76</v>
      </c>
      <c r="I228">
        <v>54.8</v>
      </c>
      <c r="J228" t="s">
        <v>88</v>
      </c>
      <c r="K228">
        <v>2011</v>
      </c>
      <c r="L228" t="s">
        <v>83</v>
      </c>
      <c r="O228" t="s">
        <v>1158</v>
      </c>
      <c r="Q22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85.223018067831731</v>
      </c>
      <c r="R22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8" s="107" t="str">
        <f>IFERROR(_xlfn.XLOOKUP("*"&amp;TRIM(Fusion[[#This Row],[Confinement Type]])&amp;"*", Map_Conf[From], Map_Conf[To], "", 2), "")</f>
        <v>MCF</v>
      </c>
      <c r="W228" s="108" t="str" cm="1">
        <f t="array" ref="W2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29" spans="1:23" hidden="1">
      <c r="B229" t="s">
        <v>81</v>
      </c>
      <c r="C229" t="s">
        <v>61</v>
      </c>
      <c r="D229" t="s">
        <v>62</v>
      </c>
      <c r="E229">
        <v>1500</v>
      </c>
      <c r="F229" t="s">
        <v>75</v>
      </c>
      <c r="G229" t="s">
        <v>57</v>
      </c>
      <c r="H229" t="s">
        <v>76</v>
      </c>
      <c r="I229">
        <v>43.6</v>
      </c>
      <c r="J229" t="s">
        <v>88</v>
      </c>
      <c r="K229">
        <v>2011</v>
      </c>
      <c r="L229" t="s">
        <v>83</v>
      </c>
      <c r="O229" t="s">
        <v>1159</v>
      </c>
      <c r="Q22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67.805174959077803</v>
      </c>
      <c r="R22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29" s="107" t="str">
        <f>IFERROR(_xlfn.XLOOKUP("*"&amp;TRIM(Fusion[[#This Row],[Confinement Type]])&amp;"*", Map_Conf[From], Map_Conf[To], "", 2), "")</f>
        <v>MCF</v>
      </c>
      <c r="W229" s="108" t="str" cm="1">
        <f t="array" ref="W2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0" spans="1:23" hidden="1">
      <c r="B230" t="s">
        <v>81</v>
      </c>
      <c r="C230" t="s">
        <v>61</v>
      </c>
      <c r="D230" t="s">
        <v>62</v>
      </c>
      <c r="E230">
        <v>1500</v>
      </c>
      <c r="F230" t="s">
        <v>75</v>
      </c>
      <c r="G230" t="s">
        <v>754</v>
      </c>
      <c r="H230" t="s">
        <v>76</v>
      </c>
      <c r="I230">
        <v>57.3</v>
      </c>
      <c r="J230" t="s">
        <v>88</v>
      </c>
      <c r="K230">
        <v>2011</v>
      </c>
      <c r="L230" t="s">
        <v>83</v>
      </c>
      <c r="O230" t="s">
        <v>1160</v>
      </c>
      <c r="P230" t="s">
        <v>260</v>
      </c>
      <c r="Q23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89.110929476035722</v>
      </c>
      <c r="R23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0" s="107" t="str">
        <f>IFERROR(_xlfn.XLOOKUP("*"&amp;TRIM(Fusion[[#This Row],[Confinement Type]])&amp;"*", Map_Conf[From], Map_Conf[To], "", 2), "")</f>
        <v>MCF</v>
      </c>
      <c r="W230" s="108" t="str" cm="1">
        <f t="array" ref="W2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1" spans="1:23" hidden="1">
      <c r="B231" t="s">
        <v>81</v>
      </c>
      <c r="C231" t="s">
        <v>61</v>
      </c>
      <c r="D231" t="s">
        <v>62</v>
      </c>
      <c r="E231">
        <v>1500</v>
      </c>
      <c r="F231" t="s">
        <v>75</v>
      </c>
      <c r="G231" t="s">
        <v>754</v>
      </c>
      <c r="H231" t="s">
        <v>76</v>
      </c>
      <c r="I231">
        <v>45.6</v>
      </c>
      <c r="J231" t="s">
        <v>88</v>
      </c>
      <c r="K231">
        <v>2011</v>
      </c>
      <c r="L231" t="s">
        <v>83</v>
      </c>
      <c r="O231" t="s">
        <v>1161</v>
      </c>
      <c r="Q23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70.915504085641004</v>
      </c>
      <c r="R23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1" s="107" t="str">
        <f>IFERROR(_xlfn.XLOOKUP("*"&amp;TRIM(Fusion[[#This Row],[Confinement Type]])&amp;"*", Map_Conf[From], Map_Conf[To], "", 2), "")</f>
        <v>ICF</v>
      </c>
      <c r="W231" s="108" t="str" cm="1">
        <f t="array" ref="W2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32" spans="1:23" hidden="1">
      <c r="B232" t="s">
        <v>81</v>
      </c>
      <c r="C232" t="s">
        <v>61</v>
      </c>
      <c r="D232" t="s">
        <v>62</v>
      </c>
      <c r="E232">
        <v>1500</v>
      </c>
      <c r="F232" t="s">
        <v>75</v>
      </c>
      <c r="G232" t="s">
        <v>754</v>
      </c>
      <c r="H232" t="s">
        <v>76</v>
      </c>
      <c r="I232">
        <v>36.4</v>
      </c>
      <c r="J232" t="s">
        <v>88</v>
      </c>
      <c r="K232">
        <v>2011</v>
      </c>
      <c r="L232" t="s">
        <v>83</v>
      </c>
      <c r="O232" t="s">
        <v>1162</v>
      </c>
      <c r="Q23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56.60799010345027</v>
      </c>
      <c r="R23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2" s="107" t="str">
        <f>IFERROR(_xlfn.XLOOKUP("*"&amp;TRIM(Fusion[[#This Row],[Confinement Type]])&amp;"*", Map_Conf[From], Map_Conf[To], "", 2), "")</f>
        <v>MCF</v>
      </c>
      <c r="W232" s="108" t="str" cm="1">
        <f t="array" ref="W2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3" spans="1:23" hidden="1">
      <c r="A233">
        <v>22</v>
      </c>
      <c r="B233" t="s">
        <v>81</v>
      </c>
      <c r="C233" t="s">
        <v>61</v>
      </c>
      <c r="D233" t="s">
        <v>62</v>
      </c>
      <c r="E233">
        <v>1500</v>
      </c>
      <c r="F233" t="s">
        <v>75</v>
      </c>
      <c r="G233" t="s">
        <v>755</v>
      </c>
      <c r="H233" t="s">
        <v>76</v>
      </c>
      <c r="I233">
        <v>54.6</v>
      </c>
      <c r="J233" t="s">
        <v>88</v>
      </c>
      <c r="K233">
        <v>2011</v>
      </c>
      <c r="L233" t="s">
        <v>83</v>
      </c>
      <c r="O233" t="s">
        <v>1163</v>
      </c>
      <c r="Q23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84.911985155175415</v>
      </c>
      <c r="R23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3" s="107" t="str">
        <f>IFERROR(_xlfn.XLOOKUP("*"&amp;TRIM(Fusion[[#This Row],[Confinement Type]])&amp;"*", Map_Conf[From], Map_Conf[To], "", 2), "")</f>
        <v>MCF</v>
      </c>
      <c r="W233" s="108" t="str" cm="1">
        <f t="array" ref="W2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4" spans="1:23" hidden="1">
      <c r="A234">
        <v>23</v>
      </c>
      <c r="B234" t="s">
        <v>81</v>
      </c>
      <c r="C234" t="s">
        <v>61</v>
      </c>
      <c r="D234" t="s">
        <v>62</v>
      </c>
      <c r="E234">
        <v>1500</v>
      </c>
      <c r="F234" t="s">
        <v>75</v>
      </c>
      <c r="G234" t="s">
        <v>755</v>
      </c>
      <c r="H234" t="s">
        <v>76</v>
      </c>
      <c r="I234">
        <v>42.9</v>
      </c>
      <c r="J234" t="s">
        <v>88</v>
      </c>
      <c r="K234">
        <v>2011</v>
      </c>
      <c r="L234" t="s">
        <v>83</v>
      </c>
      <c r="O234" t="s">
        <v>1164</v>
      </c>
      <c r="P234" t="s">
        <v>127</v>
      </c>
      <c r="Q23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66.716559764780683</v>
      </c>
      <c r="R23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4" s="107" t="str">
        <f>IFERROR(_xlfn.XLOOKUP("*"&amp;TRIM(Fusion[[#This Row],[Confinement Type]])&amp;"*", Map_Conf[From], Map_Conf[To], "", 2), "")</f>
        <v>MCF</v>
      </c>
      <c r="W234" s="108" t="str" cm="1">
        <f t="array" ref="W2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5" spans="1:23" hidden="1">
      <c r="A235">
        <v>24</v>
      </c>
      <c r="B235" t="s">
        <v>81</v>
      </c>
      <c r="C235" t="s">
        <v>61</v>
      </c>
      <c r="D235" t="s">
        <v>62</v>
      </c>
      <c r="E235">
        <v>1500</v>
      </c>
      <c r="F235" t="s">
        <v>75</v>
      </c>
      <c r="G235" t="s">
        <v>755</v>
      </c>
      <c r="H235" t="s">
        <v>76</v>
      </c>
      <c r="I235">
        <v>34.299999999999997</v>
      </c>
      <c r="J235" t="s">
        <v>88</v>
      </c>
      <c r="K235">
        <v>2011</v>
      </c>
      <c r="L235" t="s">
        <v>83</v>
      </c>
      <c r="O235" t="s">
        <v>1165</v>
      </c>
      <c r="P235" t="s">
        <v>148</v>
      </c>
      <c r="Q23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53.342144520558904</v>
      </c>
      <c r="R23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5" s="107" t="str">
        <f>IFERROR(_xlfn.XLOOKUP("*"&amp;TRIM(Fusion[[#This Row],[Confinement Type]])&amp;"*", Map_Conf[From], Map_Conf[To], "", 2), "")</f>
        <v>MCF</v>
      </c>
      <c r="W235" s="108" t="str" cm="1">
        <f t="array" ref="W2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6" spans="1:23" hidden="1">
      <c r="A236">
        <v>28</v>
      </c>
      <c r="B236" t="s">
        <v>90</v>
      </c>
      <c r="C236" t="s">
        <v>61</v>
      </c>
      <c r="D236" t="s">
        <v>91</v>
      </c>
      <c r="E236">
        <v>1198</v>
      </c>
      <c r="F236" t="s">
        <v>31</v>
      </c>
      <c r="G236" t="s">
        <v>52</v>
      </c>
      <c r="H236" t="s">
        <v>33</v>
      </c>
      <c r="I236">
        <v>4969000000</v>
      </c>
      <c r="J236" t="s">
        <v>34</v>
      </c>
      <c r="K236">
        <v>1985</v>
      </c>
      <c r="L236" t="s">
        <v>92</v>
      </c>
      <c r="O236" t="s">
        <v>93</v>
      </c>
      <c r="Q23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3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6" s="107" t="str">
        <f>IFERROR(_xlfn.XLOOKUP("*"&amp;TRIM(Fusion[[#This Row],[Confinement Type]])&amp;"*", Map_Conf[From], Map_Conf[To], "", 2), "")</f>
        <v>ICF</v>
      </c>
      <c r="W236" s="108" t="str" cm="1">
        <f t="array" ref="W2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37" spans="1:23" hidden="1">
      <c r="B237" t="s">
        <v>827</v>
      </c>
      <c r="C237" t="s">
        <v>30</v>
      </c>
      <c r="D237" t="s">
        <v>796</v>
      </c>
      <c r="E237">
        <v>1010</v>
      </c>
      <c r="F237" t="s">
        <v>31</v>
      </c>
      <c r="G237" t="s">
        <v>52</v>
      </c>
      <c r="H237" t="s">
        <v>33</v>
      </c>
      <c r="I237">
        <v>552000000</v>
      </c>
      <c r="J237" t="s">
        <v>34</v>
      </c>
      <c r="K237">
        <v>1983</v>
      </c>
      <c r="L237" t="s">
        <v>825</v>
      </c>
      <c r="O237" t="s">
        <v>822</v>
      </c>
      <c r="Q23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3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7" s="107" t="str">
        <f>IFERROR(_xlfn.XLOOKUP("*"&amp;TRIM(Fusion[[#This Row],[Confinement Type]])&amp;"*", Map_Conf[From], Map_Conf[To], "", 2), "")</f>
        <v>MCF</v>
      </c>
      <c r="W237" s="108" t="str" cm="1">
        <f t="array" ref="W2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8" spans="1:23">
      <c r="A238" s="4"/>
      <c r="B238" s="4" t="s">
        <v>170</v>
      </c>
      <c r="C238" s="4" t="s">
        <v>61</v>
      </c>
      <c r="D238" s="4" t="s">
        <v>113</v>
      </c>
      <c r="E238" s="4">
        <v>970</v>
      </c>
      <c r="F238" s="4" t="s">
        <v>116</v>
      </c>
      <c r="G238" s="4" t="s">
        <v>52</v>
      </c>
      <c r="H238" s="4" t="s">
        <v>76</v>
      </c>
      <c r="I238" s="4">
        <v>13.5</v>
      </c>
      <c r="J238" s="4" t="s">
        <v>77</v>
      </c>
      <c r="K238" s="4">
        <v>1986</v>
      </c>
      <c r="L238" s="4" t="s">
        <v>1105</v>
      </c>
      <c r="O238" s="4" t="s">
        <v>1099</v>
      </c>
      <c r="P238" s="4"/>
      <c r="Q238"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30.930150547445258</v>
      </c>
      <c r="R23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8" s="107" t="str">
        <f>IFERROR(_xlfn.XLOOKUP("*"&amp;TRIM(Fusion[[#This Row],[Confinement Type]])&amp;"*", Map_Conf[From], Map_Conf[To], "", 2), "")</f>
        <v>MCF</v>
      </c>
      <c r="W238" s="108" t="str" cm="1">
        <f t="array" ref="W2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39" spans="1:23">
      <c r="B239" t="s">
        <v>182</v>
      </c>
      <c r="C239" t="s">
        <v>61</v>
      </c>
      <c r="D239" t="s">
        <v>62</v>
      </c>
      <c r="E239">
        <v>1200</v>
      </c>
      <c r="F239" t="s">
        <v>116</v>
      </c>
      <c r="G239" t="s">
        <v>52</v>
      </c>
      <c r="H239" t="s">
        <v>76</v>
      </c>
      <c r="I239">
        <v>16.100000000000001</v>
      </c>
      <c r="J239" t="s">
        <v>77</v>
      </c>
      <c r="K239">
        <v>1986</v>
      </c>
      <c r="L239" t="s">
        <v>1105</v>
      </c>
      <c r="O239" t="s">
        <v>1099</v>
      </c>
      <c r="Q23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36.887068430656939</v>
      </c>
      <c r="R23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39" s="107" t="str">
        <f>IFERROR(_xlfn.XLOOKUP("*"&amp;TRIM(Fusion[[#This Row],[Confinement Type]])&amp;"*", Map_Conf[From], Map_Conf[To], "", 2), "")</f>
        <v>MCF</v>
      </c>
      <c r="W239" s="108" t="str" cm="1">
        <f t="array" ref="W2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0" spans="1:23" hidden="1">
      <c r="B240" t="s">
        <v>827</v>
      </c>
      <c r="C240" t="s">
        <v>30</v>
      </c>
      <c r="D240" t="s">
        <v>796</v>
      </c>
      <c r="E240">
        <v>1010</v>
      </c>
      <c r="F240" t="s">
        <v>75</v>
      </c>
      <c r="G240" t="s">
        <v>52</v>
      </c>
      <c r="H240" t="s">
        <v>76</v>
      </c>
      <c r="I240">
        <v>75</v>
      </c>
      <c r="J240" t="s">
        <v>77</v>
      </c>
      <c r="K240">
        <v>1983</v>
      </c>
      <c r="L240" t="s">
        <v>825</v>
      </c>
      <c r="O240" t="s">
        <v>820</v>
      </c>
      <c r="P240" t="s">
        <v>121</v>
      </c>
      <c r="Q24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189.08659638554218</v>
      </c>
      <c r="R24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0" s="107" t="str">
        <f>IFERROR(_xlfn.XLOOKUP("*"&amp;TRIM(Fusion[[#This Row],[Confinement Type]])&amp;"*", Map_Conf[From], Map_Conf[To], "", 2), "")</f>
        <v>MCF</v>
      </c>
      <c r="W240" s="108" t="str" cm="1">
        <f t="array" ref="W2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41" spans="1:23" hidden="1">
      <c r="B241" t="s">
        <v>828</v>
      </c>
      <c r="C241" t="s">
        <v>30</v>
      </c>
      <c r="D241" t="s">
        <v>796</v>
      </c>
      <c r="E241">
        <v>2000</v>
      </c>
      <c r="F241" t="s">
        <v>31</v>
      </c>
      <c r="G241" t="s">
        <v>52</v>
      </c>
      <c r="H241" t="s">
        <v>33</v>
      </c>
      <c r="I241">
        <v>855000000</v>
      </c>
      <c r="J241" t="s">
        <v>34</v>
      </c>
      <c r="K241">
        <v>1983</v>
      </c>
      <c r="L241" t="s">
        <v>825</v>
      </c>
      <c r="O241" t="s">
        <v>821</v>
      </c>
      <c r="Q24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4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1" s="107" t="str">
        <f>IFERROR(_xlfn.XLOOKUP("*"&amp;TRIM(Fusion[[#This Row],[Confinement Type]])&amp;"*", Map_Conf[From], Map_Conf[To], "", 2), "")</f>
        <v>MCF</v>
      </c>
      <c r="W241" s="108" t="str" cm="1">
        <f t="array" ref="W2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2" spans="1:23" hidden="1">
      <c r="B242" t="s">
        <v>828</v>
      </c>
      <c r="C242" t="s">
        <v>30</v>
      </c>
      <c r="D242" t="s">
        <v>796</v>
      </c>
      <c r="E242">
        <v>2000</v>
      </c>
      <c r="F242" t="s">
        <v>75</v>
      </c>
      <c r="G242" t="s">
        <v>52</v>
      </c>
      <c r="H242" t="s">
        <v>76</v>
      </c>
      <c r="I242">
        <v>58</v>
      </c>
      <c r="J242" t="s">
        <v>77</v>
      </c>
      <c r="K242">
        <v>1983</v>
      </c>
      <c r="L242" t="s">
        <v>825</v>
      </c>
      <c r="O242" t="s">
        <v>820</v>
      </c>
      <c r="Q24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146.22696787148595</v>
      </c>
      <c r="R24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2" s="107" t="str">
        <f>IFERROR(_xlfn.XLOOKUP("*"&amp;TRIM(Fusion[[#This Row],[Confinement Type]])&amp;"*", Map_Conf[From], Map_Conf[To], "", 2), "")</f>
        <v>MCF</v>
      </c>
      <c r="W242" s="108" t="str" cm="1">
        <f t="array" ref="W2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3" spans="1:23" hidden="1">
      <c r="A243">
        <v>31</v>
      </c>
      <c r="B243" t="s">
        <v>95</v>
      </c>
      <c r="C243" t="s">
        <v>81</v>
      </c>
      <c r="D243" t="s">
        <v>81</v>
      </c>
      <c r="E243">
        <v>1000</v>
      </c>
      <c r="F243" t="s">
        <v>75</v>
      </c>
      <c r="G243" t="s">
        <v>57</v>
      </c>
      <c r="H243" t="s">
        <v>76</v>
      </c>
      <c r="J243" t="s">
        <v>88</v>
      </c>
      <c r="K243">
        <v>2019</v>
      </c>
      <c r="L243" t="s">
        <v>96</v>
      </c>
      <c r="O243" t="s">
        <v>1114</v>
      </c>
      <c r="Q24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v>
      </c>
      <c r="R24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3" s="107" t="str">
        <f>IFERROR(_xlfn.XLOOKUP("*"&amp;TRIM(Fusion[[#This Row],[Confinement Type]])&amp;"*", Map_Conf[From], Map_Conf[To], "", 2), "")</f>
        <v>MCF</v>
      </c>
      <c r="W243" s="108" t="str" cm="1">
        <f t="array" ref="W2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4" spans="1:23">
      <c r="A244" s="4">
        <v>261</v>
      </c>
      <c r="B244" s="4" t="s">
        <v>286</v>
      </c>
      <c r="C244" s="4" t="s">
        <v>61</v>
      </c>
      <c r="D244" s="4" t="s">
        <v>278</v>
      </c>
      <c r="E244" s="4">
        <v>1604</v>
      </c>
      <c r="F244" s="4" t="s">
        <v>116</v>
      </c>
      <c r="G244" s="4" t="s">
        <v>57</v>
      </c>
      <c r="H244" s="4" t="s">
        <v>76</v>
      </c>
      <c r="I244" s="4">
        <v>26.8</v>
      </c>
      <c r="J244" s="4" t="s">
        <v>77</v>
      </c>
      <c r="K244" s="4">
        <v>2002</v>
      </c>
      <c r="L244" s="4" t="s">
        <v>287</v>
      </c>
      <c r="O244" s="4"/>
      <c r="P244" s="4"/>
      <c r="Q244"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37.407824346859371</v>
      </c>
      <c r="R24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4" s="107" t="str">
        <f>IFERROR(_xlfn.XLOOKUP("*"&amp;TRIM(Fusion[[#This Row],[Confinement Type]])&amp;"*", Map_Conf[From], Map_Conf[To], "", 2), "")</f>
        <v>MCF</v>
      </c>
      <c r="W244" s="108" t="str" cm="1">
        <f t="array" ref="W2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5" spans="1:23" hidden="1">
      <c r="A245">
        <v>9</v>
      </c>
      <c r="B245" t="s">
        <v>60</v>
      </c>
      <c r="C245" t="s">
        <v>61</v>
      </c>
      <c r="D245" t="s">
        <v>62</v>
      </c>
      <c r="E245">
        <v>1200</v>
      </c>
      <c r="F245" t="s">
        <v>31</v>
      </c>
      <c r="G245" t="s">
        <v>52</v>
      </c>
      <c r="H245" t="s">
        <v>33</v>
      </c>
      <c r="I245">
        <v>1935530000.0000002</v>
      </c>
      <c r="J245" t="s">
        <v>34</v>
      </c>
      <c r="K245">
        <v>1980</v>
      </c>
      <c r="L245" t="s">
        <v>975</v>
      </c>
      <c r="O245" t="s">
        <v>788</v>
      </c>
      <c r="Q24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4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5" s="107" t="str">
        <f>IFERROR(_xlfn.XLOOKUP("*"&amp;TRIM(Fusion[[#This Row],[Confinement Type]])&amp;"*", Map_Conf[From], Map_Conf[To], "", 2), "")</f>
        <v>MCF</v>
      </c>
      <c r="W245" s="108" t="str" cm="1">
        <f t="array" ref="W2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6" spans="1:23" hidden="1">
      <c r="A246">
        <v>5</v>
      </c>
      <c r="B246" t="s">
        <v>60</v>
      </c>
      <c r="C246" t="s">
        <v>61</v>
      </c>
      <c r="D246" t="s">
        <v>62</v>
      </c>
      <c r="E246">
        <v>1200</v>
      </c>
      <c r="F246" t="s">
        <v>75</v>
      </c>
      <c r="G246" t="s">
        <v>52</v>
      </c>
      <c r="H246" t="s">
        <v>76</v>
      </c>
      <c r="I246">
        <v>35.1</v>
      </c>
      <c r="J246" t="s">
        <v>77</v>
      </c>
      <c r="K246">
        <v>1980</v>
      </c>
      <c r="L246" t="s">
        <v>975</v>
      </c>
      <c r="O246" t="s">
        <v>791</v>
      </c>
      <c r="P246" t="s">
        <v>689</v>
      </c>
      <c r="Q24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106.96426820388349</v>
      </c>
      <c r="R24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6" s="107" t="str">
        <f>IFERROR(_xlfn.XLOOKUP("*"&amp;TRIM(Fusion[[#This Row],[Confinement Type]])&amp;"*", Map_Conf[From], Map_Conf[To], "", 2), "")</f>
        <v>MCF</v>
      </c>
      <c r="W246" s="108" t="str" cm="1">
        <f t="array" ref="W2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7" spans="1:23" hidden="1">
      <c r="A247">
        <v>32</v>
      </c>
      <c r="B247" t="s">
        <v>100</v>
      </c>
      <c r="C247" t="s">
        <v>61</v>
      </c>
      <c r="D247" t="s">
        <v>62</v>
      </c>
      <c r="E247">
        <v>121.1</v>
      </c>
      <c r="F247" t="s">
        <v>31</v>
      </c>
      <c r="G247" t="s">
        <v>32</v>
      </c>
      <c r="H247" t="s">
        <v>33</v>
      </c>
      <c r="I247">
        <v>2579400000</v>
      </c>
      <c r="J247" t="s">
        <v>34</v>
      </c>
      <c r="K247">
        <v>2009</v>
      </c>
      <c r="L247" t="s">
        <v>101</v>
      </c>
      <c r="O247" t="s">
        <v>102</v>
      </c>
      <c r="Q24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4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7" s="107" t="str">
        <f>IFERROR(_xlfn.XLOOKUP("*"&amp;TRIM(Fusion[[#This Row],[Confinement Type]])&amp;"*", Map_Conf[From], Map_Conf[To], "", 2), "")</f>
        <v>MCF</v>
      </c>
      <c r="W247" s="108" t="str" cm="1">
        <f t="array" ref="W2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48" spans="1:23" hidden="1">
      <c r="A248">
        <v>33</v>
      </c>
      <c r="B248" t="s">
        <v>105</v>
      </c>
      <c r="C248" t="s">
        <v>61</v>
      </c>
      <c r="D248" t="s">
        <v>62</v>
      </c>
      <c r="E248">
        <v>121.1</v>
      </c>
      <c r="F248" t="s">
        <v>31</v>
      </c>
      <c r="G248" t="s">
        <v>32</v>
      </c>
      <c r="H248" t="s">
        <v>33</v>
      </c>
      <c r="I248">
        <v>1414500000</v>
      </c>
      <c r="J248" t="s">
        <v>34</v>
      </c>
      <c r="K248">
        <v>2009</v>
      </c>
      <c r="L248" t="s">
        <v>101</v>
      </c>
      <c r="O248" t="s">
        <v>106</v>
      </c>
      <c r="Q24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4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8" s="107" t="str">
        <f>IFERROR(_xlfn.XLOOKUP("*"&amp;TRIM(Fusion[[#This Row],[Confinement Type]])&amp;"*", Map_Conf[From], Map_Conf[To], "", 2), "")</f>
        <v>MCF</v>
      </c>
      <c r="W248" s="108" t="str" cm="1">
        <f t="array" ref="W2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49" spans="1:23" hidden="1">
      <c r="A249">
        <v>35</v>
      </c>
      <c r="B249" t="s">
        <v>85</v>
      </c>
      <c r="C249" t="s">
        <v>61</v>
      </c>
      <c r="D249" t="s">
        <v>107</v>
      </c>
      <c r="E249">
        <v>735.77</v>
      </c>
      <c r="F249" t="s">
        <v>667</v>
      </c>
      <c r="G249" t="s">
        <v>32</v>
      </c>
      <c r="H249" t="s">
        <v>33</v>
      </c>
      <c r="I249">
        <v>4503400000.000001</v>
      </c>
      <c r="J249" t="s">
        <v>34</v>
      </c>
      <c r="K249">
        <v>2009</v>
      </c>
      <c r="L249" t="s">
        <v>86</v>
      </c>
      <c r="O249" t="s">
        <v>111</v>
      </c>
      <c r="P249" t="s">
        <v>127</v>
      </c>
      <c r="Q24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4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49" s="107" t="str">
        <f>IFERROR(_xlfn.XLOOKUP("*"&amp;TRIM(Fusion[[#This Row],[Confinement Type]])&amp;"*", Map_Conf[From], Map_Conf[To], "", 2), "")</f>
        <v>MCF</v>
      </c>
      <c r="W249" s="108" t="str" cm="1">
        <f t="array" ref="W2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50" spans="1:23" hidden="1">
      <c r="A250" s="4">
        <v>45</v>
      </c>
      <c r="B250" s="4" t="s">
        <v>124</v>
      </c>
      <c r="C250" s="4" t="s">
        <v>30</v>
      </c>
      <c r="D250" s="4" t="s">
        <v>796</v>
      </c>
      <c r="E250" s="4">
        <v>1010</v>
      </c>
      <c r="F250" s="4" t="s">
        <v>667</v>
      </c>
      <c r="G250" s="4" t="s">
        <v>52</v>
      </c>
      <c r="H250" s="4" t="s">
        <v>33</v>
      </c>
      <c r="I250" s="4">
        <v>2970000000</v>
      </c>
      <c r="J250" s="4" t="s">
        <v>34</v>
      </c>
      <c r="K250" s="4">
        <v>1988</v>
      </c>
      <c r="L250" s="4" t="s">
        <v>120</v>
      </c>
      <c r="O250" s="4" t="s">
        <v>121</v>
      </c>
      <c r="P250" s="4"/>
      <c r="Q250"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5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0" s="107" t="str">
        <f>IFERROR(_xlfn.XLOOKUP("*"&amp;TRIM(Fusion[[#This Row],[Confinement Type]])&amp;"*", Map_Conf[From], Map_Conf[To], "", 2), "")</f>
        <v>MCF</v>
      </c>
      <c r="W250" s="108" t="str" cm="1">
        <f t="array" ref="W2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51" spans="1:23" hidden="1">
      <c r="A251" s="4">
        <v>46</v>
      </c>
      <c r="B251" s="4" t="s">
        <v>125</v>
      </c>
      <c r="C251" s="4" t="s">
        <v>30</v>
      </c>
      <c r="D251" s="4" t="s">
        <v>796</v>
      </c>
      <c r="E251" s="4">
        <v>815</v>
      </c>
      <c r="F251" s="4" t="s">
        <v>667</v>
      </c>
      <c r="G251" s="4" t="s">
        <v>52</v>
      </c>
      <c r="H251" s="4" t="s">
        <v>33</v>
      </c>
      <c r="I251" s="4">
        <v>1195000000</v>
      </c>
      <c r="J251" s="4" t="s">
        <v>34</v>
      </c>
      <c r="K251" s="4">
        <v>1988</v>
      </c>
      <c r="L251" s="4" t="s">
        <v>120</v>
      </c>
      <c r="O251" s="4" t="s">
        <v>121</v>
      </c>
      <c r="P251" s="4"/>
      <c r="Q251"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5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1" s="107" t="str">
        <f>IFERROR(_xlfn.XLOOKUP("*"&amp;TRIM(Fusion[[#This Row],[Confinement Type]])&amp;"*", Map_Conf[From], Map_Conf[To], "", 2), "")</f>
        <v>MCF</v>
      </c>
      <c r="W251" s="108" t="str" cm="1">
        <f t="array" ref="W2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52" spans="1:23">
      <c r="A252" s="4">
        <v>262</v>
      </c>
      <c r="B252" s="4" t="s">
        <v>286</v>
      </c>
      <c r="C252" s="4" t="s">
        <v>61</v>
      </c>
      <c r="D252" s="4" t="s">
        <v>278</v>
      </c>
      <c r="E252" s="4">
        <v>1601</v>
      </c>
      <c r="F252" s="4" t="s">
        <v>116</v>
      </c>
      <c r="G252" s="4" t="s">
        <v>57</v>
      </c>
      <c r="H252" s="4" t="s">
        <v>76</v>
      </c>
      <c r="I252" s="4">
        <v>27.1</v>
      </c>
      <c r="J252" s="4" t="s">
        <v>77</v>
      </c>
      <c r="K252" s="4">
        <v>2002</v>
      </c>
      <c r="L252" s="4" t="s">
        <v>287</v>
      </c>
      <c r="O252" s="4"/>
      <c r="P252" s="4"/>
      <c r="Q252"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37.826568649249587</v>
      </c>
      <c r="R25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2" s="107" t="str">
        <f>IFERROR(_xlfn.XLOOKUP("*"&amp;TRIM(Fusion[[#This Row],[Confinement Type]])&amp;"*", Map_Conf[From], Map_Conf[To], "", 2), "")</f>
        <v>MCF</v>
      </c>
      <c r="W252" s="108" t="str" cm="1">
        <f t="array" ref="W2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3" spans="1:23">
      <c r="A253">
        <v>263</v>
      </c>
      <c r="B253" t="s">
        <v>286</v>
      </c>
      <c r="C253" t="s">
        <v>61</v>
      </c>
      <c r="D253" t="s">
        <v>278</v>
      </c>
      <c r="E253">
        <v>1598</v>
      </c>
      <c r="F253" t="s">
        <v>116</v>
      </c>
      <c r="G253" t="s">
        <v>57</v>
      </c>
      <c r="H253" t="s">
        <v>76</v>
      </c>
      <c r="I253">
        <v>28.2</v>
      </c>
      <c r="J253" t="s">
        <v>77</v>
      </c>
      <c r="K253">
        <v>2002</v>
      </c>
      <c r="L253" t="s">
        <v>287</v>
      </c>
      <c r="P253" t="s">
        <v>323</v>
      </c>
      <c r="Q25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39.36196442468038</v>
      </c>
      <c r="R25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3" s="107" t="str">
        <f>IFERROR(_xlfn.XLOOKUP("*"&amp;TRIM(Fusion[[#This Row],[Confinement Type]])&amp;"*", Map_Conf[From], Map_Conf[To], "", 2), "")</f>
        <v>MCF</v>
      </c>
      <c r="W253" s="108" t="str" cm="1">
        <f t="array" ref="W2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4" spans="1:23" hidden="1">
      <c r="A254">
        <v>65</v>
      </c>
      <c r="B254" t="s">
        <v>124</v>
      </c>
      <c r="C254" t="s">
        <v>30</v>
      </c>
      <c r="D254" t="s">
        <v>796</v>
      </c>
      <c r="E254">
        <v>1010</v>
      </c>
      <c r="F254" t="s">
        <v>108</v>
      </c>
      <c r="G254" t="s">
        <v>52</v>
      </c>
      <c r="H254" t="s">
        <v>76</v>
      </c>
      <c r="I254">
        <v>80</v>
      </c>
      <c r="J254" t="s">
        <v>77</v>
      </c>
      <c r="K254">
        <v>1988</v>
      </c>
      <c r="L254" t="s">
        <v>120</v>
      </c>
      <c r="O254" t="s">
        <v>121</v>
      </c>
      <c r="Q25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169.81031276415891</v>
      </c>
      <c r="R25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4" s="107" t="str">
        <f>IFERROR(_xlfn.XLOOKUP("*"&amp;TRIM(Fusion[[#This Row],[Confinement Type]])&amp;"*", Map_Conf[From], Map_Conf[To], "", 2), "")</f>
        <v>MCF</v>
      </c>
      <c r="W254" s="108" t="str" cm="1">
        <f t="array" ref="W2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5" spans="1:23" hidden="1">
      <c r="A255">
        <v>66</v>
      </c>
      <c r="B255" t="s">
        <v>125</v>
      </c>
      <c r="C255" t="s">
        <v>30</v>
      </c>
      <c r="D255" t="s">
        <v>796</v>
      </c>
      <c r="E255">
        <v>815</v>
      </c>
      <c r="F255" t="s">
        <v>108</v>
      </c>
      <c r="G255" t="s">
        <v>52</v>
      </c>
      <c r="H255" t="s">
        <v>76</v>
      </c>
      <c r="I255">
        <v>44</v>
      </c>
      <c r="J255" t="s">
        <v>77</v>
      </c>
      <c r="K255">
        <v>1988</v>
      </c>
      <c r="L255" t="s">
        <v>120</v>
      </c>
      <c r="O255" t="s">
        <v>121</v>
      </c>
      <c r="Q25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93.395672020287407</v>
      </c>
      <c r="R25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5" s="107" t="str">
        <f>IFERROR(_xlfn.XLOOKUP("*"&amp;TRIM(Fusion[[#This Row],[Confinement Type]])&amp;"*", Map_Conf[From], Map_Conf[To], "", 2), "")</f>
        <v>MCF</v>
      </c>
      <c r="W255" s="108" t="str" cm="1">
        <f t="array" ref="W2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6" spans="1:23" hidden="1">
      <c r="A256">
        <v>50</v>
      </c>
      <c r="B256" t="s">
        <v>124</v>
      </c>
      <c r="C256" t="s">
        <v>30</v>
      </c>
      <c r="D256" t="s">
        <v>796</v>
      </c>
      <c r="E256">
        <v>1010</v>
      </c>
      <c r="F256" t="s">
        <v>493</v>
      </c>
      <c r="G256" t="s">
        <v>52</v>
      </c>
      <c r="H256" t="s">
        <v>76</v>
      </c>
      <c r="I256">
        <v>0.5</v>
      </c>
      <c r="J256" t="s">
        <v>77</v>
      </c>
      <c r="K256">
        <v>1988</v>
      </c>
      <c r="L256" t="s">
        <v>120</v>
      </c>
      <c r="Q25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1.0613144547759932</v>
      </c>
      <c r="R25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6" s="107" t="str">
        <f>IFERROR(_xlfn.XLOOKUP("*"&amp;TRIM(Fusion[[#This Row],[Confinement Type]])&amp;"*", Map_Conf[From], Map_Conf[To], "", 2), "")</f>
        <v>MCF</v>
      </c>
      <c r="W256" s="108" t="str" cm="1">
        <f t="array" ref="W2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7" spans="1:23" hidden="1">
      <c r="A257">
        <v>51</v>
      </c>
      <c r="B257" t="s">
        <v>125</v>
      </c>
      <c r="C257" t="s">
        <v>30</v>
      </c>
      <c r="D257" t="s">
        <v>796</v>
      </c>
      <c r="E257">
        <v>815</v>
      </c>
      <c r="F257" t="s">
        <v>493</v>
      </c>
      <c r="G257" t="s">
        <v>52</v>
      </c>
      <c r="H257" t="s">
        <v>76</v>
      </c>
      <c r="I257">
        <v>0.5</v>
      </c>
      <c r="J257" t="s">
        <v>77</v>
      </c>
      <c r="K257">
        <v>1988</v>
      </c>
      <c r="L257" t="s">
        <v>120</v>
      </c>
      <c r="Q25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1.0613144547759932</v>
      </c>
      <c r="R25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7" s="107" t="str">
        <f>IFERROR(_xlfn.XLOOKUP("*"&amp;TRIM(Fusion[[#This Row],[Confinement Type]])&amp;"*", Map_Conf[From], Map_Conf[To], "", 2), "")</f>
        <v>MCF</v>
      </c>
      <c r="W257" s="108" t="str" cm="1">
        <f t="array" ref="W2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8" spans="1:23" hidden="1">
      <c r="A258">
        <v>57</v>
      </c>
      <c r="B258" t="s">
        <v>119</v>
      </c>
      <c r="C258" t="s">
        <v>61</v>
      </c>
      <c r="D258" t="s">
        <v>113</v>
      </c>
      <c r="E258">
        <v>1200</v>
      </c>
      <c r="F258" t="s">
        <v>115</v>
      </c>
      <c r="G258" t="s">
        <v>52</v>
      </c>
      <c r="H258" t="s">
        <v>76</v>
      </c>
      <c r="I258">
        <v>10</v>
      </c>
      <c r="J258" t="s">
        <v>77</v>
      </c>
      <c r="K258">
        <v>1988</v>
      </c>
      <c r="L258" t="s">
        <v>120</v>
      </c>
      <c r="O258" t="s">
        <v>1121</v>
      </c>
      <c r="Q25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21.226289095519864</v>
      </c>
      <c r="R25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8" s="107" t="str">
        <f>IFERROR(_xlfn.XLOOKUP("*"&amp;TRIM(Fusion[[#This Row],[Confinement Type]])&amp;"*", Map_Conf[From], Map_Conf[To], "", 2), "")</f>
        <v>MCF</v>
      </c>
      <c r="W258" s="108" t="str" cm="1">
        <f t="array" ref="W2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59" spans="1:23" hidden="1">
      <c r="A259">
        <v>59</v>
      </c>
      <c r="B259" t="s">
        <v>126</v>
      </c>
      <c r="C259" t="s">
        <v>61</v>
      </c>
      <c r="D259" t="s">
        <v>62</v>
      </c>
      <c r="E259">
        <v>1000</v>
      </c>
      <c r="F259" t="s">
        <v>115</v>
      </c>
      <c r="G259" t="s">
        <v>52</v>
      </c>
      <c r="H259" t="s">
        <v>76</v>
      </c>
      <c r="I259">
        <v>6</v>
      </c>
      <c r="J259" t="s">
        <v>77</v>
      </c>
      <c r="K259">
        <v>1988</v>
      </c>
      <c r="L259" t="s">
        <v>120</v>
      </c>
      <c r="O259" t="s">
        <v>1121</v>
      </c>
      <c r="Q25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12.735773457311918</v>
      </c>
      <c r="R25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59" s="107" t="str">
        <f>IFERROR(_xlfn.XLOOKUP("*"&amp;TRIM(Fusion[[#This Row],[Confinement Type]])&amp;"*", Map_Conf[From], Map_Conf[To], "", 2), "")</f>
        <v>MCF</v>
      </c>
      <c r="W259" s="108" t="str" cm="1">
        <f t="array" ref="W2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0" spans="1:23" hidden="1">
      <c r="A260">
        <v>61</v>
      </c>
      <c r="B260" t="s">
        <v>112</v>
      </c>
      <c r="C260" t="s">
        <v>61</v>
      </c>
      <c r="D260" t="s">
        <v>113</v>
      </c>
      <c r="E260">
        <v>970</v>
      </c>
      <c r="F260" t="s">
        <v>115</v>
      </c>
      <c r="G260" t="s">
        <v>52</v>
      </c>
      <c r="H260" t="s">
        <v>76</v>
      </c>
      <c r="I260">
        <v>3.5</v>
      </c>
      <c r="J260" t="s">
        <v>77</v>
      </c>
      <c r="K260">
        <v>1988</v>
      </c>
      <c r="L260" t="s">
        <v>120</v>
      </c>
      <c r="O260" t="s">
        <v>1121</v>
      </c>
      <c r="Q26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7.4292011834319522</v>
      </c>
      <c r="R26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60" s="107" t="str">
        <f>IFERROR(_xlfn.XLOOKUP("*"&amp;TRIM(Fusion[[#This Row],[Confinement Type]])&amp;"*", Map_Conf[From], Map_Conf[To], "", 2), "")</f>
        <v>MCF</v>
      </c>
      <c r="W260" s="108" t="str" cm="1">
        <f t="array" ref="W2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1" spans="1:23" hidden="1">
      <c r="A261">
        <v>43</v>
      </c>
      <c r="B261" t="s">
        <v>119</v>
      </c>
      <c r="C261" t="s">
        <v>61</v>
      </c>
      <c r="D261" t="s">
        <v>113</v>
      </c>
      <c r="E261">
        <v>1200</v>
      </c>
      <c r="F261" t="s">
        <v>108</v>
      </c>
      <c r="G261" t="s">
        <v>52</v>
      </c>
      <c r="H261" t="s">
        <v>76</v>
      </c>
      <c r="I261">
        <v>57</v>
      </c>
      <c r="J261" t="s">
        <v>77</v>
      </c>
      <c r="K261">
        <v>1988</v>
      </c>
      <c r="L261" t="s">
        <v>120</v>
      </c>
      <c r="O261" t="s">
        <v>121</v>
      </c>
      <c r="P261" t="s">
        <v>504</v>
      </c>
      <c r="Q26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120.98984784446323</v>
      </c>
      <c r="R26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61" s="107" t="str">
        <f>IFERROR(_xlfn.XLOOKUP("*"&amp;TRIM(Fusion[[#This Row],[Confinement Type]])&amp;"*", Map_Conf[From], Map_Conf[To], "", 2), "")</f>
        <v>MCF</v>
      </c>
      <c r="W261" s="108" t="str" cm="1">
        <f t="array" ref="W2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2" spans="1:23" hidden="1">
      <c r="A262">
        <v>44</v>
      </c>
      <c r="B262" t="s">
        <v>119</v>
      </c>
      <c r="C262" t="s">
        <v>61</v>
      </c>
      <c r="D262" t="s">
        <v>113</v>
      </c>
      <c r="E262">
        <v>1200</v>
      </c>
      <c r="F262" t="s">
        <v>667</v>
      </c>
      <c r="G262" t="s">
        <v>52</v>
      </c>
      <c r="H262" t="s">
        <v>33</v>
      </c>
      <c r="I262">
        <v>1800000000</v>
      </c>
      <c r="J262" t="s">
        <v>34</v>
      </c>
      <c r="K262">
        <v>1988</v>
      </c>
      <c r="L262" t="s">
        <v>120</v>
      </c>
      <c r="O262" t="s">
        <v>121</v>
      </c>
      <c r="Q26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6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62" s="107" t="str">
        <f>IFERROR(_xlfn.XLOOKUP("*"&amp;TRIM(Fusion[[#This Row],[Confinement Type]])&amp;"*", Map_Conf[From], Map_Conf[To], "", 2), "")</f>
        <v>MCF</v>
      </c>
      <c r="W262" s="108" t="str" cm="1">
        <f t="array" ref="W2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3" spans="1:23" hidden="1">
      <c r="A263">
        <v>64</v>
      </c>
      <c r="B263" t="s">
        <v>114</v>
      </c>
      <c r="C263" t="s">
        <v>61</v>
      </c>
      <c r="D263" t="s">
        <v>62</v>
      </c>
      <c r="E263">
        <v>1000</v>
      </c>
      <c r="F263" t="s">
        <v>115</v>
      </c>
      <c r="G263" t="s">
        <v>52</v>
      </c>
      <c r="H263" t="s">
        <v>76</v>
      </c>
      <c r="I263">
        <v>6</v>
      </c>
      <c r="J263" t="s">
        <v>77</v>
      </c>
      <c r="K263">
        <v>1988</v>
      </c>
      <c r="L263" t="s">
        <v>120</v>
      </c>
      <c r="O263" t="s">
        <v>127</v>
      </c>
      <c r="P263" t="s">
        <v>720</v>
      </c>
      <c r="Q26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12.735773457311918</v>
      </c>
      <c r="R26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63" s="107" t="str">
        <f>IFERROR(_xlfn.XLOOKUP("*"&amp;TRIM(Fusion[[#This Row],[Confinement Type]])&amp;"*", Map_Conf[From], Map_Conf[To], "", 2), "")</f>
        <v>MCF</v>
      </c>
      <c r="W263" s="108" t="str" cm="1">
        <f t="array" ref="W2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264" spans="1:23" hidden="1">
      <c r="A264">
        <v>48</v>
      </c>
      <c r="B264" t="s">
        <v>112</v>
      </c>
      <c r="C264" t="s">
        <v>61</v>
      </c>
      <c r="D264" t="s">
        <v>113</v>
      </c>
      <c r="E264">
        <v>970</v>
      </c>
      <c r="F264" t="s">
        <v>667</v>
      </c>
      <c r="G264" t="s">
        <v>52</v>
      </c>
      <c r="H264" t="s">
        <v>33</v>
      </c>
      <c r="I264">
        <v>1470000000</v>
      </c>
      <c r="J264" t="s">
        <v>34</v>
      </c>
      <c r="K264">
        <v>1988</v>
      </c>
      <c r="L264" t="s">
        <v>120</v>
      </c>
      <c r="O264" t="s">
        <v>121</v>
      </c>
      <c r="Q26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6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64" s="107" t="str">
        <f>IFERROR(_xlfn.XLOOKUP("*"&amp;TRIM(Fusion[[#This Row],[Confinement Type]])&amp;"*", Map_Conf[From], Map_Conf[To], "", 2), "")</f>
        <v>MCF</v>
      </c>
      <c r="W264" s="108" t="str" cm="1">
        <f t="array" ref="W2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265" spans="1:23">
      <c r="A265" s="4"/>
      <c r="B265" s="4" t="s">
        <v>176</v>
      </c>
      <c r="C265" s="4" t="s">
        <v>61</v>
      </c>
      <c r="D265" s="4" t="s">
        <v>62</v>
      </c>
      <c r="E265" s="4">
        <v>1200</v>
      </c>
      <c r="F265" s="4" t="s">
        <v>116</v>
      </c>
      <c r="G265" s="4" t="s">
        <v>52</v>
      </c>
      <c r="H265" s="4" t="s">
        <v>76</v>
      </c>
      <c r="I265" s="4">
        <v>17.8</v>
      </c>
      <c r="J265" s="4" t="s">
        <v>77</v>
      </c>
      <c r="K265" s="4">
        <v>1986</v>
      </c>
      <c r="L265" s="4" t="s">
        <v>1105</v>
      </c>
      <c r="O265" s="4" t="s">
        <v>1099</v>
      </c>
      <c r="P265" s="4"/>
      <c r="Q265"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40.781976277372266</v>
      </c>
      <c r="R26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65" s="107" t="str">
        <f>IFERROR(_xlfn.XLOOKUP("*"&amp;TRIM(Fusion[[#This Row],[Confinement Type]])&amp;"*", Map_Conf[From], Map_Conf[To], "", 2), "")</f>
        <v>MCF</v>
      </c>
      <c r="W265" s="108" t="str" cm="1">
        <f t="array" ref="W2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6" spans="1:23">
      <c r="A266" s="4"/>
      <c r="B266" s="4" t="s">
        <v>187</v>
      </c>
      <c r="C266" s="4" t="s">
        <v>61</v>
      </c>
      <c r="D266" s="4" t="s">
        <v>62</v>
      </c>
      <c r="E266" s="4">
        <v>1200</v>
      </c>
      <c r="F266" s="4" t="s">
        <v>116</v>
      </c>
      <c r="G266" s="4" t="s">
        <v>52</v>
      </c>
      <c r="H266" s="4" t="s">
        <v>76</v>
      </c>
      <c r="I266" s="4">
        <v>18.100000000000001</v>
      </c>
      <c r="J266" s="4" t="s">
        <v>77</v>
      </c>
      <c r="K266" s="4">
        <v>1986</v>
      </c>
      <c r="L266" s="4" t="s">
        <v>1105</v>
      </c>
      <c r="O266" s="4" t="s">
        <v>1099</v>
      </c>
      <c r="P266" s="4" t="s">
        <v>504</v>
      </c>
      <c r="Q266"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41.469312956204391</v>
      </c>
      <c r="R26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66" s="107" t="str">
        <f>IFERROR(_xlfn.XLOOKUP("*"&amp;TRIM(Fusion[[#This Row],[Confinement Type]])&amp;"*", Map_Conf[From], Map_Conf[To], "", 2), "")</f>
        <v>MCF</v>
      </c>
      <c r="W266" s="108" t="str" cm="1">
        <f t="array" ref="W2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7" spans="1:23" hidden="1">
      <c r="A267">
        <v>68</v>
      </c>
      <c r="B267" t="s">
        <v>112</v>
      </c>
      <c r="C267" t="s">
        <v>61</v>
      </c>
      <c r="D267" t="s">
        <v>113</v>
      </c>
      <c r="E267">
        <v>970</v>
      </c>
      <c r="F267" t="s">
        <v>108</v>
      </c>
      <c r="G267" t="s">
        <v>52</v>
      </c>
      <c r="H267" t="s">
        <v>76</v>
      </c>
      <c r="I267">
        <v>40</v>
      </c>
      <c r="J267" t="s">
        <v>77</v>
      </c>
      <c r="K267">
        <v>1988</v>
      </c>
      <c r="L267" t="s">
        <v>120</v>
      </c>
      <c r="O267" t="s">
        <v>121</v>
      </c>
      <c r="Q26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84.905156382079454</v>
      </c>
      <c r="R26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67" s="107" t="str">
        <f>IFERROR(_xlfn.XLOOKUP("*"&amp;TRIM(Fusion[[#This Row],[Confinement Type]])&amp;"*", Map_Conf[From], Map_Conf[To], "", 2), "")</f>
        <v>MCF</v>
      </c>
      <c r="W267" s="108" t="str" cm="1">
        <f t="array" ref="W2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8" spans="1:23" hidden="1">
      <c r="A268">
        <v>47</v>
      </c>
      <c r="B268" t="s">
        <v>126</v>
      </c>
      <c r="C268" t="s">
        <v>61</v>
      </c>
      <c r="D268" t="s">
        <v>62</v>
      </c>
      <c r="E268">
        <v>1000</v>
      </c>
      <c r="F268" t="s">
        <v>667</v>
      </c>
      <c r="G268" t="s">
        <v>52</v>
      </c>
      <c r="H268" t="s">
        <v>33</v>
      </c>
      <c r="I268">
        <v>1430000000</v>
      </c>
      <c r="J268" t="s">
        <v>34</v>
      </c>
      <c r="K268">
        <v>1988</v>
      </c>
      <c r="L268" t="s">
        <v>120</v>
      </c>
      <c r="O268" t="s">
        <v>121</v>
      </c>
      <c r="P268" t="s">
        <v>78</v>
      </c>
      <c r="Q26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6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68" s="107" t="str">
        <f>IFERROR(_xlfn.XLOOKUP("*"&amp;TRIM(Fusion[[#This Row],[Confinement Type]])&amp;"*", Map_Conf[From], Map_Conf[To], "", 2), "")</f>
        <v>MCF</v>
      </c>
      <c r="W268" s="108" t="str" cm="1">
        <f t="array" ref="W2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69" spans="1:23" hidden="1">
      <c r="A269">
        <v>54</v>
      </c>
      <c r="B269" t="s">
        <v>114</v>
      </c>
      <c r="C269" t="s">
        <v>61</v>
      </c>
      <c r="D269" t="s">
        <v>62</v>
      </c>
      <c r="E269">
        <v>1000</v>
      </c>
      <c r="F269" t="s">
        <v>667</v>
      </c>
      <c r="G269" t="s">
        <v>52</v>
      </c>
      <c r="H269" t="s">
        <v>33</v>
      </c>
      <c r="I269">
        <v>2140000000</v>
      </c>
      <c r="J269" t="s">
        <v>34</v>
      </c>
      <c r="K269">
        <v>1988</v>
      </c>
      <c r="L269" t="s">
        <v>120</v>
      </c>
      <c r="O269" t="s">
        <v>121</v>
      </c>
      <c r="P269" t="s">
        <v>373</v>
      </c>
      <c r="Q26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6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69" s="107" t="str">
        <f>IFERROR(_xlfn.XLOOKUP("*"&amp;TRIM(Fusion[[#This Row],[Confinement Type]])&amp;"*", Map_Conf[From], Map_Conf[To], "", 2), "")</f>
        <v>MCF</v>
      </c>
      <c r="W269" s="108" t="str" cm="1">
        <f t="array" ref="W2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70" spans="1:23">
      <c r="A270">
        <v>264</v>
      </c>
      <c r="B270" t="s">
        <v>286</v>
      </c>
      <c r="C270" t="s">
        <v>61</v>
      </c>
      <c r="D270" t="s">
        <v>278</v>
      </c>
      <c r="E270">
        <v>1598</v>
      </c>
      <c r="F270" t="s">
        <v>116</v>
      </c>
      <c r="G270" t="s">
        <v>57</v>
      </c>
      <c r="H270" t="s">
        <v>76</v>
      </c>
      <c r="I270">
        <v>31.4</v>
      </c>
      <c r="J270" t="s">
        <v>77</v>
      </c>
      <c r="K270">
        <v>2002</v>
      </c>
      <c r="L270" t="s">
        <v>287</v>
      </c>
      <c r="P270" t="s">
        <v>184</v>
      </c>
      <c r="Q27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43.828570316842693</v>
      </c>
      <c r="R27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0" s="107" t="str">
        <f>IFERROR(_xlfn.XLOOKUP("*"&amp;TRIM(Fusion[[#This Row],[Confinement Type]])&amp;"*", Map_Conf[From], Map_Conf[To], "", 2), "")</f>
        <v>MCF</v>
      </c>
      <c r="W270" s="108" t="str" cm="1">
        <f t="array" ref="W2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1" spans="1:23">
      <c r="A271">
        <v>465</v>
      </c>
      <c r="B271" t="s">
        <v>81</v>
      </c>
      <c r="C271" t="s">
        <v>61</v>
      </c>
      <c r="D271" t="s">
        <v>62</v>
      </c>
      <c r="E271">
        <v>1000</v>
      </c>
      <c r="F271" t="s">
        <v>116</v>
      </c>
      <c r="G271" t="s">
        <v>32</v>
      </c>
      <c r="H271" t="s">
        <v>76</v>
      </c>
      <c r="I271">
        <v>38</v>
      </c>
      <c r="J271" t="s">
        <v>77</v>
      </c>
      <c r="K271">
        <v>2003</v>
      </c>
      <c r="L271" t="s">
        <v>440</v>
      </c>
      <c r="O271" t="s">
        <v>442</v>
      </c>
      <c r="Q27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51.859054347826088</v>
      </c>
      <c r="R27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1" s="107" t="str">
        <f>IFERROR(_xlfn.XLOOKUP("*"&amp;TRIM(Fusion[[#This Row],[Confinement Type]])&amp;"*", Map_Conf[From], Map_Conf[To], "", 2), "")</f>
        <v>MCF</v>
      </c>
      <c r="W271" s="108" t="str" cm="1">
        <f t="array" ref="W2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2" spans="1:23" hidden="1">
      <c r="A272">
        <v>67</v>
      </c>
      <c r="B272" t="s">
        <v>126</v>
      </c>
      <c r="C272" t="s">
        <v>61</v>
      </c>
      <c r="D272" t="s">
        <v>62</v>
      </c>
      <c r="E272">
        <v>1000</v>
      </c>
      <c r="F272" t="s">
        <v>108</v>
      </c>
      <c r="G272" t="s">
        <v>52</v>
      </c>
      <c r="H272" t="s">
        <v>76</v>
      </c>
      <c r="I272">
        <v>48</v>
      </c>
      <c r="J272" t="s">
        <v>77</v>
      </c>
      <c r="K272">
        <v>1988</v>
      </c>
      <c r="L272" t="s">
        <v>120</v>
      </c>
      <c r="O272" t="s">
        <v>121</v>
      </c>
      <c r="Q27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101.88618765849534</v>
      </c>
      <c r="R27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2" s="107" t="str">
        <f>IFERROR(_xlfn.XLOOKUP("*"&amp;TRIM(Fusion[[#This Row],[Confinement Type]])&amp;"*", Map_Conf[From], Map_Conf[To], "", 2), "")</f>
        <v>MCF</v>
      </c>
      <c r="W272" s="108" t="str" cm="1">
        <f t="array" ref="W2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3" spans="1:23" hidden="1">
      <c r="A273">
        <v>69</v>
      </c>
      <c r="B273" t="s">
        <v>114</v>
      </c>
      <c r="C273" t="s">
        <v>61</v>
      </c>
      <c r="D273" t="s">
        <v>62</v>
      </c>
      <c r="E273">
        <v>1000</v>
      </c>
      <c r="F273" t="s">
        <v>108</v>
      </c>
      <c r="G273" t="s">
        <v>52</v>
      </c>
      <c r="H273" t="s">
        <v>76</v>
      </c>
      <c r="I273">
        <v>69</v>
      </c>
      <c r="J273" t="s">
        <v>77</v>
      </c>
      <c r="K273">
        <v>1988</v>
      </c>
      <c r="L273" t="s">
        <v>120</v>
      </c>
      <c r="O273" t="s">
        <v>121</v>
      </c>
      <c r="Q27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146.46139475908706</v>
      </c>
      <c r="R27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3" s="107" t="str">
        <f>IFERROR(_xlfn.XLOOKUP("*"&amp;TRIM(Fusion[[#This Row],[Confinement Type]])&amp;"*", Map_Conf[From], Map_Conf[To], "", 2), "")</f>
        <v>MCF</v>
      </c>
      <c r="W273" s="108" t="str" cm="1">
        <f t="array" ref="W2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4" spans="1:23" hidden="1">
      <c r="A274">
        <v>70</v>
      </c>
      <c r="B274" t="s">
        <v>81</v>
      </c>
      <c r="C274" t="s">
        <v>61</v>
      </c>
      <c r="D274" t="s">
        <v>62</v>
      </c>
      <c r="E274">
        <v>1000</v>
      </c>
      <c r="F274" t="s">
        <v>75</v>
      </c>
      <c r="G274" t="s">
        <v>57</v>
      </c>
      <c r="H274" t="s">
        <v>76</v>
      </c>
      <c r="I274">
        <v>70</v>
      </c>
      <c r="J274" t="s">
        <v>128</v>
      </c>
      <c r="K274">
        <v>1996</v>
      </c>
      <c r="L274" t="s">
        <v>129</v>
      </c>
      <c r="O274" t="s">
        <v>130</v>
      </c>
      <c r="Q27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112.02989165073294</v>
      </c>
      <c r="R27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4" s="107" t="str">
        <f>IFERROR(_xlfn.XLOOKUP("*"&amp;TRIM(Fusion[[#This Row],[Confinement Type]])&amp;"*", Map_Conf[From], Map_Conf[To], "", 2), "")</f>
        <v>MCF</v>
      </c>
      <c r="W274" s="108" t="str" cm="1">
        <f t="array" ref="W2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5" spans="1:23" hidden="1">
      <c r="A275">
        <v>71</v>
      </c>
      <c r="B275" t="s">
        <v>81</v>
      </c>
      <c r="C275" t="s">
        <v>61</v>
      </c>
      <c r="D275" t="s">
        <v>62</v>
      </c>
      <c r="E275">
        <v>1000</v>
      </c>
      <c r="F275" t="s">
        <v>75</v>
      </c>
      <c r="G275" t="s">
        <v>57</v>
      </c>
      <c r="H275" t="s">
        <v>76</v>
      </c>
      <c r="I275">
        <v>80</v>
      </c>
      <c r="J275" t="s">
        <v>128</v>
      </c>
      <c r="K275">
        <v>1996</v>
      </c>
      <c r="L275" t="s">
        <v>129</v>
      </c>
      <c r="O275" t="s">
        <v>130</v>
      </c>
      <c r="Q27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128.03416188655194</v>
      </c>
      <c r="R27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5" s="107" t="str">
        <f>IFERROR(_xlfn.XLOOKUP("*"&amp;TRIM(Fusion[[#This Row],[Confinement Type]])&amp;"*", Map_Conf[From], Map_Conf[To], "", 2), "")</f>
        <v>MCF</v>
      </c>
      <c r="W275" s="108" t="str" cm="1">
        <f t="array" ref="W2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76" spans="1:23" hidden="1">
      <c r="A276">
        <v>72</v>
      </c>
      <c r="B276" t="s">
        <v>81</v>
      </c>
      <c r="C276" t="s">
        <v>61</v>
      </c>
      <c r="D276" t="s">
        <v>62</v>
      </c>
      <c r="E276">
        <v>1000</v>
      </c>
      <c r="F276" t="s">
        <v>75</v>
      </c>
      <c r="G276" t="s">
        <v>57</v>
      </c>
      <c r="H276" t="s">
        <v>76</v>
      </c>
      <c r="I276">
        <v>90</v>
      </c>
      <c r="J276" t="s">
        <v>128</v>
      </c>
      <c r="K276">
        <v>1996</v>
      </c>
      <c r="L276" t="s">
        <v>129</v>
      </c>
      <c r="O276" t="s">
        <v>130</v>
      </c>
      <c r="Q27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144.03843212237092</v>
      </c>
      <c r="R27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6" s="107" t="str">
        <f>IFERROR(_xlfn.XLOOKUP("*"&amp;TRIM(Fusion[[#This Row],[Confinement Type]])&amp;"*", Map_Conf[From], Map_Conf[To], "", 2), "")</f>
        <v>ICF</v>
      </c>
      <c r="W276" s="108" t="str" cm="1">
        <f t="array" ref="W2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77" spans="1:23" hidden="1">
      <c r="A277">
        <v>73</v>
      </c>
      <c r="B277" t="s">
        <v>81</v>
      </c>
      <c r="C277" t="s">
        <v>61</v>
      </c>
      <c r="D277" t="s">
        <v>62</v>
      </c>
      <c r="E277">
        <v>1000</v>
      </c>
      <c r="F277" t="s">
        <v>75</v>
      </c>
      <c r="G277" t="s">
        <v>57</v>
      </c>
      <c r="H277" t="s">
        <v>76</v>
      </c>
      <c r="I277">
        <v>100</v>
      </c>
      <c r="J277" t="s">
        <v>128</v>
      </c>
      <c r="K277">
        <v>1996</v>
      </c>
      <c r="L277" t="s">
        <v>129</v>
      </c>
      <c r="O277" t="s">
        <v>130</v>
      </c>
      <c r="P277" t="s">
        <v>504</v>
      </c>
      <c r="Q27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160.04270235818993</v>
      </c>
      <c r="R27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7" s="107" t="str">
        <f>IFERROR(_xlfn.XLOOKUP("*"&amp;TRIM(Fusion[[#This Row],[Confinement Type]])&amp;"*", Map_Conf[From], Map_Conf[To], "", 2), "")</f>
        <v>ICF</v>
      </c>
      <c r="W277" s="108" t="str" cm="1">
        <f t="array" ref="W2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78" spans="1:23" hidden="1">
      <c r="A278">
        <v>74</v>
      </c>
      <c r="B278" t="s">
        <v>81</v>
      </c>
      <c r="C278" t="s">
        <v>61</v>
      </c>
      <c r="D278" t="s">
        <v>62</v>
      </c>
      <c r="E278">
        <v>1000</v>
      </c>
      <c r="F278" t="s">
        <v>75</v>
      </c>
      <c r="G278" t="s">
        <v>57</v>
      </c>
      <c r="H278" t="s">
        <v>76</v>
      </c>
      <c r="I278">
        <v>110</v>
      </c>
      <c r="J278" t="s">
        <v>128</v>
      </c>
      <c r="K278">
        <v>1996</v>
      </c>
      <c r="L278" t="s">
        <v>129</v>
      </c>
      <c r="O278" t="s">
        <v>130</v>
      </c>
      <c r="Q27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176.04697259400891</v>
      </c>
      <c r="R27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8" s="107" t="str">
        <f>IFERROR(_xlfn.XLOOKUP("*"&amp;TRIM(Fusion[[#This Row],[Confinement Type]])&amp;"*", Map_Conf[From], Map_Conf[To], "", 2), "")</f>
        <v>MCF</v>
      </c>
      <c r="W278" s="108" t="str" cm="1">
        <f t="array" ref="W2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279" spans="1:23" hidden="1">
      <c r="A279">
        <v>75</v>
      </c>
      <c r="B279" t="s">
        <v>81</v>
      </c>
      <c r="C279" t="s">
        <v>61</v>
      </c>
      <c r="D279" t="s">
        <v>62</v>
      </c>
      <c r="E279">
        <v>1000</v>
      </c>
      <c r="F279" t="s">
        <v>75</v>
      </c>
      <c r="G279" t="s">
        <v>57</v>
      </c>
      <c r="H279" t="s">
        <v>76</v>
      </c>
      <c r="I279">
        <v>120</v>
      </c>
      <c r="J279" t="s">
        <v>128</v>
      </c>
      <c r="K279">
        <v>1996</v>
      </c>
      <c r="L279" t="s">
        <v>129</v>
      </c>
      <c r="O279" t="s">
        <v>130</v>
      </c>
      <c r="P279" t="s">
        <v>373</v>
      </c>
      <c r="Q27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192.05124282982788</v>
      </c>
      <c r="R27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79" s="107" t="str">
        <f>IFERROR(_xlfn.XLOOKUP("*"&amp;TRIM(Fusion[[#This Row],[Confinement Type]])&amp;"*", Map_Conf[From], Map_Conf[To], "", 2), "")</f>
        <v>MCF</v>
      </c>
      <c r="W279" s="108" t="str" cm="1">
        <f t="array" ref="W2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0" spans="1:23" hidden="1">
      <c r="A280">
        <v>76</v>
      </c>
      <c r="B280" t="s">
        <v>81</v>
      </c>
      <c r="C280" t="s">
        <v>61</v>
      </c>
      <c r="D280" t="s">
        <v>62</v>
      </c>
      <c r="E280">
        <v>1000</v>
      </c>
      <c r="F280" t="s">
        <v>75</v>
      </c>
      <c r="G280" t="s">
        <v>57</v>
      </c>
      <c r="H280" t="s">
        <v>76</v>
      </c>
      <c r="I280">
        <v>130</v>
      </c>
      <c r="J280" t="s">
        <v>128</v>
      </c>
      <c r="K280">
        <v>1996</v>
      </c>
      <c r="L280" t="s">
        <v>129</v>
      </c>
      <c r="O280" t="s">
        <v>130</v>
      </c>
      <c r="Q28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208.05551306564689</v>
      </c>
      <c r="R28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0" s="107" t="str">
        <f>IFERROR(_xlfn.XLOOKUP("*"&amp;TRIM(Fusion[[#This Row],[Confinement Type]])&amp;"*", Map_Conf[From], Map_Conf[To], "", 2), "")</f>
        <v>MCF</v>
      </c>
      <c r="W280" s="108" t="str" cm="1">
        <f t="array" ref="W2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1" spans="1:23" hidden="1">
      <c r="A281">
        <v>80</v>
      </c>
      <c r="B281" t="s">
        <v>144</v>
      </c>
      <c r="C281" t="s">
        <v>61</v>
      </c>
      <c r="D281" t="s">
        <v>62</v>
      </c>
      <c r="E281">
        <v>1200</v>
      </c>
      <c r="F281" t="s">
        <v>115</v>
      </c>
      <c r="G281" t="s">
        <v>52</v>
      </c>
      <c r="H281" t="s">
        <v>76</v>
      </c>
      <c r="I281">
        <v>7.5</v>
      </c>
      <c r="J281" t="s">
        <v>77</v>
      </c>
      <c r="K281">
        <v>1990</v>
      </c>
      <c r="L281" t="s">
        <v>140</v>
      </c>
      <c r="O281" t="s">
        <v>145</v>
      </c>
      <c r="Q28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14.409353481254783</v>
      </c>
      <c r="R28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1" s="107" t="str">
        <f>IFERROR(_xlfn.XLOOKUP("*"&amp;TRIM(Fusion[[#This Row],[Confinement Type]])&amp;"*", Map_Conf[From], Map_Conf[To], "", 2), "")</f>
        <v>MCF</v>
      </c>
      <c r="W281" s="108" t="str" cm="1">
        <f t="array" ref="W2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282" spans="1:23" hidden="1">
      <c r="A282">
        <v>81</v>
      </c>
      <c r="B282" t="s">
        <v>114</v>
      </c>
      <c r="C282" t="s">
        <v>61</v>
      </c>
      <c r="D282" t="s">
        <v>62</v>
      </c>
      <c r="E282">
        <v>1200</v>
      </c>
      <c r="F282" t="s">
        <v>115</v>
      </c>
      <c r="G282" t="s">
        <v>52</v>
      </c>
      <c r="H282" t="s">
        <v>76</v>
      </c>
      <c r="I282">
        <v>5.9</v>
      </c>
      <c r="J282" t="s">
        <v>77</v>
      </c>
      <c r="K282">
        <v>1990</v>
      </c>
      <c r="L282" t="s">
        <v>140</v>
      </c>
      <c r="P282" t="s">
        <v>482</v>
      </c>
      <c r="Q28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11.33535807192043</v>
      </c>
      <c r="R28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2" s="107" t="str">
        <f>IFERROR(_xlfn.XLOOKUP("*"&amp;TRIM(Fusion[[#This Row],[Confinement Type]])&amp;"*", Map_Conf[From], Map_Conf[To], "", 2), "")</f>
        <v>MCF</v>
      </c>
      <c r="W282" s="108" t="str" cm="1">
        <f t="array" ref="W2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3" spans="1:23" hidden="1">
      <c r="A283">
        <v>82</v>
      </c>
      <c r="B283" t="s">
        <v>144</v>
      </c>
      <c r="C283" t="s">
        <v>61</v>
      </c>
      <c r="D283" t="s">
        <v>62</v>
      </c>
      <c r="E283">
        <v>1200</v>
      </c>
      <c r="F283" t="s">
        <v>493</v>
      </c>
      <c r="G283" t="s">
        <v>52</v>
      </c>
      <c r="H283" t="s">
        <v>76</v>
      </c>
      <c r="I283">
        <v>0.5</v>
      </c>
      <c r="J283" t="s">
        <v>77</v>
      </c>
      <c r="K283">
        <v>1990</v>
      </c>
      <c r="L283" t="s">
        <v>140</v>
      </c>
      <c r="O283" t="s">
        <v>704</v>
      </c>
      <c r="Q28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0.96062356541698557</v>
      </c>
      <c r="R28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3" s="107" t="str">
        <f>IFERROR(_xlfn.XLOOKUP("*"&amp;TRIM(Fusion[[#This Row],[Confinement Type]])&amp;"*", Map_Conf[From], Map_Conf[To], "", 2), "")</f>
        <v>MCF</v>
      </c>
      <c r="W283" s="108" t="str" cm="1">
        <f t="array" ref="W2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4" spans="1:23" hidden="1">
      <c r="A284" s="4">
        <v>83</v>
      </c>
      <c r="B284" s="4" t="s">
        <v>114</v>
      </c>
      <c r="C284" s="4" t="s">
        <v>61</v>
      </c>
      <c r="D284" s="4" t="s">
        <v>62</v>
      </c>
      <c r="E284" s="4">
        <v>1200</v>
      </c>
      <c r="F284" s="4" t="s">
        <v>493</v>
      </c>
      <c r="G284" s="4" t="s">
        <v>52</v>
      </c>
      <c r="H284" s="4" t="s">
        <v>76</v>
      </c>
      <c r="I284" s="4">
        <v>0.5</v>
      </c>
      <c r="J284" s="4" t="s">
        <v>77</v>
      </c>
      <c r="K284" s="4">
        <v>1990</v>
      </c>
      <c r="L284" s="4" t="s">
        <v>140</v>
      </c>
      <c r="O284" s="4" t="s">
        <v>704</v>
      </c>
      <c r="P284" s="4"/>
      <c r="Q284"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0.96062356541698557</v>
      </c>
      <c r="R28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4" s="107" t="str">
        <f>IFERROR(_xlfn.XLOOKUP("*"&amp;TRIM(Fusion[[#This Row],[Confinement Type]])&amp;"*", Map_Conf[From], Map_Conf[To], "", 2), "")</f>
        <v>MIF</v>
      </c>
      <c r="W284" s="108" t="str" cm="1">
        <f t="array" ref="W2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285" spans="1:23" hidden="1">
      <c r="A285">
        <v>7</v>
      </c>
      <c r="B285" t="s">
        <v>60</v>
      </c>
      <c r="C285" t="s">
        <v>61</v>
      </c>
      <c r="D285" t="s">
        <v>62</v>
      </c>
      <c r="E285">
        <v>1200</v>
      </c>
      <c r="F285" t="s">
        <v>63</v>
      </c>
      <c r="G285" t="s">
        <v>52</v>
      </c>
      <c r="H285" t="s">
        <v>76</v>
      </c>
      <c r="I285">
        <v>0.04</v>
      </c>
      <c r="J285" t="s">
        <v>77</v>
      </c>
      <c r="K285">
        <v>1980</v>
      </c>
      <c r="L285" t="s">
        <v>975</v>
      </c>
      <c r="O285" t="s">
        <v>789</v>
      </c>
      <c r="Q28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0.12189660194174756</v>
      </c>
      <c r="R28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5" s="107" t="str">
        <f>IFERROR(_xlfn.XLOOKUP("*"&amp;TRIM(Fusion[[#This Row],[Confinement Type]])&amp;"*", Map_Conf[From], Map_Conf[To], "", 2), "")</f>
        <v>MCF</v>
      </c>
      <c r="W285" s="108" t="str" cm="1">
        <f t="array" ref="W2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6" spans="1:23" hidden="1">
      <c r="A286">
        <v>410</v>
      </c>
      <c r="B286" t="s">
        <v>398</v>
      </c>
      <c r="C286" t="s">
        <v>61</v>
      </c>
      <c r="D286" t="s">
        <v>251</v>
      </c>
      <c r="E286">
        <v>1204</v>
      </c>
      <c r="F286" t="s">
        <v>63</v>
      </c>
      <c r="G286" t="s">
        <v>32</v>
      </c>
      <c r="H286" t="s">
        <v>76</v>
      </c>
      <c r="I286">
        <v>0.15839403617452077</v>
      </c>
      <c r="J286" t="s">
        <v>128</v>
      </c>
      <c r="K286">
        <v>2023</v>
      </c>
      <c r="L286" t="s">
        <v>399</v>
      </c>
      <c r="O286" t="s">
        <v>373</v>
      </c>
      <c r="Q28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0.13053360739895173</v>
      </c>
      <c r="R28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6" s="107" t="str">
        <f>IFERROR(_xlfn.XLOOKUP("*"&amp;TRIM(Fusion[[#This Row],[Confinement Type]])&amp;"*", Map_Conf[From], Map_Conf[To], "", 2), "")</f>
        <v>MCF</v>
      </c>
      <c r="W286" s="108" t="str" cm="1">
        <f t="array" ref="W2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7" spans="1:23" hidden="1">
      <c r="A287">
        <v>86</v>
      </c>
      <c r="B287" t="s">
        <v>144</v>
      </c>
      <c r="C287" t="s">
        <v>61</v>
      </c>
      <c r="D287" t="s">
        <v>62</v>
      </c>
      <c r="E287">
        <v>1200</v>
      </c>
      <c r="F287" t="s">
        <v>108</v>
      </c>
      <c r="G287" t="s">
        <v>52</v>
      </c>
      <c r="H287" t="s">
        <v>76</v>
      </c>
      <c r="I287">
        <v>60</v>
      </c>
      <c r="J287" t="s">
        <v>77</v>
      </c>
      <c r="K287">
        <v>1990</v>
      </c>
      <c r="L287" t="s">
        <v>140</v>
      </c>
      <c r="P287" t="s">
        <v>190</v>
      </c>
      <c r="Q28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115.27482785003826</v>
      </c>
      <c r="R28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7" s="107" t="str">
        <f>IFERROR(_xlfn.XLOOKUP("*"&amp;TRIM(Fusion[[#This Row],[Confinement Type]])&amp;"*", Map_Conf[From], Map_Conf[To], "", 2), "")</f>
        <v>MCF</v>
      </c>
      <c r="W287" s="108" t="str" cm="1">
        <f t="array" ref="W2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8" spans="1:23" hidden="1">
      <c r="A288">
        <v>87</v>
      </c>
      <c r="B288" t="s">
        <v>114</v>
      </c>
      <c r="C288" t="s">
        <v>61</v>
      </c>
      <c r="D288" t="s">
        <v>62</v>
      </c>
      <c r="E288">
        <v>1200</v>
      </c>
      <c r="F288" t="s">
        <v>108</v>
      </c>
      <c r="G288" t="s">
        <v>52</v>
      </c>
      <c r="H288" t="s">
        <v>76</v>
      </c>
      <c r="I288">
        <v>60</v>
      </c>
      <c r="J288" t="s">
        <v>77</v>
      </c>
      <c r="K288">
        <v>1990</v>
      </c>
      <c r="L288" t="s">
        <v>140</v>
      </c>
      <c r="P288" t="s">
        <v>321</v>
      </c>
      <c r="Q28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115.27482785003826</v>
      </c>
      <c r="R28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8" s="107" t="str">
        <f>IFERROR(_xlfn.XLOOKUP("*"&amp;TRIM(Fusion[[#This Row],[Confinement Type]])&amp;"*", Map_Conf[From], Map_Conf[To], "", 2), "")</f>
        <v>MCF</v>
      </c>
      <c r="W288" s="108" t="str" cm="1">
        <f t="array" ref="W2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89" spans="1:23" hidden="1">
      <c r="A289">
        <v>77</v>
      </c>
      <c r="B289" t="s">
        <v>139</v>
      </c>
      <c r="C289" t="s">
        <v>61</v>
      </c>
      <c r="D289" t="s">
        <v>62</v>
      </c>
      <c r="E289">
        <v>1200</v>
      </c>
      <c r="F289" t="s">
        <v>31</v>
      </c>
      <c r="G289" t="s">
        <v>52</v>
      </c>
      <c r="H289" t="s">
        <v>33</v>
      </c>
      <c r="I289">
        <v>2853000000</v>
      </c>
      <c r="J289" t="s">
        <v>34</v>
      </c>
      <c r="K289">
        <v>1990</v>
      </c>
      <c r="L289" t="s">
        <v>140</v>
      </c>
      <c r="O289" t="s">
        <v>141</v>
      </c>
      <c r="Q28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8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89" s="107" t="str">
        <f>IFERROR(_xlfn.XLOOKUP("*"&amp;TRIM(Fusion[[#This Row],[Confinement Type]])&amp;"*", Map_Conf[From], Map_Conf[To], "", 2), "")</f>
        <v>MCF</v>
      </c>
      <c r="W289" s="108" t="str" cm="1">
        <f t="array" ref="W2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0" spans="1:23" hidden="1">
      <c r="A290">
        <v>78</v>
      </c>
      <c r="B290" t="s">
        <v>143</v>
      </c>
      <c r="C290" t="s">
        <v>61</v>
      </c>
      <c r="D290" t="s">
        <v>62</v>
      </c>
      <c r="E290">
        <v>1200</v>
      </c>
      <c r="F290" t="s">
        <v>31</v>
      </c>
      <c r="G290" t="s">
        <v>52</v>
      </c>
      <c r="H290" t="s">
        <v>33</v>
      </c>
      <c r="I290">
        <v>2547000000</v>
      </c>
      <c r="J290" t="s">
        <v>34</v>
      </c>
      <c r="K290">
        <v>1990</v>
      </c>
      <c r="L290" t="s">
        <v>140</v>
      </c>
      <c r="O290" t="s">
        <v>141</v>
      </c>
      <c r="Q29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9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90" s="107" t="str">
        <f>IFERROR(_xlfn.XLOOKUP("*"&amp;TRIM(Fusion[[#This Row],[Confinement Type]])&amp;"*", Map_Conf[From], Map_Conf[To], "", 2), "")</f>
        <v>MCF</v>
      </c>
      <c r="W290" s="108" t="str" cm="1">
        <f t="array" ref="W2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1" spans="1:23" hidden="1">
      <c r="A291">
        <v>79</v>
      </c>
      <c r="B291" t="s">
        <v>114</v>
      </c>
      <c r="C291" t="s">
        <v>61</v>
      </c>
      <c r="D291" t="s">
        <v>62</v>
      </c>
      <c r="E291">
        <v>1200</v>
      </c>
      <c r="F291" t="s">
        <v>31</v>
      </c>
      <c r="G291" t="s">
        <v>52</v>
      </c>
      <c r="H291" t="s">
        <v>33</v>
      </c>
      <c r="I291">
        <v>4092000000</v>
      </c>
      <c r="J291" t="s">
        <v>34</v>
      </c>
      <c r="K291">
        <v>1990</v>
      </c>
      <c r="L291" t="s">
        <v>140</v>
      </c>
      <c r="O291" t="s">
        <v>141</v>
      </c>
      <c r="Q29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9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91" s="107" t="str">
        <f>IFERROR(_xlfn.XLOOKUP("*"&amp;TRIM(Fusion[[#This Row],[Confinement Type]])&amp;"*", Map_Conf[From], Map_Conf[To], "", 2), "")</f>
        <v>MCF</v>
      </c>
      <c r="W291" s="108" t="str" cm="1">
        <f t="array" ref="W2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2" spans="1:23" hidden="1">
      <c r="A292">
        <v>101</v>
      </c>
      <c r="B292" t="s">
        <v>170</v>
      </c>
      <c r="C292" t="s">
        <v>61</v>
      </c>
      <c r="D292" t="s">
        <v>113</v>
      </c>
      <c r="E292">
        <v>1200</v>
      </c>
      <c r="F292" t="s">
        <v>31</v>
      </c>
      <c r="G292" t="s">
        <v>52</v>
      </c>
      <c r="H292" t="s">
        <v>33</v>
      </c>
      <c r="I292">
        <v>1566300000</v>
      </c>
      <c r="J292" t="s">
        <v>34</v>
      </c>
      <c r="K292">
        <v>1986</v>
      </c>
      <c r="L292" t="s">
        <v>147</v>
      </c>
      <c r="O292" t="s">
        <v>171</v>
      </c>
      <c r="Q29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9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92" s="107" t="str">
        <f>IFERROR(_xlfn.XLOOKUP("*"&amp;TRIM(Fusion[[#This Row],[Confinement Type]])&amp;"*", Map_Conf[From], Map_Conf[To], "", 2), "")</f>
        <v>MCF</v>
      </c>
      <c r="W292" s="108" t="str" cm="1">
        <f t="array" ref="W2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3" spans="1:23" hidden="1">
      <c r="A293">
        <v>102</v>
      </c>
      <c r="B293" t="s">
        <v>172</v>
      </c>
      <c r="C293" t="s">
        <v>61</v>
      </c>
      <c r="D293" t="s">
        <v>113</v>
      </c>
      <c r="E293">
        <v>1200</v>
      </c>
      <c r="F293" t="s">
        <v>31</v>
      </c>
      <c r="G293" t="s">
        <v>52</v>
      </c>
      <c r="H293" t="s">
        <v>33</v>
      </c>
      <c r="I293">
        <v>1589200000</v>
      </c>
      <c r="J293" t="s">
        <v>34</v>
      </c>
      <c r="K293">
        <v>1986</v>
      </c>
      <c r="L293" t="s">
        <v>147</v>
      </c>
      <c r="O293" t="s">
        <v>173</v>
      </c>
      <c r="Q29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9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93" s="107" t="str">
        <f>IFERROR(_xlfn.XLOOKUP("*"&amp;TRIM(Fusion[[#This Row],[Confinement Type]])&amp;"*", Map_Conf[From], Map_Conf[To], "", 2), "")</f>
        <v>ICF</v>
      </c>
      <c r="W293" s="108" t="str" cm="1">
        <f t="array" ref="W2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94" spans="1:23" hidden="1">
      <c r="A294">
        <v>133</v>
      </c>
      <c r="B294" t="s">
        <v>170</v>
      </c>
      <c r="C294" t="s">
        <v>61</v>
      </c>
      <c r="D294" t="s">
        <v>113</v>
      </c>
      <c r="E294">
        <v>1200</v>
      </c>
      <c r="F294" t="s">
        <v>75</v>
      </c>
      <c r="G294" t="s">
        <v>52</v>
      </c>
      <c r="H294" t="s">
        <v>76</v>
      </c>
      <c r="I294">
        <v>37.69</v>
      </c>
      <c r="J294" t="s">
        <v>77</v>
      </c>
      <c r="K294">
        <v>1986</v>
      </c>
      <c r="L294" t="s">
        <v>147</v>
      </c>
      <c r="O294" t="s">
        <v>186</v>
      </c>
      <c r="Q29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86.352398083941608</v>
      </c>
      <c r="R29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94" s="107" t="str">
        <f>IFERROR(_xlfn.XLOOKUP("*"&amp;TRIM(Fusion[[#This Row],[Confinement Type]])&amp;"*", Map_Conf[From], Map_Conf[To], "", 2), "")</f>
        <v>MCF</v>
      </c>
      <c r="W294" s="108" t="str" cm="1">
        <f t="array" ref="W2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5" spans="1:23" hidden="1">
      <c r="A295">
        <v>136</v>
      </c>
      <c r="B295" t="s">
        <v>172</v>
      </c>
      <c r="C295" t="s">
        <v>61</v>
      </c>
      <c r="D295" t="s">
        <v>113</v>
      </c>
      <c r="E295">
        <v>1200</v>
      </c>
      <c r="F295" t="s">
        <v>75</v>
      </c>
      <c r="G295" t="s">
        <v>52</v>
      </c>
      <c r="H295" t="s">
        <v>76</v>
      </c>
      <c r="I295">
        <v>37.299999999999997</v>
      </c>
      <c r="J295" t="s">
        <v>77</v>
      </c>
      <c r="K295">
        <v>1986</v>
      </c>
      <c r="L295" t="s">
        <v>147</v>
      </c>
      <c r="O295" t="s">
        <v>186</v>
      </c>
      <c r="Q29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85.458860401459859</v>
      </c>
      <c r="R29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95" s="107" t="str">
        <f>IFERROR(_xlfn.XLOOKUP("*"&amp;TRIM(Fusion[[#This Row],[Confinement Type]])&amp;"*", Map_Conf[From], Map_Conf[To], "", 2), "")</f>
        <v>ICF</v>
      </c>
      <c r="W295" s="108" t="str" cm="1">
        <f t="array" ref="W2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296" spans="1:23" hidden="1">
      <c r="A296" s="4">
        <v>90</v>
      </c>
      <c r="B296" s="4" t="s">
        <v>146</v>
      </c>
      <c r="C296" s="4" t="s">
        <v>61</v>
      </c>
      <c r="D296" s="4" t="s">
        <v>62</v>
      </c>
      <c r="E296" s="4">
        <v>1200</v>
      </c>
      <c r="F296" s="4" t="s">
        <v>31</v>
      </c>
      <c r="G296" s="4" t="s">
        <v>52</v>
      </c>
      <c r="H296" s="4" t="s">
        <v>33</v>
      </c>
      <c r="I296" s="4">
        <v>2273100000</v>
      </c>
      <c r="J296" s="4" t="s">
        <v>34</v>
      </c>
      <c r="K296" s="4">
        <v>1986</v>
      </c>
      <c r="L296" s="4" t="s">
        <v>147</v>
      </c>
      <c r="O296" s="4" t="s">
        <v>158</v>
      </c>
      <c r="P296" s="4"/>
      <c r="Q296"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29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96" s="107" t="str">
        <f>IFERROR(_xlfn.XLOOKUP("*"&amp;TRIM(Fusion[[#This Row],[Confinement Type]])&amp;"*", Map_Conf[From], Map_Conf[To], "", 2), "")</f>
        <v>MCF</v>
      </c>
      <c r="W296" s="108" t="str" cm="1">
        <f t="array" ref="W2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7" spans="1:23" hidden="1">
      <c r="A297">
        <v>409</v>
      </c>
      <c r="B297" t="s">
        <v>407</v>
      </c>
      <c r="C297" t="s">
        <v>61</v>
      </c>
      <c r="D297" t="s">
        <v>251</v>
      </c>
      <c r="E297">
        <v>1165</v>
      </c>
      <c r="F297" t="s">
        <v>63</v>
      </c>
      <c r="G297" t="s">
        <v>32</v>
      </c>
      <c r="H297" t="s">
        <v>76</v>
      </c>
      <c r="I297">
        <v>0.16369649747135023</v>
      </c>
      <c r="J297" t="s">
        <v>128</v>
      </c>
      <c r="K297">
        <v>2023</v>
      </c>
      <c r="L297" t="s">
        <v>399</v>
      </c>
      <c r="O297" t="s">
        <v>373</v>
      </c>
      <c r="P297" t="s">
        <v>127</v>
      </c>
      <c r="Q29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0.13490340198140591</v>
      </c>
      <c r="R29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97" s="107" t="str">
        <f>IFERROR(_xlfn.XLOOKUP("*"&amp;TRIM(Fusion[[#This Row],[Confinement Type]])&amp;"*", Map_Conf[From], Map_Conf[To], "", 2), "")</f>
        <v>MCF</v>
      </c>
      <c r="W297" s="108" t="str" cm="1">
        <f t="array" ref="W2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298" spans="1:23" hidden="1">
      <c r="A298">
        <v>450</v>
      </c>
      <c r="B298" t="s">
        <v>60</v>
      </c>
      <c r="C298" t="s">
        <v>61</v>
      </c>
      <c r="D298" t="s">
        <v>62</v>
      </c>
      <c r="E298">
        <v>1200</v>
      </c>
      <c r="F298" t="s">
        <v>63</v>
      </c>
      <c r="G298" t="s">
        <v>52</v>
      </c>
      <c r="H298" t="s">
        <v>76</v>
      </c>
      <c r="I298">
        <v>5.8541154431565393E-2</v>
      </c>
      <c r="J298" t="s">
        <v>128</v>
      </c>
      <c r="K298">
        <v>1983</v>
      </c>
      <c r="L298" t="s">
        <v>428</v>
      </c>
      <c r="O298" t="s">
        <v>429</v>
      </c>
      <c r="Q29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0.14759130186593467</v>
      </c>
      <c r="R29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298" s="107" t="str">
        <f>IFERROR(_xlfn.XLOOKUP("*"&amp;TRIM(Fusion[[#This Row],[Confinement Type]])&amp;"*", Map_Conf[From], Map_Conf[To], "", 2), "")</f>
        <v>MCF</v>
      </c>
      <c r="W298" s="108" t="str" cm="1">
        <f t="array" ref="W2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299" spans="1:23">
      <c r="A299">
        <v>30</v>
      </c>
      <c r="B299" t="s">
        <v>95</v>
      </c>
      <c r="C299" t="s">
        <v>81</v>
      </c>
      <c r="D299" t="s">
        <v>81</v>
      </c>
      <c r="E299">
        <v>1000</v>
      </c>
      <c r="F299" t="s">
        <v>391</v>
      </c>
      <c r="G299" t="s">
        <v>57</v>
      </c>
      <c r="H299" t="s">
        <v>76</v>
      </c>
      <c r="J299" t="s">
        <v>82</v>
      </c>
      <c r="K299">
        <v>2019</v>
      </c>
      <c r="L299" t="s">
        <v>96</v>
      </c>
      <c r="O299" t="s">
        <v>1114</v>
      </c>
      <c r="Q29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299" s="107" t="str">
        <f>IFERROR(_xlfn.XLOOKUP("*"&amp;TRIM(Fusion[[#This Row],[Confinement Type]])&amp;"*", Map_Conf[From], Map_Conf[To], "", 2), "")</f>
        <v>MCF</v>
      </c>
      <c r="W299" s="108" t="str" cm="1">
        <f t="array" ref="W2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00" spans="1:23">
      <c r="A300">
        <v>8</v>
      </c>
      <c r="B300" t="s">
        <v>60</v>
      </c>
      <c r="C300" t="s">
        <v>61</v>
      </c>
      <c r="D300" t="s">
        <v>62</v>
      </c>
      <c r="E300">
        <v>1200</v>
      </c>
      <c r="F300" t="s">
        <v>116</v>
      </c>
      <c r="G300" t="s">
        <v>52</v>
      </c>
      <c r="H300" t="s">
        <v>33</v>
      </c>
      <c r="I300">
        <v>19410000</v>
      </c>
      <c r="J300" t="s">
        <v>34</v>
      </c>
      <c r="K300">
        <v>1980</v>
      </c>
      <c r="L300" t="s">
        <v>975</v>
      </c>
      <c r="Q30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0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49.29193841019417</v>
      </c>
      <c r="V300" s="107" t="str">
        <f>IFERROR(_xlfn.XLOOKUP("*"&amp;TRIM(Fusion[[#This Row],[Confinement Type]])&amp;"*", Map_Conf[From], Map_Conf[To], "", 2), "")</f>
        <v>MCF</v>
      </c>
      <c r="W300" s="108" t="str" cm="1">
        <f t="array" ref="W3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01" spans="1:23">
      <c r="A301">
        <v>126</v>
      </c>
      <c r="B301" t="s">
        <v>183</v>
      </c>
      <c r="C301" t="s">
        <v>61</v>
      </c>
      <c r="D301" t="s">
        <v>62</v>
      </c>
      <c r="E301">
        <v>1200</v>
      </c>
      <c r="F301" t="s">
        <v>116</v>
      </c>
      <c r="G301" t="s">
        <v>52</v>
      </c>
      <c r="H301" t="s">
        <v>33</v>
      </c>
      <c r="I301">
        <v>40500000</v>
      </c>
      <c r="J301" t="s">
        <v>34</v>
      </c>
      <c r="K301">
        <v>1986</v>
      </c>
      <c r="L301" t="s">
        <v>147</v>
      </c>
      <c r="O301" t="s">
        <v>184</v>
      </c>
      <c r="P301" t="s">
        <v>159</v>
      </c>
      <c r="Q30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0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77.325376368613149</v>
      </c>
      <c r="V301" s="107" t="str">
        <f>IFERROR(_xlfn.XLOOKUP("*"&amp;TRIM(Fusion[[#This Row],[Confinement Type]])&amp;"*", Map_Conf[From], Map_Conf[To], "", 2), "")</f>
        <v>MCF</v>
      </c>
      <c r="W301" s="108" t="str" cm="1">
        <f t="array" ref="W3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02" spans="1:23">
      <c r="A302">
        <v>93</v>
      </c>
      <c r="B302" t="s">
        <v>146</v>
      </c>
      <c r="C302" t="s">
        <v>61</v>
      </c>
      <c r="D302" t="s">
        <v>62</v>
      </c>
      <c r="E302">
        <v>1200</v>
      </c>
      <c r="F302" t="s">
        <v>669</v>
      </c>
      <c r="G302" t="s">
        <v>52</v>
      </c>
      <c r="H302" t="s">
        <v>33</v>
      </c>
      <c r="I302">
        <v>57700000</v>
      </c>
      <c r="J302" t="s">
        <v>34</v>
      </c>
      <c r="K302">
        <v>1986</v>
      </c>
      <c r="L302" t="s">
        <v>147</v>
      </c>
      <c r="O302" t="s">
        <v>162</v>
      </c>
      <c r="P302" t="s">
        <v>241</v>
      </c>
      <c r="Q30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0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110.16479546836985</v>
      </c>
      <c r="V302" s="107" t="str">
        <f>IFERROR(_xlfn.XLOOKUP("*"&amp;TRIM(Fusion[[#This Row],[Confinement Type]])&amp;"*", Map_Conf[From], Map_Conf[To], "", 2), "")</f>
        <v>MCF</v>
      </c>
      <c r="W302" s="108" t="str" cm="1">
        <f t="array" ref="W3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03" spans="1:23">
      <c r="A303">
        <v>114</v>
      </c>
      <c r="B303" t="s">
        <v>174</v>
      </c>
      <c r="C303" t="s">
        <v>61</v>
      </c>
      <c r="D303" t="s">
        <v>62</v>
      </c>
      <c r="E303">
        <v>1200</v>
      </c>
      <c r="F303" t="s">
        <v>116</v>
      </c>
      <c r="G303" t="s">
        <v>52</v>
      </c>
      <c r="H303" t="s">
        <v>33</v>
      </c>
      <c r="I303">
        <v>59750000</v>
      </c>
      <c r="J303" t="s">
        <v>34</v>
      </c>
      <c r="K303">
        <v>1986</v>
      </c>
      <c r="L303" t="s">
        <v>147</v>
      </c>
      <c r="O303" t="s">
        <v>148</v>
      </c>
      <c r="Q30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0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114.07879600060828</v>
      </c>
      <c r="V303" s="107" t="str">
        <f>IFERROR(_xlfn.XLOOKUP("*"&amp;TRIM(Fusion[[#This Row],[Confinement Type]])&amp;"*", Map_Conf[From], Map_Conf[To], "", 2), "")</f>
        <v>MCF</v>
      </c>
      <c r="W303" s="108" t="str" cm="1">
        <f t="array" ref="W3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04" spans="1:23">
      <c r="A304">
        <v>98</v>
      </c>
      <c r="B304" t="s">
        <v>165</v>
      </c>
      <c r="C304" t="s">
        <v>61</v>
      </c>
      <c r="D304" t="s">
        <v>62</v>
      </c>
      <c r="E304">
        <v>1200</v>
      </c>
      <c r="F304" t="s">
        <v>116</v>
      </c>
      <c r="G304" t="s">
        <v>52</v>
      </c>
      <c r="H304" t="s">
        <v>33</v>
      </c>
      <c r="I304">
        <v>60559999.999999993</v>
      </c>
      <c r="J304" t="s">
        <v>34</v>
      </c>
      <c r="K304">
        <v>1986</v>
      </c>
      <c r="L304" t="s">
        <v>147</v>
      </c>
      <c r="O304" t="s">
        <v>148</v>
      </c>
      <c r="Q30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0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115.62530352798053</v>
      </c>
      <c r="V304" s="107" t="str">
        <f>IFERROR(_xlfn.XLOOKUP("*"&amp;TRIM(Fusion[[#This Row],[Confinement Type]])&amp;"*", Map_Conf[From], Map_Conf[To], "", 2), "")</f>
        <v>ICF</v>
      </c>
      <c r="W304" s="108" t="str" cm="1">
        <f t="array" ref="W3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305" spans="1:23">
      <c r="A305">
        <v>122</v>
      </c>
      <c r="B305" t="s">
        <v>182</v>
      </c>
      <c r="C305" t="s">
        <v>61</v>
      </c>
      <c r="D305" t="s">
        <v>62</v>
      </c>
      <c r="E305">
        <v>1200</v>
      </c>
      <c r="F305" t="s">
        <v>116</v>
      </c>
      <c r="G305" t="s">
        <v>52</v>
      </c>
      <c r="H305" t="s">
        <v>33</v>
      </c>
      <c r="I305">
        <v>60700000</v>
      </c>
      <c r="J305" t="s">
        <v>34</v>
      </c>
      <c r="K305">
        <v>1986</v>
      </c>
      <c r="L305" t="s">
        <v>147</v>
      </c>
      <c r="O305" t="s">
        <v>148</v>
      </c>
      <c r="Q30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0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115.89260112530415</v>
      </c>
      <c r="V305" s="107" t="str">
        <f>IFERROR(_xlfn.XLOOKUP("*"&amp;TRIM(Fusion[[#This Row],[Confinement Type]])&amp;"*", Map_Conf[From], Map_Conf[To], "", 2), "")</f>
        <v>MCF</v>
      </c>
      <c r="W305" s="108" t="str" cm="1">
        <f t="array" ref="W3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06" spans="1:23" hidden="1">
      <c r="A306">
        <v>99</v>
      </c>
      <c r="B306" t="s">
        <v>165</v>
      </c>
      <c r="C306" t="s">
        <v>61</v>
      </c>
      <c r="D306" t="s">
        <v>62</v>
      </c>
      <c r="E306">
        <v>1200</v>
      </c>
      <c r="F306" t="s">
        <v>31</v>
      </c>
      <c r="G306" t="s">
        <v>52</v>
      </c>
      <c r="H306" t="s">
        <v>33</v>
      </c>
      <c r="I306">
        <v>2288500000</v>
      </c>
      <c r="J306" t="s">
        <v>34</v>
      </c>
      <c r="K306">
        <v>1986</v>
      </c>
      <c r="L306" t="s">
        <v>147</v>
      </c>
      <c r="O306" t="s">
        <v>169</v>
      </c>
      <c r="P306" t="s">
        <v>185</v>
      </c>
      <c r="Q30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0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06" s="107" t="str">
        <f>IFERROR(_xlfn.XLOOKUP("*"&amp;TRIM(Fusion[[#This Row],[Confinement Type]])&amp;"*", Map_Conf[From], Map_Conf[To], "", 2), "")</f>
        <v>MCF</v>
      </c>
      <c r="W306" s="108" t="str" cm="1">
        <f t="array" ref="W3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07" spans="1:23" hidden="1">
      <c r="A307">
        <v>103</v>
      </c>
      <c r="B307" t="s">
        <v>174</v>
      </c>
      <c r="C307" t="s">
        <v>61</v>
      </c>
      <c r="D307" t="s">
        <v>62</v>
      </c>
      <c r="E307">
        <v>1200</v>
      </c>
      <c r="F307" t="s">
        <v>31</v>
      </c>
      <c r="G307" t="s">
        <v>52</v>
      </c>
      <c r="H307" t="s">
        <v>33</v>
      </c>
      <c r="I307">
        <v>2675000000</v>
      </c>
      <c r="J307" t="s">
        <v>34</v>
      </c>
      <c r="K307">
        <v>1986</v>
      </c>
      <c r="L307" t="s">
        <v>147</v>
      </c>
      <c r="O307" t="s">
        <v>175</v>
      </c>
      <c r="Q30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0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07" s="107" t="str">
        <f>IFERROR(_xlfn.XLOOKUP("*"&amp;TRIM(Fusion[[#This Row],[Confinement Type]])&amp;"*", Map_Conf[From], Map_Conf[To], "", 2), "")</f>
        <v>MCF</v>
      </c>
      <c r="W307" s="108" t="str" cm="1">
        <f t="array" ref="W3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08" spans="1:23" hidden="1">
      <c r="A308">
        <v>104</v>
      </c>
      <c r="B308" t="s">
        <v>176</v>
      </c>
      <c r="C308" t="s">
        <v>61</v>
      </c>
      <c r="D308" t="s">
        <v>62</v>
      </c>
      <c r="E308">
        <v>1200</v>
      </c>
      <c r="F308" t="s">
        <v>31</v>
      </c>
      <c r="G308" t="s">
        <v>52</v>
      </c>
      <c r="H308" t="s">
        <v>33</v>
      </c>
      <c r="I308">
        <v>1953700000</v>
      </c>
      <c r="J308" t="s">
        <v>34</v>
      </c>
      <c r="K308">
        <v>1986</v>
      </c>
      <c r="L308" t="s">
        <v>147</v>
      </c>
      <c r="O308" t="s">
        <v>177</v>
      </c>
      <c r="Q30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0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08" s="107" t="str">
        <f>IFERROR(_xlfn.XLOOKUP("*"&amp;TRIM(Fusion[[#This Row],[Confinement Type]])&amp;"*", Map_Conf[From], Map_Conf[To], "", 2), "")</f>
        <v>MCF</v>
      </c>
      <c r="W308" s="108" t="str" cm="1">
        <f t="array" ref="W3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09" spans="1:23" hidden="1">
      <c r="A309">
        <v>105</v>
      </c>
      <c r="B309" t="s">
        <v>178</v>
      </c>
      <c r="C309" t="s">
        <v>61</v>
      </c>
      <c r="D309" t="s">
        <v>62</v>
      </c>
      <c r="E309">
        <v>1200</v>
      </c>
      <c r="F309" t="s">
        <v>31</v>
      </c>
      <c r="G309" t="s">
        <v>52</v>
      </c>
      <c r="H309" t="s">
        <v>33</v>
      </c>
      <c r="I309">
        <v>1439800000</v>
      </c>
      <c r="J309" t="s">
        <v>34</v>
      </c>
      <c r="K309">
        <v>1986</v>
      </c>
      <c r="L309" t="s">
        <v>147</v>
      </c>
      <c r="O309" t="s">
        <v>179</v>
      </c>
      <c r="Q30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0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09" s="107" t="str">
        <f>IFERROR(_xlfn.XLOOKUP("*"&amp;TRIM(Fusion[[#This Row],[Confinement Type]])&amp;"*", Map_Conf[From], Map_Conf[To], "", 2), "")</f>
        <v>MCF</v>
      </c>
      <c r="W309" s="108" t="str" cm="1">
        <f t="array" ref="W3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10" spans="1:23" hidden="1">
      <c r="A310">
        <v>106</v>
      </c>
      <c r="B310" t="s">
        <v>180</v>
      </c>
      <c r="C310" t="s">
        <v>61</v>
      </c>
      <c r="D310" t="s">
        <v>62</v>
      </c>
      <c r="E310">
        <v>1200</v>
      </c>
      <c r="F310" t="s">
        <v>31</v>
      </c>
      <c r="G310" t="s">
        <v>52</v>
      </c>
      <c r="H310" t="s">
        <v>33</v>
      </c>
      <c r="I310">
        <v>2907700000</v>
      </c>
      <c r="J310" t="s">
        <v>34</v>
      </c>
      <c r="K310">
        <v>1986</v>
      </c>
      <c r="L310" t="s">
        <v>147</v>
      </c>
      <c r="O310" t="s">
        <v>181</v>
      </c>
      <c r="Q31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1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10" s="107" t="str">
        <f>IFERROR(_xlfn.XLOOKUP("*"&amp;TRIM(Fusion[[#This Row],[Confinement Type]])&amp;"*", Map_Conf[From], Map_Conf[To], "", 2), "")</f>
        <v>MCF</v>
      </c>
      <c r="W310" s="108" t="str" cm="1">
        <f t="array" ref="W3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11" spans="1:23" hidden="1">
      <c r="A311">
        <v>130</v>
      </c>
      <c r="B311" t="s">
        <v>183</v>
      </c>
      <c r="C311" t="s">
        <v>61</v>
      </c>
      <c r="D311" t="s">
        <v>62</v>
      </c>
      <c r="E311">
        <v>1200</v>
      </c>
      <c r="F311" t="s">
        <v>75</v>
      </c>
      <c r="G311" t="s">
        <v>52</v>
      </c>
      <c r="H311" t="s">
        <v>76</v>
      </c>
      <c r="I311">
        <v>47.79</v>
      </c>
      <c r="J311" t="s">
        <v>77</v>
      </c>
      <c r="K311">
        <v>1986</v>
      </c>
      <c r="L311" t="s">
        <v>147</v>
      </c>
      <c r="O311" t="s">
        <v>186</v>
      </c>
      <c r="P311" t="s">
        <v>504</v>
      </c>
      <c r="Q31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109.49273293795622</v>
      </c>
      <c r="R31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11" s="107" t="str">
        <f>IFERROR(_xlfn.XLOOKUP("*"&amp;TRIM(Fusion[[#This Row],[Confinement Type]])&amp;"*", Map_Conf[From], Map_Conf[To], "", 2), "")</f>
        <v>MIF</v>
      </c>
      <c r="W311" s="108" t="str" cm="1">
        <f t="array" ref="W3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12" spans="1:23" hidden="1">
      <c r="A312">
        <v>131</v>
      </c>
      <c r="B312" t="s">
        <v>182</v>
      </c>
      <c r="C312" t="s">
        <v>61</v>
      </c>
      <c r="D312" t="s">
        <v>62</v>
      </c>
      <c r="E312">
        <v>1200</v>
      </c>
      <c r="F312" t="s">
        <v>75</v>
      </c>
      <c r="G312" t="s">
        <v>52</v>
      </c>
      <c r="H312" t="s">
        <v>76</v>
      </c>
      <c r="I312">
        <v>35.369999999999997</v>
      </c>
      <c r="J312" t="s">
        <v>77</v>
      </c>
      <c r="K312">
        <v>1986</v>
      </c>
      <c r="L312" t="s">
        <v>147</v>
      </c>
      <c r="O312" t="s">
        <v>186</v>
      </c>
      <c r="Q31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81.036994434306578</v>
      </c>
      <c r="R31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12" s="107" t="str">
        <f>IFERROR(_xlfn.XLOOKUP("*"&amp;TRIM(Fusion[[#This Row],[Confinement Type]])&amp;"*", Map_Conf[From], Map_Conf[To], "", 2), "")</f>
        <v>MCF</v>
      </c>
      <c r="W312" s="108" t="str" cm="1">
        <f t="array" ref="W3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13" spans="1:23" hidden="1">
      <c r="A313">
        <v>132</v>
      </c>
      <c r="B313" t="s">
        <v>165</v>
      </c>
      <c r="C313" t="s">
        <v>61</v>
      </c>
      <c r="D313" t="s">
        <v>62</v>
      </c>
      <c r="E313">
        <v>1200</v>
      </c>
      <c r="F313" t="s">
        <v>75</v>
      </c>
      <c r="G313" t="s">
        <v>52</v>
      </c>
      <c r="H313" t="s">
        <v>76</v>
      </c>
      <c r="I313">
        <v>48.51</v>
      </c>
      <c r="J313" t="s">
        <v>77</v>
      </c>
      <c r="K313">
        <v>1986</v>
      </c>
      <c r="L313" t="s">
        <v>147</v>
      </c>
      <c r="O313" t="s">
        <v>186</v>
      </c>
      <c r="P313" t="s">
        <v>159</v>
      </c>
      <c r="Q31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111.14234096715329</v>
      </c>
      <c r="R31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13" s="107" t="str">
        <f>IFERROR(_xlfn.XLOOKUP("*"&amp;TRIM(Fusion[[#This Row],[Confinement Type]])&amp;"*", Map_Conf[From], Map_Conf[To], "", 2), "")</f>
        <v>MCF</v>
      </c>
      <c r="W313" s="108" t="str" cm="1">
        <f t="array" ref="W3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14" spans="1:23" hidden="1">
      <c r="A314">
        <v>134</v>
      </c>
      <c r="B314" t="s">
        <v>174</v>
      </c>
      <c r="C314" t="s">
        <v>61</v>
      </c>
      <c r="D314" t="s">
        <v>62</v>
      </c>
      <c r="E314">
        <v>1200</v>
      </c>
      <c r="F314" t="s">
        <v>75</v>
      </c>
      <c r="G314" t="s">
        <v>52</v>
      </c>
      <c r="H314" t="s">
        <v>76</v>
      </c>
      <c r="I314">
        <v>54.64</v>
      </c>
      <c r="J314" t="s">
        <v>77</v>
      </c>
      <c r="K314">
        <v>1986</v>
      </c>
      <c r="L314" t="s">
        <v>147</v>
      </c>
      <c r="O314" t="s">
        <v>186</v>
      </c>
      <c r="Q31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125.18692043795622</v>
      </c>
      <c r="R31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14" s="107" t="str">
        <f>IFERROR(_xlfn.XLOOKUP("*"&amp;TRIM(Fusion[[#This Row],[Confinement Type]])&amp;"*", Map_Conf[From], Map_Conf[To], "", 2), "")</f>
        <v>MIF</v>
      </c>
      <c r="W314" s="108" t="str" cm="1">
        <f t="array" ref="W3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15" spans="1:23" hidden="1">
      <c r="A315" s="4">
        <v>135</v>
      </c>
      <c r="B315" s="4" t="s">
        <v>176</v>
      </c>
      <c r="C315" s="4" t="s">
        <v>61</v>
      </c>
      <c r="D315" s="4" t="s">
        <v>62</v>
      </c>
      <c r="E315" s="4">
        <v>1200</v>
      </c>
      <c r="F315" s="4" t="s">
        <v>75</v>
      </c>
      <c r="G315" s="4" t="s">
        <v>52</v>
      </c>
      <c r="H315" s="4" t="s">
        <v>76</v>
      </c>
      <c r="I315" s="4">
        <v>47.91</v>
      </c>
      <c r="J315" s="4" t="s">
        <v>77</v>
      </c>
      <c r="K315" s="4">
        <v>1986</v>
      </c>
      <c r="L315" s="4" t="s">
        <v>147</v>
      </c>
      <c r="O315" s="4" t="s">
        <v>186</v>
      </c>
      <c r="P315" s="4"/>
      <c r="Q315"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109.76766760948905</v>
      </c>
      <c r="R31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15" s="107" t="str">
        <f>IFERROR(_xlfn.XLOOKUP("*"&amp;TRIM(Fusion[[#This Row],[Confinement Type]])&amp;"*", Map_Conf[From], Map_Conf[To], "", 2), "")</f>
        <v>MCF</v>
      </c>
      <c r="W315" s="108" t="str" cm="1">
        <f t="array" ref="W3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16" spans="1:23" hidden="1">
      <c r="A316">
        <v>137</v>
      </c>
      <c r="B316" t="s">
        <v>187</v>
      </c>
      <c r="C316" t="s">
        <v>61</v>
      </c>
      <c r="D316" t="s">
        <v>62</v>
      </c>
      <c r="E316">
        <v>1200</v>
      </c>
      <c r="F316" t="s">
        <v>75</v>
      </c>
      <c r="G316" t="s">
        <v>52</v>
      </c>
      <c r="H316" t="s">
        <v>76</v>
      </c>
      <c r="I316">
        <v>53.13</v>
      </c>
      <c r="J316" t="s">
        <v>77</v>
      </c>
      <c r="K316">
        <v>1986</v>
      </c>
      <c r="L316" t="s">
        <v>147</v>
      </c>
      <c r="O316" t="s">
        <v>186</v>
      </c>
      <c r="Q31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121.72732582116791</v>
      </c>
      <c r="R31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16" s="107" t="str">
        <f>IFERROR(_xlfn.XLOOKUP("*"&amp;TRIM(Fusion[[#This Row],[Confinement Type]])&amp;"*", Map_Conf[From], Map_Conf[To], "", 2), "")</f>
        <v>ICF</v>
      </c>
      <c r="W316" s="108" t="str" cm="1">
        <f t="array" ref="W3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317" spans="1:23">
      <c r="A317" s="4">
        <v>112</v>
      </c>
      <c r="B317" s="4" t="s">
        <v>172</v>
      </c>
      <c r="C317" s="4" t="s">
        <v>61</v>
      </c>
      <c r="D317" s="4" t="s">
        <v>113</v>
      </c>
      <c r="E317" s="4">
        <v>1200</v>
      </c>
      <c r="F317" s="4" t="s">
        <v>116</v>
      </c>
      <c r="G317" s="4" t="s">
        <v>52</v>
      </c>
      <c r="H317" s="4" t="s">
        <v>33</v>
      </c>
      <c r="I317" s="4">
        <v>63640000</v>
      </c>
      <c r="J317" s="4" t="s">
        <v>34</v>
      </c>
      <c r="K317" s="4">
        <v>1986</v>
      </c>
      <c r="L317" s="4" t="s">
        <v>147</v>
      </c>
      <c r="O317" s="4" t="s">
        <v>148</v>
      </c>
      <c r="P317" s="4"/>
      <c r="Q317"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1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121.50585066909977</v>
      </c>
      <c r="V317" s="107" t="str">
        <f>IFERROR(_xlfn.XLOOKUP("*"&amp;TRIM(Fusion[[#This Row],[Confinement Type]])&amp;"*", Map_Conf[From], Map_Conf[To], "", 2), "")</f>
        <v>MCF</v>
      </c>
      <c r="W317" s="108" t="str" cm="1">
        <f t="array" ref="W3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18" spans="1:23" hidden="1">
      <c r="L318" t="s">
        <v>480</v>
      </c>
      <c r="Q31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1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18" s="107" t="str">
        <f>IFERROR(_xlfn.XLOOKUP("*"&amp;TRIM(Fusion[[#This Row],[Confinement Type]])&amp;"*", Map_Conf[From], Map_Conf[To], "", 2), "")</f>
        <v>MCF</v>
      </c>
      <c r="W318" s="108" t="str" cm="1">
        <f t="array" ref="W3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19" spans="1:23" hidden="1">
      <c r="A319">
        <v>138</v>
      </c>
      <c r="B319" t="s">
        <v>188</v>
      </c>
      <c r="C319" t="s">
        <v>61</v>
      </c>
      <c r="D319" t="s">
        <v>62</v>
      </c>
      <c r="E319">
        <v>1000</v>
      </c>
      <c r="F319" t="s">
        <v>493</v>
      </c>
      <c r="G319" t="s">
        <v>52</v>
      </c>
      <c r="H319" t="s">
        <v>76</v>
      </c>
      <c r="I319">
        <v>0.9</v>
      </c>
      <c r="J319" t="s">
        <v>77</v>
      </c>
      <c r="K319">
        <v>1999</v>
      </c>
      <c r="L319" t="s">
        <v>1123</v>
      </c>
      <c r="Q31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1.3565204081632654</v>
      </c>
      <c r="R31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19" s="107" t="str">
        <f>IFERROR(_xlfn.XLOOKUP("*"&amp;TRIM(Fusion[[#This Row],[Confinement Type]])&amp;"*", Map_Conf[From], Map_Conf[To], "", 2), "")</f>
        <v>MIF</v>
      </c>
      <c r="W319" s="108" t="str" cm="1">
        <f t="array" ref="W3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20" spans="1:23" hidden="1">
      <c r="A320">
        <v>139</v>
      </c>
      <c r="B320" t="s">
        <v>200</v>
      </c>
      <c r="C320" t="s">
        <v>61</v>
      </c>
      <c r="D320" t="s">
        <v>62</v>
      </c>
      <c r="E320">
        <v>1000</v>
      </c>
      <c r="F320" t="s">
        <v>493</v>
      </c>
      <c r="G320" t="s">
        <v>52</v>
      </c>
      <c r="H320" t="s">
        <v>76</v>
      </c>
      <c r="I320">
        <v>0.9</v>
      </c>
      <c r="J320" t="s">
        <v>77</v>
      </c>
      <c r="K320">
        <v>1999</v>
      </c>
      <c r="L320" t="s">
        <v>1123</v>
      </c>
      <c r="P320" t="s">
        <v>691</v>
      </c>
      <c r="Q32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1.3565204081632654</v>
      </c>
      <c r="R32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20" s="107" t="str">
        <f>IFERROR(_xlfn.XLOOKUP("*"&amp;TRIM(Fusion[[#This Row],[Confinement Type]])&amp;"*", Map_Conf[From], Map_Conf[To], "", 2), "")</f>
        <v>MCF</v>
      </c>
      <c r="W320" s="108" t="str" cm="1">
        <f t="array" ref="W3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1" spans="1:23" hidden="1">
      <c r="A321" s="4">
        <v>141</v>
      </c>
      <c r="B321" s="4" t="s">
        <v>188</v>
      </c>
      <c r="C321" s="4" t="s">
        <v>61</v>
      </c>
      <c r="D321" s="4" t="s">
        <v>62</v>
      </c>
      <c r="E321" s="4">
        <v>1000</v>
      </c>
      <c r="F321" s="4" t="s">
        <v>115</v>
      </c>
      <c r="G321" s="4" t="s">
        <v>52</v>
      </c>
      <c r="H321" s="4" t="s">
        <v>76</v>
      </c>
      <c r="I321" s="4">
        <v>3.8</v>
      </c>
      <c r="J321" s="4" t="s">
        <v>77</v>
      </c>
      <c r="K321" s="4">
        <v>1999</v>
      </c>
      <c r="L321" s="4" t="s">
        <v>1123</v>
      </c>
      <c r="O321" s="4" t="s">
        <v>1120</v>
      </c>
      <c r="P321" s="4" t="s">
        <v>236</v>
      </c>
      <c r="Q321"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5.7275306122448981</v>
      </c>
      <c r="R32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21" s="107" t="str">
        <f>IFERROR(_xlfn.XLOOKUP("*"&amp;TRIM(Fusion[[#This Row],[Confinement Type]])&amp;"*", Map_Conf[From], Map_Conf[To], "", 2), "")</f>
        <v>MCF</v>
      </c>
      <c r="W321" s="108" t="str" cm="1">
        <f t="array" ref="W3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22" spans="1:23" hidden="1">
      <c r="A322">
        <v>142</v>
      </c>
      <c r="B322" t="s">
        <v>200</v>
      </c>
      <c r="C322" t="s">
        <v>61</v>
      </c>
      <c r="D322" t="s">
        <v>62</v>
      </c>
      <c r="E322">
        <v>1000</v>
      </c>
      <c r="F322" t="s">
        <v>115</v>
      </c>
      <c r="G322" t="s">
        <v>52</v>
      </c>
      <c r="H322" t="s">
        <v>76</v>
      </c>
      <c r="I322">
        <v>5.4</v>
      </c>
      <c r="J322" t="s">
        <v>77</v>
      </c>
      <c r="K322">
        <v>1999</v>
      </c>
      <c r="L322" t="s">
        <v>1123</v>
      </c>
      <c r="O322" t="s">
        <v>1120</v>
      </c>
      <c r="Q32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8.1391224489795917</v>
      </c>
      <c r="R32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22" s="107" t="str">
        <f>IFERROR(_xlfn.XLOOKUP("*"&amp;TRIM(Fusion[[#This Row],[Confinement Type]])&amp;"*", Map_Conf[From], Map_Conf[To], "", 2), "")</f>
        <v>MCF</v>
      </c>
      <c r="W322" s="108" t="str" cm="1">
        <f t="array" ref="W3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3" spans="1:23">
      <c r="A323" s="4">
        <v>108</v>
      </c>
      <c r="B323" s="4" t="s">
        <v>170</v>
      </c>
      <c r="C323" s="4" t="s">
        <v>61</v>
      </c>
      <c r="D323" s="4" t="s">
        <v>113</v>
      </c>
      <c r="E323" s="4">
        <v>1200</v>
      </c>
      <c r="F323" s="4" t="s">
        <v>116</v>
      </c>
      <c r="G323" s="4" t="s">
        <v>52</v>
      </c>
      <c r="H323" s="4" t="s">
        <v>33</v>
      </c>
      <c r="I323" s="4">
        <v>65260000.000000007</v>
      </c>
      <c r="J323" s="4" t="s">
        <v>34</v>
      </c>
      <c r="K323" s="4">
        <v>1986</v>
      </c>
      <c r="L323" s="4" t="s">
        <v>147</v>
      </c>
      <c r="O323" s="4" t="s">
        <v>148</v>
      </c>
      <c r="P323" s="4"/>
      <c r="Q323"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2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124.59886572384431</v>
      </c>
      <c r="V323" s="107" t="str">
        <f>IFERROR(_xlfn.XLOOKUP("*"&amp;TRIM(Fusion[[#This Row],[Confinement Type]])&amp;"*", Map_Conf[From], Map_Conf[To], "", 2), "")</f>
        <v>MCF</v>
      </c>
      <c r="W323" s="108" t="str" cm="1">
        <f t="array" ref="W3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4" spans="1:23">
      <c r="A324" s="4">
        <v>118</v>
      </c>
      <c r="B324" s="4" t="s">
        <v>176</v>
      </c>
      <c r="C324" s="4" t="s">
        <v>61</v>
      </c>
      <c r="D324" s="4" t="s">
        <v>62</v>
      </c>
      <c r="E324" s="4">
        <v>1200</v>
      </c>
      <c r="F324" s="4" t="s">
        <v>116</v>
      </c>
      <c r="G324" s="4" t="s">
        <v>52</v>
      </c>
      <c r="H324" s="4" t="s">
        <v>33</v>
      </c>
      <c r="I324" s="4">
        <v>65700000</v>
      </c>
      <c r="J324" s="4" t="s">
        <v>34</v>
      </c>
      <c r="K324" s="4">
        <v>1986</v>
      </c>
      <c r="L324" s="4" t="s">
        <v>147</v>
      </c>
      <c r="O324" s="4" t="s">
        <v>148</v>
      </c>
      <c r="P324" s="4"/>
      <c r="Q324"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2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125.43894388686132</v>
      </c>
      <c r="V324" s="107" t="str">
        <f>IFERROR(_xlfn.XLOOKUP("*"&amp;TRIM(Fusion[[#This Row],[Confinement Type]])&amp;"*", Map_Conf[From], Map_Conf[To], "", 2), "")</f>
        <v>MCF</v>
      </c>
      <c r="W324" s="108" t="str" cm="1">
        <f t="array" ref="W3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5" spans="1:23" hidden="1">
      <c r="A325">
        <v>146</v>
      </c>
      <c r="B325" t="s">
        <v>203</v>
      </c>
      <c r="C325" t="s">
        <v>61</v>
      </c>
      <c r="D325" t="s">
        <v>62</v>
      </c>
      <c r="E325">
        <v>1300</v>
      </c>
      <c r="F325" t="s">
        <v>493</v>
      </c>
      <c r="G325" t="s">
        <v>52</v>
      </c>
      <c r="H325" t="s">
        <v>76</v>
      </c>
      <c r="I325">
        <v>0.9</v>
      </c>
      <c r="J325" t="s">
        <v>77</v>
      </c>
      <c r="K325">
        <v>1999</v>
      </c>
      <c r="L325" t="s">
        <v>1123</v>
      </c>
      <c r="Q32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1.3565204081632654</v>
      </c>
      <c r="R32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25" s="107" t="str">
        <f>IFERROR(_xlfn.XLOOKUP("*"&amp;TRIM(Fusion[[#This Row],[Confinement Type]])&amp;"*", Map_Conf[From], Map_Conf[To], "", 2), "")</f>
        <v>MCF</v>
      </c>
      <c r="W325" s="108" t="str" cm="1">
        <f t="array" ref="W3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26" spans="1:23" hidden="1">
      <c r="A326">
        <v>147</v>
      </c>
      <c r="B326" t="s">
        <v>204</v>
      </c>
      <c r="C326" t="s">
        <v>61</v>
      </c>
      <c r="D326" t="s">
        <v>62</v>
      </c>
      <c r="E326">
        <v>1000</v>
      </c>
      <c r="F326" t="s">
        <v>493</v>
      </c>
      <c r="G326" t="s">
        <v>52</v>
      </c>
      <c r="H326" t="s">
        <v>76</v>
      </c>
      <c r="I326">
        <v>0.9</v>
      </c>
      <c r="J326" t="s">
        <v>77</v>
      </c>
      <c r="K326">
        <v>1999</v>
      </c>
      <c r="L326" t="s">
        <v>1123</v>
      </c>
      <c r="Q32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1.3565204081632654</v>
      </c>
      <c r="R32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26" s="107" t="str">
        <f>IFERROR(_xlfn.XLOOKUP("*"&amp;TRIM(Fusion[[#This Row],[Confinement Type]])&amp;"*", Map_Conf[From], Map_Conf[To], "", 2), "")</f>
        <v>MCF</v>
      </c>
      <c r="W326" s="108" t="str" cm="1">
        <f t="array" ref="W3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7" spans="1:23" hidden="1">
      <c r="A327">
        <v>148</v>
      </c>
      <c r="B327" t="s">
        <v>201</v>
      </c>
      <c r="C327" t="s">
        <v>61</v>
      </c>
      <c r="D327" t="s">
        <v>62</v>
      </c>
      <c r="E327">
        <v>1000</v>
      </c>
      <c r="F327" t="s">
        <v>75</v>
      </c>
      <c r="G327" t="s">
        <v>52</v>
      </c>
      <c r="H327" t="s">
        <v>76</v>
      </c>
      <c r="I327">
        <v>103</v>
      </c>
      <c r="J327" t="s">
        <v>77</v>
      </c>
      <c r="K327">
        <v>1999</v>
      </c>
      <c r="L327" t="s">
        <v>1123</v>
      </c>
      <c r="O327" t="s">
        <v>202</v>
      </c>
      <c r="Q32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155.24622448979594</v>
      </c>
      <c r="R32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27" s="107" t="str">
        <f>IFERROR(_xlfn.XLOOKUP("*"&amp;TRIM(Fusion[[#This Row],[Confinement Type]])&amp;"*", Map_Conf[From], Map_Conf[To], "", 2), "")</f>
        <v>ICF</v>
      </c>
      <c r="W327" s="108" t="str" cm="1">
        <f t="array" ref="W3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328" spans="1:23" hidden="1">
      <c r="A328">
        <v>149</v>
      </c>
      <c r="B328" t="s">
        <v>200</v>
      </c>
      <c r="C328" t="s">
        <v>61</v>
      </c>
      <c r="D328" t="s">
        <v>62</v>
      </c>
      <c r="E328">
        <v>1300</v>
      </c>
      <c r="F328" t="s">
        <v>75</v>
      </c>
      <c r="G328" t="s">
        <v>52</v>
      </c>
      <c r="H328" t="s">
        <v>76</v>
      </c>
      <c r="I328">
        <v>80</v>
      </c>
      <c r="J328" t="s">
        <v>77</v>
      </c>
      <c r="K328">
        <v>1999</v>
      </c>
      <c r="L328" t="s">
        <v>1123</v>
      </c>
      <c r="O328" t="s">
        <v>202</v>
      </c>
      <c r="Q32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120.57959183673469</v>
      </c>
      <c r="R32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28" s="107" t="str">
        <f>IFERROR(_xlfn.XLOOKUP("*"&amp;TRIM(Fusion[[#This Row],[Confinement Type]])&amp;"*", Map_Conf[From], Map_Conf[To], "", 2), "")</f>
        <v>MCF</v>
      </c>
      <c r="W328" s="108" t="str" cm="1">
        <f t="array" ref="W3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29" spans="1:23" hidden="1">
      <c r="A329">
        <v>150</v>
      </c>
      <c r="B329" t="s">
        <v>200</v>
      </c>
      <c r="C329" t="s">
        <v>61</v>
      </c>
      <c r="D329" t="s">
        <v>62</v>
      </c>
      <c r="E329">
        <v>1000</v>
      </c>
      <c r="F329" t="s">
        <v>75</v>
      </c>
      <c r="G329" t="s">
        <v>52</v>
      </c>
      <c r="H329" t="s">
        <v>76</v>
      </c>
      <c r="I329">
        <v>90</v>
      </c>
      <c r="J329" t="s">
        <v>77</v>
      </c>
      <c r="K329">
        <v>1999</v>
      </c>
      <c r="L329" t="s">
        <v>1123</v>
      </c>
      <c r="O329" t="s">
        <v>202</v>
      </c>
      <c r="P329" t="s">
        <v>697</v>
      </c>
      <c r="Q32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135.65204081632655</v>
      </c>
      <c r="R32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29" s="107" t="str">
        <f>IFERROR(_xlfn.XLOOKUP("*"&amp;TRIM(Fusion[[#This Row],[Confinement Type]])&amp;"*", Map_Conf[From], Map_Conf[To], "", 2), "")</f>
        <v>MCF</v>
      </c>
      <c r="W329" s="108" t="str" cm="1">
        <f t="array" ref="W3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0" spans="1:23" hidden="1">
      <c r="A330">
        <v>151</v>
      </c>
      <c r="B330" t="s">
        <v>203</v>
      </c>
      <c r="C330" t="s">
        <v>61</v>
      </c>
      <c r="D330" t="s">
        <v>62</v>
      </c>
      <c r="E330">
        <v>1300</v>
      </c>
      <c r="F330" t="s">
        <v>75</v>
      </c>
      <c r="G330" t="s">
        <v>52</v>
      </c>
      <c r="H330" t="s">
        <v>76</v>
      </c>
      <c r="I330">
        <v>68</v>
      </c>
      <c r="J330" t="s">
        <v>77</v>
      </c>
      <c r="K330">
        <v>1999</v>
      </c>
      <c r="L330" t="s">
        <v>1123</v>
      </c>
      <c r="O330" t="s">
        <v>202</v>
      </c>
      <c r="P330" t="s">
        <v>121</v>
      </c>
      <c r="Q33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102.49265306122449</v>
      </c>
      <c r="R33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30" s="107" t="str">
        <f>IFERROR(_xlfn.XLOOKUP("*"&amp;TRIM(Fusion[[#This Row],[Confinement Type]])&amp;"*", Map_Conf[From], Map_Conf[To], "", 2), "")</f>
        <v>MIF</v>
      </c>
      <c r="W330" s="108" t="str" cm="1">
        <f t="array" ref="W3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31" spans="1:23" hidden="1">
      <c r="A331">
        <v>152</v>
      </c>
      <c r="B331" t="s">
        <v>204</v>
      </c>
      <c r="C331" t="s">
        <v>61</v>
      </c>
      <c r="D331" t="s">
        <v>62</v>
      </c>
      <c r="E331">
        <v>1000</v>
      </c>
      <c r="F331" t="s">
        <v>75</v>
      </c>
      <c r="G331" t="s">
        <v>52</v>
      </c>
      <c r="H331" t="s">
        <v>76</v>
      </c>
      <c r="I331">
        <v>110</v>
      </c>
      <c r="J331" t="s">
        <v>77</v>
      </c>
      <c r="K331">
        <v>1999</v>
      </c>
      <c r="L331" t="s">
        <v>1123</v>
      </c>
      <c r="O331" t="s">
        <v>202</v>
      </c>
      <c r="P331" t="s">
        <v>373</v>
      </c>
      <c r="Q33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165.7969387755102</v>
      </c>
      <c r="R33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31" s="107" t="str">
        <f>IFERROR(_xlfn.XLOOKUP("*"&amp;TRIM(Fusion[[#This Row],[Confinement Type]])&amp;"*", Map_Conf[From], Map_Conf[To], "", 2), "")</f>
        <v>MCF</v>
      </c>
      <c r="W331" s="108" t="str" cm="1">
        <f t="array" ref="W3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32" spans="1:23" hidden="1">
      <c r="A332">
        <v>153</v>
      </c>
      <c r="B332" t="s">
        <v>188</v>
      </c>
      <c r="C332" t="s">
        <v>61</v>
      </c>
      <c r="D332" t="s">
        <v>62</v>
      </c>
      <c r="E332">
        <v>1300</v>
      </c>
      <c r="F332" t="s">
        <v>75</v>
      </c>
      <c r="G332" t="s">
        <v>52</v>
      </c>
      <c r="H332" t="s">
        <v>76</v>
      </c>
      <c r="I332">
        <v>86</v>
      </c>
      <c r="J332" t="s">
        <v>77</v>
      </c>
      <c r="K332">
        <v>1999</v>
      </c>
      <c r="L332" t="s">
        <v>1123</v>
      </c>
      <c r="O332" t="s">
        <v>202</v>
      </c>
      <c r="Q33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129.62306122448979</v>
      </c>
      <c r="R33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32" s="107" t="str">
        <f>IFERROR(_xlfn.XLOOKUP("*"&amp;TRIM(Fusion[[#This Row],[Confinement Type]])&amp;"*", Map_Conf[From], Map_Conf[To], "", 2), "")</f>
        <v>MCF</v>
      </c>
      <c r="W332" s="108" t="str" cm="1">
        <f t="array" ref="W3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33" spans="1:23" hidden="1">
      <c r="A333">
        <v>154</v>
      </c>
      <c r="B333" t="s">
        <v>205</v>
      </c>
      <c r="C333" t="s">
        <v>61</v>
      </c>
      <c r="D333" t="s">
        <v>62</v>
      </c>
      <c r="E333">
        <v>1300</v>
      </c>
      <c r="F333" t="s">
        <v>75</v>
      </c>
      <c r="G333" t="s">
        <v>52</v>
      </c>
      <c r="H333" t="s">
        <v>76</v>
      </c>
      <c r="I333">
        <v>65</v>
      </c>
      <c r="J333" t="s">
        <v>77</v>
      </c>
      <c r="K333">
        <v>1999</v>
      </c>
      <c r="L333" t="s">
        <v>1123</v>
      </c>
      <c r="O333" t="s">
        <v>202</v>
      </c>
      <c r="Q33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97.97091836734694</v>
      </c>
      <c r="R33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33" s="107" t="str">
        <f>IFERROR(_xlfn.XLOOKUP("*"&amp;TRIM(Fusion[[#This Row],[Confinement Type]])&amp;"*", Map_Conf[From], Map_Conf[To], "", 2), "")</f>
        <v>MCF</v>
      </c>
      <c r="W333" s="108" t="str" cm="1">
        <f t="array" ref="W3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4" spans="1:23" hidden="1">
      <c r="A334">
        <v>155</v>
      </c>
      <c r="B334" t="s">
        <v>188</v>
      </c>
      <c r="C334" t="s">
        <v>61</v>
      </c>
      <c r="D334" t="s">
        <v>62</v>
      </c>
      <c r="E334">
        <v>1000</v>
      </c>
      <c r="F334" t="s">
        <v>75</v>
      </c>
      <c r="G334" t="s">
        <v>52</v>
      </c>
      <c r="H334" t="s">
        <v>76</v>
      </c>
      <c r="I334">
        <v>95</v>
      </c>
      <c r="J334" t="s">
        <v>77</v>
      </c>
      <c r="K334">
        <v>1999</v>
      </c>
      <c r="L334" t="s">
        <v>1123</v>
      </c>
      <c r="O334" t="s">
        <v>202</v>
      </c>
      <c r="Q33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143.18826530612245</v>
      </c>
      <c r="R33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34" s="107" t="str">
        <f>IFERROR(_xlfn.XLOOKUP("*"&amp;TRIM(Fusion[[#This Row],[Confinement Type]])&amp;"*", Map_Conf[From], Map_Conf[To], "", 2), "")</f>
        <v>MCF</v>
      </c>
      <c r="W334" s="108" t="str" cm="1">
        <f t="array" ref="W3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5" spans="1:23" hidden="1">
      <c r="A335">
        <v>156</v>
      </c>
      <c r="B335" t="s">
        <v>200</v>
      </c>
      <c r="C335" t="s">
        <v>61</v>
      </c>
      <c r="D335" t="s">
        <v>62</v>
      </c>
      <c r="E335">
        <v>1000</v>
      </c>
      <c r="F335" t="s">
        <v>31</v>
      </c>
      <c r="G335" t="s">
        <v>52</v>
      </c>
      <c r="H335" t="s">
        <v>33</v>
      </c>
      <c r="I335">
        <v>3521500000</v>
      </c>
      <c r="J335" t="s">
        <v>34</v>
      </c>
      <c r="K335">
        <v>1999</v>
      </c>
      <c r="L335" t="s">
        <v>1123</v>
      </c>
      <c r="O335" t="s">
        <v>206</v>
      </c>
      <c r="P335" t="s">
        <v>490</v>
      </c>
      <c r="Q33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3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35" s="107" t="str">
        <f>IFERROR(_xlfn.XLOOKUP("*"&amp;TRIM(Fusion[[#This Row],[Confinement Type]])&amp;"*", Map_Conf[From], Map_Conf[To], "", 2), "")</f>
        <v>MIF</v>
      </c>
      <c r="W335" s="108" t="str" cm="1">
        <f t="array" ref="W3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36" spans="1:23" hidden="1">
      <c r="A336">
        <v>157</v>
      </c>
      <c r="B336" t="s">
        <v>188</v>
      </c>
      <c r="C336" t="s">
        <v>61</v>
      </c>
      <c r="D336" t="s">
        <v>62</v>
      </c>
      <c r="E336">
        <v>1000</v>
      </c>
      <c r="F336" t="s">
        <v>31</v>
      </c>
      <c r="G336" t="s">
        <v>52</v>
      </c>
      <c r="H336" t="s">
        <v>33</v>
      </c>
      <c r="I336">
        <v>3880800000</v>
      </c>
      <c r="J336" t="s">
        <v>34</v>
      </c>
      <c r="K336">
        <v>1999</v>
      </c>
      <c r="L336" t="s">
        <v>1123</v>
      </c>
      <c r="O336" t="s">
        <v>206</v>
      </c>
      <c r="P336" t="s">
        <v>224</v>
      </c>
      <c r="Q33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3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36" s="107" t="str">
        <f>IFERROR(_xlfn.XLOOKUP("*"&amp;TRIM(Fusion[[#This Row],[Confinement Type]])&amp;"*", Map_Conf[From], Map_Conf[To], "", 2), "")</f>
        <v>MCF</v>
      </c>
      <c r="W336" s="108" t="str" cm="1">
        <f t="array" ref="W3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7" spans="1:23" hidden="1">
      <c r="A337">
        <v>248</v>
      </c>
      <c r="B337" t="s">
        <v>277</v>
      </c>
      <c r="C337" t="s">
        <v>61</v>
      </c>
      <c r="D337" t="s">
        <v>278</v>
      </c>
      <c r="E337">
        <v>1000</v>
      </c>
      <c r="F337" t="s">
        <v>75</v>
      </c>
      <c r="G337" t="s">
        <v>57</v>
      </c>
      <c r="H337" t="s">
        <v>76</v>
      </c>
      <c r="I337">
        <v>93</v>
      </c>
      <c r="J337" t="s">
        <v>77</v>
      </c>
      <c r="K337">
        <v>2003</v>
      </c>
      <c r="L337" t="s">
        <v>279</v>
      </c>
      <c r="O337" t="s">
        <v>280</v>
      </c>
      <c r="Q33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126.91821195652174</v>
      </c>
      <c r="R33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37" s="107" t="str">
        <f>IFERROR(_xlfn.XLOOKUP("*"&amp;TRIM(Fusion[[#This Row],[Confinement Type]])&amp;"*", Map_Conf[From], Map_Conf[To], "", 2), "")</f>
        <v>MCF</v>
      </c>
      <c r="W337" s="108" t="str" cm="1">
        <f t="array" ref="W3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8" spans="1:23" hidden="1">
      <c r="A338">
        <v>255</v>
      </c>
      <c r="B338" t="s">
        <v>281</v>
      </c>
      <c r="C338" t="s">
        <v>61</v>
      </c>
      <c r="D338" t="s">
        <v>278</v>
      </c>
      <c r="E338">
        <v>1940</v>
      </c>
      <c r="F338" t="s">
        <v>493</v>
      </c>
      <c r="G338" t="s">
        <v>57</v>
      </c>
      <c r="H338" t="s">
        <v>76</v>
      </c>
      <c r="I338">
        <v>71.599999999999994</v>
      </c>
      <c r="J338" t="s">
        <v>77</v>
      </c>
      <c r="K338">
        <v>2003</v>
      </c>
      <c r="L338" t="s">
        <v>279</v>
      </c>
      <c r="O338" t="s">
        <v>285</v>
      </c>
      <c r="Q33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97.713376086956515</v>
      </c>
      <c r="R33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38" s="107" t="str">
        <f>IFERROR(_xlfn.XLOOKUP("*"&amp;TRIM(Fusion[[#This Row],[Confinement Type]])&amp;"*", Map_Conf[From], Map_Conf[To], "", 2), "")</f>
        <v>MCF</v>
      </c>
      <c r="W338" s="108" t="str" cm="1">
        <f t="array" ref="W3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39" spans="1:23" hidden="1">
      <c r="A339">
        <v>253</v>
      </c>
      <c r="B339" t="s">
        <v>283</v>
      </c>
      <c r="C339" t="s">
        <v>61</v>
      </c>
      <c r="D339" t="s">
        <v>251</v>
      </c>
      <c r="E339">
        <v>1000</v>
      </c>
      <c r="F339" t="s">
        <v>75</v>
      </c>
      <c r="G339" t="s">
        <v>52</v>
      </c>
      <c r="H339" t="s">
        <v>76</v>
      </c>
      <c r="I339">
        <v>91</v>
      </c>
      <c r="J339" t="s">
        <v>77</v>
      </c>
      <c r="K339">
        <v>2003</v>
      </c>
      <c r="L339" t="s">
        <v>279</v>
      </c>
      <c r="O339" t="s">
        <v>284</v>
      </c>
      <c r="P339" t="s">
        <v>504</v>
      </c>
      <c r="Q33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124.18878804347827</v>
      </c>
      <c r="R33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39" s="107" t="str">
        <f>IFERROR(_xlfn.XLOOKUP("*"&amp;TRIM(Fusion[[#This Row],[Confinement Type]])&amp;"*", Map_Conf[From], Map_Conf[To], "", 2), "")</f>
        <v>MCF</v>
      </c>
      <c r="W339" s="108" t="str" cm="1">
        <f t="array" ref="W3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40" spans="1:23" hidden="1">
      <c r="A340">
        <v>249</v>
      </c>
      <c r="B340" t="s">
        <v>281</v>
      </c>
      <c r="C340" t="s">
        <v>61</v>
      </c>
      <c r="D340" t="s">
        <v>278</v>
      </c>
      <c r="E340">
        <v>1940</v>
      </c>
      <c r="F340" t="s">
        <v>493</v>
      </c>
      <c r="G340" t="s">
        <v>57</v>
      </c>
      <c r="H340" t="s">
        <v>76</v>
      </c>
      <c r="I340">
        <v>0.61199999999999999</v>
      </c>
      <c r="J340" t="s">
        <v>77</v>
      </c>
      <c r="K340">
        <v>2003</v>
      </c>
      <c r="L340" t="s">
        <v>279</v>
      </c>
      <c r="Q34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0.83520371739130439</v>
      </c>
      <c r="R34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40" s="107" t="str">
        <f>IFERROR(_xlfn.XLOOKUP("*"&amp;TRIM(Fusion[[#This Row],[Confinement Type]])&amp;"*", Map_Conf[From], Map_Conf[To], "", 2), "")</f>
        <v>MCF</v>
      </c>
      <c r="W340" s="108" t="str" cm="1">
        <f t="array" ref="W3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41" spans="1:23" hidden="1">
      <c r="A341">
        <v>252</v>
      </c>
      <c r="B341" t="s">
        <v>281</v>
      </c>
      <c r="C341" t="s">
        <v>61</v>
      </c>
      <c r="D341" t="s">
        <v>278</v>
      </c>
      <c r="E341">
        <v>1940</v>
      </c>
      <c r="F341" t="s">
        <v>31</v>
      </c>
      <c r="G341" t="s">
        <v>57</v>
      </c>
      <c r="H341" t="s">
        <v>33</v>
      </c>
      <c r="I341">
        <v>5767800000</v>
      </c>
      <c r="J341" t="s">
        <v>34</v>
      </c>
      <c r="K341">
        <v>2003</v>
      </c>
      <c r="L341" t="s">
        <v>279</v>
      </c>
      <c r="P341" t="s">
        <v>640</v>
      </c>
      <c r="Q34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4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41" s="107" t="str">
        <f>IFERROR(_xlfn.XLOOKUP("*"&amp;TRIM(Fusion[[#This Row],[Confinement Type]])&amp;"*", Map_Conf[From], Map_Conf[To], "", 2), "")</f>
        <v>MCF</v>
      </c>
      <c r="W341" s="108" t="str" cm="1">
        <f t="array" ref="W3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42" spans="1:23" hidden="1">
      <c r="A342">
        <v>158</v>
      </c>
      <c r="B342" t="s">
        <v>207</v>
      </c>
      <c r="C342" t="s">
        <v>61</v>
      </c>
      <c r="D342" t="s">
        <v>62</v>
      </c>
      <c r="E342">
        <v>1000</v>
      </c>
      <c r="F342" t="s">
        <v>493</v>
      </c>
      <c r="G342" t="s">
        <v>52</v>
      </c>
      <c r="H342" t="s">
        <v>76</v>
      </c>
      <c r="I342">
        <v>0.25</v>
      </c>
      <c r="J342" t="s">
        <v>77</v>
      </c>
      <c r="K342">
        <v>1992</v>
      </c>
      <c r="L342" t="s">
        <v>208</v>
      </c>
      <c r="Q34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0.44744654312188165</v>
      </c>
      <c r="R34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42" s="107" t="str">
        <f>IFERROR(_xlfn.XLOOKUP("*"&amp;TRIM(Fusion[[#This Row],[Confinement Type]])&amp;"*", Map_Conf[From], Map_Conf[To], "", 2), "")</f>
        <v>MCF</v>
      </c>
      <c r="W342" s="108" t="str" cm="1">
        <f t="array" ref="W3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43" spans="1:23" hidden="1">
      <c r="A343">
        <v>159</v>
      </c>
      <c r="B343" t="s">
        <v>207</v>
      </c>
      <c r="C343" t="s">
        <v>61</v>
      </c>
      <c r="D343" t="s">
        <v>62</v>
      </c>
      <c r="E343">
        <v>1000</v>
      </c>
      <c r="F343" t="s">
        <v>31</v>
      </c>
      <c r="G343" t="s">
        <v>52</v>
      </c>
      <c r="H343" t="s">
        <v>33</v>
      </c>
      <c r="I343">
        <v>2105150000</v>
      </c>
      <c r="J343" t="s">
        <v>34</v>
      </c>
      <c r="K343">
        <v>1992</v>
      </c>
      <c r="L343" t="s">
        <v>208</v>
      </c>
      <c r="P343" t="s">
        <v>307</v>
      </c>
      <c r="Q34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4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43" s="107" t="str">
        <f>IFERROR(_xlfn.XLOOKUP("*"&amp;TRIM(Fusion[[#This Row],[Confinement Type]])&amp;"*", Map_Conf[From], Map_Conf[To], "", 2), "")</f>
        <v>MIF</v>
      </c>
      <c r="W343" s="108" t="str" cm="1">
        <f t="array" ref="W3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344" spans="1:23">
      <c r="A344" s="4">
        <v>89</v>
      </c>
      <c r="B344" s="4" t="s">
        <v>146</v>
      </c>
      <c r="C344" s="4" t="s">
        <v>61</v>
      </c>
      <c r="D344" s="4" t="s">
        <v>62</v>
      </c>
      <c r="E344" s="4">
        <v>1200</v>
      </c>
      <c r="F344" s="4" t="s">
        <v>116</v>
      </c>
      <c r="G344" s="4" t="s">
        <v>52</v>
      </c>
      <c r="H344" s="4" t="s">
        <v>33</v>
      </c>
      <c r="I344" s="4">
        <v>65910000</v>
      </c>
      <c r="J344" s="4" t="s">
        <v>34</v>
      </c>
      <c r="K344" s="4">
        <v>1986</v>
      </c>
      <c r="L344" s="4" t="s">
        <v>147</v>
      </c>
      <c r="O344" s="4" t="s">
        <v>148</v>
      </c>
      <c r="P344" s="4"/>
      <c r="Q344"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4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125.83989028284672</v>
      </c>
      <c r="V344" s="107" t="str">
        <f>IFERROR(_xlfn.XLOOKUP("*"&amp;TRIM(Fusion[[#This Row],[Confinement Type]])&amp;"*", Map_Conf[From], Map_Conf[To], "", 2), "")</f>
        <v>MCF</v>
      </c>
      <c r="W344" s="108" t="str" cm="1">
        <f t="array" ref="W3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45" spans="1:23" hidden="1">
      <c r="A345">
        <v>161</v>
      </c>
      <c r="B345" t="s">
        <v>207</v>
      </c>
      <c r="C345" t="s">
        <v>61</v>
      </c>
      <c r="D345" t="s">
        <v>62</v>
      </c>
      <c r="E345">
        <v>1000</v>
      </c>
      <c r="F345" t="s">
        <v>115</v>
      </c>
      <c r="G345" t="s">
        <v>52</v>
      </c>
      <c r="H345" t="s">
        <v>76</v>
      </c>
      <c r="I345">
        <v>3.51</v>
      </c>
      <c r="J345" t="s">
        <v>77</v>
      </c>
      <c r="K345">
        <v>1992</v>
      </c>
      <c r="L345" t="s">
        <v>208</v>
      </c>
      <c r="Q34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6.2821494654312175</v>
      </c>
      <c r="R34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45" s="107" t="str">
        <f>IFERROR(_xlfn.XLOOKUP("*"&amp;TRIM(Fusion[[#This Row],[Confinement Type]])&amp;"*", Map_Conf[From], Map_Conf[To], "", 2), "")</f>
        <v>MCF</v>
      </c>
      <c r="W345" s="108" t="str" cm="1">
        <f t="array" ref="W3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46" spans="1:23">
      <c r="A346">
        <v>140</v>
      </c>
      <c r="B346" t="s">
        <v>188</v>
      </c>
      <c r="C346" t="s">
        <v>61</v>
      </c>
      <c r="D346" t="s">
        <v>62</v>
      </c>
      <c r="E346">
        <v>1000</v>
      </c>
      <c r="F346" t="s">
        <v>669</v>
      </c>
      <c r="G346" t="s">
        <v>52</v>
      </c>
      <c r="H346" t="s">
        <v>33</v>
      </c>
      <c r="I346">
        <v>60000000</v>
      </c>
      <c r="J346" t="s">
        <v>34</v>
      </c>
      <c r="K346">
        <v>1999</v>
      </c>
      <c r="L346" t="s">
        <v>1123</v>
      </c>
      <c r="O346" t="s">
        <v>190</v>
      </c>
      <c r="Q34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4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90.434693877551027</v>
      </c>
      <c r="V346" s="107" t="str">
        <f>IFERROR(_xlfn.XLOOKUP("*"&amp;TRIM(Fusion[[#This Row],[Confinement Type]])&amp;"*", Map_Conf[From], Map_Conf[To], "", 2), "")</f>
        <v>MCF</v>
      </c>
      <c r="W346" s="108" t="str" cm="1">
        <f t="array" ref="W3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47" spans="1:23" hidden="1">
      <c r="A347">
        <v>163</v>
      </c>
      <c r="B347" t="s">
        <v>207</v>
      </c>
      <c r="C347" t="s">
        <v>61</v>
      </c>
      <c r="D347" t="s">
        <v>62</v>
      </c>
      <c r="E347">
        <v>1000</v>
      </c>
      <c r="F347" t="s">
        <v>108</v>
      </c>
      <c r="G347" t="s">
        <v>52</v>
      </c>
      <c r="H347" t="s">
        <v>76</v>
      </c>
      <c r="I347">
        <v>47.12</v>
      </c>
      <c r="J347" t="s">
        <v>77</v>
      </c>
      <c r="K347">
        <v>1992</v>
      </c>
      <c r="L347" t="s">
        <v>208</v>
      </c>
      <c r="O347" t="s">
        <v>210</v>
      </c>
      <c r="Q34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84.334724447612246</v>
      </c>
      <c r="R34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47" s="107" t="str">
        <f>IFERROR(_xlfn.XLOOKUP("*"&amp;TRIM(Fusion[[#This Row],[Confinement Type]])&amp;"*", Map_Conf[From], Map_Conf[To], "", 2), "")</f>
        <v>MCF</v>
      </c>
      <c r="W347" s="108" t="str" cm="1">
        <f t="array" ref="W3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48" spans="1:23" hidden="1">
      <c r="A348">
        <v>180</v>
      </c>
      <c r="B348" t="s">
        <v>222</v>
      </c>
      <c r="C348" t="s">
        <v>61</v>
      </c>
      <c r="D348" t="s">
        <v>62</v>
      </c>
      <c r="E348">
        <v>953</v>
      </c>
      <c r="F348" t="s">
        <v>493</v>
      </c>
      <c r="G348" t="s">
        <v>32</v>
      </c>
      <c r="H348" t="s">
        <v>76</v>
      </c>
      <c r="I348">
        <v>0.78</v>
      </c>
      <c r="J348" t="s">
        <v>77</v>
      </c>
      <c r="K348">
        <v>2015</v>
      </c>
      <c r="L348" t="s">
        <v>223</v>
      </c>
      <c r="Q34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0.82636882586481142</v>
      </c>
      <c r="R34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48" s="107" t="str">
        <f>IFERROR(_xlfn.XLOOKUP("*"&amp;TRIM(Fusion[[#This Row],[Confinement Type]])&amp;"*", Map_Conf[From], Map_Conf[To], "", 2), "")</f>
        <v>MCF</v>
      </c>
      <c r="W348" s="108" t="str" cm="1">
        <f t="array" ref="W3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49" spans="1:23">
      <c r="A349">
        <v>144</v>
      </c>
      <c r="B349" t="s">
        <v>200</v>
      </c>
      <c r="C349" t="s">
        <v>61</v>
      </c>
      <c r="D349" t="s">
        <v>62</v>
      </c>
      <c r="E349">
        <v>1000</v>
      </c>
      <c r="F349" t="s">
        <v>669</v>
      </c>
      <c r="G349" t="s">
        <v>52</v>
      </c>
      <c r="H349" t="s">
        <v>33</v>
      </c>
      <c r="I349">
        <v>60000000</v>
      </c>
      <c r="J349" t="s">
        <v>34</v>
      </c>
      <c r="K349">
        <v>1999</v>
      </c>
      <c r="L349" t="s">
        <v>1123</v>
      </c>
      <c r="O349" t="s">
        <v>190</v>
      </c>
      <c r="Q34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4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90.434693877551027</v>
      </c>
      <c r="V349" s="107" t="str">
        <f>IFERROR(_xlfn.XLOOKUP("*"&amp;TRIM(Fusion[[#This Row],[Confinement Type]])&amp;"*", Map_Conf[From], Map_Conf[To], "", 2), "")</f>
        <v>MCF</v>
      </c>
      <c r="W349" s="108" t="str" cm="1">
        <f t="array" ref="W3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0" spans="1:23">
      <c r="A350">
        <v>251</v>
      </c>
      <c r="B350" t="s">
        <v>281</v>
      </c>
      <c r="C350" t="s">
        <v>61</v>
      </c>
      <c r="D350" t="s">
        <v>278</v>
      </c>
      <c r="E350">
        <v>1940</v>
      </c>
      <c r="F350" t="s">
        <v>116</v>
      </c>
      <c r="G350" t="s">
        <v>57</v>
      </c>
      <c r="H350" t="s">
        <v>33</v>
      </c>
      <c r="I350">
        <v>100364000</v>
      </c>
      <c r="J350" t="s">
        <v>34</v>
      </c>
      <c r="K350">
        <v>2003</v>
      </c>
      <c r="L350" t="s">
        <v>279</v>
      </c>
      <c r="Q35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5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70.602036497086502</v>
      </c>
      <c r="V350" s="107" t="str">
        <f>IFERROR(_xlfn.XLOOKUP("*"&amp;TRIM(Fusion[[#This Row],[Confinement Type]])&amp;"*", Map_Conf[From], Map_Conf[To], "", 2), "")</f>
        <v>MCF</v>
      </c>
      <c r="W350" s="108" t="str" cm="1">
        <f t="array" ref="W3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1" spans="1:23" hidden="1">
      <c r="A351">
        <v>183</v>
      </c>
      <c r="B351" t="s">
        <v>222</v>
      </c>
      <c r="C351" t="s">
        <v>61</v>
      </c>
      <c r="D351" t="s">
        <v>62</v>
      </c>
      <c r="E351">
        <v>953</v>
      </c>
      <c r="F351" t="s">
        <v>115</v>
      </c>
      <c r="G351" t="s">
        <v>32</v>
      </c>
      <c r="H351" t="s">
        <v>76</v>
      </c>
      <c r="I351">
        <v>13.61</v>
      </c>
      <c r="J351" t="s">
        <v>77</v>
      </c>
      <c r="K351">
        <v>2015</v>
      </c>
      <c r="L351" t="s">
        <v>223</v>
      </c>
      <c r="O351" t="s">
        <v>224</v>
      </c>
      <c r="P351" t="s">
        <v>689</v>
      </c>
      <c r="Q35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14.419076564128311</v>
      </c>
      <c r="R35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51" s="107" t="str">
        <f>IFERROR(_xlfn.XLOOKUP("*"&amp;TRIM(Fusion[[#This Row],[Confinement Type]])&amp;"*", Map_Conf[From], Map_Conf[To], "", 2), "")</f>
        <v>MCF</v>
      </c>
      <c r="W351" s="108" t="str" cm="1">
        <f t="array" ref="W3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2" spans="1:23" hidden="1">
      <c r="A352">
        <v>184</v>
      </c>
      <c r="B352" t="s">
        <v>222</v>
      </c>
      <c r="C352" t="s">
        <v>61</v>
      </c>
      <c r="D352" t="s">
        <v>62</v>
      </c>
      <c r="E352">
        <v>953</v>
      </c>
      <c r="F352" t="s">
        <v>31</v>
      </c>
      <c r="G352" t="s">
        <v>32</v>
      </c>
      <c r="H352" t="s">
        <v>33</v>
      </c>
      <c r="I352">
        <v>7516000000</v>
      </c>
      <c r="J352" t="s">
        <v>34</v>
      </c>
      <c r="K352">
        <v>2015</v>
      </c>
      <c r="L352" t="s">
        <v>223</v>
      </c>
      <c r="O352" t="s">
        <v>225</v>
      </c>
      <c r="Q35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5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52" s="107" t="str">
        <f>IFERROR(_xlfn.XLOOKUP("*"&amp;TRIM(Fusion[[#This Row],[Confinement Type]])&amp;"*", Map_Conf[From], Map_Conf[To], "", 2), "")</f>
        <v>MCF</v>
      </c>
      <c r="W352" s="108" t="str" cm="1">
        <f t="array" ref="W3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53" spans="1:23">
      <c r="A353">
        <v>400</v>
      </c>
      <c r="B353" t="s">
        <v>402</v>
      </c>
      <c r="C353" t="s">
        <v>61</v>
      </c>
      <c r="D353" t="s">
        <v>251</v>
      </c>
      <c r="E353">
        <v>2272</v>
      </c>
      <c r="F353" t="s">
        <v>116</v>
      </c>
      <c r="G353" t="s">
        <v>32</v>
      </c>
      <c r="H353" t="s">
        <v>33</v>
      </c>
      <c r="I353">
        <v>155700000</v>
      </c>
      <c r="J353" t="s">
        <v>34</v>
      </c>
      <c r="K353">
        <v>2023</v>
      </c>
      <c r="L353" t="s">
        <v>399</v>
      </c>
      <c r="O353" t="s">
        <v>1106</v>
      </c>
      <c r="Q35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5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56.475983178346219</v>
      </c>
      <c r="V353" s="107" t="str">
        <f>IFERROR(_xlfn.XLOOKUP("*"&amp;TRIM(Fusion[[#This Row],[Confinement Type]])&amp;"*", Map_Conf[From], Map_Conf[To], "", 2), "")</f>
        <v>MCF</v>
      </c>
      <c r="W353" s="108" t="str" cm="1">
        <f t="array" ref="W3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4" spans="1:23">
      <c r="A354">
        <v>404</v>
      </c>
      <c r="B354" t="s">
        <v>406</v>
      </c>
      <c r="C354" t="s">
        <v>61</v>
      </c>
      <c r="D354" t="s">
        <v>251</v>
      </c>
      <c r="E354">
        <v>1945</v>
      </c>
      <c r="F354" t="s">
        <v>116</v>
      </c>
      <c r="G354" t="s">
        <v>32</v>
      </c>
      <c r="H354" t="s">
        <v>33</v>
      </c>
      <c r="I354">
        <v>143850000</v>
      </c>
      <c r="J354" t="s">
        <v>34</v>
      </c>
      <c r="K354">
        <v>2023</v>
      </c>
      <c r="L354" t="s">
        <v>399</v>
      </c>
      <c r="O354" t="s">
        <v>1106</v>
      </c>
      <c r="Q35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5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60.950009161464997</v>
      </c>
      <c r="V354" s="107" t="str">
        <f>IFERROR(_xlfn.XLOOKUP("*"&amp;TRIM(Fusion[[#This Row],[Confinement Type]])&amp;"*", Map_Conf[From], Map_Conf[To], "", 2), "")</f>
        <v>MCF</v>
      </c>
      <c r="W354" s="108" t="str" cm="1">
        <f t="array" ref="W3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5" spans="1:23">
      <c r="A355">
        <v>401</v>
      </c>
      <c r="B355" t="s">
        <v>403</v>
      </c>
      <c r="C355" t="s">
        <v>61</v>
      </c>
      <c r="D355" t="s">
        <v>251</v>
      </c>
      <c r="E355">
        <v>1368</v>
      </c>
      <c r="F355" t="s">
        <v>116</v>
      </c>
      <c r="G355" t="s">
        <v>32</v>
      </c>
      <c r="H355" t="s">
        <v>33</v>
      </c>
      <c r="I355">
        <v>120650000</v>
      </c>
      <c r="J355" t="s">
        <v>34</v>
      </c>
      <c r="K355">
        <v>2023</v>
      </c>
      <c r="L355" t="s">
        <v>399</v>
      </c>
      <c r="O355" t="s">
        <v>1106</v>
      </c>
      <c r="P355" t="s">
        <v>504</v>
      </c>
      <c r="Q35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5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72.681644233090395</v>
      </c>
      <c r="V355" s="107" t="str">
        <f>IFERROR(_xlfn.XLOOKUP("*"&amp;TRIM(Fusion[[#This Row],[Confinement Type]])&amp;"*", Map_Conf[From], Map_Conf[To], "", 2), "")</f>
        <v>MCF</v>
      </c>
      <c r="W355" s="108" t="str" cm="1">
        <f t="array" ref="W3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56" spans="1:23">
      <c r="A356">
        <v>399</v>
      </c>
      <c r="B356" t="s">
        <v>401</v>
      </c>
      <c r="C356" t="s">
        <v>61</v>
      </c>
      <c r="D356" t="s">
        <v>251</v>
      </c>
      <c r="E356">
        <v>1313</v>
      </c>
      <c r="F356" t="s">
        <v>116</v>
      </c>
      <c r="G356" t="s">
        <v>32</v>
      </c>
      <c r="H356" t="s">
        <v>33</v>
      </c>
      <c r="I356">
        <v>118100000</v>
      </c>
      <c r="J356" t="s">
        <v>34</v>
      </c>
      <c r="K356">
        <v>2023</v>
      </c>
      <c r="L356" t="s">
        <v>399</v>
      </c>
      <c r="O356" t="s">
        <v>1106</v>
      </c>
      <c r="Q35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5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74.125679275424346</v>
      </c>
      <c r="V356" s="107" t="str">
        <f>IFERROR(_xlfn.XLOOKUP("*"&amp;TRIM(Fusion[[#This Row],[Confinement Type]])&amp;"*", Map_Conf[From], Map_Conf[To], "", 2), "")</f>
        <v>MCF</v>
      </c>
      <c r="W356" s="108" t="str" cm="1">
        <f t="array" ref="W3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57" spans="1:23">
      <c r="A357">
        <v>398</v>
      </c>
      <c r="B357" t="s">
        <v>398</v>
      </c>
      <c r="C357" t="s">
        <v>61</v>
      </c>
      <c r="D357" t="s">
        <v>251</v>
      </c>
      <c r="E357">
        <v>1204</v>
      </c>
      <c r="F357" t="s">
        <v>116</v>
      </c>
      <c r="G357" t="s">
        <v>32</v>
      </c>
      <c r="H357" t="s">
        <v>33</v>
      </c>
      <c r="I357">
        <v>113800000</v>
      </c>
      <c r="J357" t="s">
        <v>34</v>
      </c>
      <c r="K357">
        <v>2023</v>
      </c>
      <c r="L357" t="s">
        <v>399</v>
      </c>
      <c r="O357" t="s">
        <v>1107</v>
      </c>
      <c r="Q35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5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77.893154078040325</v>
      </c>
      <c r="V357" s="107" t="str">
        <f>IFERROR(_xlfn.XLOOKUP("*"&amp;TRIM(Fusion[[#This Row],[Confinement Type]])&amp;"*", Map_Conf[From], Map_Conf[To], "", 2), "")</f>
        <v>MCF</v>
      </c>
      <c r="W357" s="108" t="str" cm="1">
        <f t="array" ref="W3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Spheromak</v>
      </c>
    </row>
    <row r="358" spans="1:23">
      <c r="A358">
        <v>405</v>
      </c>
      <c r="B358" t="s">
        <v>407</v>
      </c>
      <c r="C358" t="s">
        <v>61</v>
      </c>
      <c r="D358" t="s">
        <v>251</v>
      </c>
      <c r="E358">
        <v>1165</v>
      </c>
      <c r="F358" t="s">
        <v>116</v>
      </c>
      <c r="G358" t="s">
        <v>32</v>
      </c>
      <c r="H358" t="s">
        <v>33</v>
      </c>
      <c r="I358">
        <v>111340000</v>
      </c>
      <c r="J358" t="s">
        <v>34</v>
      </c>
      <c r="K358">
        <v>2023</v>
      </c>
      <c r="L358" t="s">
        <v>399</v>
      </c>
      <c r="O358" t="s">
        <v>1106</v>
      </c>
      <c r="P358" t="s">
        <v>504</v>
      </c>
      <c r="Q35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5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78.760561976504277</v>
      </c>
      <c r="V358" s="107" t="str">
        <f>IFERROR(_xlfn.XLOOKUP("*"&amp;TRIM(Fusion[[#This Row],[Confinement Type]])&amp;"*", Map_Conf[From], Map_Conf[To], "", 2), "")</f>
        <v>MCF</v>
      </c>
      <c r="W358" s="108" t="str" cm="1">
        <f t="array" ref="W3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59" spans="1:23">
      <c r="A359">
        <v>402</v>
      </c>
      <c r="B359" t="s">
        <v>404</v>
      </c>
      <c r="C359" t="s">
        <v>61</v>
      </c>
      <c r="D359" t="s">
        <v>251</v>
      </c>
      <c r="E359">
        <v>914</v>
      </c>
      <c r="F359" t="s">
        <v>116</v>
      </c>
      <c r="G359" t="s">
        <v>32</v>
      </c>
      <c r="H359" t="s">
        <v>33</v>
      </c>
      <c r="I359">
        <v>98610000</v>
      </c>
      <c r="J359" t="s">
        <v>34</v>
      </c>
      <c r="K359">
        <v>2023</v>
      </c>
      <c r="L359" t="s">
        <v>399</v>
      </c>
      <c r="O359" t="s">
        <v>1106</v>
      </c>
      <c r="P359" t="s">
        <v>263</v>
      </c>
      <c r="Q35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5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88.911569724392777</v>
      </c>
      <c r="V359" s="107" t="str">
        <f>IFERROR(_xlfn.XLOOKUP("*"&amp;TRIM(Fusion[[#This Row],[Confinement Type]])&amp;"*", Map_Conf[From], Map_Conf[To], "", 2), "")</f>
        <v>MCF</v>
      </c>
      <c r="W359" s="108" t="str" cm="1">
        <f t="array" ref="W3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0" spans="1:23">
      <c r="A360">
        <v>403</v>
      </c>
      <c r="B360" t="s">
        <v>405</v>
      </c>
      <c r="C360" t="s">
        <v>61</v>
      </c>
      <c r="D360" t="s">
        <v>251</v>
      </c>
      <c r="E360">
        <v>774</v>
      </c>
      <c r="F360" t="s">
        <v>116</v>
      </c>
      <c r="G360" t="s">
        <v>32</v>
      </c>
      <c r="H360" t="s">
        <v>33</v>
      </c>
      <c r="I360">
        <v>90750000</v>
      </c>
      <c r="J360" t="s">
        <v>34</v>
      </c>
      <c r="K360">
        <v>2023</v>
      </c>
      <c r="L360" t="s">
        <v>399</v>
      </c>
      <c r="O360" t="s">
        <v>1106</v>
      </c>
      <c r="Q36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6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96.624928974956291</v>
      </c>
      <c r="V360" s="107" t="str">
        <f>IFERROR(_xlfn.XLOOKUP("*"&amp;TRIM(Fusion[[#This Row],[Confinement Type]])&amp;"*", Map_Conf[From], Map_Conf[To], "", 2), "")</f>
        <v>MCF</v>
      </c>
      <c r="W360" s="108" t="str" cm="1">
        <f t="array" ref="W3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1" spans="1:23" hidden="1">
      <c r="A361">
        <v>414</v>
      </c>
      <c r="B361" t="s">
        <v>398</v>
      </c>
      <c r="C361" t="s">
        <v>61</v>
      </c>
      <c r="D361" t="s">
        <v>251</v>
      </c>
      <c r="E361">
        <v>1204</v>
      </c>
      <c r="F361" t="s">
        <v>75</v>
      </c>
      <c r="G361" t="s">
        <v>32</v>
      </c>
      <c r="H361" t="s">
        <v>76</v>
      </c>
      <c r="I361">
        <v>87</v>
      </c>
      <c r="J361" t="s">
        <v>128</v>
      </c>
      <c r="K361">
        <v>2023</v>
      </c>
      <c r="L361" t="s">
        <v>399</v>
      </c>
      <c r="O361" t="s">
        <v>408</v>
      </c>
      <c r="Q36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71.697294405681617</v>
      </c>
      <c r="R36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61" s="107" t="str">
        <f>IFERROR(_xlfn.XLOOKUP("*"&amp;TRIM(Fusion[[#This Row],[Confinement Type]])&amp;"*", Map_Conf[From], Map_Conf[To], "", 2), "")</f>
        <v>MCF</v>
      </c>
      <c r="W361" s="108" t="str" cm="1">
        <f t="array" ref="W3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2" spans="1:23" hidden="1">
      <c r="A362">
        <v>415</v>
      </c>
      <c r="B362" t="s">
        <v>398</v>
      </c>
      <c r="C362" t="s">
        <v>61</v>
      </c>
      <c r="D362" t="s">
        <v>251</v>
      </c>
      <c r="E362">
        <v>1204</v>
      </c>
      <c r="F362" t="s">
        <v>75</v>
      </c>
      <c r="G362" t="s">
        <v>32</v>
      </c>
      <c r="H362" t="s">
        <v>76</v>
      </c>
      <c r="I362">
        <v>67</v>
      </c>
      <c r="J362" t="s">
        <v>128</v>
      </c>
      <c r="K362">
        <v>2023</v>
      </c>
      <c r="L362" t="s">
        <v>399</v>
      </c>
      <c r="O362" t="s">
        <v>409</v>
      </c>
      <c r="Q36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55.215157760697338</v>
      </c>
      <c r="R36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62" s="107" t="str">
        <f>IFERROR(_xlfn.XLOOKUP("*"&amp;TRIM(Fusion[[#This Row],[Confinement Type]])&amp;"*", Map_Conf[From], Map_Conf[To], "", 2), "")</f>
        <v>MCF</v>
      </c>
      <c r="W362" s="108" t="str" cm="1">
        <f t="array" ref="W3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3" spans="1:23" hidden="1">
      <c r="A363">
        <v>416</v>
      </c>
      <c r="B363" t="s">
        <v>401</v>
      </c>
      <c r="C363" t="s">
        <v>61</v>
      </c>
      <c r="D363" t="s">
        <v>251</v>
      </c>
      <c r="E363">
        <v>1313</v>
      </c>
      <c r="F363" t="s">
        <v>75</v>
      </c>
      <c r="G363" t="s">
        <v>32</v>
      </c>
      <c r="H363" t="s">
        <v>76</v>
      </c>
      <c r="I363">
        <v>84</v>
      </c>
      <c r="J363" t="s">
        <v>128</v>
      </c>
      <c r="K363">
        <v>2023</v>
      </c>
      <c r="L363" t="s">
        <v>399</v>
      </c>
      <c r="O363" t="s">
        <v>408</v>
      </c>
      <c r="Q36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69.224973908933976</v>
      </c>
      <c r="R36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63" s="107" t="str">
        <f>IFERROR(_xlfn.XLOOKUP("*"&amp;TRIM(Fusion[[#This Row],[Confinement Type]])&amp;"*", Map_Conf[From], Map_Conf[To], "", 2), "")</f>
        <v>MCF</v>
      </c>
      <c r="W363" s="108" t="str" cm="1">
        <f t="array" ref="W3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64" spans="1:23" hidden="1">
      <c r="A364">
        <v>417</v>
      </c>
      <c r="B364" t="s">
        <v>401</v>
      </c>
      <c r="C364" t="s">
        <v>61</v>
      </c>
      <c r="D364" t="s">
        <v>251</v>
      </c>
      <c r="E364">
        <v>1313</v>
      </c>
      <c r="F364" t="s">
        <v>75</v>
      </c>
      <c r="G364" t="s">
        <v>32</v>
      </c>
      <c r="H364" t="s">
        <v>76</v>
      </c>
      <c r="I364">
        <v>65</v>
      </c>
      <c r="J364" t="s">
        <v>128</v>
      </c>
      <c r="K364">
        <v>2023</v>
      </c>
      <c r="L364" t="s">
        <v>399</v>
      </c>
      <c r="O364" t="s">
        <v>409</v>
      </c>
      <c r="Q36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53.56694409619891</v>
      </c>
      <c r="R36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64" s="107" t="str">
        <f>IFERROR(_xlfn.XLOOKUP("*"&amp;TRIM(Fusion[[#This Row],[Confinement Type]])&amp;"*", Map_Conf[From], Map_Conf[To], "", 2), "")</f>
        <v>MCF</v>
      </c>
      <c r="W364" s="108" t="str" cm="1">
        <f t="array" ref="W3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5" spans="1:23" hidden="1">
      <c r="A365">
        <v>418</v>
      </c>
      <c r="B365" t="s">
        <v>402</v>
      </c>
      <c r="C365" t="s">
        <v>61</v>
      </c>
      <c r="D365" t="s">
        <v>251</v>
      </c>
      <c r="E365">
        <v>2272</v>
      </c>
      <c r="F365" t="s">
        <v>75</v>
      </c>
      <c r="G365" t="s">
        <v>32</v>
      </c>
      <c r="H365" t="s">
        <v>76</v>
      </c>
      <c r="I365">
        <v>70</v>
      </c>
      <c r="J365" t="s">
        <v>128</v>
      </c>
      <c r="K365">
        <v>2023</v>
      </c>
      <c r="L365" t="s">
        <v>399</v>
      </c>
      <c r="O365" t="s">
        <v>410</v>
      </c>
      <c r="P365" t="s">
        <v>504</v>
      </c>
      <c r="Q36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57.68747825744498</v>
      </c>
      <c r="R36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65" s="107" t="str">
        <f>IFERROR(_xlfn.XLOOKUP("*"&amp;TRIM(Fusion[[#This Row],[Confinement Type]])&amp;"*", Map_Conf[From], Map_Conf[To], "", 2), "")</f>
        <v>MCF</v>
      </c>
      <c r="W365" s="108" t="str" cm="1">
        <f t="array" ref="W3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66" spans="1:23" hidden="1">
      <c r="A366">
        <v>419</v>
      </c>
      <c r="B366" t="s">
        <v>403</v>
      </c>
      <c r="C366" t="s">
        <v>61</v>
      </c>
      <c r="D366" t="s">
        <v>251</v>
      </c>
      <c r="E366">
        <v>1368</v>
      </c>
      <c r="F366" t="s">
        <v>75</v>
      </c>
      <c r="G366" t="s">
        <v>32</v>
      </c>
      <c r="H366" t="s">
        <v>76</v>
      </c>
      <c r="I366">
        <v>63.16</v>
      </c>
      <c r="J366" t="s">
        <v>128</v>
      </c>
      <c r="K366">
        <v>2023</v>
      </c>
      <c r="L366" t="s">
        <v>399</v>
      </c>
      <c r="O366" t="s">
        <v>409</v>
      </c>
      <c r="Q36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52.050587524860354</v>
      </c>
      <c r="R36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66" s="107" t="str">
        <f>IFERROR(_xlfn.XLOOKUP("*"&amp;TRIM(Fusion[[#This Row],[Confinement Type]])&amp;"*", Map_Conf[From], Map_Conf[To], "", 2), "")</f>
        <v>MCF</v>
      </c>
      <c r="W366" s="108" t="str" cm="1">
        <f t="array" ref="W3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7" spans="1:23" hidden="1">
      <c r="A367">
        <v>420</v>
      </c>
      <c r="B367" t="s">
        <v>402</v>
      </c>
      <c r="C367" t="s">
        <v>61</v>
      </c>
      <c r="D367" t="s">
        <v>251</v>
      </c>
      <c r="E367">
        <v>2272</v>
      </c>
      <c r="F367" t="s">
        <v>75</v>
      </c>
      <c r="G367" t="s">
        <v>32</v>
      </c>
      <c r="H367" t="s">
        <v>76</v>
      </c>
      <c r="I367">
        <v>90</v>
      </c>
      <c r="J367" t="s">
        <v>128</v>
      </c>
      <c r="K367">
        <v>2023</v>
      </c>
      <c r="L367" t="s">
        <v>399</v>
      </c>
      <c r="O367" t="s">
        <v>408</v>
      </c>
      <c r="Q36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74.169614902429259</v>
      </c>
      <c r="R36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67" s="107" t="str">
        <f>IFERROR(_xlfn.XLOOKUP("*"&amp;TRIM(Fusion[[#This Row],[Confinement Type]])&amp;"*", Map_Conf[From], Map_Conf[To], "", 2), "")</f>
        <v>MCF</v>
      </c>
      <c r="W367" s="108" t="str" cm="1">
        <f t="array" ref="W3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68" spans="1:23" hidden="1">
      <c r="A368">
        <v>421</v>
      </c>
      <c r="B368" t="s">
        <v>403</v>
      </c>
      <c r="C368" t="s">
        <v>61</v>
      </c>
      <c r="D368" t="s">
        <v>251</v>
      </c>
      <c r="E368">
        <v>1368</v>
      </c>
      <c r="F368" t="s">
        <v>75</v>
      </c>
      <c r="G368" t="s">
        <v>32</v>
      </c>
      <c r="H368" t="s">
        <v>76</v>
      </c>
      <c r="I368">
        <v>82.95</v>
      </c>
      <c r="J368" t="s">
        <v>128</v>
      </c>
      <c r="K368">
        <v>2023</v>
      </c>
      <c r="L368" t="s">
        <v>399</v>
      </c>
      <c r="O368" t="s">
        <v>411</v>
      </c>
      <c r="Q36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68.359661735072308</v>
      </c>
      <c r="R36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68" s="107" t="str">
        <f>IFERROR(_xlfn.XLOOKUP("*"&amp;TRIM(Fusion[[#This Row],[Confinement Type]])&amp;"*", Map_Conf[From], Map_Conf[To], "", 2), "")</f>
        <v>MCF</v>
      </c>
      <c r="W368" s="108" t="str" cm="1">
        <f t="array" ref="W3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69" spans="1:23" hidden="1">
      <c r="A369">
        <v>430</v>
      </c>
      <c r="B369" t="s">
        <v>404</v>
      </c>
      <c r="C369" t="s">
        <v>61</v>
      </c>
      <c r="D369" t="s">
        <v>251</v>
      </c>
      <c r="E369">
        <v>914</v>
      </c>
      <c r="F369" t="s">
        <v>75</v>
      </c>
      <c r="G369" t="s">
        <v>32</v>
      </c>
      <c r="H369" t="s">
        <v>76</v>
      </c>
      <c r="I369">
        <v>75</v>
      </c>
      <c r="J369" t="s">
        <v>128</v>
      </c>
      <c r="K369">
        <v>2023</v>
      </c>
      <c r="L369" t="s">
        <v>399</v>
      </c>
      <c r="O369" t="s">
        <v>412</v>
      </c>
      <c r="Q36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61.80801241869105</v>
      </c>
      <c r="R36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69" s="107" t="str">
        <f>IFERROR(_xlfn.XLOOKUP("*"&amp;TRIM(Fusion[[#This Row],[Confinement Type]])&amp;"*", Map_Conf[From], Map_Conf[To], "", 2), "")</f>
        <v>MCF</v>
      </c>
      <c r="W369" s="108" t="str" cm="1">
        <f t="array" ref="W3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70" spans="1:23" hidden="1">
      <c r="A370">
        <v>431</v>
      </c>
      <c r="B370" t="s">
        <v>404</v>
      </c>
      <c r="C370" t="s">
        <v>61</v>
      </c>
      <c r="D370" t="s">
        <v>251</v>
      </c>
      <c r="E370">
        <v>914</v>
      </c>
      <c r="F370" t="s">
        <v>75</v>
      </c>
      <c r="G370" t="s">
        <v>32</v>
      </c>
      <c r="H370" t="s">
        <v>76</v>
      </c>
      <c r="I370">
        <v>60</v>
      </c>
      <c r="J370" t="s">
        <v>128</v>
      </c>
      <c r="K370">
        <v>2023</v>
      </c>
      <c r="L370" t="s">
        <v>399</v>
      </c>
      <c r="O370" t="s">
        <v>413</v>
      </c>
      <c r="Q37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49.44640993495284</v>
      </c>
      <c r="R37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70" s="107" t="str">
        <f>IFERROR(_xlfn.XLOOKUP("*"&amp;TRIM(Fusion[[#This Row],[Confinement Type]])&amp;"*", Map_Conf[From], Map_Conf[To], "", 2), "")</f>
        <v>MCF</v>
      </c>
      <c r="W370" s="108" t="str" cm="1">
        <f t="array" ref="W3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1" spans="1:23" hidden="1">
      <c r="A371">
        <v>432</v>
      </c>
      <c r="B371" t="s">
        <v>405</v>
      </c>
      <c r="C371" t="s">
        <v>61</v>
      </c>
      <c r="D371" t="s">
        <v>251</v>
      </c>
      <c r="E371">
        <v>774</v>
      </c>
      <c r="F371" t="s">
        <v>75</v>
      </c>
      <c r="G371" t="s">
        <v>32</v>
      </c>
      <c r="H371" t="s">
        <v>76</v>
      </c>
      <c r="I371">
        <v>59</v>
      </c>
      <c r="J371" t="s">
        <v>128</v>
      </c>
      <c r="K371">
        <v>2023</v>
      </c>
      <c r="L371" t="s">
        <v>399</v>
      </c>
      <c r="O371" t="s">
        <v>414</v>
      </c>
      <c r="Q37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48.622303102703626</v>
      </c>
      <c r="R37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71" s="107" t="str">
        <f>IFERROR(_xlfn.XLOOKUP("*"&amp;TRIM(Fusion[[#This Row],[Confinement Type]])&amp;"*", Map_Conf[From], Map_Conf[To], "", 2), "")</f>
        <v>MCF</v>
      </c>
      <c r="W371" s="108" t="str" cm="1">
        <f t="array" ref="W3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72" spans="1:23" hidden="1">
      <c r="A372">
        <v>433</v>
      </c>
      <c r="B372" t="s">
        <v>405</v>
      </c>
      <c r="C372" t="s">
        <v>61</v>
      </c>
      <c r="D372" t="s">
        <v>251</v>
      </c>
      <c r="E372">
        <v>774</v>
      </c>
      <c r="F372" t="s">
        <v>75</v>
      </c>
      <c r="G372" t="s">
        <v>32</v>
      </c>
      <c r="H372" t="s">
        <v>76</v>
      </c>
      <c r="I372">
        <v>79</v>
      </c>
      <c r="J372" t="s">
        <v>128</v>
      </c>
      <c r="K372">
        <v>2023</v>
      </c>
      <c r="L372" t="s">
        <v>399</v>
      </c>
      <c r="O372" t="s">
        <v>415</v>
      </c>
      <c r="Q37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65.104439747687906</v>
      </c>
      <c r="R37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72" s="107" t="str">
        <f>IFERROR(_xlfn.XLOOKUP("*"&amp;TRIM(Fusion[[#This Row],[Confinement Type]])&amp;"*", Map_Conf[From], Map_Conf[To], "", 2), "")</f>
        <v>MCF</v>
      </c>
      <c r="W372" s="108" t="str" cm="1">
        <f t="array" ref="W3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73" spans="1:23" hidden="1">
      <c r="A373">
        <v>434</v>
      </c>
      <c r="B373" t="s">
        <v>406</v>
      </c>
      <c r="C373" t="s">
        <v>61</v>
      </c>
      <c r="D373" t="s">
        <v>251</v>
      </c>
      <c r="E373">
        <v>1945</v>
      </c>
      <c r="F373" t="s">
        <v>75</v>
      </c>
      <c r="G373" t="s">
        <v>32</v>
      </c>
      <c r="H373" t="s">
        <v>76</v>
      </c>
      <c r="I373">
        <v>70</v>
      </c>
      <c r="J373" t="s">
        <v>128</v>
      </c>
      <c r="K373">
        <v>2023</v>
      </c>
      <c r="L373" t="s">
        <v>399</v>
      </c>
      <c r="O373" t="s">
        <v>416</v>
      </c>
      <c r="Q37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57.68747825744498</v>
      </c>
      <c r="R37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73" s="107" t="str">
        <f>IFERROR(_xlfn.XLOOKUP("*"&amp;TRIM(Fusion[[#This Row],[Confinement Type]])&amp;"*", Map_Conf[From], Map_Conf[To], "", 2), "")</f>
        <v>MCF</v>
      </c>
      <c r="W373" s="108" t="str" cm="1">
        <f t="array" ref="W3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4" spans="1:23" hidden="1">
      <c r="A374">
        <v>435</v>
      </c>
      <c r="B374" t="s">
        <v>407</v>
      </c>
      <c r="C374" t="s">
        <v>61</v>
      </c>
      <c r="D374" t="s">
        <v>251</v>
      </c>
      <c r="E374">
        <v>1165</v>
      </c>
      <c r="F374" t="s">
        <v>75</v>
      </c>
      <c r="G374" t="s">
        <v>32</v>
      </c>
      <c r="H374" t="s">
        <v>76</v>
      </c>
      <c r="I374">
        <v>53.9</v>
      </c>
      <c r="J374" t="s">
        <v>128</v>
      </c>
      <c r="K374">
        <v>2023</v>
      </c>
      <c r="L374" t="s">
        <v>399</v>
      </c>
      <c r="O374" t="s">
        <v>417</v>
      </c>
      <c r="Q37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44.419358258232634</v>
      </c>
      <c r="R37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74" s="107" t="str">
        <f>IFERROR(_xlfn.XLOOKUP("*"&amp;TRIM(Fusion[[#This Row],[Confinement Type]])&amp;"*", Map_Conf[From], Map_Conf[To], "", 2), "")</f>
        <v>MCF</v>
      </c>
      <c r="W374" s="108" t="str" cm="1">
        <f t="array" ref="W3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5" spans="1:23" hidden="1">
      <c r="A375">
        <v>436</v>
      </c>
      <c r="B375" t="s">
        <v>406</v>
      </c>
      <c r="C375" t="s">
        <v>61</v>
      </c>
      <c r="D375" t="s">
        <v>251</v>
      </c>
      <c r="E375">
        <v>1945</v>
      </c>
      <c r="F375" t="s">
        <v>75</v>
      </c>
      <c r="G375" t="s">
        <v>32</v>
      </c>
      <c r="H375" t="s">
        <v>76</v>
      </c>
      <c r="I375">
        <v>90</v>
      </c>
      <c r="J375" t="s">
        <v>128</v>
      </c>
      <c r="K375">
        <v>2023</v>
      </c>
      <c r="L375" t="s">
        <v>399</v>
      </c>
      <c r="O375" t="s">
        <v>418</v>
      </c>
      <c r="P375" t="s">
        <v>504</v>
      </c>
      <c r="Q37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74.169614902429259</v>
      </c>
      <c r="R37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75" s="107" t="str">
        <f>IFERROR(_xlfn.XLOOKUP("*"&amp;TRIM(Fusion[[#This Row],[Confinement Type]])&amp;"*", Map_Conf[From], Map_Conf[To], "", 2), "")</f>
        <v>MCF</v>
      </c>
      <c r="W375" s="108" t="str" cm="1">
        <f t="array" ref="W3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6" spans="1:23" hidden="1">
      <c r="A376">
        <v>437</v>
      </c>
      <c r="B376" t="s">
        <v>407</v>
      </c>
      <c r="C376" t="s">
        <v>61</v>
      </c>
      <c r="D376" t="s">
        <v>251</v>
      </c>
      <c r="E376">
        <v>1165</v>
      </c>
      <c r="F376" t="s">
        <v>75</v>
      </c>
      <c r="G376" t="s">
        <v>32</v>
      </c>
      <c r="H376" t="s">
        <v>76</v>
      </c>
      <c r="I376">
        <v>38.53</v>
      </c>
      <c r="J376" t="s">
        <v>128</v>
      </c>
      <c r="K376">
        <v>2023</v>
      </c>
      <c r="L376" t="s">
        <v>399</v>
      </c>
      <c r="O376" t="s">
        <v>419</v>
      </c>
      <c r="P376" t="s">
        <v>504</v>
      </c>
      <c r="Q37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31.752836246562214</v>
      </c>
      <c r="R37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76" s="107" t="str">
        <f>IFERROR(_xlfn.XLOOKUP("*"&amp;TRIM(Fusion[[#This Row],[Confinement Type]])&amp;"*", Map_Conf[From], Map_Conf[To], "", 2), "")</f>
        <v>MCF</v>
      </c>
      <c r="W376" s="108" t="str" cm="1">
        <f t="array" ref="W3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7" spans="1:23">
      <c r="A377">
        <v>192</v>
      </c>
      <c r="B377" t="s">
        <v>239</v>
      </c>
      <c r="C377" t="s">
        <v>61</v>
      </c>
      <c r="D377" t="s">
        <v>62</v>
      </c>
      <c r="E377">
        <v>1000</v>
      </c>
      <c r="F377" t="s">
        <v>669</v>
      </c>
      <c r="G377" t="s">
        <v>52</v>
      </c>
      <c r="H377" t="s">
        <v>33</v>
      </c>
      <c r="I377">
        <v>65300000</v>
      </c>
      <c r="J377" t="s">
        <v>34</v>
      </c>
      <c r="K377">
        <v>2000</v>
      </c>
      <c r="L377" t="s">
        <v>233</v>
      </c>
      <c r="O377" t="s">
        <v>236</v>
      </c>
      <c r="P377" t="s">
        <v>306</v>
      </c>
      <c r="Q37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7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95.222340882694539</v>
      </c>
      <c r="V377" s="107" t="str">
        <f>IFERROR(_xlfn.XLOOKUP("*"&amp;TRIM(Fusion[[#This Row],[Confinement Type]])&amp;"*", Map_Conf[From], Map_Conf[To], "", 2), "")</f>
        <v>MCF</v>
      </c>
      <c r="W377" s="108" t="str" cm="1">
        <f t="array" ref="W3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8" spans="1:23">
      <c r="A378">
        <v>193</v>
      </c>
      <c r="B378" t="s">
        <v>240</v>
      </c>
      <c r="C378" t="s">
        <v>61</v>
      </c>
      <c r="D378" t="s">
        <v>62</v>
      </c>
      <c r="E378">
        <v>1000</v>
      </c>
      <c r="F378" t="s">
        <v>669</v>
      </c>
      <c r="G378" t="s">
        <v>755</v>
      </c>
      <c r="H378" t="s">
        <v>33</v>
      </c>
      <c r="I378">
        <v>65300000</v>
      </c>
      <c r="J378" t="s">
        <v>34</v>
      </c>
      <c r="K378">
        <v>2000</v>
      </c>
      <c r="L378" t="s">
        <v>233</v>
      </c>
      <c r="O378" t="s">
        <v>236</v>
      </c>
      <c r="Q37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7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95.222340882694539</v>
      </c>
      <c r="V378" s="107" t="str">
        <f>IFERROR(_xlfn.XLOOKUP("*"&amp;TRIM(Fusion[[#This Row],[Confinement Type]])&amp;"*", Map_Conf[From], Map_Conf[To], "", 2), "")</f>
        <v>MCF</v>
      </c>
      <c r="W378" s="108" t="str" cm="1">
        <f t="array" ref="W3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79" spans="1:23">
      <c r="A379">
        <v>190</v>
      </c>
      <c r="B379" t="s">
        <v>235</v>
      </c>
      <c r="C379" t="s">
        <v>61</v>
      </c>
      <c r="D379" t="s">
        <v>62</v>
      </c>
      <c r="E379">
        <v>1000</v>
      </c>
      <c r="F379" t="s">
        <v>669</v>
      </c>
      <c r="G379" t="s">
        <v>52</v>
      </c>
      <c r="H379" t="s">
        <v>33</v>
      </c>
      <c r="I379">
        <v>65800000</v>
      </c>
      <c r="J379" t="s">
        <v>34</v>
      </c>
      <c r="K379">
        <v>2000</v>
      </c>
      <c r="L379" t="s">
        <v>233</v>
      </c>
      <c r="O379" t="s">
        <v>236</v>
      </c>
      <c r="Q37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7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95.95145528455285</v>
      </c>
      <c r="V379" s="107" t="str">
        <f>IFERROR(_xlfn.XLOOKUP("*"&amp;TRIM(Fusion[[#This Row],[Confinement Type]])&amp;"*", Map_Conf[From], Map_Conf[To], "", 2), "")</f>
        <v>MCF</v>
      </c>
      <c r="W379" s="108" t="str" cm="1">
        <f t="array" ref="W3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380" spans="1:23" hidden="1">
      <c r="A380">
        <v>406</v>
      </c>
      <c r="B380" t="s">
        <v>404</v>
      </c>
      <c r="C380" t="s">
        <v>61</v>
      </c>
      <c r="D380" t="s">
        <v>251</v>
      </c>
      <c r="E380">
        <v>914</v>
      </c>
      <c r="F380" t="s">
        <v>63</v>
      </c>
      <c r="G380" t="s">
        <v>32</v>
      </c>
      <c r="H380" t="s">
        <v>76</v>
      </c>
      <c r="I380">
        <v>0.2086503496215788</v>
      </c>
      <c r="J380" t="s">
        <v>128</v>
      </c>
      <c r="K380">
        <v>2023</v>
      </c>
      <c r="L380" t="s">
        <v>399</v>
      </c>
      <c r="O380" t="s">
        <v>373</v>
      </c>
      <c r="Q38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0.1719501786743303</v>
      </c>
      <c r="R38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80" s="107" t="str">
        <f>IFERROR(_xlfn.XLOOKUP("*"&amp;TRIM(Fusion[[#This Row],[Confinement Type]])&amp;"*", Map_Conf[From], Map_Conf[To], "", 2), "")</f>
        <v>ICF</v>
      </c>
      <c r="W380" s="108" t="str" cm="1">
        <f t="array" ref="W3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381" spans="1:23" hidden="1">
      <c r="A381">
        <v>407</v>
      </c>
      <c r="B381" t="s">
        <v>405</v>
      </c>
      <c r="C381" t="s">
        <v>61</v>
      </c>
      <c r="D381" t="s">
        <v>251</v>
      </c>
      <c r="E381">
        <v>774</v>
      </c>
      <c r="F381" t="s">
        <v>63</v>
      </c>
      <c r="G381" t="s">
        <v>32</v>
      </c>
      <c r="H381" t="s">
        <v>76</v>
      </c>
      <c r="I381">
        <v>0.24639072293814343</v>
      </c>
      <c r="J381" t="s">
        <v>128</v>
      </c>
      <c r="K381">
        <v>2023</v>
      </c>
      <c r="L381" t="s">
        <v>399</v>
      </c>
      <c r="O381" t="s">
        <v>373</v>
      </c>
      <c r="Q38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0.20305227817614713</v>
      </c>
      <c r="R38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81" s="107" t="str">
        <f>IFERROR(_xlfn.XLOOKUP("*"&amp;TRIM(Fusion[[#This Row],[Confinement Type]])&amp;"*", Map_Conf[From], Map_Conf[To], "", 2), "")</f>
        <v>MCF</v>
      </c>
      <c r="W381" s="108" t="str" cm="1">
        <f t="array" ref="W3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2" spans="1:23">
      <c r="A382">
        <v>191</v>
      </c>
      <c r="B382" t="s">
        <v>237</v>
      </c>
      <c r="C382" t="s">
        <v>61</v>
      </c>
      <c r="D382" t="s">
        <v>62</v>
      </c>
      <c r="E382">
        <v>1000</v>
      </c>
      <c r="F382" t="s">
        <v>669</v>
      </c>
      <c r="G382" t="s">
        <v>755</v>
      </c>
      <c r="H382" t="s">
        <v>33</v>
      </c>
      <c r="J382" t="s">
        <v>34</v>
      </c>
      <c r="K382">
        <v>2000</v>
      </c>
      <c r="L382" t="s">
        <v>233</v>
      </c>
      <c r="O382" t="s">
        <v>236</v>
      </c>
      <c r="P382" t="s">
        <v>288</v>
      </c>
      <c r="Q38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382" s="107" t="str">
        <f>IFERROR(_xlfn.XLOOKUP("*"&amp;TRIM(Fusion[[#This Row],[Confinement Type]])&amp;"*", Map_Conf[From], Map_Conf[To], "", 2), "")</f>
        <v>MCF</v>
      </c>
      <c r="W382" s="108" t="str" cm="1">
        <f t="array" ref="W3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3" spans="1:23" hidden="1">
      <c r="A383">
        <v>206</v>
      </c>
      <c r="B383" t="s">
        <v>818</v>
      </c>
      <c r="C383" t="s">
        <v>30</v>
      </c>
      <c r="D383" t="s">
        <v>815</v>
      </c>
      <c r="E383">
        <v>38000</v>
      </c>
      <c r="F383" t="s">
        <v>31</v>
      </c>
      <c r="G383" t="s">
        <v>57</v>
      </c>
      <c r="H383" t="s">
        <v>33</v>
      </c>
      <c r="I383">
        <v>75244000000</v>
      </c>
      <c r="J383" t="s">
        <v>34</v>
      </c>
      <c r="K383">
        <v>2014</v>
      </c>
      <c r="L383" t="s">
        <v>248</v>
      </c>
      <c r="O383" t="s">
        <v>819</v>
      </c>
      <c r="Q38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8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83" s="107" t="str">
        <f>IFERROR(_xlfn.XLOOKUP("*"&amp;TRIM(Fusion[[#This Row],[Confinement Type]])&amp;"*", Map_Conf[From], Map_Conf[To], "", 2), "")</f>
        <v>MCF</v>
      </c>
      <c r="W383" s="108" t="str" cm="1">
        <f t="array" ref="W3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4" spans="1:23" hidden="1">
      <c r="A384">
        <v>207</v>
      </c>
      <c r="B384" t="s">
        <v>81</v>
      </c>
      <c r="C384" t="s">
        <v>61</v>
      </c>
      <c r="D384" t="s">
        <v>62</v>
      </c>
      <c r="F384" t="s">
        <v>75</v>
      </c>
      <c r="G384" t="s">
        <v>52</v>
      </c>
      <c r="H384" t="s">
        <v>76</v>
      </c>
      <c r="I384">
        <v>86</v>
      </c>
      <c r="J384" t="s">
        <v>88</v>
      </c>
      <c r="K384">
        <v>1990</v>
      </c>
      <c r="L384" t="s">
        <v>249</v>
      </c>
      <c r="O384" t="s">
        <v>250</v>
      </c>
      <c r="Q38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199.96065758759636</v>
      </c>
      <c r="R38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84" s="107" t="str">
        <f>IFERROR(_xlfn.XLOOKUP("*"&amp;TRIM(Fusion[[#This Row],[Confinement Type]])&amp;"*", Map_Conf[From], Map_Conf[To], "", 2), "")</f>
        <v>MCF</v>
      </c>
      <c r="W384" s="108" t="str" cm="1">
        <f t="array" ref="W3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5" spans="1:23" hidden="1">
      <c r="A385">
        <v>208</v>
      </c>
      <c r="B385" t="s">
        <v>81</v>
      </c>
      <c r="C385" t="s">
        <v>61</v>
      </c>
      <c r="D385" t="s">
        <v>251</v>
      </c>
      <c r="F385" t="s">
        <v>75</v>
      </c>
      <c r="G385" t="s">
        <v>52</v>
      </c>
      <c r="H385" t="s">
        <v>76</v>
      </c>
      <c r="I385">
        <v>76</v>
      </c>
      <c r="J385" t="s">
        <v>88</v>
      </c>
      <c r="K385">
        <v>1990</v>
      </c>
      <c r="L385" t="s">
        <v>249</v>
      </c>
      <c r="O385" t="s">
        <v>252</v>
      </c>
      <c r="Q38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176.70941833322468</v>
      </c>
      <c r="R38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85" s="107" t="str">
        <f>IFERROR(_xlfn.XLOOKUP("*"&amp;TRIM(Fusion[[#This Row],[Confinement Type]])&amp;"*", Map_Conf[From], Map_Conf[To], "", 2), "")</f>
        <v>MCF</v>
      </c>
      <c r="W385" s="108" t="str" cm="1">
        <f t="array" ref="W3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6" spans="1:23" hidden="1">
      <c r="A386">
        <v>209</v>
      </c>
      <c r="B386" t="s">
        <v>81</v>
      </c>
      <c r="C386" t="s">
        <v>61</v>
      </c>
      <c r="D386" t="s">
        <v>107</v>
      </c>
      <c r="F386" t="s">
        <v>75</v>
      </c>
      <c r="G386" t="s">
        <v>52</v>
      </c>
      <c r="H386" t="s">
        <v>76</v>
      </c>
      <c r="I386">
        <v>74</v>
      </c>
      <c r="J386" t="s">
        <v>88</v>
      </c>
      <c r="K386">
        <v>1990</v>
      </c>
      <c r="L386" t="s">
        <v>249</v>
      </c>
      <c r="O386" t="s">
        <v>252</v>
      </c>
      <c r="Q38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172.05917048235037</v>
      </c>
      <c r="R38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86" s="107" t="str">
        <f>IFERROR(_xlfn.XLOOKUP("*"&amp;TRIM(Fusion[[#This Row],[Confinement Type]])&amp;"*", Map_Conf[From], Map_Conf[To], "", 2), "")</f>
        <v>MCF</v>
      </c>
      <c r="W386" s="108" t="str" cm="1">
        <f t="array" ref="W3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7" spans="1:23" hidden="1">
      <c r="A387">
        <v>210</v>
      </c>
      <c r="B387" t="s">
        <v>253</v>
      </c>
      <c r="C387" t="s">
        <v>61</v>
      </c>
      <c r="D387" t="s">
        <v>62</v>
      </c>
      <c r="E387">
        <v>1160</v>
      </c>
      <c r="F387" t="s">
        <v>31</v>
      </c>
      <c r="G387" t="s">
        <v>32</v>
      </c>
      <c r="H387" t="s">
        <v>76</v>
      </c>
      <c r="I387">
        <v>7980000</v>
      </c>
      <c r="J387" t="s">
        <v>254</v>
      </c>
      <c r="K387">
        <v>2019</v>
      </c>
      <c r="L387" t="s">
        <v>1126</v>
      </c>
      <c r="O387" t="s">
        <v>255</v>
      </c>
      <c r="P387" t="s">
        <v>373</v>
      </c>
      <c r="Q38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8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87" s="107" t="str">
        <f>IFERROR(_xlfn.XLOOKUP("*"&amp;TRIM(Fusion[[#This Row],[Confinement Type]])&amp;"*", Map_Conf[From], Map_Conf[To], "", 2), "")</f>
        <v>MCF</v>
      </c>
      <c r="W387" s="108" t="str" cm="1">
        <f t="array" ref="W3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88" spans="1:23" hidden="1">
      <c r="A388">
        <v>211</v>
      </c>
      <c r="B388" t="s">
        <v>253</v>
      </c>
      <c r="C388" t="s">
        <v>61</v>
      </c>
      <c r="D388" t="s">
        <v>62</v>
      </c>
      <c r="E388">
        <v>1160</v>
      </c>
      <c r="F388" t="s">
        <v>31</v>
      </c>
      <c r="G388" t="s">
        <v>52</v>
      </c>
      <c r="H388" t="s">
        <v>76</v>
      </c>
      <c r="I388">
        <v>6870000</v>
      </c>
      <c r="J388" t="s">
        <v>254</v>
      </c>
      <c r="K388">
        <v>2019</v>
      </c>
      <c r="L388" t="s">
        <v>1126</v>
      </c>
      <c r="O388" t="s">
        <v>256</v>
      </c>
      <c r="Q38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8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88" s="107" t="str">
        <f>IFERROR(_xlfn.XLOOKUP("*"&amp;TRIM(Fusion[[#This Row],[Confinement Type]])&amp;"*", Map_Conf[From], Map_Conf[To], "", 2), "")</f>
        <v>MCF</v>
      </c>
      <c r="W388" s="108" t="str" cm="1">
        <f t="array" ref="W3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89" spans="1:23" hidden="1">
      <c r="A389">
        <v>515</v>
      </c>
      <c r="B389" t="s">
        <v>488</v>
      </c>
      <c r="C389" t="s">
        <v>470</v>
      </c>
      <c r="D389" t="s">
        <v>471</v>
      </c>
      <c r="E389">
        <v>383.1</v>
      </c>
      <c r="F389" t="s">
        <v>31</v>
      </c>
      <c r="G389" t="s">
        <v>754</v>
      </c>
      <c r="H389" t="s">
        <v>33</v>
      </c>
      <c r="I389">
        <v>799800000.00000012</v>
      </c>
      <c r="J389" t="s">
        <v>34</v>
      </c>
      <c r="K389">
        <v>2020</v>
      </c>
      <c r="L389" t="s">
        <v>486</v>
      </c>
      <c r="O389" t="s">
        <v>489</v>
      </c>
      <c r="P389" t="s">
        <v>459</v>
      </c>
      <c r="Q38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8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89" s="107" t="str">
        <f>IFERROR(_xlfn.XLOOKUP("*"&amp;TRIM(Fusion[[#This Row],[Confinement Type]])&amp;"*", Map_Conf[From], Map_Conf[To], "", 2), "")</f>
        <v>MCF</v>
      </c>
      <c r="W389" s="108" t="str" cm="1">
        <f t="array" ref="W3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90" spans="1:23" hidden="1">
      <c r="A390">
        <v>534</v>
      </c>
      <c r="B390" t="s">
        <v>492</v>
      </c>
      <c r="C390" t="s">
        <v>470</v>
      </c>
      <c r="D390" t="s">
        <v>471</v>
      </c>
      <c r="E390">
        <v>814.4</v>
      </c>
      <c r="F390" t="s">
        <v>31</v>
      </c>
      <c r="G390" t="s">
        <v>754</v>
      </c>
      <c r="H390" t="s">
        <v>33</v>
      </c>
      <c r="I390">
        <v>1572000000</v>
      </c>
      <c r="J390" t="s">
        <v>34</v>
      </c>
      <c r="K390">
        <v>2020</v>
      </c>
      <c r="L390" t="s">
        <v>486</v>
      </c>
      <c r="O390" t="s">
        <v>496</v>
      </c>
      <c r="Q39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9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90" s="107" t="str">
        <f>IFERROR(_xlfn.XLOOKUP("*"&amp;TRIM(Fusion[[#This Row],[Confinement Type]])&amp;"*", Map_Conf[From], Map_Conf[To], "", 2), "")</f>
        <v>MCF</v>
      </c>
      <c r="W390" s="108" t="str" cm="1">
        <f t="array" ref="W3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1" spans="1:23" hidden="1">
      <c r="O391" t="s">
        <v>728</v>
      </c>
      <c r="Q39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9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91" s="107" t="str">
        <f>IFERROR(_xlfn.XLOOKUP("*"&amp;TRIM(Fusion[[#This Row],[Confinement Type]])&amp;"*", Map_Conf[From], Map_Conf[To], "", 2), "")</f>
        <v>MCF</v>
      </c>
      <c r="W391" s="108" t="str" cm="1">
        <f t="array" ref="W3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2" spans="1:23" hidden="1">
      <c r="P392" t="s">
        <v>285</v>
      </c>
      <c r="Q39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9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92" s="107" t="str">
        <f>IFERROR(_xlfn.XLOOKUP("*"&amp;TRIM(Fusion[[#This Row],[Confinement Type]])&amp;"*", Map_Conf[From], Map_Conf[To], "", 2), "")</f>
        <v>MCF</v>
      </c>
      <c r="W392" s="108" t="str" cm="1">
        <f t="array" ref="W3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3" spans="1:23" hidden="1">
      <c r="Q39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9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93" s="107" t="str">
        <f>IFERROR(_xlfn.XLOOKUP("*"&amp;TRIM(Fusion[[#This Row],[Confinement Type]])&amp;"*", Map_Conf[From], Map_Conf[To], "", 2), "")</f>
        <v>MCF</v>
      </c>
      <c r="W393" s="108" t="str" cm="1">
        <f t="array" ref="W3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4" spans="1:23">
      <c r="A394">
        <v>526</v>
      </c>
      <c r="B394" t="s">
        <v>492</v>
      </c>
      <c r="C394" t="s">
        <v>470</v>
      </c>
      <c r="D394" t="s">
        <v>471</v>
      </c>
      <c r="E394">
        <v>814.4</v>
      </c>
      <c r="F394" t="s">
        <v>116</v>
      </c>
      <c r="G394" t="s">
        <v>754</v>
      </c>
      <c r="H394" t="s">
        <v>33</v>
      </c>
      <c r="I394">
        <v>61300000</v>
      </c>
      <c r="J394" t="s">
        <v>34</v>
      </c>
      <c r="K394">
        <v>2020</v>
      </c>
      <c r="L394" t="s">
        <v>486</v>
      </c>
      <c r="Q39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9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73.029579204049199</v>
      </c>
      <c r="V394" s="107" t="str">
        <f>IFERROR(_xlfn.XLOOKUP("*"&amp;TRIM(Fusion[[#This Row],[Confinement Type]])&amp;"*", Map_Conf[From], Map_Conf[To], "", 2), "")</f>
        <v>MCF</v>
      </c>
      <c r="W394" s="108" t="str" cm="1">
        <f t="array" ref="W3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5" spans="1:23" hidden="1">
      <c r="O395" t="s">
        <v>490</v>
      </c>
      <c r="Q39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9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95" s="107" t="str">
        <f>IFERROR(_xlfn.XLOOKUP("*"&amp;TRIM(Fusion[[#This Row],[Confinement Type]])&amp;"*", Map_Conf[From], Map_Conf[To], "", 2), "")</f>
        <v>MCF</v>
      </c>
      <c r="W395" s="108" t="str" cm="1">
        <f t="array" ref="W3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396" spans="1:23" hidden="1">
      <c r="A396">
        <v>521</v>
      </c>
      <c r="B396" t="s">
        <v>488</v>
      </c>
      <c r="C396" t="s">
        <v>470</v>
      </c>
      <c r="D396" t="s">
        <v>471</v>
      </c>
      <c r="E396">
        <v>383.1</v>
      </c>
      <c r="F396" t="s">
        <v>493</v>
      </c>
      <c r="G396" t="s">
        <v>754</v>
      </c>
      <c r="H396" t="s">
        <v>76</v>
      </c>
      <c r="I396">
        <v>0.5</v>
      </c>
      <c r="J396" t="s">
        <v>77</v>
      </c>
      <c r="K396">
        <v>2020</v>
      </c>
      <c r="L396" t="s">
        <v>486</v>
      </c>
      <c r="O396" t="s">
        <v>490</v>
      </c>
      <c r="Q39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0.4851165522330968</v>
      </c>
      <c r="R39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96" s="107" t="str">
        <f>IFERROR(_xlfn.XLOOKUP("*"&amp;TRIM(Fusion[[#This Row],[Confinement Type]])&amp;"*", Map_Conf[From], Map_Conf[To], "", 2), "")</f>
        <v>MCF</v>
      </c>
      <c r="W396" s="108" t="str" cm="1">
        <f t="array" ref="W3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7" spans="1:23" hidden="1">
      <c r="Q39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9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97" s="107" t="str">
        <f>IFERROR(_xlfn.XLOOKUP("*"&amp;TRIM(Fusion[[#This Row],[Confinement Type]])&amp;"*", Map_Conf[From], Map_Conf[To], "", 2), "")</f>
        <v>MCF</v>
      </c>
      <c r="W397" s="108" t="str" cm="1">
        <f t="array" ref="W3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8" spans="1:23" hidden="1">
      <c r="Q39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39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98" s="107" t="str">
        <f>IFERROR(_xlfn.XLOOKUP("*"&amp;TRIM(Fusion[[#This Row],[Confinement Type]])&amp;"*", Map_Conf[From], Map_Conf[To], "", 2), "")</f>
        <v>MCF</v>
      </c>
      <c r="W398" s="108" t="str" cm="1">
        <f t="array" ref="W3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399" spans="1:23" hidden="1">
      <c r="A399">
        <v>525</v>
      </c>
      <c r="B399" t="s">
        <v>488</v>
      </c>
      <c r="C399" t="s">
        <v>470</v>
      </c>
      <c r="D399" t="s">
        <v>471</v>
      </c>
      <c r="E399">
        <v>383.1</v>
      </c>
      <c r="F399" t="s">
        <v>75</v>
      </c>
      <c r="G399" t="s">
        <v>754</v>
      </c>
      <c r="H399" t="s">
        <v>76</v>
      </c>
      <c r="I399">
        <v>39.700000000000003</v>
      </c>
      <c r="J399" t="s">
        <v>77</v>
      </c>
      <c r="K399">
        <v>2020</v>
      </c>
      <c r="L399" t="s">
        <v>486</v>
      </c>
      <c r="O399" t="s">
        <v>491</v>
      </c>
      <c r="Q39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38.518254247307887</v>
      </c>
      <c r="R39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399" s="107" t="str">
        <f>IFERROR(_xlfn.XLOOKUP("*"&amp;TRIM(Fusion[[#This Row],[Confinement Type]])&amp;"*", Map_Conf[From], Map_Conf[To], "", 2), "")</f>
        <v>MIF</v>
      </c>
      <c r="W399" s="108" t="str" cm="1">
        <f t="array" ref="W3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400" spans="1:23">
      <c r="A400">
        <v>517</v>
      </c>
      <c r="B400" t="s">
        <v>488</v>
      </c>
      <c r="C400" t="s">
        <v>470</v>
      </c>
      <c r="D400" t="s">
        <v>471</v>
      </c>
      <c r="E400">
        <v>383.1</v>
      </c>
      <c r="F400" t="s">
        <v>116</v>
      </c>
      <c r="G400" t="s">
        <v>754</v>
      </c>
      <c r="H400" t="s">
        <v>33</v>
      </c>
      <c r="I400">
        <v>42000000</v>
      </c>
      <c r="J400" t="s">
        <v>34</v>
      </c>
      <c r="K400">
        <v>2020</v>
      </c>
      <c r="L400" t="s">
        <v>486</v>
      </c>
      <c r="P400" t="s">
        <v>389</v>
      </c>
      <c r="Q40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0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106.36854708321621</v>
      </c>
      <c r="V400" s="107" t="str">
        <f>IFERROR(_xlfn.XLOOKUP("*"&amp;TRIM(Fusion[[#This Row],[Confinement Type]])&amp;"*", Map_Conf[From], Map_Conf[To], "", 2), "")</f>
        <v>MCF</v>
      </c>
      <c r="W400" s="108" t="str" cm="1">
        <f t="array" ref="W4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1" spans="1:23" hidden="1">
      <c r="A401">
        <v>528</v>
      </c>
      <c r="B401" t="s">
        <v>492</v>
      </c>
      <c r="C401" t="s">
        <v>470</v>
      </c>
      <c r="D401" t="s">
        <v>471</v>
      </c>
      <c r="E401">
        <v>814.4</v>
      </c>
      <c r="F401" t="s">
        <v>493</v>
      </c>
      <c r="G401" t="s">
        <v>754</v>
      </c>
      <c r="H401" t="s">
        <v>76</v>
      </c>
      <c r="I401">
        <v>0.5</v>
      </c>
      <c r="J401" t="s">
        <v>77</v>
      </c>
      <c r="K401">
        <v>2020</v>
      </c>
      <c r="L401" t="s">
        <v>486</v>
      </c>
      <c r="O401" t="s">
        <v>490</v>
      </c>
      <c r="Q40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0.4851165522330968</v>
      </c>
      <c r="R40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01" s="107" t="str">
        <f>IFERROR(_xlfn.XLOOKUP("*"&amp;TRIM(Fusion[[#This Row],[Confinement Type]])&amp;"*", Map_Conf[From], Map_Conf[To], "", 2), "")</f>
        <v>MCF</v>
      </c>
      <c r="W401" s="108" t="str" cm="1">
        <f t="array" ref="W4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2" spans="1:23" hidden="1">
      <c r="A402">
        <v>530</v>
      </c>
      <c r="B402" t="s">
        <v>492</v>
      </c>
      <c r="C402" t="s">
        <v>470</v>
      </c>
      <c r="D402" t="s">
        <v>471</v>
      </c>
      <c r="E402">
        <v>814.4</v>
      </c>
      <c r="F402" t="s">
        <v>75</v>
      </c>
      <c r="G402" t="s">
        <v>754</v>
      </c>
      <c r="H402" t="s">
        <v>76</v>
      </c>
      <c r="I402">
        <v>66.8</v>
      </c>
      <c r="J402" t="s">
        <v>77</v>
      </c>
      <c r="K402">
        <v>2020</v>
      </c>
      <c r="L402" t="s">
        <v>486</v>
      </c>
      <c r="O402" t="s">
        <v>494</v>
      </c>
      <c r="Q40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64.811571378341725</v>
      </c>
      <c r="R40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02" s="107" t="str">
        <f>IFERROR(_xlfn.XLOOKUP("*"&amp;TRIM(Fusion[[#This Row],[Confinement Type]])&amp;"*", Map_Conf[From], Map_Conf[To], "", 2), "")</f>
        <v>MCF</v>
      </c>
      <c r="W402" s="108" t="str" cm="1">
        <f t="array" ref="W4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3" spans="1:23" hidden="1">
      <c r="A403">
        <v>531</v>
      </c>
      <c r="B403" t="s">
        <v>492</v>
      </c>
      <c r="C403" t="s">
        <v>470</v>
      </c>
      <c r="D403" t="s">
        <v>471</v>
      </c>
      <c r="E403">
        <v>814.4</v>
      </c>
      <c r="F403" t="s">
        <v>75</v>
      </c>
      <c r="G403" t="s">
        <v>754</v>
      </c>
      <c r="H403" t="s">
        <v>76</v>
      </c>
      <c r="I403">
        <v>53.7</v>
      </c>
      <c r="J403" t="s">
        <v>77</v>
      </c>
      <c r="K403">
        <v>2020</v>
      </c>
      <c r="L403" t="s">
        <v>486</v>
      </c>
      <c r="O403" t="s">
        <v>495</v>
      </c>
      <c r="Q40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52.101517709834596</v>
      </c>
      <c r="R40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03" s="107" t="str">
        <f>IFERROR(_xlfn.XLOOKUP("*"&amp;TRIM(Fusion[[#This Row],[Confinement Type]])&amp;"*", Map_Conf[From], Map_Conf[To], "", 2), "")</f>
        <v>MCF</v>
      </c>
      <c r="W403" s="108" t="str" cm="1">
        <f t="array" ref="W4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4" spans="1:23" hidden="1">
      <c r="Q40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0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04" s="107" t="str">
        <f>IFERROR(_xlfn.XLOOKUP("*"&amp;TRIM(Fusion[[#This Row],[Confinement Type]])&amp;"*", Map_Conf[From], Map_Conf[To], "", 2), "")</f>
        <v>MCF</v>
      </c>
      <c r="W404" s="108" t="str" cm="1">
        <f t="array" ref="W4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5" spans="1:23" hidden="1">
      <c r="A405">
        <v>533</v>
      </c>
      <c r="B405" t="s">
        <v>488</v>
      </c>
      <c r="C405" t="s">
        <v>470</v>
      </c>
      <c r="D405" t="s">
        <v>471</v>
      </c>
      <c r="E405">
        <v>383.1</v>
      </c>
      <c r="F405" t="s">
        <v>75</v>
      </c>
      <c r="G405" t="s">
        <v>754</v>
      </c>
      <c r="H405" t="s">
        <v>76</v>
      </c>
      <c r="I405">
        <v>33.799999999999997</v>
      </c>
      <c r="J405" t="s">
        <v>77</v>
      </c>
      <c r="K405">
        <v>2020</v>
      </c>
      <c r="L405" t="s">
        <v>486</v>
      </c>
      <c r="O405" t="s">
        <v>495</v>
      </c>
      <c r="P405" t="s">
        <v>324</v>
      </c>
      <c r="Q40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32.793878930957341</v>
      </c>
      <c r="R40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05" s="107" t="str">
        <f>IFERROR(_xlfn.XLOOKUP("*"&amp;TRIM(Fusion[[#This Row],[Confinement Type]])&amp;"*", Map_Conf[From], Map_Conf[To], "", 2), "")</f>
        <v>MCF</v>
      </c>
      <c r="W405" s="108" t="str" cm="1">
        <f t="array" ref="W4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6" spans="1:23" hidden="1">
      <c r="A406">
        <v>212</v>
      </c>
      <c r="B406" t="s">
        <v>79</v>
      </c>
      <c r="C406" t="s">
        <v>61</v>
      </c>
      <c r="D406" t="s">
        <v>62</v>
      </c>
      <c r="F406" t="s">
        <v>493</v>
      </c>
      <c r="G406" t="s">
        <v>32</v>
      </c>
      <c r="H406" t="s">
        <v>33</v>
      </c>
      <c r="I406">
        <v>335000000</v>
      </c>
      <c r="J406" t="s">
        <v>34</v>
      </c>
      <c r="K406">
        <v>1989</v>
      </c>
      <c r="L406" t="s">
        <v>80</v>
      </c>
      <c r="Q40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0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06" s="107" t="str">
        <f>IFERROR(_xlfn.XLOOKUP("*"&amp;TRIM(Fusion[[#This Row],[Confinement Type]])&amp;"*", Map_Conf[From], Map_Conf[To], "", 2), "")</f>
        <v>MCF</v>
      </c>
      <c r="W406" s="108" t="str" cm="1">
        <f t="array" ref="W4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07" spans="1:23" hidden="1">
      <c r="A407">
        <v>181</v>
      </c>
      <c r="B407" t="s">
        <v>222</v>
      </c>
      <c r="C407" t="s">
        <v>61</v>
      </c>
      <c r="D407" t="s">
        <v>62</v>
      </c>
      <c r="E407">
        <v>953</v>
      </c>
      <c r="F407" t="s">
        <v>63</v>
      </c>
      <c r="G407" t="s">
        <v>32</v>
      </c>
      <c r="H407" t="s">
        <v>76</v>
      </c>
      <c r="I407">
        <v>0.44</v>
      </c>
      <c r="J407" t="s">
        <v>77</v>
      </c>
      <c r="K407">
        <v>2015</v>
      </c>
      <c r="L407" t="s">
        <v>223</v>
      </c>
      <c r="Q40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0.46615677356476543</v>
      </c>
      <c r="R40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07" s="107" t="str">
        <f>IFERROR(_xlfn.XLOOKUP("*"&amp;TRIM(Fusion[[#This Row],[Confinement Type]])&amp;"*", Map_Conf[From], Map_Conf[To], "", 2), "")</f>
        <v>MCF</v>
      </c>
      <c r="W407" s="108" t="str" cm="1">
        <f t="array" ref="W4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8" spans="1:23" hidden="1">
      <c r="A408">
        <v>125</v>
      </c>
      <c r="B408" t="s">
        <v>182</v>
      </c>
      <c r="C408" t="s">
        <v>61</v>
      </c>
      <c r="D408" t="s">
        <v>62</v>
      </c>
      <c r="E408">
        <v>1200</v>
      </c>
      <c r="F408" t="s">
        <v>63</v>
      </c>
      <c r="G408" t="s">
        <v>52</v>
      </c>
      <c r="H408" t="s">
        <v>76</v>
      </c>
      <c r="I408">
        <v>0.30821917808219179</v>
      </c>
      <c r="J408" t="s">
        <v>128</v>
      </c>
      <c r="K408">
        <v>1986</v>
      </c>
      <c r="L408" t="s">
        <v>147</v>
      </c>
      <c r="O408" t="s">
        <v>159</v>
      </c>
      <c r="Q40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0.70616782071792827</v>
      </c>
      <c r="R40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08" s="107" t="str">
        <f>IFERROR(_xlfn.XLOOKUP("*"&amp;TRIM(Fusion[[#This Row],[Confinement Type]])&amp;"*", Map_Conf[From], Map_Conf[To], "", 2), "")</f>
        <v>MCF</v>
      </c>
      <c r="W408" s="108" t="str" cm="1">
        <f t="array" ref="W4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09" spans="1:23" hidden="1">
      <c r="A409">
        <v>213</v>
      </c>
      <c r="B409" t="s">
        <v>79</v>
      </c>
      <c r="C409" t="s">
        <v>61</v>
      </c>
      <c r="D409" t="s">
        <v>62</v>
      </c>
      <c r="F409" t="s">
        <v>31</v>
      </c>
      <c r="G409" t="s">
        <v>32</v>
      </c>
      <c r="H409" t="s">
        <v>33</v>
      </c>
      <c r="I409">
        <v>3301700000</v>
      </c>
      <c r="J409" t="s">
        <v>34</v>
      </c>
      <c r="K409">
        <v>1989</v>
      </c>
      <c r="L409" t="s">
        <v>80</v>
      </c>
      <c r="O409" t="s">
        <v>258</v>
      </c>
      <c r="Q40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0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09" s="107" t="str">
        <f>IFERROR(_xlfn.XLOOKUP("*"&amp;TRIM(Fusion[[#This Row],[Confinement Type]])&amp;"*", Map_Conf[From], Map_Conf[To], "", 2), "")</f>
        <v>MCF</v>
      </c>
      <c r="W409" s="108" t="str" cm="1">
        <f t="array" ref="W4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10" spans="1:23" hidden="1">
      <c r="A410">
        <v>216</v>
      </c>
      <c r="B410" t="s">
        <v>261</v>
      </c>
      <c r="C410" t="s">
        <v>61</v>
      </c>
      <c r="D410" t="s">
        <v>62</v>
      </c>
      <c r="E410">
        <v>1600</v>
      </c>
      <c r="F410" t="s">
        <v>690</v>
      </c>
      <c r="G410" t="s">
        <v>57</v>
      </c>
      <c r="H410" t="s">
        <v>76</v>
      </c>
      <c r="I410">
        <v>0.5</v>
      </c>
      <c r="J410" t="s">
        <v>77</v>
      </c>
      <c r="K410">
        <v>2010</v>
      </c>
      <c r="L410" t="s">
        <v>262</v>
      </c>
      <c r="Q41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0.5757855780166562</v>
      </c>
      <c r="R41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10" s="107" t="str">
        <f>IFERROR(_xlfn.XLOOKUP("*"&amp;TRIM(Fusion[[#This Row],[Confinement Type]])&amp;"*", Map_Conf[From], Map_Conf[To], "", 2), "")</f>
        <v>MCF</v>
      </c>
      <c r="W410" s="108" t="str" cm="1">
        <f t="array" ref="W4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1" spans="1:23" hidden="1">
      <c r="A411">
        <v>217</v>
      </c>
      <c r="B411" t="s">
        <v>261</v>
      </c>
      <c r="C411" t="s">
        <v>61</v>
      </c>
      <c r="D411" t="s">
        <v>62</v>
      </c>
      <c r="E411">
        <v>1420</v>
      </c>
      <c r="F411" t="s">
        <v>690</v>
      </c>
      <c r="G411" t="s">
        <v>57</v>
      </c>
      <c r="H411" t="s">
        <v>76</v>
      </c>
      <c r="I411">
        <v>0.5</v>
      </c>
      <c r="J411" t="s">
        <v>77</v>
      </c>
      <c r="K411">
        <v>2010</v>
      </c>
      <c r="L411" t="s">
        <v>262</v>
      </c>
      <c r="Q41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0.5757855780166562</v>
      </c>
      <c r="R41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11" s="107" t="str">
        <f>IFERROR(_xlfn.XLOOKUP("*"&amp;TRIM(Fusion[[#This Row],[Confinement Type]])&amp;"*", Map_Conf[From], Map_Conf[To], "", 2), "")</f>
        <v>MCF</v>
      </c>
      <c r="W411" s="108" t="str" cm="1">
        <f t="array" ref="W4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12" spans="1:23" hidden="1">
      <c r="A412">
        <v>218</v>
      </c>
      <c r="B412" t="s">
        <v>261</v>
      </c>
      <c r="C412" t="s">
        <v>61</v>
      </c>
      <c r="D412" t="s">
        <v>62</v>
      </c>
      <c r="E412">
        <v>1000</v>
      </c>
      <c r="F412" t="s">
        <v>690</v>
      </c>
      <c r="G412" t="s">
        <v>57</v>
      </c>
      <c r="H412" t="s">
        <v>76</v>
      </c>
      <c r="I412">
        <v>0.5</v>
      </c>
      <c r="J412" t="s">
        <v>77</v>
      </c>
      <c r="K412">
        <v>2010</v>
      </c>
      <c r="L412" t="s">
        <v>262</v>
      </c>
      <c r="Q41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0.5757855780166562</v>
      </c>
      <c r="R41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12" s="107" t="str">
        <f>IFERROR(_xlfn.XLOOKUP("*"&amp;TRIM(Fusion[[#This Row],[Confinement Type]])&amp;"*", Map_Conf[From], Map_Conf[To], "", 2), "")</f>
        <v>MCF</v>
      </c>
      <c r="W412" s="108" t="str" cm="1">
        <f t="array" ref="W4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3" spans="1:23" hidden="1">
      <c r="A413">
        <v>219</v>
      </c>
      <c r="B413" t="s">
        <v>261</v>
      </c>
      <c r="C413" t="s">
        <v>61</v>
      </c>
      <c r="D413" t="s">
        <v>62</v>
      </c>
      <c r="E413">
        <v>1420</v>
      </c>
      <c r="F413" t="s">
        <v>493</v>
      </c>
      <c r="G413" t="s">
        <v>57</v>
      </c>
      <c r="H413" t="s">
        <v>76</v>
      </c>
      <c r="I413">
        <v>1</v>
      </c>
      <c r="J413" t="s">
        <v>77</v>
      </c>
      <c r="K413">
        <v>2010</v>
      </c>
      <c r="L413" t="s">
        <v>262</v>
      </c>
      <c r="P413" t="s">
        <v>199</v>
      </c>
      <c r="Q41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1.1515711560333124</v>
      </c>
      <c r="R41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13" s="107" t="str">
        <f>IFERROR(_xlfn.XLOOKUP("*"&amp;TRIM(Fusion[[#This Row],[Confinement Type]])&amp;"*", Map_Conf[From], Map_Conf[To], "", 2), "")</f>
        <v>MCF</v>
      </c>
      <c r="W413" s="108" t="str" cm="1">
        <f t="array" ref="W4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4" spans="1:23" hidden="1">
      <c r="A414">
        <v>220</v>
      </c>
      <c r="B414" t="s">
        <v>261</v>
      </c>
      <c r="C414" t="s">
        <v>61</v>
      </c>
      <c r="D414" t="s">
        <v>62</v>
      </c>
      <c r="E414">
        <v>1600</v>
      </c>
      <c r="F414" t="s">
        <v>493</v>
      </c>
      <c r="G414" t="s">
        <v>57</v>
      </c>
      <c r="H414" t="s">
        <v>76</v>
      </c>
      <c r="I414">
        <v>1</v>
      </c>
      <c r="J414" t="s">
        <v>77</v>
      </c>
      <c r="K414">
        <v>2010</v>
      </c>
      <c r="L414" t="s">
        <v>262</v>
      </c>
      <c r="Q41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1.1515711560333124</v>
      </c>
      <c r="R41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14" s="107" t="str">
        <f>IFERROR(_xlfn.XLOOKUP("*"&amp;TRIM(Fusion[[#This Row],[Confinement Type]])&amp;"*", Map_Conf[From], Map_Conf[To], "", 2), "")</f>
        <v>MCF</v>
      </c>
      <c r="W414" s="108" t="str" cm="1">
        <f t="array" ref="W4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5" spans="1:23" hidden="1">
      <c r="A415">
        <v>221</v>
      </c>
      <c r="B415" t="s">
        <v>264</v>
      </c>
      <c r="C415" t="s">
        <v>61</v>
      </c>
      <c r="D415" t="s">
        <v>62</v>
      </c>
      <c r="E415">
        <v>1000</v>
      </c>
      <c r="F415" t="s">
        <v>493</v>
      </c>
      <c r="G415" t="s">
        <v>57</v>
      </c>
      <c r="H415" t="s">
        <v>76</v>
      </c>
      <c r="I415">
        <v>1</v>
      </c>
      <c r="J415" t="s">
        <v>77</v>
      </c>
      <c r="K415">
        <v>2010</v>
      </c>
      <c r="L415" t="s">
        <v>262</v>
      </c>
      <c r="P415" t="s">
        <v>148</v>
      </c>
      <c r="Q41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1.1515711560333124</v>
      </c>
      <c r="R41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15" s="107" t="str">
        <f>IFERROR(_xlfn.XLOOKUP("*"&amp;TRIM(Fusion[[#This Row],[Confinement Type]])&amp;"*", Map_Conf[From], Map_Conf[To], "", 2), "")</f>
        <v>MCF</v>
      </c>
      <c r="W415" s="108" t="str" cm="1">
        <f t="array" ref="W4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6" spans="1:23" hidden="1">
      <c r="A416">
        <v>222</v>
      </c>
      <c r="B416" t="s">
        <v>265</v>
      </c>
      <c r="C416" t="s">
        <v>61</v>
      </c>
      <c r="D416" t="s">
        <v>62</v>
      </c>
      <c r="E416">
        <v>1600</v>
      </c>
      <c r="F416" t="s">
        <v>493</v>
      </c>
      <c r="G416" t="s">
        <v>57</v>
      </c>
      <c r="H416" t="s">
        <v>76</v>
      </c>
      <c r="I416">
        <v>1</v>
      </c>
      <c r="J416" t="s">
        <v>77</v>
      </c>
      <c r="K416">
        <v>2010</v>
      </c>
      <c r="L416" t="s">
        <v>262</v>
      </c>
      <c r="P416" t="s">
        <v>148</v>
      </c>
      <c r="Q41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1.1515711560333124</v>
      </c>
      <c r="R41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16" s="107" t="str">
        <f>IFERROR(_xlfn.XLOOKUP("*"&amp;TRIM(Fusion[[#This Row],[Confinement Type]])&amp;"*", Map_Conf[From], Map_Conf[To], "", 2), "")</f>
        <v>MCF</v>
      </c>
      <c r="W416" s="108" t="str" cm="1">
        <f t="array" ref="W4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7" spans="1:23" hidden="1">
      <c r="A417">
        <v>223</v>
      </c>
      <c r="B417" t="s">
        <v>686</v>
      </c>
      <c r="C417" t="s">
        <v>61</v>
      </c>
      <c r="D417" t="s">
        <v>62</v>
      </c>
      <c r="E417">
        <v>1000</v>
      </c>
      <c r="F417" t="s">
        <v>493</v>
      </c>
      <c r="G417" t="s">
        <v>57</v>
      </c>
      <c r="H417" t="s">
        <v>76</v>
      </c>
      <c r="I417">
        <v>1</v>
      </c>
      <c r="J417" t="s">
        <v>77</v>
      </c>
      <c r="K417">
        <v>2010</v>
      </c>
      <c r="L417" t="s">
        <v>262</v>
      </c>
      <c r="P417" t="s">
        <v>504</v>
      </c>
      <c r="Q41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1.1515711560333124</v>
      </c>
      <c r="R41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17" s="107" t="str">
        <f>IFERROR(_xlfn.XLOOKUP("*"&amp;TRIM(Fusion[[#This Row],[Confinement Type]])&amp;"*", Map_Conf[From], Map_Conf[To], "", 2), "")</f>
        <v>MCF</v>
      </c>
      <c r="W417" s="108" t="str" cm="1">
        <f t="array" ref="W4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8" spans="1:23" hidden="1">
      <c r="A418">
        <v>224</v>
      </c>
      <c r="B418" t="s">
        <v>687</v>
      </c>
      <c r="C418" t="s">
        <v>61</v>
      </c>
      <c r="D418" t="s">
        <v>62</v>
      </c>
      <c r="E418">
        <v>1420</v>
      </c>
      <c r="F418" t="s">
        <v>493</v>
      </c>
      <c r="G418" t="s">
        <v>57</v>
      </c>
      <c r="H418" t="s">
        <v>76</v>
      </c>
      <c r="I418">
        <v>1</v>
      </c>
      <c r="J418" t="s">
        <v>77</v>
      </c>
      <c r="K418">
        <v>2010</v>
      </c>
      <c r="L418" t="s">
        <v>262</v>
      </c>
      <c r="Q41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1.1515711560333124</v>
      </c>
      <c r="R41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18" s="107" t="str">
        <f>IFERROR(_xlfn.XLOOKUP("*"&amp;TRIM(Fusion[[#This Row],[Confinement Type]])&amp;"*", Map_Conf[From], Map_Conf[To], "", 2), "")</f>
        <v>MCF</v>
      </c>
      <c r="W418" s="108" t="str" cm="1">
        <f t="array" ref="W4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19" spans="1:23" hidden="1">
      <c r="A419">
        <v>228</v>
      </c>
      <c r="B419" t="s">
        <v>264</v>
      </c>
      <c r="C419" t="s">
        <v>61</v>
      </c>
      <c r="D419" t="s">
        <v>62</v>
      </c>
      <c r="E419">
        <v>1000</v>
      </c>
      <c r="F419" t="s">
        <v>230</v>
      </c>
      <c r="G419" t="s">
        <v>57</v>
      </c>
      <c r="H419" t="s">
        <v>33</v>
      </c>
      <c r="I419">
        <v>2015625000</v>
      </c>
      <c r="J419" t="s">
        <v>34</v>
      </c>
      <c r="K419">
        <v>2010</v>
      </c>
      <c r="L419" t="s">
        <v>262</v>
      </c>
      <c r="Q41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1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19" s="107" t="str">
        <f>IFERROR(_xlfn.XLOOKUP("*"&amp;TRIM(Fusion[[#This Row],[Confinement Type]])&amp;"*", Map_Conf[From], Map_Conf[To], "", 2), "")</f>
        <v>MCF</v>
      </c>
      <c r="W419" s="108" t="str" cm="1">
        <f t="array" ref="W4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0" spans="1:23" hidden="1">
      <c r="A420">
        <v>229</v>
      </c>
      <c r="B420" t="s">
        <v>265</v>
      </c>
      <c r="C420" t="s">
        <v>61</v>
      </c>
      <c r="D420" t="s">
        <v>62</v>
      </c>
      <c r="E420">
        <v>1600</v>
      </c>
      <c r="F420" t="s">
        <v>230</v>
      </c>
      <c r="G420" t="s">
        <v>57</v>
      </c>
      <c r="H420" t="s">
        <v>33</v>
      </c>
      <c r="I420">
        <v>2418750000</v>
      </c>
      <c r="J420" t="s">
        <v>34</v>
      </c>
      <c r="K420">
        <v>2010</v>
      </c>
      <c r="L420" t="s">
        <v>262</v>
      </c>
      <c r="Q42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2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20" s="107" t="str">
        <f>IFERROR(_xlfn.XLOOKUP("*"&amp;TRIM(Fusion[[#This Row],[Confinement Type]])&amp;"*", Map_Conf[From], Map_Conf[To], "", 2), "")</f>
        <v>MCF</v>
      </c>
      <c r="W420" s="108" t="str" cm="1">
        <f t="array" ref="W4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1" spans="1:23" hidden="1">
      <c r="A421">
        <v>230</v>
      </c>
      <c r="B421" t="s">
        <v>688</v>
      </c>
      <c r="C421" t="s">
        <v>61</v>
      </c>
      <c r="D421" t="s">
        <v>62</v>
      </c>
      <c r="E421">
        <v>1200</v>
      </c>
      <c r="F421" t="s">
        <v>230</v>
      </c>
      <c r="G421" t="s">
        <v>57</v>
      </c>
      <c r="H421" t="s">
        <v>33</v>
      </c>
      <c r="I421">
        <v>1612500000</v>
      </c>
      <c r="J421" t="s">
        <v>34</v>
      </c>
      <c r="K421">
        <v>2010</v>
      </c>
      <c r="L421" t="s">
        <v>262</v>
      </c>
      <c r="P421" t="s">
        <v>148</v>
      </c>
      <c r="Q42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2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21" s="107" t="str">
        <f>IFERROR(_xlfn.XLOOKUP("*"&amp;TRIM(Fusion[[#This Row],[Confinement Type]])&amp;"*", Map_Conf[From], Map_Conf[To], "", 2), "")</f>
        <v>MCF</v>
      </c>
      <c r="W421" s="108" t="str" cm="1">
        <f t="array" ref="W4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2" spans="1:23" hidden="1">
      <c r="A422">
        <v>231</v>
      </c>
      <c r="B422" t="s">
        <v>687</v>
      </c>
      <c r="C422" t="s">
        <v>61</v>
      </c>
      <c r="D422" t="s">
        <v>62</v>
      </c>
      <c r="E422">
        <v>1420</v>
      </c>
      <c r="F422" t="s">
        <v>230</v>
      </c>
      <c r="G422" t="s">
        <v>57</v>
      </c>
      <c r="H422" t="s">
        <v>33</v>
      </c>
      <c r="I422">
        <v>2015625000</v>
      </c>
      <c r="J422" t="s">
        <v>34</v>
      </c>
      <c r="K422">
        <v>2010</v>
      </c>
      <c r="L422" t="s">
        <v>262</v>
      </c>
      <c r="Q42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2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22" s="107" t="str">
        <f>IFERROR(_xlfn.XLOOKUP("*"&amp;TRIM(Fusion[[#This Row],[Confinement Type]])&amp;"*", Map_Conf[From], Map_Conf[To], "", 2), "")</f>
        <v>ICF</v>
      </c>
      <c r="W422" s="108" t="str" cm="1">
        <f t="array" ref="W4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23" spans="1:23" hidden="1">
      <c r="A423">
        <v>236</v>
      </c>
      <c r="B423" t="s">
        <v>264</v>
      </c>
      <c r="C423" t="s">
        <v>61</v>
      </c>
      <c r="D423" t="s">
        <v>62</v>
      </c>
      <c r="E423">
        <v>1000</v>
      </c>
      <c r="F423" t="s">
        <v>266</v>
      </c>
      <c r="G423" t="s">
        <v>57</v>
      </c>
      <c r="H423" t="s">
        <v>33</v>
      </c>
      <c r="I423">
        <v>4347826086.956522</v>
      </c>
      <c r="J423" t="s">
        <v>34</v>
      </c>
      <c r="K423">
        <v>2010</v>
      </c>
      <c r="L423" t="s">
        <v>262</v>
      </c>
      <c r="O423" t="s">
        <v>267</v>
      </c>
      <c r="P423" t="s">
        <v>672</v>
      </c>
      <c r="Q42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2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23" s="107" t="str">
        <f>IFERROR(_xlfn.XLOOKUP("*"&amp;TRIM(Fusion[[#This Row],[Confinement Type]])&amp;"*", Map_Conf[From], Map_Conf[To], "", 2), "")</f>
        <v>MCF</v>
      </c>
      <c r="W423" s="108" t="str" cm="1">
        <f t="array" ref="W4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4" spans="1:23" hidden="1">
      <c r="A424">
        <v>237</v>
      </c>
      <c r="B424" t="s">
        <v>265</v>
      </c>
      <c r="C424" t="s">
        <v>61</v>
      </c>
      <c r="D424" t="s">
        <v>62</v>
      </c>
      <c r="E424">
        <v>1600</v>
      </c>
      <c r="F424" t="s">
        <v>266</v>
      </c>
      <c r="G424" t="s">
        <v>57</v>
      </c>
      <c r="H424" t="s">
        <v>33</v>
      </c>
      <c r="I424">
        <v>5217391304.347827</v>
      </c>
      <c r="J424" t="s">
        <v>34</v>
      </c>
      <c r="K424">
        <v>2010</v>
      </c>
      <c r="L424" t="s">
        <v>262</v>
      </c>
      <c r="O424" t="s">
        <v>267</v>
      </c>
      <c r="Q42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2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24" s="107" t="str">
        <f>IFERROR(_xlfn.XLOOKUP("*"&amp;TRIM(Fusion[[#This Row],[Confinement Type]])&amp;"*", Map_Conf[From], Map_Conf[To], "", 2), "")</f>
        <v>MCF</v>
      </c>
      <c r="W424" s="108" t="str" cm="1">
        <f t="array" ref="W4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5" spans="1:23" hidden="1">
      <c r="A425">
        <v>238</v>
      </c>
      <c r="B425" t="s">
        <v>686</v>
      </c>
      <c r="C425" t="s">
        <v>61</v>
      </c>
      <c r="D425" t="s">
        <v>62</v>
      </c>
      <c r="E425">
        <v>1000</v>
      </c>
      <c r="F425" t="s">
        <v>266</v>
      </c>
      <c r="G425" t="s">
        <v>57</v>
      </c>
      <c r="H425" t="s">
        <v>33</v>
      </c>
      <c r="I425">
        <v>3478260869.5652175</v>
      </c>
      <c r="J425" t="s">
        <v>34</v>
      </c>
      <c r="K425">
        <v>2010</v>
      </c>
      <c r="L425" t="s">
        <v>262</v>
      </c>
      <c r="O425" t="s">
        <v>267</v>
      </c>
      <c r="P425" t="s">
        <v>328</v>
      </c>
      <c r="Q42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2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25" s="107" t="str">
        <f>IFERROR(_xlfn.XLOOKUP("*"&amp;TRIM(Fusion[[#This Row],[Confinement Type]])&amp;"*", Map_Conf[From], Map_Conf[To], "", 2), "")</f>
        <v>MCF</v>
      </c>
      <c r="W425" s="108" t="str" cm="1">
        <f t="array" ref="W4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6" spans="1:23" hidden="1">
      <c r="A426">
        <v>239</v>
      </c>
      <c r="B426" t="s">
        <v>687</v>
      </c>
      <c r="C426" t="s">
        <v>61</v>
      </c>
      <c r="D426" t="s">
        <v>62</v>
      </c>
      <c r="E426">
        <v>1420</v>
      </c>
      <c r="F426" t="s">
        <v>266</v>
      </c>
      <c r="G426" t="s">
        <v>57</v>
      </c>
      <c r="H426" t="s">
        <v>33</v>
      </c>
      <c r="I426">
        <v>4347826086.956522</v>
      </c>
      <c r="J426" t="s">
        <v>34</v>
      </c>
      <c r="K426">
        <v>2010</v>
      </c>
      <c r="L426" t="s">
        <v>262</v>
      </c>
      <c r="O426" t="s">
        <v>267</v>
      </c>
      <c r="Q42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2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26" s="107" t="str">
        <f>IFERROR(_xlfn.XLOOKUP("*"&amp;TRIM(Fusion[[#This Row],[Confinement Type]])&amp;"*", Map_Conf[From], Map_Conf[To], "", 2), "")</f>
        <v>MCF</v>
      </c>
      <c r="W426" s="108" t="str" cm="1">
        <f t="array" ref="W4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7" spans="1:23" hidden="1">
      <c r="A427">
        <v>240</v>
      </c>
      <c r="B427" t="s">
        <v>264</v>
      </c>
      <c r="C427" t="s">
        <v>61</v>
      </c>
      <c r="D427" t="s">
        <v>62</v>
      </c>
      <c r="E427">
        <v>1000</v>
      </c>
      <c r="F427" t="s">
        <v>75</v>
      </c>
      <c r="G427" t="s">
        <v>57</v>
      </c>
      <c r="H427" t="s">
        <v>76</v>
      </c>
      <c r="I427">
        <v>109</v>
      </c>
      <c r="J427" t="s">
        <v>77</v>
      </c>
      <c r="K427">
        <v>2010</v>
      </c>
      <c r="L427" t="s">
        <v>262</v>
      </c>
      <c r="O427" t="s">
        <v>268</v>
      </c>
      <c r="Q42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125.52125600763105</v>
      </c>
      <c r="R42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27" s="107" t="str">
        <f>IFERROR(_xlfn.XLOOKUP("*"&amp;TRIM(Fusion[[#This Row],[Confinement Type]])&amp;"*", Map_Conf[From], Map_Conf[To], "", 2), "")</f>
        <v>MCF</v>
      </c>
      <c r="W427" s="108" t="str" cm="1">
        <f t="array" ref="W4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28" spans="1:23" hidden="1">
      <c r="A428">
        <v>241</v>
      </c>
      <c r="B428" t="s">
        <v>265</v>
      </c>
      <c r="C428" t="s">
        <v>61</v>
      </c>
      <c r="D428" t="s">
        <v>62</v>
      </c>
      <c r="E428">
        <v>1600</v>
      </c>
      <c r="F428" t="s">
        <v>75</v>
      </c>
      <c r="G428" t="s">
        <v>57</v>
      </c>
      <c r="H428" t="s">
        <v>76</v>
      </c>
      <c r="I428">
        <v>140</v>
      </c>
      <c r="J428" t="s">
        <v>77</v>
      </c>
      <c r="K428">
        <v>2010</v>
      </c>
      <c r="L428" t="s">
        <v>262</v>
      </c>
      <c r="O428" t="s">
        <v>268</v>
      </c>
      <c r="P428" t="s">
        <v>461</v>
      </c>
      <c r="Q42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161.21996184466374</v>
      </c>
      <c r="R42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28" s="107" t="str">
        <f>IFERROR(_xlfn.XLOOKUP("*"&amp;TRIM(Fusion[[#This Row],[Confinement Type]])&amp;"*", Map_Conf[From], Map_Conf[To], "", 2), "")</f>
        <v>ICF</v>
      </c>
      <c r="W428" s="108" t="str" cm="1">
        <f t="array" ref="W4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29" spans="1:23" hidden="1">
      <c r="A429">
        <v>242</v>
      </c>
      <c r="B429" t="s">
        <v>686</v>
      </c>
      <c r="C429" t="s">
        <v>61</v>
      </c>
      <c r="D429" t="s">
        <v>62</v>
      </c>
      <c r="E429">
        <v>1000</v>
      </c>
      <c r="F429" t="s">
        <v>75</v>
      </c>
      <c r="G429" t="s">
        <v>57</v>
      </c>
      <c r="H429" t="s">
        <v>76</v>
      </c>
      <c r="I429">
        <v>98</v>
      </c>
      <c r="J429" t="s">
        <v>77</v>
      </c>
      <c r="K429">
        <v>2010</v>
      </c>
      <c r="L429" t="s">
        <v>262</v>
      </c>
      <c r="O429" t="s">
        <v>268</v>
      </c>
      <c r="Q42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112.85397329126461</v>
      </c>
      <c r="R42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29" s="107" t="str">
        <f>IFERROR(_xlfn.XLOOKUP("*"&amp;TRIM(Fusion[[#This Row],[Confinement Type]])&amp;"*", Map_Conf[From], Map_Conf[To], "", 2), "")</f>
        <v>ICF</v>
      </c>
      <c r="W429" s="108" t="str" cm="1">
        <f t="array" ref="W4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30" spans="1:23" hidden="1">
      <c r="A430">
        <v>243</v>
      </c>
      <c r="B430" t="s">
        <v>687</v>
      </c>
      <c r="C430" t="s">
        <v>61</v>
      </c>
      <c r="D430" t="s">
        <v>62</v>
      </c>
      <c r="E430">
        <v>1420</v>
      </c>
      <c r="F430" t="s">
        <v>75</v>
      </c>
      <c r="G430" t="s">
        <v>57</v>
      </c>
      <c r="H430" t="s">
        <v>76</v>
      </c>
      <c r="I430">
        <v>130</v>
      </c>
      <c r="J430" t="s">
        <v>77</v>
      </c>
      <c r="K430">
        <v>2010</v>
      </c>
      <c r="L430" t="s">
        <v>262</v>
      </c>
      <c r="O430" t="s">
        <v>268</v>
      </c>
      <c r="Q43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149.70425028433061</v>
      </c>
      <c r="R43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30" s="107" t="str">
        <f>IFERROR(_xlfn.XLOOKUP("*"&amp;TRIM(Fusion[[#This Row],[Confinement Type]])&amp;"*", Map_Conf[From], Map_Conf[To], "", 2), "")</f>
        <v>MCF</v>
      </c>
      <c r="W430" s="108" t="str" cm="1">
        <f t="array" ref="W4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31" spans="1:23" hidden="1">
      <c r="A431">
        <v>244</v>
      </c>
      <c r="B431" t="s">
        <v>269</v>
      </c>
      <c r="C431" t="s">
        <v>61</v>
      </c>
      <c r="D431" t="s">
        <v>62</v>
      </c>
      <c r="E431">
        <v>1013.2</v>
      </c>
      <c r="F431" t="s">
        <v>108</v>
      </c>
      <c r="G431" t="s">
        <v>52</v>
      </c>
      <c r="H431" t="s">
        <v>76</v>
      </c>
      <c r="I431">
        <v>64.3</v>
      </c>
      <c r="J431" t="s">
        <v>77</v>
      </c>
      <c r="K431">
        <v>2015</v>
      </c>
      <c r="L431" t="s">
        <v>289</v>
      </c>
      <c r="O431" t="s">
        <v>270</v>
      </c>
      <c r="Q43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68.122455773214583</v>
      </c>
      <c r="R43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31" s="107" t="str">
        <f>IFERROR(_xlfn.XLOOKUP("*"&amp;TRIM(Fusion[[#This Row],[Confinement Type]])&amp;"*", Map_Conf[From], Map_Conf[To], "", 2), "")</f>
        <v>MCF</v>
      </c>
      <c r="W431" s="108" t="str" cm="1">
        <f t="array" ref="W4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432" spans="1:23" hidden="1">
      <c r="A432">
        <v>245</v>
      </c>
      <c r="B432" t="s">
        <v>271</v>
      </c>
      <c r="C432" t="s">
        <v>61</v>
      </c>
      <c r="D432" t="s">
        <v>62</v>
      </c>
      <c r="E432">
        <v>999.7</v>
      </c>
      <c r="F432" t="s">
        <v>108</v>
      </c>
      <c r="G432" t="s">
        <v>52</v>
      </c>
      <c r="H432" t="s">
        <v>76</v>
      </c>
      <c r="I432">
        <v>86.2</v>
      </c>
      <c r="J432" t="s">
        <v>77</v>
      </c>
      <c r="K432">
        <v>2015</v>
      </c>
      <c r="L432" t="s">
        <v>289</v>
      </c>
      <c r="O432" t="s">
        <v>272</v>
      </c>
      <c r="Q43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91.324349730188132</v>
      </c>
      <c r="R43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32" s="107" t="str">
        <f>IFERROR(_xlfn.XLOOKUP("*"&amp;TRIM(Fusion[[#This Row],[Confinement Type]])&amp;"*", Map_Conf[From], Map_Conf[To], "", 2), "")</f>
        <v>MCF</v>
      </c>
      <c r="W432" s="108" t="str" cm="1">
        <f t="array" ref="W4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33" spans="1:23" hidden="1">
      <c r="A433">
        <v>246</v>
      </c>
      <c r="B433" t="s">
        <v>273</v>
      </c>
      <c r="C433" t="s">
        <v>61</v>
      </c>
      <c r="D433" t="s">
        <v>62</v>
      </c>
      <c r="E433">
        <v>1010</v>
      </c>
      <c r="F433" t="s">
        <v>108</v>
      </c>
      <c r="G433" t="s">
        <v>52</v>
      </c>
      <c r="H433" t="s">
        <v>76</v>
      </c>
      <c r="I433">
        <v>73.2</v>
      </c>
      <c r="J433" t="s">
        <v>77</v>
      </c>
      <c r="K433">
        <v>2015</v>
      </c>
      <c r="L433" t="s">
        <v>289</v>
      </c>
      <c r="O433" t="s">
        <v>274</v>
      </c>
      <c r="Q43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77.551535965774605</v>
      </c>
      <c r="R43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33" s="107" t="str">
        <f>IFERROR(_xlfn.XLOOKUP("*"&amp;TRIM(Fusion[[#This Row],[Confinement Type]])&amp;"*", Map_Conf[From], Map_Conf[To], "", 2), "")</f>
        <v>MCF</v>
      </c>
      <c r="W433" s="108" t="str" cm="1">
        <f t="array" ref="W4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34" spans="1:23" hidden="1">
      <c r="A434">
        <v>247</v>
      </c>
      <c r="B434" t="s">
        <v>275</v>
      </c>
      <c r="C434" t="s">
        <v>61</v>
      </c>
      <c r="D434" t="s">
        <v>62</v>
      </c>
      <c r="E434">
        <v>999.2</v>
      </c>
      <c r="F434" t="s">
        <v>108</v>
      </c>
      <c r="G434" t="s">
        <v>52</v>
      </c>
      <c r="H434" t="s">
        <v>76</v>
      </c>
      <c r="I434">
        <v>80.5</v>
      </c>
      <c r="J434" t="s">
        <v>77</v>
      </c>
      <c r="K434">
        <v>2015</v>
      </c>
      <c r="L434" t="s">
        <v>289</v>
      </c>
      <c r="O434" t="s">
        <v>276</v>
      </c>
      <c r="P434" t="s">
        <v>338</v>
      </c>
      <c r="Q43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85.285500618099121</v>
      </c>
      <c r="R43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34" s="107" t="str">
        <f>IFERROR(_xlfn.XLOOKUP("*"&amp;TRIM(Fusion[[#This Row],[Confinement Type]])&amp;"*", Map_Conf[From], Map_Conf[To], "", 2), "")</f>
        <v>MCF</v>
      </c>
      <c r="W434" s="108" t="str" cm="1">
        <f t="array" ref="W4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435" spans="1:23" hidden="1">
      <c r="A435">
        <v>462</v>
      </c>
      <c r="B435" t="s">
        <v>636</v>
      </c>
      <c r="C435" t="s">
        <v>61</v>
      </c>
      <c r="D435" t="s">
        <v>62</v>
      </c>
      <c r="E435">
        <v>1000</v>
      </c>
      <c r="F435" t="s">
        <v>31</v>
      </c>
      <c r="G435" t="s">
        <v>32</v>
      </c>
      <c r="H435" t="s">
        <v>33</v>
      </c>
      <c r="I435">
        <v>6326914000</v>
      </c>
      <c r="J435" t="s">
        <v>34</v>
      </c>
      <c r="K435">
        <v>1996</v>
      </c>
      <c r="L435" t="s">
        <v>633</v>
      </c>
      <c r="O435" t="s">
        <v>637</v>
      </c>
      <c r="Q43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3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35" s="107" t="str">
        <f>IFERROR(_xlfn.XLOOKUP("*"&amp;TRIM(Fusion[[#This Row],[Confinement Type]])&amp;"*", Map_Conf[From], Map_Conf[To], "", 2), "")</f>
        <v>MCF</v>
      </c>
      <c r="W435" s="108" t="str" cm="1">
        <f t="array" ref="W4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36" spans="1:23" hidden="1">
      <c r="A436">
        <v>463</v>
      </c>
      <c r="B436" t="s">
        <v>635</v>
      </c>
      <c r="C436" t="s">
        <v>61</v>
      </c>
      <c r="D436" t="s">
        <v>62</v>
      </c>
      <c r="E436">
        <v>1700</v>
      </c>
      <c r="F436" t="s">
        <v>31</v>
      </c>
      <c r="G436" t="s">
        <v>57</v>
      </c>
      <c r="H436" t="s">
        <v>33</v>
      </c>
      <c r="I436">
        <v>4697100000</v>
      </c>
      <c r="J436" t="s">
        <v>34</v>
      </c>
      <c r="K436">
        <v>1996</v>
      </c>
      <c r="L436" t="s">
        <v>633</v>
      </c>
      <c r="O436" t="s">
        <v>1094</v>
      </c>
      <c r="Q43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3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36" s="107" t="str">
        <f>IFERROR(_xlfn.XLOOKUP("*"&amp;TRIM(Fusion[[#This Row],[Confinement Type]])&amp;"*", Map_Conf[From], Map_Conf[To], "", 2), "")</f>
        <v>MCF</v>
      </c>
      <c r="W436" s="108" t="str" cm="1">
        <f t="array" ref="W4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37" spans="1:23">
      <c r="A437">
        <v>215</v>
      </c>
      <c r="B437" t="s">
        <v>79</v>
      </c>
      <c r="C437" t="s">
        <v>61</v>
      </c>
      <c r="D437" t="s">
        <v>62</v>
      </c>
      <c r="F437" t="s">
        <v>116</v>
      </c>
      <c r="G437" t="s">
        <v>32</v>
      </c>
      <c r="H437" t="s">
        <v>33</v>
      </c>
      <c r="I437">
        <v>188000000</v>
      </c>
      <c r="J437" t="s">
        <v>34</v>
      </c>
      <c r="K437">
        <v>1989</v>
      </c>
      <c r="L437" t="s">
        <v>80</v>
      </c>
      <c r="O437" t="s">
        <v>260</v>
      </c>
      <c r="P437" t="s">
        <v>373</v>
      </c>
      <c r="Q43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3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37" s="107" t="str">
        <f>IFERROR(_xlfn.XLOOKUP("*"&amp;TRIM(Fusion[[#This Row],[Confinement Type]])&amp;"*", Map_Conf[From], Map_Conf[To], "", 2), "")</f>
        <v>MCF</v>
      </c>
      <c r="W437" s="108" t="str" cm="1">
        <f t="array" ref="W4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38" spans="1:23" hidden="1">
      <c r="A438">
        <v>91</v>
      </c>
      <c r="B438" t="s">
        <v>146</v>
      </c>
      <c r="C438" t="s">
        <v>61</v>
      </c>
      <c r="D438" t="s">
        <v>62</v>
      </c>
      <c r="E438">
        <v>1200</v>
      </c>
      <c r="F438" t="s">
        <v>63</v>
      </c>
      <c r="G438" t="s">
        <v>52</v>
      </c>
      <c r="H438" t="s">
        <v>76</v>
      </c>
      <c r="I438">
        <v>0.35563751317175973</v>
      </c>
      <c r="J438" t="s">
        <v>128</v>
      </c>
      <c r="K438">
        <v>1986</v>
      </c>
      <c r="L438" t="s">
        <v>147</v>
      </c>
      <c r="O438" t="s">
        <v>159</v>
      </c>
      <c r="Q43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0.81480902390530185</v>
      </c>
      <c r="R43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38" s="107" t="str">
        <f>IFERROR(_xlfn.XLOOKUP("*"&amp;TRIM(Fusion[[#This Row],[Confinement Type]])&amp;"*", Map_Conf[From], Map_Conf[To], "", 2), "")</f>
        <v>MCF</v>
      </c>
      <c r="W438" s="108" t="str" cm="1">
        <f t="array" ref="W4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39" spans="1:23" hidden="1">
      <c r="A439">
        <v>97</v>
      </c>
      <c r="B439" t="s">
        <v>165</v>
      </c>
      <c r="C439" t="s">
        <v>61</v>
      </c>
      <c r="D439" t="s">
        <v>62</v>
      </c>
      <c r="E439">
        <v>1200</v>
      </c>
      <c r="F439" t="s">
        <v>63</v>
      </c>
      <c r="G439" t="s">
        <v>52</v>
      </c>
      <c r="H439" t="s">
        <v>76</v>
      </c>
      <c r="I439">
        <v>0.35563751317175973</v>
      </c>
      <c r="J439" t="s">
        <v>128</v>
      </c>
      <c r="K439">
        <v>1986</v>
      </c>
      <c r="L439" t="s">
        <v>147</v>
      </c>
      <c r="O439" t="s">
        <v>159</v>
      </c>
      <c r="Q43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0.81480902390530185</v>
      </c>
      <c r="R43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39" s="107" t="str">
        <f>IFERROR(_xlfn.XLOOKUP("*"&amp;TRIM(Fusion[[#This Row],[Confinement Type]])&amp;"*", Map_Conf[From], Map_Conf[To], "", 2), "")</f>
        <v>MCF</v>
      </c>
      <c r="W439" s="108" t="str" cm="1">
        <f t="array" ref="W4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440" spans="1:23" hidden="1">
      <c r="A440">
        <v>107</v>
      </c>
      <c r="B440" t="s">
        <v>170</v>
      </c>
      <c r="C440" t="s">
        <v>61</v>
      </c>
      <c r="D440" t="s">
        <v>113</v>
      </c>
      <c r="E440">
        <v>1200</v>
      </c>
      <c r="F440" t="s">
        <v>63</v>
      </c>
      <c r="G440" t="s">
        <v>52</v>
      </c>
      <c r="H440" t="s">
        <v>76</v>
      </c>
      <c r="I440">
        <v>0.35563751317175973</v>
      </c>
      <c r="J440" t="s">
        <v>128</v>
      </c>
      <c r="K440">
        <v>1986</v>
      </c>
      <c r="L440" t="s">
        <v>147</v>
      </c>
      <c r="O440" t="s">
        <v>159</v>
      </c>
      <c r="Q44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0.81480902390530185</v>
      </c>
      <c r="R44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40" s="107" t="str">
        <f>IFERROR(_xlfn.XLOOKUP("*"&amp;TRIM(Fusion[[#This Row],[Confinement Type]])&amp;"*", Map_Conf[From], Map_Conf[To], "", 2), "")</f>
        <v>MCF</v>
      </c>
      <c r="W440" s="108" t="str" cm="1">
        <f t="array" ref="W4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1" spans="1:23" hidden="1">
      <c r="A441">
        <v>113</v>
      </c>
      <c r="B441" t="s">
        <v>172</v>
      </c>
      <c r="C441" t="s">
        <v>61</v>
      </c>
      <c r="D441" t="s">
        <v>113</v>
      </c>
      <c r="E441">
        <v>1200</v>
      </c>
      <c r="F441" t="s">
        <v>63</v>
      </c>
      <c r="G441" t="s">
        <v>52</v>
      </c>
      <c r="H441" t="s">
        <v>76</v>
      </c>
      <c r="I441">
        <v>0.35563751317175973</v>
      </c>
      <c r="J441" t="s">
        <v>128</v>
      </c>
      <c r="K441">
        <v>1986</v>
      </c>
      <c r="L441" t="s">
        <v>147</v>
      </c>
      <c r="O441" t="s">
        <v>159</v>
      </c>
      <c r="P441" t="s">
        <v>504</v>
      </c>
      <c r="Q44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0.81480902390530185</v>
      </c>
      <c r="R44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41" s="107" t="str">
        <f>IFERROR(_xlfn.XLOOKUP("*"&amp;TRIM(Fusion[[#This Row],[Confinement Type]])&amp;"*", Map_Conf[From], Map_Conf[To], "", 2), "")</f>
        <v>MCF</v>
      </c>
      <c r="W441" s="108" t="str" cm="1">
        <f t="array" ref="W4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2" spans="1:23" hidden="1">
      <c r="A442">
        <v>117</v>
      </c>
      <c r="B442" t="s">
        <v>174</v>
      </c>
      <c r="C442" t="s">
        <v>61</v>
      </c>
      <c r="D442" t="s">
        <v>62</v>
      </c>
      <c r="E442">
        <v>1200</v>
      </c>
      <c r="F442" t="s">
        <v>63</v>
      </c>
      <c r="G442" t="s">
        <v>52</v>
      </c>
      <c r="H442" t="s">
        <v>76</v>
      </c>
      <c r="I442">
        <v>0.35563751317175973</v>
      </c>
      <c r="J442" t="s">
        <v>128</v>
      </c>
      <c r="K442">
        <v>1986</v>
      </c>
      <c r="L442" t="s">
        <v>147</v>
      </c>
      <c r="O442" t="s">
        <v>159</v>
      </c>
      <c r="Q44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0.81480902390530185</v>
      </c>
      <c r="R44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42" s="107" t="str">
        <f>IFERROR(_xlfn.XLOOKUP("*"&amp;TRIM(Fusion[[#This Row],[Confinement Type]])&amp;"*", Map_Conf[From], Map_Conf[To], "", 2), "")</f>
        <v>MCF</v>
      </c>
      <c r="W442" s="108" t="str" cm="1">
        <f t="array" ref="W4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3" spans="1:23">
      <c r="A443">
        <v>233</v>
      </c>
      <c r="B443" t="s">
        <v>265</v>
      </c>
      <c r="C443" t="s">
        <v>61</v>
      </c>
      <c r="D443" t="s">
        <v>62</v>
      </c>
      <c r="E443">
        <v>1600</v>
      </c>
      <c r="F443" t="s">
        <v>116</v>
      </c>
      <c r="G443" t="s">
        <v>57</v>
      </c>
      <c r="H443" t="s">
        <v>33</v>
      </c>
      <c r="I443">
        <v>124707658.14495915</v>
      </c>
      <c r="J443" t="s">
        <v>34</v>
      </c>
      <c r="K443">
        <v>2010</v>
      </c>
      <c r="L443" t="s">
        <v>262</v>
      </c>
      <c r="Q44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4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89.75608878512358</v>
      </c>
      <c r="V443" s="107" t="str">
        <f>IFERROR(_xlfn.XLOOKUP("*"&amp;TRIM(Fusion[[#This Row],[Confinement Type]])&amp;"*", Map_Conf[From], Map_Conf[To], "", 2), "")</f>
        <v>MCF</v>
      </c>
      <c r="W443" s="108" t="str" cm="1">
        <f t="array" ref="W4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4" spans="1:23">
      <c r="A444">
        <v>235</v>
      </c>
      <c r="B444" t="s">
        <v>687</v>
      </c>
      <c r="C444" t="s">
        <v>61</v>
      </c>
      <c r="D444" t="s">
        <v>62</v>
      </c>
      <c r="E444">
        <v>1420</v>
      </c>
      <c r="F444" t="s">
        <v>116</v>
      </c>
      <c r="G444" t="s">
        <v>57</v>
      </c>
      <c r="H444" t="s">
        <v>33</v>
      </c>
      <c r="I444">
        <v>117483615.87898119</v>
      </c>
      <c r="J444" t="s">
        <v>34</v>
      </c>
      <c r="K444">
        <v>2010</v>
      </c>
      <c r="L444" t="s">
        <v>262</v>
      </c>
      <c r="Q44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4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95.275171375163382</v>
      </c>
      <c r="V444" s="107" t="str">
        <f>IFERROR(_xlfn.XLOOKUP("*"&amp;TRIM(Fusion[[#This Row],[Confinement Type]])&amp;"*", Map_Conf[From], Map_Conf[To], "", 2), "")</f>
        <v>MIF</v>
      </c>
      <c r="W444" s="108" t="str" cm="1">
        <f t="array" ref="W4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445" spans="1:23" hidden="1">
      <c r="A445">
        <v>265</v>
      </c>
      <c r="B445" t="s">
        <v>286</v>
      </c>
      <c r="C445" t="s">
        <v>61</v>
      </c>
      <c r="D445" t="s">
        <v>278</v>
      </c>
      <c r="E445">
        <v>1604</v>
      </c>
      <c r="F445" t="s">
        <v>115</v>
      </c>
      <c r="G445" t="s">
        <v>57</v>
      </c>
      <c r="H445" t="s">
        <v>76</v>
      </c>
      <c r="I445">
        <v>8.18</v>
      </c>
      <c r="J445" t="s">
        <v>77</v>
      </c>
      <c r="K445">
        <v>2002</v>
      </c>
      <c r="L445" t="s">
        <v>287</v>
      </c>
      <c r="Q44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11.417761311839911</v>
      </c>
      <c r="R44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45" s="107" t="str">
        <f>IFERROR(_xlfn.XLOOKUP("*"&amp;TRIM(Fusion[[#This Row],[Confinement Type]])&amp;"*", Map_Conf[From], Map_Conf[To], "", 2), "")</f>
        <v>MCF</v>
      </c>
      <c r="W445" s="108" t="str" cm="1">
        <f t="array" ref="W4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6" spans="1:23" hidden="1">
      <c r="A446">
        <v>266</v>
      </c>
      <c r="B446" t="s">
        <v>286</v>
      </c>
      <c r="C446" t="s">
        <v>61</v>
      </c>
      <c r="D446" t="s">
        <v>278</v>
      </c>
      <c r="E446">
        <v>1601</v>
      </c>
      <c r="F446" t="s">
        <v>115</v>
      </c>
      <c r="G446" t="s">
        <v>57</v>
      </c>
      <c r="H446" t="s">
        <v>76</v>
      </c>
      <c r="I446">
        <v>8.19</v>
      </c>
      <c r="J446" t="s">
        <v>77</v>
      </c>
      <c r="K446">
        <v>2002</v>
      </c>
      <c r="L446" t="s">
        <v>287</v>
      </c>
      <c r="Q44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11.431719455252917</v>
      </c>
      <c r="R44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46" s="107" t="str">
        <f>IFERROR(_xlfn.XLOOKUP("*"&amp;TRIM(Fusion[[#This Row],[Confinement Type]])&amp;"*", Map_Conf[From], Map_Conf[To], "", 2), "")</f>
        <v>MCF</v>
      </c>
      <c r="W446" s="108" t="str" cm="1">
        <f t="array" ref="W4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7" spans="1:23" hidden="1">
      <c r="A447">
        <v>267</v>
      </c>
      <c r="B447" t="s">
        <v>286</v>
      </c>
      <c r="C447" t="s">
        <v>61</v>
      </c>
      <c r="D447" t="s">
        <v>278</v>
      </c>
      <c r="E447">
        <v>1598</v>
      </c>
      <c r="F447" t="s">
        <v>115</v>
      </c>
      <c r="G447" t="s">
        <v>57</v>
      </c>
      <c r="H447" t="s">
        <v>76</v>
      </c>
      <c r="I447">
        <v>8.2100000000000009</v>
      </c>
      <c r="J447" t="s">
        <v>77</v>
      </c>
      <c r="K447">
        <v>2002</v>
      </c>
      <c r="L447" t="s">
        <v>287</v>
      </c>
      <c r="P447" t="s">
        <v>400</v>
      </c>
      <c r="Q44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11.459635742078934</v>
      </c>
      <c r="R44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47" s="107" t="str">
        <f>IFERROR(_xlfn.XLOOKUP("*"&amp;TRIM(Fusion[[#This Row],[Confinement Type]])&amp;"*", Map_Conf[From], Map_Conf[To], "", 2), "")</f>
        <v>MCF</v>
      </c>
      <c r="W447" s="108" t="str" cm="1">
        <f t="array" ref="W4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48" spans="1:23" hidden="1">
      <c r="A448">
        <v>268</v>
      </c>
      <c r="B448" t="s">
        <v>286</v>
      </c>
      <c r="C448" t="s">
        <v>61</v>
      </c>
      <c r="D448" t="s">
        <v>278</v>
      </c>
      <c r="E448">
        <v>1598</v>
      </c>
      <c r="F448" t="s">
        <v>115</v>
      </c>
      <c r="G448" t="s">
        <v>57</v>
      </c>
      <c r="H448" t="s">
        <v>76</v>
      </c>
      <c r="I448">
        <v>8.24</v>
      </c>
      <c r="J448" t="s">
        <v>77</v>
      </c>
      <c r="K448">
        <v>2002</v>
      </c>
      <c r="L448" t="s">
        <v>287</v>
      </c>
      <c r="Q44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11.501510172317955</v>
      </c>
      <c r="R44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48" s="107" t="str">
        <f>IFERROR(_xlfn.XLOOKUP("*"&amp;TRIM(Fusion[[#This Row],[Confinement Type]])&amp;"*", Map_Conf[From], Map_Conf[To], "", 2), "")</f>
        <v>MCF</v>
      </c>
      <c r="W448" s="108" t="str" cm="1">
        <f t="array" ref="W4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49" spans="1:23" hidden="1">
      <c r="A449">
        <v>269</v>
      </c>
      <c r="B449" t="s">
        <v>286</v>
      </c>
      <c r="C449" t="s">
        <v>61</v>
      </c>
      <c r="D449" t="s">
        <v>278</v>
      </c>
      <c r="E449">
        <v>1604</v>
      </c>
      <c r="F449" t="s">
        <v>31</v>
      </c>
      <c r="G449" t="s">
        <v>57</v>
      </c>
      <c r="H449" t="s">
        <v>33</v>
      </c>
      <c r="I449">
        <v>7270000000</v>
      </c>
      <c r="J449" t="s">
        <v>34</v>
      </c>
      <c r="K449">
        <v>2002</v>
      </c>
      <c r="L449" t="s">
        <v>287</v>
      </c>
      <c r="O449" t="s">
        <v>290</v>
      </c>
      <c r="Q44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4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49" s="107" t="str">
        <f>IFERROR(_xlfn.XLOOKUP("*"&amp;TRIM(Fusion[[#This Row],[Confinement Type]])&amp;"*", Map_Conf[From], Map_Conf[To], "", 2), "")</f>
        <v>MCF</v>
      </c>
      <c r="W449" s="108" t="str" cm="1">
        <f t="array" ref="W4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50" spans="1:23" hidden="1">
      <c r="A450">
        <v>270</v>
      </c>
      <c r="B450" t="s">
        <v>286</v>
      </c>
      <c r="C450" t="s">
        <v>61</v>
      </c>
      <c r="D450" t="s">
        <v>278</v>
      </c>
      <c r="E450">
        <v>1601</v>
      </c>
      <c r="F450" t="s">
        <v>31</v>
      </c>
      <c r="G450" t="s">
        <v>57</v>
      </c>
      <c r="H450" t="s">
        <v>33</v>
      </c>
      <c r="I450">
        <v>7393000000</v>
      </c>
      <c r="J450" t="s">
        <v>34</v>
      </c>
      <c r="K450">
        <v>2002</v>
      </c>
      <c r="L450" t="s">
        <v>287</v>
      </c>
      <c r="O450" t="s">
        <v>290</v>
      </c>
      <c r="Q45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5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50" s="107" t="str">
        <f>IFERROR(_xlfn.XLOOKUP("*"&amp;TRIM(Fusion[[#This Row],[Confinement Type]])&amp;"*", Map_Conf[From], Map_Conf[To], "", 2), "")</f>
        <v>MCF</v>
      </c>
      <c r="W450" s="108" t="str" cm="1">
        <f t="array" ref="W4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1" spans="1:23" hidden="1">
      <c r="A451">
        <v>271</v>
      </c>
      <c r="B451" t="s">
        <v>286</v>
      </c>
      <c r="C451" t="s">
        <v>61</v>
      </c>
      <c r="D451" t="s">
        <v>278</v>
      </c>
      <c r="E451">
        <v>1598</v>
      </c>
      <c r="F451" t="s">
        <v>31</v>
      </c>
      <c r="G451" t="s">
        <v>57</v>
      </c>
      <c r="H451" t="s">
        <v>33</v>
      </c>
      <c r="I451">
        <v>7705000000</v>
      </c>
      <c r="J451" t="s">
        <v>34</v>
      </c>
      <c r="K451">
        <v>2002</v>
      </c>
      <c r="L451" t="s">
        <v>287</v>
      </c>
      <c r="O451" t="s">
        <v>290</v>
      </c>
      <c r="Q45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5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51" s="107" t="str">
        <f>IFERROR(_xlfn.XLOOKUP("*"&amp;TRIM(Fusion[[#This Row],[Confinement Type]])&amp;"*", Map_Conf[From], Map_Conf[To], "", 2), "")</f>
        <v>MCF</v>
      </c>
      <c r="W451" s="108" t="str" cm="1">
        <f t="array" ref="W4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2" spans="1:23" hidden="1">
      <c r="A452">
        <v>272</v>
      </c>
      <c r="B452" t="s">
        <v>286</v>
      </c>
      <c r="C452" t="s">
        <v>61</v>
      </c>
      <c r="D452" t="s">
        <v>278</v>
      </c>
      <c r="E452">
        <v>1598</v>
      </c>
      <c r="F452" t="s">
        <v>31</v>
      </c>
      <c r="G452" t="s">
        <v>57</v>
      </c>
      <c r="H452" t="s">
        <v>33</v>
      </c>
      <c r="I452">
        <v>6735000000</v>
      </c>
      <c r="J452" t="s">
        <v>34</v>
      </c>
      <c r="K452">
        <v>2002</v>
      </c>
      <c r="L452" t="s">
        <v>287</v>
      </c>
      <c r="O452" t="s">
        <v>290</v>
      </c>
      <c r="Q45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5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52" s="107" t="str">
        <f>IFERROR(_xlfn.XLOOKUP("*"&amp;TRIM(Fusion[[#This Row],[Confinement Type]])&amp;"*", Map_Conf[From], Map_Conf[To], "", 2), "")</f>
        <v>MCF</v>
      </c>
      <c r="W452" s="108" t="str" cm="1">
        <f t="array" ref="W4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3" spans="1:23" hidden="1">
      <c r="A453">
        <v>273</v>
      </c>
      <c r="B453" t="s">
        <v>286</v>
      </c>
      <c r="C453" t="s">
        <v>61</v>
      </c>
      <c r="D453" t="s">
        <v>278</v>
      </c>
      <c r="E453">
        <v>1604</v>
      </c>
      <c r="F453" t="s">
        <v>75</v>
      </c>
      <c r="G453" t="s">
        <v>57</v>
      </c>
      <c r="H453" t="s">
        <v>76</v>
      </c>
      <c r="I453">
        <v>79</v>
      </c>
      <c r="J453" t="s">
        <v>77</v>
      </c>
      <c r="K453">
        <v>2002</v>
      </c>
      <c r="L453" t="s">
        <v>287</v>
      </c>
      <c r="O453" t="s">
        <v>292</v>
      </c>
      <c r="P453" t="s">
        <v>400</v>
      </c>
      <c r="Q45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110.26933296275709</v>
      </c>
      <c r="R45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53" s="107" t="str">
        <f>IFERROR(_xlfn.XLOOKUP("*"&amp;TRIM(Fusion[[#This Row],[Confinement Type]])&amp;"*", Map_Conf[From], Map_Conf[To], "", 2), "")</f>
        <v>MCF</v>
      </c>
      <c r="W453" s="108" t="str" cm="1">
        <f t="array" ref="W4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4" spans="1:23" hidden="1">
      <c r="A454">
        <v>274</v>
      </c>
      <c r="B454" t="s">
        <v>286</v>
      </c>
      <c r="C454" t="s">
        <v>61</v>
      </c>
      <c r="D454" t="s">
        <v>278</v>
      </c>
      <c r="E454">
        <v>1601</v>
      </c>
      <c r="F454" t="s">
        <v>75</v>
      </c>
      <c r="G454" t="s">
        <v>57</v>
      </c>
      <c r="H454" t="s">
        <v>76</v>
      </c>
      <c r="I454">
        <v>78.5</v>
      </c>
      <c r="J454" t="s">
        <v>77</v>
      </c>
      <c r="K454">
        <v>2002</v>
      </c>
      <c r="L454" t="s">
        <v>287</v>
      </c>
      <c r="O454" t="s">
        <v>292</v>
      </c>
      <c r="Q45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109.57142579210674</v>
      </c>
      <c r="R45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54" s="107" t="str">
        <f>IFERROR(_xlfn.XLOOKUP("*"&amp;TRIM(Fusion[[#This Row],[Confinement Type]])&amp;"*", Map_Conf[From], Map_Conf[To], "", 2), "")</f>
        <v>MCF</v>
      </c>
      <c r="W454" s="108" t="str" cm="1">
        <f t="array" ref="W4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5" spans="1:23" hidden="1">
      <c r="A455">
        <v>275</v>
      </c>
      <c r="B455" t="s">
        <v>286</v>
      </c>
      <c r="C455" t="s">
        <v>61</v>
      </c>
      <c r="D455" t="s">
        <v>278</v>
      </c>
      <c r="E455">
        <v>1598</v>
      </c>
      <c r="F455" t="s">
        <v>75</v>
      </c>
      <c r="G455" t="s">
        <v>57</v>
      </c>
      <c r="H455" t="s">
        <v>76</v>
      </c>
      <c r="I455">
        <v>80.3</v>
      </c>
      <c r="J455" t="s">
        <v>77</v>
      </c>
      <c r="K455">
        <v>2002</v>
      </c>
      <c r="L455" t="s">
        <v>287</v>
      </c>
      <c r="O455" t="s">
        <v>292</v>
      </c>
      <c r="Q45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112.08389160644803</v>
      </c>
      <c r="R45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55" s="107" t="str">
        <f>IFERROR(_xlfn.XLOOKUP("*"&amp;TRIM(Fusion[[#This Row],[Confinement Type]])&amp;"*", Map_Conf[From], Map_Conf[To], "", 2), "")</f>
        <v>MCF</v>
      </c>
      <c r="W455" s="108" t="str" cm="1">
        <f t="array" ref="W4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6" spans="1:23" hidden="1">
      <c r="A456">
        <v>276</v>
      </c>
      <c r="B456" t="s">
        <v>286</v>
      </c>
      <c r="C456" t="s">
        <v>61</v>
      </c>
      <c r="D456" t="s">
        <v>278</v>
      </c>
      <c r="E456">
        <v>1598</v>
      </c>
      <c r="F456" t="s">
        <v>75</v>
      </c>
      <c r="G456" t="s">
        <v>57</v>
      </c>
      <c r="H456" t="s">
        <v>76</v>
      </c>
      <c r="I456">
        <v>90.9</v>
      </c>
      <c r="J456" t="s">
        <v>77</v>
      </c>
      <c r="K456">
        <v>2002</v>
      </c>
      <c r="L456" t="s">
        <v>287</v>
      </c>
      <c r="O456" t="s">
        <v>292</v>
      </c>
      <c r="Q45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126.8795236242357</v>
      </c>
      <c r="R45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56" s="107" t="str">
        <f>IFERROR(_xlfn.XLOOKUP("*"&amp;TRIM(Fusion[[#This Row],[Confinement Type]])&amp;"*", Map_Conf[From], Map_Conf[To], "", 2), "")</f>
        <v>MCF</v>
      </c>
      <c r="W456" s="108" t="str" cm="1">
        <f t="array" ref="W4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7" spans="1:23" hidden="1">
      <c r="A457">
        <v>277</v>
      </c>
      <c r="B457" t="s">
        <v>293</v>
      </c>
      <c r="C457" t="s">
        <v>61</v>
      </c>
      <c r="D457" t="s">
        <v>62</v>
      </c>
      <c r="E457">
        <v>1000</v>
      </c>
      <c r="F457" t="s">
        <v>75</v>
      </c>
      <c r="G457" t="s">
        <v>52</v>
      </c>
      <c r="H457" t="s">
        <v>76</v>
      </c>
      <c r="I457">
        <v>87</v>
      </c>
      <c r="J457" t="s">
        <v>77</v>
      </c>
      <c r="K457">
        <v>1992</v>
      </c>
      <c r="L457" t="s">
        <v>294</v>
      </c>
      <c r="O457" t="s">
        <v>295</v>
      </c>
      <c r="Q45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155.71139700641481</v>
      </c>
      <c r="R45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57" s="107" t="str">
        <f>IFERROR(_xlfn.XLOOKUP("*"&amp;TRIM(Fusion[[#This Row],[Confinement Type]])&amp;"*", Map_Conf[From], Map_Conf[To], "", 2), "")</f>
        <v>MCF</v>
      </c>
      <c r="W457" s="108" t="str" cm="1">
        <f t="array" ref="W4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8" spans="1:23" hidden="1">
      <c r="A458">
        <v>278</v>
      </c>
      <c r="B458" t="s">
        <v>296</v>
      </c>
      <c r="C458" t="s">
        <v>61</v>
      </c>
      <c r="D458" t="s">
        <v>297</v>
      </c>
      <c r="E458">
        <v>1000</v>
      </c>
      <c r="F458" t="s">
        <v>75</v>
      </c>
      <c r="G458" t="s">
        <v>52</v>
      </c>
      <c r="H458" t="s">
        <v>76</v>
      </c>
      <c r="I458">
        <v>44</v>
      </c>
      <c r="J458" t="s">
        <v>77</v>
      </c>
      <c r="K458">
        <v>1992</v>
      </c>
      <c r="L458" t="s">
        <v>294</v>
      </c>
      <c r="O458" t="s">
        <v>295</v>
      </c>
      <c r="Q45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78.750591589451176</v>
      </c>
      <c r="R45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58" s="107" t="str">
        <f>IFERROR(_xlfn.XLOOKUP("*"&amp;TRIM(Fusion[[#This Row],[Confinement Type]])&amp;"*", Map_Conf[From], Map_Conf[To], "", 2), "")</f>
        <v>MCF</v>
      </c>
      <c r="W458" s="108" t="str" cm="1">
        <f t="array" ref="W4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59" spans="1:23" hidden="1">
      <c r="A459">
        <v>279</v>
      </c>
      <c r="B459" t="s">
        <v>298</v>
      </c>
      <c r="C459" t="s">
        <v>61</v>
      </c>
      <c r="D459" t="s">
        <v>251</v>
      </c>
      <c r="E459">
        <v>1000</v>
      </c>
      <c r="F459" t="s">
        <v>75</v>
      </c>
      <c r="G459" t="s">
        <v>52</v>
      </c>
      <c r="H459" t="s">
        <v>76</v>
      </c>
      <c r="I459">
        <v>43</v>
      </c>
      <c r="J459" t="s">
        <v>77</v>
      </c>
      <c r="K459">
        <v>1992</v>
      </c>
      <c r="L459" t="s">
        <v>294</v>
      </c>
      <c r="O459" t="s">
        <v>295</v>
      </c>
      <c r="Q45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76.960805416963638</v>
      </c>
      <c r="R45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59" s="107" t="str">
        <f>IFERROR(_xlfn.XLOOKUP("*"&amp;TRIM(Fusion[[#This Row],[Confinement Type]])&amp;"*", Map_Conf[From], Map_Conf[To], "", 2), "")</f>
        <v>MCF</v>
      </c>
      <c r="W459" s="108" t="str" cm="1">
        <f t="array" ref="W4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60" spans="1:23" hidden="1">
      <c r="A460">
        <v>280</v>
      </c>
      <c r="B460" t="s">
        <v>299</v>
      </c>
      <c r="C460" t="s">
        <v>61</v>
      </c>
      <c r="D460" t="s">
        <v>251</v>
      </c>
      <c r="E460">
        <v>1000</v>
      </c>
      <c r="F460" t="s">
        <v>75</v>
      </c>
      <c r="G460" t="s">
        <v>52</v>
      </c>
      <c r="H460" t="s">
        <v>76</v>
      </c>
      <c r="I460">
        <v>78</v>
      </c>
      <c r="J460" t="s">
        <v>77</v>
      </c>
      <c r="K460">
        <v>1992</v>
      </c>
      <c r="L460" t="s">
        <v>294</v>
      </c>
      <c r="O460" t="s">
        <v>295</v>
      </c>
      <c r="Q46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139.60332145402708</v>
      </c>
      <c r="R46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0" s="107" t="str">
        <f>IFERROR(_xlfn.XLOOKUP("*"&amp;TRIM(Fusion[[#This Row],[Confinement Type]])&amp;"*", Map_Conf[From], Map_Conf[To], "", 2), "")</f>
        <v>MCF</v>
      </c>
      <c r="W460" s="108" t="str" cm="1">
        <f t="array" ref="W4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1" spans="1:23" hidden="1">
      <c r="A461">
        <v>281</v>
      </c>
      <c r="B461" t="s">
        <v>112</v>
      </c>
      <c r="C461" t="s">
        <v>61</v>
      </c>
      <c r="D461" t="s">
        <v>113</v>
      </c>
      <c r="E461">
        <v>1000</v>
      </c>
      <c r="F461" t="s">
        <v>75</v>
      </c>
      <c r="G461" t="s">
        <v>52</v>
      </c>
      <c r="H461" t="s">
        <v>76</v>
      </c>
      <c r="I461">
        <v>52</v>
      </c>
      <c r="J461" t="s">
        <v>77</v>
      </c>
      <c r="K461">
        <v>1992</v>
      </c>
      <c r="L461" t="s">
        <v>294</v>
      </c>
      <c r="O461" t="s">
        <v>295</v>
      </c>
      <c r="Q46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93.068880969351383</v>
      </c>
      <c r="R46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1" s="107" t="str">
        <f>IFERROR(_xlfn.XLOOKUP("*"&amp;TRIM(Fusion[[#This Row],[Confinement Type]])&amp;"*", Map_Conf[From], Map_Conf[To], "", 2), "")</f>
        <v>MCF</v>
      </c>
      <c r="W461" s="108" t="str" cm="1">
        <f t="array" ref="W4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2" spans="1:23" hidden="1">
      <c r="A462">
        <v>282</v>
      </c>
      <c r="B462" t="s">
        <v>300</v>
      </c>
      <c r="C462" t="s">
        <v>61</v>
      </c>
      <c r="D462" t="s">
        <v>113</v>
      </c>
      <c r="E462">
        <v>1000</v>
      </c>
      <c r="F462" t="s">
        <v>75</v>
      </c>
      <c r="G462" t="s">
        <v>52</v>
      </c>
      <c r="H462" t="s">
        <v>76</v>
      </c>
      <c r="I462">
        <v>46</v>
      </c>
      <c r="J462" t="s">
        <v>77</v>
      </c>
      <c r="K462">
        <v>1992</v>
      </c>
      <c r="L462" t="s">
        <v>294</v>
      </c>
      <c r="O462" t="s">
        <v>295</v>
      </c>
      <c r="P462" t="s">
        <v>190</v>
      </c>
      <c r="Q46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82.330163934426224</v>
      </c>
      <c r="R46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2" s="107" t="str">
        <f>IFERROR(_xlfn.XLOOKUP("*"&amp;TRIM(Fusion[[#This Row],[Confinement Type]])&amp;"*", Map_Conf[From], Map_Conf[To], "", 2), "")</f>
        <v>ICF</v>
      </c>
      <c r="W462" s="108" t="str" cm="1">
        <f t="array" ref="W4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63" spans="1:23" hidden="1">
      <c r="A463">
        <v>283</v>
      </c>
      <c r="B463" t="s">
        <v>301</v>
      </c>
      <c r="C463" t="s">
        <v>61</v>
      </c>
      <c r="D463" t="s">
        <v>62</v>
      </c>
      <c r="E463">
        <v>1000</v>
      </c>
      <c r="F463" t="s">
        <v>75</v>
      </c>
      <c r="G463" t="s">
        <v>52</v>
      </c>
      <c r="H463" t="s">
        <v>76</v>
      </c>
      <c r="I463">
        <v>82</v>
      </c>
      <c r="J463" t="s">
        <v>77</v>
      </c>
      <c r="K463">
        <v>1992</v>
      </c>
      <c r="L463" t="s">
        <v>294</v>
      </c>
      <c r="O463" t="s">
        <v>295</v>
      </c>
      <c r="Q46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146.76246614397718</v>
      </c>
      <c r="R46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3" s="107" t="str">
        <f>IFERROR(_xlfn.XLOOKUP("*"&amp;TRIM(Fusion[[#This Row],[Confinement Type]])&amp;"*", Map_Conf[From], Map_Conf[To], "", 2), "")</f>
        <v>MCF</v>
      </c>
      <c r="W463" s="108" t="str" cm="1">
        <f t="array" ref="W4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4" spans="1:23" hidden="1">
      <c r="A464">
        <v>284</v>
      </c>
      <c r="B464" t="s">
        <v>302</v>
      </c>
      <c r="C464" t="s">
        <v>61</v>
      </c>
      <c r="D464" t="s">
        <v>62</v>
      </c>
      <c r="E464">
        <v>1000</v>
      </c>
      <c r="F464" t="s">
        <v>75</v>
      </c>
      <c r="G464" t="s">
        <v>52</v>
      </c>
      <c r="H464" t="s">
        <v>76</v>
      </c>
      <c r="I464">
        <v>56</v>
      </c>
      <c r="J464" t="s">
        <v>77</v>
      </c>
      <c r="K464">
        <v>1992</v>
      </c>
      <c r="L464" t="s">
        <v>294</v>
      </c>
      <c r="O464" t="s">
        <v>303</v>
      </c>
      <c r="Q46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100.22802565930149</v>
      </c>
      <c r="R46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4" s="107" t="str">
        <f>IFERROR(_xlfn.XLOOKUP("*"&amp;TRIM(Fusion[[#This Row],[Confinement Type]])&amp;"*", Map_Conf[From], Map_Conf[To], "", 2), "")</f>
        <v>ICF</v>
      </c>
      <c r="W464" s="108" t="str" cm="1">
        <f t="array" ref="W4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65" spans="1:23" hidden="1">
      <c r="A465">
        <v>285</v>
      </c>
      <c r="B465" t="s">
        <v>126</v>
      </c>
      <c r="C465" t="s">
        <v>61</v>
      </c>
      <c r="D465" t="s">
        <v>62</v>
      </c>
      <c r="E465">
        <v>1000</v>
      </c>
      <c r="F465" t="s">
        <v>493</v>
      </c>
      <c r="G465" t="s">
        <v>52</v>
      </c>
      <c r="H465" t="s">
        <v>76</v>
      </c>
      <c r="I465">
        <v>0.5</v>
      </c>
      <c r="J465" t="s">
        <v>77</v>
      </c>
      <c r="K465">
        <v>1992</v>
      </c>
      <c r="L465" t="s">
        <v>294</v>
      </c>
      <c r="Q46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0.89489308624376329</v>
      </c>
      <c r="R46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5" s="107" t="str">
        <f>IFERROR(_xlfn.XLOOKUP("*"&amp;TRIM(Fusion[[#This Row],[Confinement Type]])&amp;"*", Map_Conf[From], Map_Conf[To], "", 2), "")</f>
        <v>MCF</v>
      </c>
      <c r="W465" s="108" t="str" cm="1">
        <f t="array" ref="W4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6" spans="1:23" hidden="1">
      <c r="A466">
        <v>286</v>
      </c>
      <c r="B466" t="s">
        <v>304</v>
      </c>
      <c r="C466" t="s">
        <v>61</v>
      </c>
      <c r="D466" t="s">
        <v>62</v>
      </c>
      <c r="E466">
        <v>1000</v>
      </c>
      <c r="F466" t="s">
        <v>493</v>
      </c>
      <c r="G466" t="s">
        <v>52</v>
      </c>
      <c r="H466" t="s">
        <v>76</v>
      </c>
      <c r="I466">
        <v>0.3</v>
      </c>
      <c r="J466" t="s">
        <v>77</v>
      </c>
      <c r="K466">
        <v>1992</v>
      </c>
      <c r="L466" t="s">
        <v>294</v>
      </c>
      <c r="P466" t="s">
        <v>282</v>
      </c>
      <c r="Q46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0.53693585174625791</v>
      </c>
      <c r="R46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6" s="107" t="str">
        <f>IFERROR(_xlfn.XLOOKUP("*"&amp;TRIM(Fusion[[#This Row],[Confinement Type]])&amp;"*", Map_Conf[From], Map_Conf[To], "", 2), "")</f>
        <v>MCF</v>
      </c>
      <c r="W466" s="108" t="str" cm="1">
        <f t="array" ref="W4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7" spans="1:23" hidden="1">
      <c r="A467">
        <v>287</v>
      </c>
      <c r="B467" t="s">
        <v>114</v>
      </c>
      <c r="C467" t="s">
        <v>61</v>
      </c>
      <c r="D467" t="s">
        <v>62</v>
      </c>
      <c r="E467">
        <v>1000</v>
      </c>
      <c r="F467" t="s">
        <v>493</v>
      </c>
      <c r="G467" t="s">
        <v>52</v>
      </c>
      <c r="H467" t="s">
        <v>76</v>
      </c>
      <c r="I467">
        <v>0.3</v>
      </c>
      <c r="J467" t="s">
        <v>77</v>
      </c>
      <c r="K467">
        <v>1992</v>
      </c>
      <c r="L467" t="s">
        <v>294</v>
      </c>
      <c r="P467" t="s">
        <v>216</v>
      </c>
      <c r="Q46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0.53693585174625791</v>
      </c>
      <c r="R46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7" s="107" t="str">
        <f>IFERROR(_xlfn.XLOOKUP("*"&amp;TRIM(Fusion[[#This Row],[Confinement Type]])&amp;"*", Map_Conf[From], Map_Conf[To], "", 2), "")</f>
        <v>MCF</v>
      </c>
      <c r="W467" s="108" t="str" cm="1">
        <f t="array" ref="W4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8" spans="1:23" hidden="1">
      <c r="A468">
        <v>288</v>
      </c>
      <c r="B468" t="s">
        <v>301</v>
      </c>
      <c r="C468" t="s">
        <v>61</v>
      </c>
      <c r="D468" t="s">
        <v>62</v>
      </c>
      <c r="E468">
        <v>1000</v>
      </c>
      <c r="F468" t="s">
        <v>75</v>
      </c>
      <c r="G468" t="s">
        <v>52</v>
      </c>
      <c r="H468" t="s">
        <v>76</v>
      </c>
      <c r="I468">
        <v>0.5</v>
      </c>
      <c r="J468" t="s">
        <v>77</v>
      </c>
      <c r="K468">
        <v>1992</v>
      </c>
      <c r="L468" t="s">
        <v>294</v>
      </c>
      <c r="Q46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0.89489308624376329</v>
      </c>
      <c r="R46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8" s="107" t="str">
        <f>IFERROR(_xlfn.XLOOKUP("*"&amp;TRIM(Fusion[[#This Row],[Confinement Type]])&amp;"*", Map_Conf[From], Map_Conf[To], "", 2), "")</f>
        <v>MCF</v>
      </c>
      <c r="W468" s="108" t="str" cm="1">
        <f t="array" ref="W4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69" spans="1:23" hidden="1">
      <c r="A469">
        <v>289</v>
      </c>
      <c r="B469" t="s">
        <v>126</v>
      </c>
      <c r="C469" t="s">
        <v>61</v>
      </c>
      <c r="D469" t="s">
        <v>62</v>
      </c>
      <c r="E469">
        <v>1000</v>
      </c>
      <c r="F469" t="s">
        <v>75</v>
      </c>
      <c r="G469" t="s">
        <v>52</v>
      </c>
      <c r="H469" t="s">
        <v>76</v>
      </c>
      <c r="I469">
        <v>70</v>
      </c>
      <c r="J469" t="s">
        <v>77</v>
      </c>
      <c r="K469">
        <v>1992</v>
      </c>
      <c r="L469" t="s">
        <v>294</v>
      </c>
      <c r="O469" t="s">
        <v>295</v>
      </c>
      <c r="Q46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125.28503207412686</v>
      </c>
      <c r="R46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69" s="107" t="str">
        <f>IFERROR(_xlfn.XLOOKUP("*"&amp;TRIM(Fusion[[#This Row],[Confinement Type]])&amp;"*", Map_Conf[From], Map_Conf[To], "", 2), "")</f>
        <v>MCF</v>
      </c>
      <c r="W469" s="108" t="str" cm="1">
        <f t="array" ref="W4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0" spans="1:23" hidden="1">
      <c r="A470">
        <v>290</v>
      </c>
      <c r="B470" t="s">
        <v>304</v>
      </c>
      <c r="C470" t="s">
        <v>61</v>
      </c>
      <c r="D470" t="s">
        <v>62</v>
      </c>
      <c r="E470">
        <v>1000</v>
      </c>
      <c r="F470" t="s">
        <v>75</v>
      </c>
      <c r="G470" t="s">
        <v>52</v>
      </c>
      <c r="H470" t="s">
        <v>76</v>
      </c>
      <c r="I470">
        <v>69</v>
      </c>
      <c r="J470" t="s">
        <v>77</v>
      </c>
      <c r="K470">
        <v>1992</v>
      </c>
      <c r="L470" t="s">
        <v>294</v>
      </c>
      <c r="O470" t="s">
        <v>295</v>
      </c>
      <c r="Q47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123.49524590163934</v>
      </c>
      <c r="R47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70" s="107" t="str">
        <f>IFERROR(_xlfn.XLOOKUP("*"&amp;TRIM(Fusion[[#This Row],[Confinement Type]])&amp;"*", Map_Conf[From], Map_Conf[To], "", 2), "")</f>
        <v>MCF</v>
      </c>
      <c r="W470" s="108" t="str" cm="1">
        <f t="array" ref="W4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1" spans="1:23" hidden="1">
      <c r="A471">
        <v>291</v>
      </c>
      <c r="B471" t="s">
        <v>114</v>
      </c>
      <c r="C471" t="s">
        <v>61</v>
      </c>
      <c r="D471" t="s">
        <v>62</v>
      </c>
      <c r="E471">
        <v>1000</v>
      </c>
      <c r="F471" t="s">
        <v>75</v>
      </c>
      <c r="G471" t="s">
        <v>52</v>
      </c>
      <c r="H471" t="s">
        <v>76</v>
      </c>
      <c r="I471">
        <v>86</v>
      </c>
      <c r="J471" t="s">
        <v>77</v>
      </c>
      <c r="K471">
        <v>1992</v>
      </c>
      <c r="L471" t="s">
        <v>294</v>
      </c>
      <c r="O471" t="s">
        <v>295</v>
      </c>
      <c r="Q47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153.92161083392728</v>
      </c>
      <c r="R47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71" s="107" t="str">
        <f>IFERROR(_xlfn.XLOOKUP("*"&amp;TRIM(Fusion[[#This Row],[Confinement Type]])&amp;"*", Map_Conf[From], Map_Conf[To], "", 2), "")</f>
        <v>MCF</v>
      </c>
      <c r="W471" s="108" t="str" cm="1">
        <f t="array" ref="W4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472" spans="1:23" hidden="1">
      <c r="A472">
        <v>292</v>
      </c>
      <c r="B472" t="s">
        <v>301</v>
      </c>
      <c r="C472" t="s">
        <v>61</v>
      </c>
      <c r="D472" t="s">
        <v>62</v>
      </c>
      <c r="E472">
        <v>1000</v>
      </c>
      <c r="F472" t="s">
        <v>75</v>
      </c>
      <c r="G472" t="s">
        <v>52</v>
      </c>
      <c r="H472" t="s">
        <v>76</v>
      </c>
      <c r="I472">
        <v>99</v>
      </c>
      <c r="J472" t="s">
        <v>77</v>
      </c>
      <c r="K472">
        <v>1992</v>
      </c>
      <c r="L472" t="s">
        <v>294</v>
      </c>
      <c r="O472" t="s">
        <v>305</v>
      </c>
      <c r="Q47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177.18883107626513</v>
      </c>
      <c r="R47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72" s="107" t="str">
        <f>IFERROR(_xlfn.XLOOKUP("*"&amp;TRIM(Fusion[[#This Row],[Confinement Type]])&amp;"*", Map_Conf[From], Map_Conf[To], "", 2), "")</f>
        <v>MCF</v>
      </c>
      <c r="W472" s="108" t="str" cm="1">
        <f t="array" ref="W4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3" spans="1:23" hidden="1">
      <c r="A473">
        <v>293</v>
      </c>
      <c r="B473" t="s">
        <v>126</v>
      </c>
      <c r="C473" t="s">
        <v>61</v>
      </c>
      <c r="D473" t="s">
        <v>62</v>
      </c>
      <c r="E473">
        <v>1000</v>
      </c>
      <c r="F473" t="s">
        <v>75</v>
      </c>
      <c r="G473" t="s">
        <v>52</v>
      </c>
      <c r="H473" t="s">
        <v>76</v>
      </c>
      <c r="I473">
        <v>84</v>
      </c>
      <c r="J473" t="s">
        <v>77</v>
      </c>
      <c r="K473">
        <v>1992</v>
      </c>
      <c r="L473" t="s">
        <v>294</v>
      </c>
      <c r="O473" t="s">
        <v>305</v>
      </c>
      <c r="Q47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150.34203848895223</v>
      </c>
      <c r="R47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73" s="107" t="str">
        <f>IFERROR(_xlfn.XLOOKUP("*"&amp;TRIM(Fusion[[#This Row],[Confinement Type]])&amp;"*", Map_Conf[From], Map_Conf[To], "", 2), "")</f>
        <v>MCF</v>
      </c>
      <c r="W473" s="108" t="str" cm="1">
        <f t="array" ref="W4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4" spans="1:23" hidden="1">
      <c r="A474">
        <v>294</v>
      </c>
      <c r="B474" t="s">
        <v>304</v>
      </c>
      <c r="C474" t="s">
        <v>61</v>
      </c>
      <c r="D474" t="s">
        <v>62</v>
      </c>
      <c r="E474">
        <v>1000</v>
      </c>
      <c r="F474" t="s">
        <v>75</v>
      </c>
      <c r="G474" t="s">
        <v>52</v>
      </c>
      <c r="H474" t="s">
        <v>76</v>
      </c>
      <c r="I474">
        <v>90</v>
      </c>
      <c r="J474" t="s">
        <v>77</v>
      </c>
      <c r="K474">
        <v>1992</v>
      </c>
      <c r="L474" t="s">
        <v>294</v>
      </c>
      <c r="O474" t="s">
        <v>305</v>
      </c>
      <c r="Q47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161.0807555238774</v>
      </c>
      <c r="R47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74" s="107" t="str">
        <f>IFERROR(_xlfn.XLOOKUP("*"&amp;TRIM(Fusion[[#This Row],[Confinement Type]])&amp;"*", Map_Conf[From], Map_Conf[To], "", 2), "")</f>
        <v>MCF</v>
      </c>
      <c r="W474" s="108" t="str" cm="1">
        <f t="array" ref="W4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5" spans="1:23" hidden="1">
      <c r="A475">
        <v>295</v>
      </c>
      <c r="B475" t="s">
        <v>114</v>
      </c>
      <c r="C475" t="s">
        <v>61</v>
      </c>
      <c r="D475" t="s">
        <v>62</v>
      </c>
      <c r="E475">
        <v>1000</v>
      </c>
      <c r="F475" t="s">
        <v>75</v>
      </c>
      <c r="G475" t="s">
        <v>52</v>
      </c>
      <c r="H475" t="s">
        <v>76</v>
      </c>
      <c r="I475">
        <v>101</v>
      </c>
      <c r="J475" t="s">
        <v>77</v>
      </c>
      <c r="K475">
        <v>1992</v>
      </c>
      <c r="L475" t="s">
        <v>294</v>
      </c>
      <c r="O475" t="s">
        <v>305</v>
      </c>
      <c r="Q47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180.76840342124018</v>
      </c>
      <c r="R47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75" s="107" t="str">
        <f>IFERROR(_xlfn.XLOOKUP("*"&amp;TRIM(Fusion[[#This Row],[Confinement Type]])&amp;"*", Map_Conf[From], Map_Conf[To], "", 2), "")</f>
        <v>MCF</v>
      </c>
      <c r="W475" s="108" t="str" cm="1">
        <f t="array" ref="W4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6" spans="1:23">
      <c r="A476">
        <v>234</v>
      </c>
      <c r="B476" t="s">
        <v>686</v>
      </c>
      <c r="C476" t="s">
        <v>61</v>
      </c>
      <c r="D476" t="s">
        <v>62</v>
      </c>
      <c r="E476">
        <v>1200</v>
      </c>
      <c r="F476" t="s">
        <v>116</v>
      </c>
      <c r="G476" t="s">
        <v>57</v>
      </c>
      <c r="H476" t="s">
        <v>33</v>
      </c>
      <c r="I476">
        <v>108000000</v>
      </c>
      <c r="J476" t="s">
        <v>34</v>
      </c>
      <c r="K476">
        <v>2010</v>
      </c>
      <c r="L476" t="s">
        <v>262</v>
      </c>
      <c r="Q47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7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103.64140404299812</v>
      </c>
      <c r="V476" s="107" t="str">
        <f>IFERROR(_xlfn.XLOOKUP("*"&amp;TRIM(Fusion[[#This Row],[Confinement Type]])&amp;"*", Map_Conf[From], Map_Conf[To], "", 2), "")</f>
        <v>MCF</v>
      </c>
      <c r="W476" s="108" t="str" cm="1">
        <f t="array" ref="W4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7" spans="1:23" hidden="1">
      <c r="A477">
        <v>297</v>
      </c>
      <c r="B477" t="s">
        <v>114</v>
      </c>
      <c r="C477" t="s">
        <v>61</v>
      </c>
      <c r="D477" t="s">
        <v>62</v>
      </c>
      <c r="E477">
        <v>1000</v>
      </c>
      <c r="F477" t="s">
        <v>31</v>
      </c>
      <c r="G477" t="s">
        <v>52</v>
      </c>
      <c r="H477" t="s">
        <v>33</v>
      </c>
      <c r="I477">
        <v>3289800000</v>
      </c>
      <c r="J477" t="s">
        <v>34</v>
      </c>
      <c r="K477">
        <v>1992</v>
      </c>
      <c r="L477" t="s">
        <v>294</v>
      </c>
      <c r="Q47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7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77" s="107" t="str">
        <f>IFERROR(_xlfn.XLOOKUP("*"&amp;TRIM(Fusion[[#This Row],[Confinement Type]])&amp;"*", Map_Conf[From], Map_Conf[To], "", 2), "")</f>
        <v>MCF</v>
      </c>
      <c r="W477" s="108" t="str" cm="1">
        <f t="array" ref="W4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78" spans="1:23" hidden="1">
      <c r="A478">
        <v>298</v>
      </c>
      <c r="B478" t="s">
        <v>114</v>
      </c>
      <c r="C478" t="s">
        <v>61</v>
      </c>
      <c r="D478" t="s">
        <v>62</v>
      </c>
      <c r="E478">
        <v>1000</v>
      </c>
      <c r="F478" t="s">
        <v>115</v>
      </c>
      <c r="G478" t="s">
        <v>52</v>
      </c>
      <c r="H478" t="s">
        <v>76</v>
      </c>
      <c r="I478">
        <v>5</v>
      </c>
      <c r="J478" t="s">
        <v>77</v>
      </c>
      <c r="K478">
        <v>1992</v>
      </c>
      <c r="L478" t="s">
        <v>294</v>
      </c>
      <c r="Q47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8.9489308624376331</v>
      </c>
      <c r="R47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78" s="107" t="str">
        <f>IFERROR(_xlfn.XLOOKUP("*"&amp;TRIM(Fusion[[#This Row],[Confinement Type]])&amp;"*", Map_Conf[From], Map_Conf[To], "", 2), "")</f>
        <v>MCF</v>
      </c>
      <c r="W478" s="108" t="str" cm="1">
        <f t="array" ref="W4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479" spans="1:23" hidden="1">
      <c r="A479">
        <v>299</v>
      </c>
      <c r="B479" t="s">
        <v>126</v>
      </c>
      <c r="C479" t="s">
        <v>61</v>
      </c>
      <c r="D479" t="s">
        <v>62</v>
      </c>
      <c r="E479">
        <v>1000</v>
      </c>
      <c r="F479" t="s">
        <v>115</v>
      </c>
      <c r="G479" t="s">
        <v>52</v>
      </c>
      <c r="H479" t="s">
        <v>76</v>
      </c>
      <c r="I479">
        <v>3.6</v>
      </c>
      <c r="J479" t="s">
        <v>77</v>
      </c>
      <c r="K479">
        <v>1992</v>
      </c>
      <c r="L479" t="s">
        <v>294</v>
      </c>
      <c r="P479" t="s">
        <v>673</v>
      </c>
      <c r="Q47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6.4432302209550958</v>
      </c>
      <c r="R47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79" s="107" t="str">
        <f>IFERROR(_xlfn.XLOOKUP("*"&amp;TRIM(Fusion[[#This Row],[Confinement Type]])&amp;"*", Map_Conf[From], Map_Conf[To], "", 2), "")</f>
        <v>MCF</v>
      </c>
      <c r="W479" s="108" t="str" cm="1">
        <f t="array" ref="W4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0" spans="1:23" hidden="1">
      <c r="A480">
        <v>300</v>
      </c>
      <c r="B480" t="s">
        <v>301</v>
      </c>
      <c r="C480" t="s">
        <v>61</v>
      </c>
      <c r="D480" t="s">
        <v>62</v>
      </c>
      <c r="E480">
        <v>1000</v>
      </c>
      <c r="F480" t="s">
        <v>115</v>
      </c>
      <c r="G480" t="s">
        <v>52</v>
      </c>
      <c r="H480" t="s">
        <v>76</v>
      </c>
      <c r="I480">
        <v>0.01</v>
      </c>
      <c r="J480" t="s">
        <v>77</v>
      </c>
      <c r="K480">
        <v>1992</v>
      </c>
      <c r="L480" t="s">
        <v>294</v>
      </c>
      <c r="Q48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1.7897861724875265E-2</v>
      </c>
      <c r="R48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80" s="107" t="str">
        <f>IFERROR(_xlfn.XLOOKUP("*"&amp;TRIM(Fusion[[#This Row],[Confinement Type]])&amp;"*", Map_Conf[From], Map_Conf[To], "", 2), "")</f>
        <v>ICF</v>
      </c>
      <c r="W480" s="108" t="str" cm="1">
        <f t="array" ref="W4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81" spans="1:23" hidden="1">
      <c r="A481">
        <v>301</v>
      </c>
      <c r="B481" t="s">
        <v>304</v>
      </c>
      <c r="C481" t="s">
        <v>61</v>
      </c>
      <c r="D481" t="s">
        <v>62</v>
      </c>
      <c r="E481">
        <v>1000</v>
      </c>
      <c r="F481" t="s">
        <v>115</v>
      </c>
      <c r="G481" t="s">
        <v>52</v>
      </c>
      <c r="H481" t="s">
        <v>76</v>
      </c>
      <c r="I481">
        <v>6.6</v>
      </c>
      <c r="J481" t="s">
        <v>77</v>
      </c>
      <c r="K481">
        <v>1992</v>
      </c>
      <c r="L481" t="s">
        <v>294</v>
      </c>
      <c r="Q48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11.812588738417675</v>
      </c>
      <c r="R48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81" s="107" t="str">
        <f>IFERROR(_xlfn.XLOOKUP("*"&amp;TRIM(Fusion[[#This Row],[Confinement Type]])&amp;"*", Map_Conf[From], Map_Conf[To], "", 2), "")</f>
        <v>ICF</v>
      </c>
      <c r="W481" s="108" t="str" cm="1">
        <f t="array" ref="W4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82" spans="1:23" hidden="1">
      <c r="A482">
        <v>302</v>
      </c>
      <c r="B482" t="s">
        <v>126</v>
      </c>
      <c r="C482" t="s">
        <v>61</v>
      </c>
      <c r="D482" t="s">
        <v>62</v>
      </c>
      <c r="E482">
        <v>1000</v>
      </c>
      <c r="F482" t="s">
        <v>31</v>
      </c>
      <c r="G482" t="s">
        <v>52</v>
      </c>
      <c r="H482" t="s">
        <v>33</v>
      </c>
      <c r="I482">
        <v>3060900000</v>
      </c>
      <c r="J482" t="s">
        <v>34</v>
      </c>
      <c r="K482">
        <v>1992</v>
      </c>
      <c r="L482" t="s">
        <v>294</v>
      </c>
      <c r="Q48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8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82" s="107" t="str">
        <f>IFERROR(_xlfn.XLOOKUP("*"&amp;TRIM(Fusion[[#This Row],[Confinement Type]])&amp;"*", Map_Conf[From], Map_Conf[To], "", 2), "")</f>
        <v>MCF</v>
      </c>
      <c r="W482" s="108" t="str" cm="1">
        <f t="array" ref="W4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483" spans="1:23" hidden="1">
      <c r="A483">
        <v>303</v>
      </c>
      <c r="B483" t="s">
        <v>301</v>
      </c>
      <c r="C483" t="s">
        <v>61</v>
      </c>
      <c r="D483" t="s">
        <v>62</v>
      </c>
      <c r="E483">
        <v>1000</v>
      </c>
      <c r="F483" t="s">
        <v>31</v>
      </c>
      <c r="G483" t="s">
        <v>52</v>
      </c>
      <c r="H483" t="s">
        <v>33</v>
      </c>
      <c r="I483">
        <v>3114899999.9999995</v>
      </c>
      <c r="J483" t="s">
        <v>34</v>
      </c>
      <c r="K483">
        <v>1992</v>
      </c>
      <c r="L483" t="s">
        <v>294</v>
      </c>
      <c r="P483" t="s">
        <v>400</v>
      </c>
      <c r="Q48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8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83" s="107" t="str">
        <f>IFERROR(_xlfn.XLOOKUP("*"&amp;TRIM(Fusion[[#This Row],[Confinement Type]])&amp;"*", Map_Conf[From], Map_Conf[To], "", 2), "")</f>
        <v>MCF</v>
      </c>
      <c r="W483" s="108" t="str" cm="1">
        <f t="array" ref="W4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4" spans="1:23" hidden="1">
      <c r="A484">
        <v>304</v>
      </c>
      <c r="B484" t="s">
        <v>304</v>
      </c>
      <c r="C484" t="s">
        <v>61</v>
      </c>
      <c r="D484" t="s">
        <v>62</v>
      </c>
      <c r="E484">
        <v>1000</v>
      </c>
      <c r="F484" t="s">
        <v>31</v>
      </c>
      <c r="G484" t="s">
        <v>52</v>
      </c>
      <c r="H484" t="s">
        <v>33</v>
      </c>
      <c r="I484">
        <v>2746300000</v>
      </c>
      <c r="J484" t="s">
        <v>34</v>
      </c>
      <c r="K484">
        <v>1992</v>
      </c>
      <c r="L484" t="s">
        <v>294</v>
      </c>
      <c r="Q48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8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84" s="107" t="str">
        <f>IFERROR(_xlfn.XLOOKUP("*"&amp;TRIM(Fusion[[#This Row],[Confinement Type]])&amp;"*", Map_Conf[From], Map_Conf[To], "", 2), "")</f>
        <v>MCF</v>
      </c>
      <c r="W484" s="108" t="str" cm="1">
        <f t="array" ref="W4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5" spans="1:23">
      <c r="A485">
        <v>232</v>
      </c>
      <c r="B485" t="s">
        <v>264</v>
      </c>
      <c r="C485" t="s">
        <v>61</v>
      </c>
      <c r="D485" t="s">
        <v>62</v>
      </c>
      <c r="E485">
        <v>1000</v>
      </c>
      <c r="F485" t="s">
        <v>116</v>
      </c>
      <c r="G485" t="s">
        <v>57</v>
      </c>
      <c r="H485" t="s">
        <v>33</v>
      </c>
      <c r="I485">
        <v>98590060.350929901</v>
      </c>
      <c r="J485" t="s">
        <v>34</v>
      </c>
      <c r="K485">
        <v>2010</v>
      </c>
      <c r="L485" t="s">
        <v>262</v>
      </c>
      <c r="Q48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8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113.53346977171438</v>
      </c>
      <c r="V485" s="107" t="str">
        <f>IFERROR(_xlfn.XLOOKUP("*"&amp;TRIM(Fusion[[#This Row],[Confinement Type]])&amp;"*", Map_Conf[From], Map_Conf[To], "", 2), "")</f>
        <v>MCF</v>
      </c>
      <c r="W485" s="108" t="str" cm="1">
        <f t="array" ref="W4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6" spans="1:23" s="4" customFormat="1">
      <c r="A486">
        <v>313</v>
      </c>
      <c r="B486" t="s">
        <v>81</v>
      </c>
      <c r="C486" t="s">
        <v>61</v>
      </c>
      <c r="D486" t="s">
        <v>62</v>
      </c>
      <c r="E486">
        <v>1000</v>
      </c>
      <c r="F486" t="s">
        <v>116</v>
      </c>
      <c r="G486" t="s">
        <v>57</v>
      </c>
      <c r="H486" t="s">
        <v>76</v>
      </c>
      <c r="I486"/>
      <c r="J486" t="s">
        <v>82</v>
      </c>
      <c r="K486">
        <v>1998</v>
      </c>
      <c r="L486" t="s">
        <v>311</v>
      </c>
      <c r="M486"/>
      <c r="N486"/>
      <c r="O486" t="s">
        <v>312</v>
      </c>
      <c r="P486"/>
      <c r="Q48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86"/>
      <c r="V486" s="254" t="str">
        <f>IFERROR(_xlfn.XLOOKUP("*"&amp;TRIM(Fusion[[#This Row],[Confinement Type]])&amp;"*", Map_Conf[From], Map_Conf[To], "", 2), "")</f>
        <v>MCF</v>
      </c>
      <c r="W486" s="255" t="str" cm="1">
        <f t="array" ref="W4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7" spans="1:23">
      <c r="A487">
        <v>319</v>
      </c>
      <c r="B487" t="s">
        <v>81</v>
      </c>
      <c r="C487" t="s">
        <v>61</v>
      </c>
      <c r="D487" t="s">
        <v>62</v>
      </c>
      <c r="E487">
        <v>1000</v>
      </c>
      <c r="F487" t="s">
        <v>116</v>
      </c>
      <c r="G487" t="s">
        <v>32</v>
      </c>
      <c r="H487" t="s">
        <v>76</v>
      </c>
      <c r="J487" t="s">
        <v>82</v>
      </c>
      <c r="K487">
        <v>1998</v>
      </c>
      <c r="L487" t="s">
        <v>311</v>
      </c>
      <c r="O487" t="s">
        <v>320</v>
      </c>
      <c r="Q48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487" s="107" t="str">
        <f>IFERROR(_xlfn.XLOOKUP("*"&amp;TRIM(Fusion[[#This Row],[Confinement Type]])&amp;"*", Map_Conf[From], Map_Conf[To], "", 2), "")</f>
        <v>MCF</v>
      </c>
      <c r="W487" s="108" t="str" cm="1">
        <f t="array" ref="W4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88" spans="1:23">
      <c r="A488">
        <v>321</v>
      </c>
      <c r="B488" t="s">
        <v>81</v>
      </c>
      <c r="C488" t="s">
        <v>61</v>
      </c>
      <c r="D488" t="s">
        <v>62</v>
      </c>
      <c r="E488">
        <v>1000</v>
      </c>
      <c r="F488" t="s">
        <v>116</v>
      </c>
      <c r="G488" t="s">
        <v>32</v>
      </c>
      <c r="H488" t="s">
        <v>76</v>
      </c>
      <c r="J488" t="s">
        <v>82</v>
      </c>
      <c r="K488">
        <v>1998</v>
      </c>
      <c r="L488" t="s">
        <v>311</v>
      </c>
      <c r="O488" t="s">
        <v>321</v>
      </c>
      <c r="P488" t="s">
        <v>159</v>
      </c>
      <c r="Q48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488" s="107" t="str">
        <f>IFERROR(_xlfn.XLOOKUP("*"&amp;TRIM(Fusion[[#This Row],[Confinement Type]])&amp;"*", Map_Conf[From], Map_Conf[To], "", 2), "")</f>
        <v>ICF</v>
      </c>
      <c r="W488" s="108" t="str" cm="1">
        <f t="array" ref="W4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89" spans="1:23">
      <c r="A489">
        <v>322</v>
      </c>
      <c r="B489" t="s">
        <v>81</v>
      </c>
      <c r="C489" t="s">
        <v>61</v>
      </c>
      <c r="D489" t="s">
        <v>62</v>
      </c>
      <c r="E489">
        <v>1000</v>
      </c>
      <c r="F489" t="s">
        <v>116</v>
      </c>
      <c r="G489" t="s">
        <v>57</v>
      </c>
      <c r="H489" t="s">
        <v>76</v>
      </c>
      <c r="J489" t="s">
        <v>82</v>
      </c>
      <c r="K489">
        <v>1998</v>
      </c>
      <c r="L489" t="s">
        <v>311</v>
      </c>
      <c r="O489" t="s">
        <v>322</v>
      </c>
      <c r="Q48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489" s="107" t="str">
        <f>IFERROR(_xlfn.XLOOKUP("*"&amp;TRIM(Fusion[[#This Row],[Confinement Type]])&amp;"*", Map_Conf[From], Map_Conf[To], "", 2), "")</f>
        <v>MCF</v>
      </c>
      <c r="W489" s="108" t="str" cm="1">
        <f t="array" ref="W4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0" spans="1:23">
      <c r="A490">
        <v>326</v>
      </c>
      <c r="B490" t="s">
        <v>81</v>
      </c>
      <c r="C490" t="s">
        <v>61</v>
      </c>
      <c r="D490" t="s">
        <v>62</v>
      </c>
      <c r="E490">
        <v>1000</v>
      </c>
      <c r="F490" t="s">
        <v>116</v>
      </c>
      <c r="G490" t="s">
        <v>52</v>
      </c>
      <c r="H490" t="s">
        <v>76</v>
      </c>
      <c r="J490" t="s">
        <v>82</v>
      </c>
      <c r="K490">
        <v>1998</v>
      </c>
      <c r="L490" t="s">
        <v>311</v>
      </c>
      <c r="O490" t="s">
        <v>323</v>
      </c>
      <c r="Q49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490" s="107" t="str">
        <f>IFERROR(_xlfn.XLOOKUP("*"&amp;TRIM(Fusion[[#This Row],[Confinement Type]])&amp;"*", Map_Conf[From], Map_Conf[To], "", 2), "")</f>
        <v>MCF</v>
      </c>
      <c r="W490" s="108" t="str" cm="1">
        <f t="array" ref="W4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1" spans="1:23">
      <c r="A491">
        <v>327</v>
      </c>
      <c r="B491" t="s">
        <v>81</v>
      </c>
      <c r="C491" t="s">
        <v>61</v>
      </c>
      <c r="D491" t="s">
        <v>62</v>
      </c>
      <c r="E491">
        <v>1000</v>
      </c>
      <c r="F491" t="s">
        <v>116</v>
      </c>
      <c r="G491" t="s">
        <v>754</v>
      </c>
      <c r="H491" t="s">
        <v>76</v>
      </c>
      <c r="J491" t="s">
        <v>82</v>
      </c>
      <c r="K491">
        <v>1998</v>
      </c>
      <c r="L491" t="s">
        <v>311</v>
      </c>
      <c r="O491" s="4" t="s">
        <v>324</v>
      </c>
      <c r="Q49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491" s="107" t="str">
        <f>IFERROR(_xlfn.XLOOKUP("*"&amp;TRIM(Fusion[[#This Row],[Confinement Type]])&amp;"*", Map_Conf[From], Map_Conf[To], "", 2), "")</f>
        <v>MCF</v>
      </c>
      <c r="W491" s="108" t="str" cm="1">
        <f t="array" ref="W4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2" spans="1:23" hidden="1">
      <c r="A492">
        <v>312</v>
      </c>
      <c r="B492" t="s">
        <v>79</v>
      </c>
      <c r="C492" t="s">
        <v>61</v>
      </c>
      <c r="D492" t="s">
        <v>62</v>
      </c>
      <c r="F492" t="s">
        <v>308</v>
      </c>
      <c r="G492" t="s">
        <v>32</v>
      </c>
      <c r="H492" t="s">
        <v>33</v>
      </c>
      <c r="I492">
        <v>25000000000</v>
      </c>
      <c r="J492" t="s">
        <v>34</v>
      </c>
      <c r="K492">
        <v>2017</v>
      </c>
      <c r="L492" t="s">
        <v>309</v>
      </c>
      <c r="O492" t="s">
        <v>310</v>
      </c>
      <c r="Q49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9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92" s="107" t="str">
        <f>IFERROR(_xlfn.XLOOKUP("*"&amp;TRIM(Fusion[[#This Row],[Confinement Type]])&amp;"*", Map_Conf[From], Map_Conf[To], "", 2), "")</f>
        <v>MIF</v>
      </c>
      <c r="W492" s="108" t="str" cm="1">
        <f t="array" ref="W4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493" spans="1:23" hidden="1">
      <c r="A493">
        <v>331</v>
      </c>
      <c r="B493" t="s">
        <v>325</v>
      </c>
      <c r="C493" t="s">
        <v>61</v>
      </c>
      <c r="D493" t="s">
        <v>326</v>
      </c>
      <c r="E493">
        <v>1100</v>
      </c>
      <c r="F493" t="s">
        <v>31</v>
      </c>
      <c r="G493" t="s">
        <v>52</v>
      </c>
      <c r="H493" t="s">
        <v>33</v>
      </c>
      <c r="I493">
        <v>3637000000</v>
      </c>
      <c r="J493" t="s">
        <v>34</v>
      </c>
      <c r="K493">
        <v>1982</v>
      </c>
      <c r="L493" t="s">
        <v>327</v>
      </c>
      <c r="O493" t="s">
        <v>329</v>
      </c>
      <c r="Q49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9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93" s="107" t="str">
        <f>IFERROR(_xlfn.XLOOKUP("*"&amp;TRIM(Fusion[[#This Row],[Confinement Type]])&amp;"*", Map_Conf[From], Map_Conf[To], "", 2), "")</f>
        <v>MCF</v>
      </c>
      <c r="W493" s="108" t="str" cm="1">
        <f t="array" ref="W4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4" spans="1:23" hidden="1">
      <c r="A494">
        <v>332</v>
      </c>
      <c r="B494" t="s">
        <v>330</v>
      </c>
      <c r="C494" t="s">
        <v>61</v>
      </c>
      <c r="D494" t="s">
        <v>62</v>
      </c>
      <c r="E494">
        <v>190</v>
      </c>
      <c r="F494" t="s">
        <v>902</v>
      </c>
      <c r="G494" t="s">
        <v>32</v>
      </c>
      <c r="H494" t="s">
        <v>33</v>
      </c>
      <c r="I494">
        <v>5300000000</v>
      </c>
      <c r="J494" t="s">
        <v>34</v>
      </c>
      <c r="K494">
        <v>2010</v>
      </c>
      <c r="L494" t="s">
        <v>331</v>
      </c>
      <c r="O494" t="s">
        <v>332</v>
      </c>
      <c r="Q49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9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94" s="107" t="str">
        <f>IFERROR(_xlfn.XLOOKUP("*"&amp;TRIM(Fusion[[#This Row],[Confinement Type]])&amp;"*", Map_Conf[From], Map_Conf[To], "", 2), "")</f>
        <v>MCF</v>
      </c>
      <c r="W494" s="108" t="str" cm="1">
        <f t="array" ref="W4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5" spans="1:23" hidden="1">
      <c r="A495">
        <v>334</v>
      </c>
      <c r="B495" t="s">
        <v>335</v>
      </c>
      <c r="C495" t="s">
        <v>61</v>
      </c>
      <c r="D495" t="s">
        <v>62</v>
      </c>
      <c r="E495">
        <v>250</v>
      </c>
      <c r="F495" t="s">
        <v>902</v>
      </c>
      <c r="G495" t="s">
        <v>57</v>
      </c>
      <c r="H495" t="s">
        <v>33</v>
      </c>
      <c r="I495">
        <v>2800000000</v>
      </c>
      <c r="J495" t="s">
        <v>34</v>
      </c>
      <c r="K495">
        <v>2010</v>
      </c>
      <c r="L495" t="s">
        <v>331</v>
      </c>
      <c r="O495" t="s">
        <v>336</v>
      </c>
      <c r="Q49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9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95" s="107" t="str">
        <f>IFERROR(_xlfn.XLOOKUP("*"&amp;TRIM(Fusion[[#This Row],[Confinement Type]])&amp;"*", Map_Conf[From], Map_Conf[To], "", 2), "")</f>
        <v>ICF</v>
      </c>
      <c r="W495" s="108" t="str" cm="1">
        <f t="array" ref="W4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496" spans="1:23" hidden="1">
      <c r="A496">
        <v>121</v>
      </c>
      <c r="B496" t="s">
        <v>176</v>
      </c>
      <c r="C496" t="s">
        <v>61</v>
      </c>
      <c r="D496" t="s">
        <v>62</v>
      </c>
      <c r="E496">
        <v>1200</v>
      </c>
      <c r="F496" t="s">
        <v>63</v>
      </c>
      <c r="G496" t="s">
        <v>52</v>
      </c>
      <c r="H496" t="s">
        <v>76</v>
      </c>
      <c r="I496">
        <v>0.35563751317175973</v>
      </c>
      <c r="J496" t="s">
        <v>128</v>
      </c>
      <c r="K496">
        <v>1986</v>
      </c>
      <c r="L496" t="s">
        <v>147</v>
      </c>
      <c r="O496" t="s">
        <v>159</v>
      </c>
      <c r="P496" t="s">
        <v>504</v>
      </c>
      <c r="Q49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0.81480902390530185</v>
      </c>
      <c r="R49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96" s="107" t="str">
        <f>IFERROR(_xlfn.XLOOKUP("*"&amp;TRIM(Fusion[[#This Row],[Confinement Type]])&amp;"*", Map_Conf[From], Map_Conf[To], "", 2), "")</f>
        <v>MCF</v>
      </c>
      <c r="W496" s="108" t="str" cm="1">
        <f t="array" ref="W4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7" spans="1:23" hidden="1">
      <c r="A497" s="4">
        <v>336</v>
      </c>
      <c r="B497" s="4" t="s">
        <v>337</v>
      </c>
      <c r="C497" s="4" t="s">
        <v>61</v>
      </c>
      <c r="D497" s="4" t="s">
        <v>62</v>
      </c>
      <c r="E497" s="4">
        <v>500</v>
      </c>
      <c r="F497" s="4" t="s">
        <v>902</v>
      </c>
      <c r="G497" s="4" t="s">
        <v>32</v>
      </c>
      <c r="H497" s="4" t="s">
        <v>33</v>
      </c>
      <c r="I497" s="4">
        <v>5900000000</v>
      </c>
      <c r="J497" s="4" t="s">
        <v>34</v>
      </c>
      <c r="K497" s="4">
        <v>2010</v>
      </c>
      <c r="L497" s="4" t="s">
        <v>331</v>
      </c>
      <c r="O497" s="4" t="s">
        <v>338</v>
      </c>
      <c r="P497" s="4"/>
      <c r="Q497"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9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97" s="107" t="str">
        <f>IFERROR(_xlfn.XLOOKUP("*"&amp;TRIM(Fusion[[#This Row],[Confinement Type]])&amp;"*", Map_Conf[From], Map_Conf[To], "", 2), "")</f>
        <v>MCF</v>
      </c>
      <c r="W497" s="108" t="str" cm="1">
        <f t="array" ref="W4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8" spans="1:23">
      <c r="A498" s="4">
        <v>330</v>
      </c>
      <c r="B498" s="4" t="s">
        <v>325</v>
      </c>
      <c r="C498" s="4" t="s">
        <v>61</v>
      </c>
      <c r="D498" s="4" t="s">
        <v>326</v>
      </c>
      <c r="E498" s="4">
        <v>1100</v>
      </c>
      <c r="F498" s="4" t="s">
        <v>116</v>
      </c>
      <c r="G498" s="4" t="s">
        <v>52</v>
      </c>
      <c r="H498" s="4" t="s">
        <v>33</v>
      </c>
      <c r="I498" s="4">
        <v>73000000</v>
      </c>
      <c r="J498" s="4" t="s">
        <v>34</v>
      </c>
      <c r="K498" s="4">
        <v>1982</v>
      </c>
      <c r="L498" s="4" t="s">
        <v>327</v>
      </c>
      <c r="O498" s="4"/>
      <c r="P498" s="4"/>
      <c r="Q498"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49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172.68780970325011</v>
      </c>
      <c r="V498" s="107" t="str">
        <f>IFERROR(_xlfn.XLOOKUP("*"&amp;TRIM(Fusion[[#This Row],[Confinement Type]])&amp;"*", Map_Conf[From], Map_Conf[To], "", 2), "")</f>
        <v>MCF</v>
      </c>
      <c r="W498" s="108" t="str" cm="1">
        <f t="array" ref="W4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499" spans="1:23" hidden="1">
      <c r="B499" t="s">
        <v>795</v>
      </c>
      <c r="C499" t="s">
        <v>30</v>
      </c>
      <c r="D499" t="s">
        <v>796</v>
      </c>
      <c r="E499">
        <v>972</v>
      </c>
      <c r="F499" t="s">
        <v>63</v>
      </c>
      <c r="G499" t="s">
        <v>52</v>
      </c>
      <c r="H499" t="s">
        <v>76</v>
      </c>
      <c r="I499">
        <v>0.60348890425300639</v>
      </c>
      <c r="J499" t="s">
        <v>128</v>
      </c>
      <c r="K499">
        <v>1991</v>
      </c>
      <c r="L499" t="s">
        <v>799</v>
      </c>
      <c r="O499" t="s">
        <v>806</v>
      </c>
      <c r="Q49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1.1126306041135072</v>
      </c>
      <c r="R49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499" s="107" t="str">
        <f>IFERROR(_xlfn.XLOOKUP("*"&amp;TRIM(Fusion[[#This Row],[Confinement Type]])&amp;"*", Map_Conf[From], Map_Conf[To], "", 2), "")</f>
        <v>MCF</v>
      </c>
      <c r="W499" s="108" t="str" cm="1">
        <f t="array" ref="W4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500" spans="1:23" hidden="1">
      <c r="A500" s="4">
        <v>339</v>
      </c>
      <c r="B500" s="4" t="s">
        <v>340</v>
      </c>
      <c r="C500" s="4" t="s">
        <v>61</v>
      </c>
      <c r="D500" s="4" t="s">
        <v>62</v>
      </c>
      <c r="E500" s="4">
        <v>500</v>
      </c>
      <c r="F500" s="4" t="s">
        <v>902</v>
      </c>
      <c r="G500" s="4" t="s">
        <v>57</v>
      </c>
      <c r="H500" s="4" t="s">
        <v>33</v>
      </c>
      <c r="I500" s="4">
        <v>4200000000</v>
      </c>
      <c r="J500" s="4" t="s">
        <v>34</v>
      </c>
      <c r="K500" s="4">
        <v>2010</v>
      </c>
      <c r="L500" s="4" t="s">
        <v>331</v>
      </c>
      <c r="O500" s="4" t="s">
        <v>339</v>
      </c>
      <c r="P500" s="4" t="s">
        <v>400</v>
      </c>
      <c r="Q500"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0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00" s="107" t="str">
        <f>IFERROR(_xlfn.XLOOKUP("*"&amp;TRIM(Fusion[[#This Row],[Confinement Type]])&amp;"*", Map_Conf[From], Map_Conf[To], "", 2), "")</f>
        <v>ICF</v>
      </c>
      <c r="W500" s="108" t="str" cm="1">
        <f t="array" ref="W5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01" spans="1:23" hidden="1">
      <c r="A501">
        <v>341</v>
      </c>
      <c r="B501" t="s">
        <v>342</v>
      </c>
      <c r="C501" t="s">
        <v>61</v>
      </c>
      <c r="D501" t="s">
        <v>62</v>
      </c>
      <c r="E501">
        <v>500</v>
      </c>
      <c r="F501" t="s">
        <v>902</v>
      </c>
      <c r="G501" t="s">
        <v>32</v>
      </c>
      <c r="H501" t="s">
        <v>33</v>
      </c>
      <c r="I501">
        <v>8500000000</v>
      </c>
      <c r="J501" t="s">
        <v>34</v>
      </c>
      <c r="K501">
        <v>2010</v>
      </c>
      <c r="L501" t="s">
        <v>331</v>
      </c>
      <c r="O501" t="s">
        <v>338</v>
      </c>
      <c r="P501" t="s">
        <v>504</v>
      </c>
      <c r="Q50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0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01" s="107" t="str">
        <f>IFERROR(_xlfn.XLOOKUP("*"&amp;TRIM(Fusion[[#This Row],[Confinement Type]])&amp;"*", Map_Conf[From], Map_Conf[To], "", 2), "")</f>
        <v>ICF</v>
      </c>
      <c r="W501" s="108" t="str" cm="1">
        <f t="array" ref="W5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02" spans="1:23">
      <c r="B502" t="s">
        <v>337</v>
      </c>
      <c r="C502" t="s">
        <v>61</v>
      </c>
      <c r="D502" t="s">
        <v>62</v>
      </c>
      <c r="E502">
        <v>500</v>
      </c>
      <c r="F502" t="s">
        <v>669</v>
      </c>
      <c r="G502" t="s">
        <v>32</v>
      </c>
      <c r="H502" t="s">
        <v>33</v>
      </c>
      <c r="I502">
        <v>33000000</v>
      </c>
      <c r="J502" t="s">
        <v>34</v>
      </c>
      <c r="K502">
        <v>2010</v>
      </c>
      <c r="L502" t="s">
        <v>331</v>
      </c>
      <c r="O502" t="s">
        <v>341</v>
      </c>
      <c r="Q50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0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76.003696298198619</v>
      </c>
      <c r="V502" s="107" t="str">
        <f>IFERROR(_xlfn.XLOOKUP("*"&amp;TRIM(Fusion[[#This Row],[Confinement Type]])&amp;"*", Map_Conf[From], Map_Conf[To], "", 2), "")</f>
        <v>MCF</v>
      </c>
      <c r="W502" s="108" t="str" cm="1">
        <f t="array" ref="W5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3" spans="1:23" hidden="1">
      <c r="A503">
        <v>351</v>
      </c>
      <c r="B503" t="s">
        <v>343</v>
      </c>
      <c r="C503" t="s">
        <v>61</v>
      </c>
      <c r="D503" t="s">
        <v>62</v>
      </c>
      <c r="E503">
        <v>1500</v>
      </c>
      <c r="F503" t="s">
        <v>75</v>
      </c>
      <c r="G503" t="s">
        <v>52</v>
      </c>
      <c r="H503" t="s">
        <v>76</v>
      </c>
      <c r="I503">
        <v>157</v>
      </c>
      <c r="J503" t="s">
        <v>128</v>
      </c>
      <c r="K503">
        <v>2020</v>
      </c>
      <c r="L503" t="s">
        <v>344</v>
      </c>
      <c r="O503" t="s">
        <v>352</v>
      </c>
      <c r="Q50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152.3265974011924</v>
      </c>
      <c r="R50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03" s="107" t="str">
        <f>IFERROR(_xlfn.XLOOKUP("*"&amp;TRIM(Fusion[[#This Row],[Confinement Type]])&amp;"*", Map_Conf[From], Map_Conf[To], "", 2), "")</f>
        <v>MCF</v>
      </c>
      <c r="W503" s="108" t="str" cm="1">
        <f t="array" ref="W5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4" spans="1:23" hidden="1">
      <c r="A504">
        <v>352</v>
      </c>
      <c r="B504" t="s">
        <v>347</v>
      </c>
      <c r="C504" t="s">
        <v>61</v>
      </c>
      <c r="D504" t="s">
        <v>62</v>
      </c>
      <c r="E504">
        <v>1500</v>
      </c>
      <c r="F504" t="s">
        <v>75</v>
      </c>
      <c r="G504" t="s">
        <v>52</v>
      </c>
      <c r="H504" t="s">
        <v>76</v>
      </c>
      <c r="I504">
        <v>84</v>
      </c>
      <c r="J504" t="s">
        <v>128</v>
      </c>
      <c r="K504">
        <v>2020</v>
      </c>
      <c r="L504" t="s">
        <v>344</v>
      </c>
      <c r="O504" t="s">
        <v>352</v>
      </c>
      <c r="Q50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81.499580775160268</v>
      </c>
      <c r="R50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04" s="107" t="str">
        <f>IFERROR(_xlfn.XLOOKUP("*"&amp;TRIM(Fusion[[#This Row],[Confinement Type]])&amp;"*", Map_Conf[From], Map_Conf[To], "", 2), "")</f>
        <v>ICF</v>
      </c>
      <c r="W504" s="108" t="str" cm="1">
        <f t="array" ref="W5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05" spans="1:23" hidden="1">
      <c r="A505">
        <v>353</v>
      </c>
      <c r="B505" t="s">
        <v>348</v>
      </c>
      <c r="C505" t="s">
        <v>61</v>
      </c>
      <c r="D505" t="s">
        <v>62</v>
      </c>
      <c r="E505">
        <v>200</v>
      </c>
      <c r="F505" t="s">
        <v>75</v>
      </c>
      <c r="G505" t="s">
        <v>754</v>
      </c>
      <c r="H505" t="s">
        <v>76</v>
      </c>
      <c r="I505">
        <v>100</v>
      </c>
      <c r="J505" t="s">
        <v>128</v>
      </c>
      <c r="K505">
        <v>2020</v>
      </c>
      <c r="L505" t="s">
        <v>344</v>
      </c>
      <c r="O505" t="s">
        <v>352</v>
      </c>
      <c r="Q50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97.023310446619362</v>
      </c>
      <c r="R50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05" s="107" t="str">
        <f>IFERROR(_xlfn.XLOOKUP("*"&amp;TRIM(Fusion[[#This Row],[Confinement Type]])&amp;"*", Map_Conf[From], Map_Conf[To], "", 2), "")</f>
        <v>MCF</v>
      </c>
      <c r="W505" s="108" t="str" cm="1">
        <f t="array" ref="W5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6" spans="1:23" hidden="1">
      <c r="A506">
        <v>354</v>
      </c>
      <c r="B506" t="s">
        <v>343</v>
      </c>
      <c r="C506" t="s">
        <v>61</v>
      </c>
      <c r="D506" t="s">
        <v>62</v>
      </c>
      <c r="E506">
        <v>1500</v>
      </c>
      <c r="F506" t="s">
        <v>75</v>
      </c>
      <c r="G506" t="s">
        <v>52</v>
      </c>
      <c r="H506" t="s">
        <v>76</v>
      </c>
      <c r="I506">
        <v>200</v>
      </c>
      <c r="J506" t="s">
        <v>128</v>
      </c>
      <c r="K506">
        <v>2020</v>
      </c>
      <c r="L506" t="s">
        <v>344</v>
      </c>
      <c r="O506" t="s">
        <v>353</v>
      </c>
      <c r="P506" t="s">
        <v>216</v>
      </c>
      <c r="Q50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194.04662089323872</v>
      </c>
      <c r="R50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06" s="107" t="str">
        <f>IFERROR(_xlfn.XLOOKUP("*"&amp;TRIM(Fusion[[#This Row],[Confinement Type]])&amp;"*", Map_Conf[From], Map_Conf[To], "", 2), "")</f>
        <v>MCF</v>
      </c>
      <c r="W506" s="108" t="str" cm="1">
        <f t="array" ref="W5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7" spans="1:23" hidden="1">
      <c r="A507">
        <v>355</v>
      </c>
      <c r="B507" t="s">
        <v>347</v>
      </c>
      <c r="C507" t="s">
        <v>61</v>
      </c>
      <c r="D507" t="s">
        <v>62</v>
      </c>
      <c r="E507">
        <v>1500</v>
      </c>
      <c r="F507" t="s">
        <v>75</v>
      </c>
      <c r="G507" t="s">
        <v>52</v>
      </c>
      <c r="H507" t="s">
        <v>76</v>
      </c>
      <c r="I507">
        <v>106</v>
      </c>
      <c r="J507" t="s">
        <v>128</v>
      </c>
      <c r="K507">
        <v>2020</v>
      </c>
      <c r="L507" t="s">
        <v>344</v>
      </c>
      <c r="O507" t="s">
        <v>353</v>
      </c>
      <c r="P507" t="s">
        <v>691</v>
      </c>
      <c r="Q50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102.84470907341652</v>
      </c>
      <c r="R50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07" s="107" t="str">
        <f>IFERROR(_xlfn.XLOOKUP("*"&amp;TRIM(Fusion[[#This Row],[Confinement Type]])&amp;"*", Map_Conf[From], Map_Conf[To], "", 2), "")</f>
        <v>ICF</v>
      </c>
      <c r="W507" s="108" t="str" cm="1">
        <f t="array" ref="W5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08" spans="1:23" hidden="1">
      <c r="A508">
        <v>356</v>
      </c>
      <c r="B508" t="s">
        <v>348</v>
      </c>
      <c r="C508" t="s">
        <v>61</v>
      </c>
      <c r="D508" t="s">
        <v>62</v>
      </c>
      <c r="E508">
        <v>200</v>
      </c>
      <c r="F508" t="s">
        <v>75</v>
      </c>
      <c r="G508" t="s">
        <v>754</v>
      </c>
      <c r="H508" t="s">
        <v>76</v>
      </c>
      <c r="I508">
        <v>121</v>
      </c>
      <c r="J508" t="s">
        <v>128</v>
      </c>
      <c r="K508">
        <v>2020</v>
      </c>
      <c r="L508" t="s">
        <v>344</v>
      </c>
      <c r="O508" t="s">
        <v>353</v>
      </c>
      <c r="Q50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117.39820564040943</v>
      </c>
      <c r="R50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08" s="107" t="str">
        <f>IFERROR(_xlfn.XLOOKUP("*"&amp;TRIM(Fusion[[#This Row],[Confinement Type]])&amp;"*", Map_Conf[From], Map_Conf[To], "", 2), "")</f>
        <v>MCF</v>
      </c>
      <c r="W508" s="108" t="str" cm="1">
        <f t="array" ref="W5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09" spans="1:23" hidden="1">
      <c r="A509">
        <v>357</v>
      </c>
      <c r="B509" t="s">
        <v>343</v>
      </c>
      <c r="C509" t="s">
        <v>61</v>
      </c>
      <c r="D509" t="s">
        <v>62</v>
      </c>
      <c r="E509">
        <v>1500</v>
      </c>
      <c r="F509" t="s">
        <v>75</v>
      </c>
      <c r="G509" t="s">
        <v>52</v>
      </c>
      <c r="H509" t="s">
        <v>76</v>
      </c>
      <c r="I509">
        <v>255</v>
      </c>
      <c r="J509" t="s">
        <v>128</v>
      </c>
      <c r="K509">
        <v>2020</v>
      </c>
      <c r="L509" t="s">
        <v>344</v>
      </c>
      <c r="O509" t="s">
        <v>354</v>
      </c>
      <c r="Q50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247.40944163887937</v>
      </c>
      <c r="R50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09" s="107" t="str">
        <f>IFERROR(_xlfn.XLOOKUP("*"&amp;TRIM(Fusion[[#This Row],[Confinement Type]])&amp;"*", Map_Conf[From], Map_Conf[To], "", 2), "")</f>
        <v>MCF</v>
      </c>
      <c r="W509" s="108" t="str" cm="1">
        <f t="array" ref="W5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0" spans="1:23" hidden="1">
      <c r="A510">
        <v>358</v>
      </c>
      <c r="B510" t="s">
        <v>347</v>
      </c>
      <c r="C510" t="s">
        <v>61</v>
      </c>
      <c r="D510" t="s">
        <v>62</v>
      </c>
      <c r="E510">
        <v>1500</v>
      </c>
      <c r="F510" t="s">
        <v>75</v>
      </c>
      <c r="G510" t="s">
        <v>52</v>
      </c>
      <c r="H510" t="s">
        <v>76</v>
      </c>
      <c r="I510">
        <v>122</v>
      </c>
      <c r="J510" t="s">
        <v>128</v>
      </c>
      <c r="K510">
        <v>2020</v>
      </c>
      <c r="L510" t="s">
        <v>344</v>
      </c>
      <c r="O510" t="s">
        <v>354</v>
      </c>
      <c r="Q51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118.36843874487562</v>
      </c>
      <c r="R51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10" s="107" t="str">
        <f>IFERROR(_xlfn.XLOOKUP("*"&amp;TRIM(Fusion[[#This Row],[Confinement Type]])&amp;"*", Map_Conf[From], Map_Conf[To], "", 2), "")</f>
        <v>MCF</v>
      </c>
      <c r="W510" s="108" t="str" cm="1">
        <f t="array" ref="W5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1" spans="1:23" hidden="1">
      <c r="A511">
        <v>359</v>
      </c>
      <c r="B511" t="s">
        <v>348</v>
      </c>
      <c r="C511" t="s">
        <v>61</v>
      </c>
      <c r="D511" t="s">
        <v>62</v>
      </c>
      <c r="E511">
        <v>200</v>
      </c>
      <c r="F511" t="s">
        <v>75</v>
      </c>
      <c r="G511" t="s">
        <v>754</v>
      </c>
      <c r="H511" t="s">
        <v>76</v>
      </c>
      <c r="I511">
        <v>145</v>
      </c>
      <c r="J511" t="s">
        <v>128</v>
      </c>
      <c r="K511">
        <v>2020</v>
      </c>
      <c r="L511" t="s">
        <v>344</v>
      </c>
      <c r="O511" t="s">
        <v>354</v>
      </c>
      <c r="Q51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140.68380014759808</v>
      </c>
      <c r="R51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11" s="107" t="str">
        <f>IFERROR(_xlfn.XLOOKUP("*"&amp;TRIM(Fusion[[#This Row],[Confinement Type]])&amp;"*", Map_Conf[From], Map_Conf[To], "", 2), "")</f>
        <v>MCF</v>
      </c>
      <c r="W511" s="108" t="str" cm="1">
        <f t="array" ref="W5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512" spans="1:23" hidden="1">
      <c r="A512">
        <v>360</v>
      </c>
      <c r="B512" t="s">
        <v>81</v>
      </c>
      <c r="C512" t="s">
        <v>61</v>
      </c>
      <c r="D512" t="s">
        <v>62</v>
      </c>
      <c r="E512">
        <v>1500</v>
      </c>
      <c r="F512" t="s">
        <v>75</v>
      </c>
      <c r="G512" t="s">
        <v>57</v>
      </c>
      <c r="H512" t="s">
        <v>76</v>
      </c>
      <c r="I512">
        <v>45</v>
      </c>
      <c r="J512" t="s">
        <v>128</v>
      </c>
      <c r="K512">
        <v>2004</v>
      </c>
      <c r="L512" t="s">
        <v>355</v>
      </c>
      <c r="O512" t="s">
        <v>356</v>
      </c>
      <c r="P512" t="s">
        <v>380</v>
      </c>
      <c r="Q51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59.819031233456847</v>
      </c>
      <c r="R51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12" s="107" t="str">
        <f>IFERROR(_xlfn.XLOOKUP("*"&amp;TRIM(Fusion[[#This Row],[Confinement Type]])&amp;"*", Map_Conf[From], Map_Conf[To], "", 2), "")</f>
        <v>MCF</v>
      </c>
      <c r="W512" s="108" t="str" cm="1">
        <f t="array" ref="W5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3" spans="1:23" hidden="1">
      <c r="A513">
        <v>361</v>
      </c>
      <c r="B513" t="s">
        <v>81</v>
      </c>
      <c r="C513" t="s">
        <v>61</v>
      </c>
      <c r="D513" t="s">
        <v>62</v>
      </c>
      <c r="E513">
        <v>1500</v>
      </c>
      <c r="F513" t="s">
        <v>75</v>
      </c>
      <c r="G513" t="s">
        <v>57</v>
      </c>
      <c r="H513" t="s">
        <v>76</v>
      </c>
      <c r="I513">
        <v>65</v>
      </c>
      <c r="J513" t="s">
        <v>128</v>
      </c>
      <c r="K513">
        <v>2004</v>
      </c>
      <c r="L513" t="s">
        <v>355</v>
      </c>
      <c r="O513" t="s">
        <v>356</v>
      </c>
      <c r="Q51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86.405267337215449</v>
      </c>
      <c r="R51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13" s="107" t="str">
        <f>IFERROR(_xlfn.XLOOKUP("*"&amp;TRIM(Fusion[[#This Row],[Confinement Type]])&amp;"*", Map_Conf[From], Map_Conf[To], "", 2), "")</f>
        <v>MCF</v>
      </c>
      <c r="W513" s="108" t="str" cm="1">
        <f t="array" ref="W5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514" spans="1:23" hidden="1">
      <c r="A514">
        <v>362</v>
      </c>
      <c r="B514" t="s">
        <v>81</v>
      </c>
      <c r="C514" t="s">
        <v>61</v>
      </c>
      <c r="D514" t="s">
        <v>62</v>
      </c>
      <c r="E514">
        <v>1500</v>
      </c>
      <c r="F514" t="s">
        <v>75</v>
      </c>
      <c r="G514" t="s">
        <v>57</v>
      </c>
      <c r="H514" t="s">
        <v>76</v>
      </c>
      <c r="I514">
        <v>90</v>
      </c>
      <c r="J514" t="s">
        <v>128</v>
      </c>
      <c r="K514">
        <v>2004</v>
      </c>
      <c r="L514" t="s">
        <v>355</v>
      </c>
      <c r="O514" t="s">
        <v>356</v>
      </c>
      <c r="Q51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119.63806246691369</v>
      </c>
      <c r="R51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14" s="107" t="str">
        <f>IFERROR(_xlfn.XLOOKUP("*"&amp;TRIM(Fusion[[#This Row],[Confinement Type]])&amp;"*", Map_Conf[From], Map_Conf[To], "", 2), "")</f>
        <v>MCF</v>
      </c>
      <c r="W514" s="108" t="str" cm="1">
        <f t="array" ref="W5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5" spans="1:23" hidden="1">
      <c r="A515">
        <v>363</v>
      </c>
      <c r="B515" t="s">
        <v>357</v>
      </c>
      <c r="C515" t="s">
        <v>61</v>
      </c>
      <c r="D515" t="s">
        <v>62</v>
      </c>
      <c r="E515">
        <v>1546</v>
      </c>
      <c r="F515" t="s">
        <v>75</v>
      </c>
      <c r="G515" t="s">
        <v>52</v>
      </c>
      <c r="H515" t="s">
        <v>76</v>
      </c>
      <c r="I515">
        <v>50</v>
      </c>
      <c r="J515" t="s">
        <v>88</v>
      </c>
      <c r="K515">
        <v>2004</v>
      </c>
      <c r="L515" t="s">
        <v>358</v>
      </c>
      <c r="Q51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82.669901164637366</v>
      </c>
      <c r="R51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15" s="107" t="str">
        <f>IFERROR(_xlfn.XLOOKUP("*"&amp;TRIM(Fusion[[#This Row],[Confinement Type]])&amp;"*", Map_Conf[From], Map_Conf[To], "", 2), "")</f>
        <v>MCF</v>
      </c>
      <c r="W515" s="108" t="str" cm="1">
        <f t="array" ref="W5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6" spans="1:23" hidden="1">
      <c r="A516">
        <v>364</v>
      </c>
      <c r="B516" t="s">
        <v>359</v>
      </c>
      <c r="C516" t="s">
        <v>61</v>
      </c>
      <c r="D516" t="s">
        <v>62</v>
      </c>
      <c r="E516">
        <v>1546</v>
      </c>
      <c r="F516" t="s">
        <v>75</v>
      </c>
      <c r="G516" t="s">
        <v>32</v>
      </c>
      <c r="H516" t="s">
        <v>76</v>
      </c>
      <c r="I516">
        <v>90</v>
      </c>
      <c r="J516" t="s">
        <v>88</v>
      </c>
      <c r="K516">
        <v>2004</v>
      </c>
      <c r="L516" t="s">
        <v>358</v>
      </c>
      <c r="Q51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148.80582209634727</v>
      </c>
      <c r="R51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16" s="107" t="str">
        <f>IFERROR(_xlfn.XLOOKUP("*"&amp;TRIM(Fusion[[#This Row],[Confinement Type]])&amp;"*", Map_Conf[From], Map_Conf[To], "", 2), "")</f>
        <v>MCF</v>
      </c>
      <c r="W516" s="108" t="str" cm="1">
        <f t="array" ref="W5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17" spans="1:23" hidden="1">
      <c r="A517">
        <v>365</v>
      </c>
      <c r="B517" t="s">
        <v>360</v>
      </c>
      <c r="C517" t="s">
        <v>61</v>
      </c>
      <c r="D517" t="s">
        <v>62</v>
      </c>
      <c r="E517">
        <v>1500</v>
      </c>
      <c r="F517" t="s">
        <v>75</v>
      </c>
      <c r="G517" t="s">
        <v>52</v>
      </c>
      <c r="H517" t="s">
        <v>76</v>
      </c>
      <c r="I517">
        <v>50</v>
      </c>
      <c r="J517" t="s">
        <v>88</v>
      </c>
      <c r="K517">
        <v>2004</v>
      </c>
      <c r="L517" t="s">
        <v>358</v>
      </c>
      <c r="Q51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82.669901164637366</v>
      </c>
      <c r="R51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17" s="107" t="str">
        <f>IFERROR(_xlfn.XLOOKUP("*"&amp;TRIM(Fusion[[#This Row],[Confinement Type]])&amp;"*", Map_Conf[From], Map_Conf[To], "", 2), "")</f>
        <v>MCF</v>
      </c>
      <c r="W517" s="108" t="str" cm="1">
        <f t="array" ref="W5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18" spans="1:23" hidden="1">
      <c r="A518">
        <v>366</v>
      </c>
      <c r="B518" t="s">
        <v>361</v>
      </c>
      <c r="C518" t="s">
        <v>61</v>
      </c>
      <c r="D518" t="s">
        <v>62</v>
      </c>
      <c r="E518">
        <v>1500</v>
      </c>
      <c r="F518" t="s">
        <v>75</v>
      </c>
      <c r="G518" t="s">
        <v>32</v>
      </c>
      <c r="H518" t="s">
        <v>76</v>
      </c>
      <c r="I518">
        <v>90</v>
      </c>
      <c r="J518" t="s">
        <v>88</v>
      </c>
      <c r="K518">
        <v>2004</v>
      </c>
      <c r="L518" t="s">
        <v>358</v>
      </c>
      <c r="Q51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148.80582209634727</v>
      </c>
      <c r="R51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18" s="107" t="str">
        <f>IFERROR(_xlfn.XLOOKUP("*"&amp;TRIM(Fusion[[#This Row],[Confinement Type]])&amp;"*", Map_Conf[From], Map_Conf[To], "", 2), "")</f>
        <v>MCF</v>
      </c>
      <c r="W518" s="108" t="str" cm="1">
        <f t="array" ref="W5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519" spans="1:23" hidden="1">
      <c r="A519">
        <v>367</v>
      </c>
      <c r="B519" t="s">
        <v>362</v>
      </c>
      <c r="C519" t="s">
        <v>61</v>
      </c>
      <c r="D519" t="s">
        <v>62</v>
      </c>
      <c r="E519">
        <v>1332</v>
      </c>
      <c r="F519" t="s">
        <v>75</v>
      </c>
      <c r="G519" t="s">
        <v>52</v>
      </c>
      <c r="H519" t="s">
        <v>76</v>
      </c>
      <c r="I519">
        <v>40</v>
      </c>
      <c r="J519" t="s">
        <v>88</v>
      </c>
      <c r="K519">
        <v>2004</v>
      </c>
      <c r="L519" t="s">
        <v>358</v>
      </c>
      <c r="Q51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66.135920931709904</v>
      </c>
      <c r="R51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19" s="107" t="str">
        <f>IFERROR(_xlfn.XLOOKUP("*"&amp;TRIM(Fusion[[#This Row],[Confinement Type]])&amp;"*", Map_Conf[From], Map_Conf[To], "", 2), "")</f>
        <v>MCF</v>
      </c>
      <c r="W519" s="108" t="str" cm="1">
        <f t="array" ref="W5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520" spans="1:23" hidden="1">
      <c r="A520">
        <v>368</v>
      </c>
      <c r="B520" t="s">
        <v>363</v>
      </c>
      <c r="C520" t="s">
        <v>61</v>
      </c>
      <c r="D520" t="s">
        <v>62</v>
      </c>
      <c r="E520">
        <v>1332</v>
      </c>
      <c r="F520" t="s">
        <v>75</v>
      </c>
      <c r="G520" t="s">
        <v>32</v>
      </c>
      <c r="H520" t="s">
        <v>76</v>
      </c>
      <c r="I520">
        <v>80</v>
      </c>
      <c r="J520" t="s">
        <v>88</v>
      </c>
      <c r="K520">
        <v>2004</v>
      </c>
      <c r="L520" t="s">
        <v>358</v>
      </c>
      <c r="Q52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132.27184186341981</v>
      </c>
      <c r="R52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20" s="107" t="str">
        <f>IFERROR(_xlfn.XLOOKUP("*"&amp;TRIM(Fusion[[#This Row],[Confinement Type]])&amp;"*", Map_Conf[From], Map_Conf[To], "", 2), "")</f>
        <v>MCF</v>
      </c>
      <c r="W520" s="108" t="str" cm="1">
        <f t="array" ref="W5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1" spans="1:23" hidden="1">
      <c r="A521">
        <v>369</v>
      </c>
      <c r="B521" t="s">
        <v>364</v>
      </c>
      <c r="C521" t="s">
        <v>61</v>
      </c>
      <c r="D521" t="s">
        <v>62</v>
      </c>
      <c r="E521">
        <v>1449</v>
      </c>
      <c r="F521" t="s">
        <v>75</v>
      </c>
      <c r="G521" t="s">
        <v>52</v>
      </c>
      <c r="H521" t="s">
        <v>76</v>
      </c>
      <c r="I521">
        <v>40</v>
      </c>
      <c r="J521" t="s">
        <v>88</v>
      </c>
      <c r="K521">
        <v>2004</v>
      </c>
      <c r="L521" t="s">
        <v>358</v>
      </c>
      <c r="Q52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66.135920931709904</v>
      </c>
      <c r="R52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21" s="107" t="str">
        <f>IFERROR(_xlfn.XLOOKUP("*"&amp;TRIM(Fusion[[#This Row],[Confinement Type]])&amp;"*", Map_Conf[From], Map_Conf[To], "", 2), "")</f>
        <v>MCF</v>
      </c>
      <c r="W521" s="108" t="str" cm="1">
        <f t="array" ref="W5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2" spans="1:23" hidden="1">
      <c r="A522">
        <v>370</v>
      </c>
      <c r="B522" t="s">
        <v>365</v>
      </c>
      <c r="C522" t="s">
        <v>61</v>
      </c>
      <c r="D522" t="s">
        <v>62</v>
      </c>
      <c r="E522">
        <v>1449</v>
      </c>
      <c r="F522" t="s">
        <v>75</v>
      </c>
      <c r="G522" t="s">
        <v>32</v>
      </c>
      <c r="H522" t="s">
        <v>76</v>
      </c>
      <c r="I522">
        <v>70</v>
      </c>
      <c r="J522" t="s">
        <v>88</v>
      </c>
      <c r="K522">
        <v>2004</v>
      </c>
      <c r="L522" t="s">
        <v>358</v>
      </c>
      <c r="P522" t="s">
        <v>190</v>
      </c>
      <c r="Q52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115.73786163049232</v>
      </c>
      <c r="R52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22" s="107" t="str">
        <f>IFERROR(_xlfn.XLOOKUP("*"&amp;TRIM(Fusion[[#This Row],[Confinement Type]])&amp;"*", Map_Conf[From], Map_Conf[To], "", 2), "")</f>
        <v>MCF</v>
      </c>
      <c r="W522" s="108" t="str" cm="1">
        <f t="array" ref="W5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3" spans="1:23" hidden="1">
      <c r="A523">
        <v>371</v>
      </c>
      <c r="B523" t="s">
        <v>366</v>
      </c>
      <c r="C523" t="s">
        <v>61</v>
      </c>
      <c r="D523" t="s">
        <v>62</v>
      </c>
      <c r="E523">
        <v>1527</v>
      </c>
      <c r="F523" t="s">
        <v>75</v>
      </c>
      <c r="G523" t="s">
        <v>52</v>
      </c>
      <c r="H523" t="s">
        <v>76</v>
      </c>
      <c r="I523">
        <v>30</v>
      </c>
      <c r="J523" t="s">
        <v>88</v>
      </c>
      <c r="K523">
        <v>2004</v>
      </c>
      <c r="L523" t="s">
        <v>358</v>
      </c>
      <c r="O523" t="s">
        <v>367</v>
      </c>
      <c r="P523" t="s">
        <v>463</v>
      </c>
      <c r="Q52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49.601940698782421</v>
      </c>
      <c r="R52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23" s="107" t="str">
        <f>IFERROR(_xlfn.XLOOKUP("*"&amp;TRIM(Fusion[[#This Row],[Confinement Type]])&amp;"*", Map_Conf[From], Map_Conf[To], "", 2), "")</f>
        <v>MCF</v>
      </c>
      <c r="W523" s="108" t="str" cm="1">
        <f t="array" ref="W5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4" spans="1:23" hidden="1">
      <c r="A524">
        <v>372</v>
      </c>
      <c r="B524" t="s">
        <v>368</v>
      </c>
      <c r="C524" t="s">
        <v>61</v>
      </c>
      <c r="D524" t="s">
        <v>62</v>
      </c>
      <c r="E524">
        <v>1527</v>
      </c>
      <c r="F524" t="s">
        <v>75</v>
      </c>
      <c r="G524" t="s">
        <v>32</v>
      </c>
      <c r="H524" t="s">
        <v>76</v>
      </c>
      <c r="I524">
        <v>50</v>
      </c>
      <c r="J524" t="s">
        <v>88</v>
      </c>
      <c r="K524">
        <v>2004</v>
      </c>
      <c r="L524" t="s">
        <v>358</v>
      </c>
      <c r="O524" t="s">
        <v>367</v>
      </c>
      <c r="Q52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82.669901164637366</v>
      </c>
      <c r="R52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24" s="107" t="str">
        <f>IFERROR(_xlfn.XLOOKUP("*"&amp;TRIM(Fusion[[#This Row],[Confinement Type]])&amp;"*", Map_Conf[From], Map_Conf[To], "", 2), "")</f>
        <v>MCF</v>
      </c>
      <c r="W524" s="108" t="str" cm="1">
        <f t="array" ref="W5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5" spans="1:23" hidden="1">
      <c r="B525" t="s">
        <v>839</v>
      </c>
      <c r="C525" t="s">
        <v>30</v>
      </c>
      <c r="D525" t="s">
        <v>796</v>
      </c>
      <c r="E525">
        <v>815</v>
      </c>
      <c r="F525" t="s">
        <v>31</v>
      </c>
      <c r="G525" t="s">
        <v>52</v>
      </c>
      <c r="H525" t="s">
        <v>33</v>
      </c>
      <c r="I525">
        <v>1233000000</v>
      </c>
      <c r="J525" t="s">
        <v>34</v>
      </c>
      <c r="K525">
        <v>1985</v>
      </c>
      <c r="L525" t="s">
        <v>842</v>
      </c>
      <c r="O525" t="s">
        <v>844</v>
      </c>
      <c r="Q52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2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25" s="107" t="str">
        <f>IFERROR(_xlfn.XLOOKUP("*"&amp;TRIM(Fusion[[#This Row],[Confinement Type]])&amp;"*", Map_Conf[From], Map_Conf[To], "", 2), "")</f>
        <v>MCF</v>
      </c>
      <c r="W525" s="108" t="str" cm="1">
        <f t="array" ref="W5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6" spans="1:23" hidden="1">
      <c r="A526" s="4"/>
      <c r="B526" s="4" t="s">
        <v>125</v>
      </c>
      <c r="C526" s="4" t="s">
        <v>30</v>
      </c>
      <c r="D526" s="4" t="s">
        <v>796</v>
      </c>
      <c r="E526" s="4">
        <v>815</v>
      </c>
      <c r="F526" s="4" t="s">
        <v>31</v>
      </c>
      <c r="G526" s="4" t="s">
        <v>52</v>
      </c>
      <c r="H526" s="4" t="s">
        <v>33</v>
      </c>
      <c r="I526" s="4">
        <v>1559800000</v>
      </c>
      <c r="J526" s="4" t="s">
        <v>34</v>
      </c>
      <c r="K526" s="4">
        <v>1985</v>
      </c>
      <c r="L526" s="4" t="s">
        <v>842</v>
      </c>
      <c r="O526" s="4" t="s">
        <v>844</v>
      </c>
      <c r="P526" s="4"/>
      <c r="Q526"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2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26" s="107" t="str">
        <f>IFERROR(_xlfn.XLOOKUP("*"&amp;TRIM(Fusion[[#This Row],[Confinement Type]])&amp;"*", Map_Conf[From], Map_Conf[To], "", 2), "")</f>
        <v>MCF</v>
      </c>
      <c r="W526" s="108" t="str" cm="1">
        <f t="array" ref="W5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7" spans="1:23">
      <c r="A527">
        <v>340</v>
      </c>
      <c r="B527" t="s">
        <v>340</v>
      </c>
      <c r="C527" t="s">
        <v>61</v>
      </c>
      <c r="D527" t="s">
        <v>62</v>
      </c>
      <c r="E527">
        <v>500</v>
      </c>
      <c r="F527" t="s">
        <v>669</v>
      </c>
      <c r="G527" t="s">
        <v>57</v>
      </c>
      <c r="H527" t="s">
        <v>33</v>
      </c>
      <c r="I527">
        <v>33000000</v>
      </c>
      <c r="J527" t="s">
        <v>34</v>
      </c>
      <c r="K527">
        <v>2010</v>
      </c>
      <c r="L527" t="s">
        <v>331</v>
      </c>
      <c r="O527" t="s">
        <v>341</v>
      </c>
      <c r="P527" t="s">
        <v>691</v>
      </c>
      <c r="Q52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2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76.003696298198619</v>
      </c>
      <c r="V527" s="107" t="str">
        <f>IFERROR(_xlfn.XLOOKUP("*"&amp;TRIM(Fusion[[#This Row],[Confinement Type]])&amp;"*", Map_Conf[From], Map_Conf[To], "", 2), "")</f>
        <v>MCF</v>
      </c>
      <c r="W527" s="108" t="str" cm="1">
        <f t="array" ref="W5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8" spans="1:23">
      <c r="A528">
        <v>342</v>
      </c>
      <c r="B528" t="s">
        <v>342</v>
      </c>
      <c r="C528" t="s">
        <v>61</v>
      </c>
      <c r="D528" t="s">
        <v>62</v>
      </c>
      <c r="E528">
        <v>500</v>
      </c>
      <c r="F528" t="s">
        <v>669</v>
      </c>
      <c r="G528" t="s">
        <v>32</v>
      </c>
      <c r="H528" t="s">
        <v>33</v>
      </c>
      <c r="I528">
        <v>33000000</v>
      </c>
      <c r="J528" t="s">
        <v>34</v>
      </c>
      <c r="K528">
        <v>2010</v>
      </c>
      <c r="L528" t="s">
        <v>331</v>
      </c>
      <c r="O528" t="s">
        <v>338</v>
      </c>
      <c r="P528" t="s">
        <v>692</v>
      </c>
      <c r="Q52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2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76.003696298198619</v>
      </c>
      <c r="V528" s="107" t="str">
        <f>IFERROR(_xlfn.XLOOKUP("*"&amp;TRIM(Fusion[[#This Row],[Confinement Type]])&amp;"*", Map_Conf[From], Map_Conf[To], "", 2), "")</f>
        <v>MCF</v>
      </c>
      <c r="W528" s="108" t="str" cm="1">
        <f t="array" ref="W5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29" spans="1:23" hidden="1">
      <c r="L529" t="s">
        <v>842</v>
      </c>
      <c r="Q52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2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29" s="107" t="str">
        <f>IFERROR(_xlfn.XLOOKUP("*"&amp;TRIM(Fusion[[#This Row],[Confinement Type]])&amp;"*", Map_Conf[From], Map_Conf[To], "", 2), "")</f>
        <v>MCF</v>
      </c>
      <c r="W529" s="108" t="str" cm="1">
        <f t="array" ref="W5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0" spans="1:23" hidden="1">
      <c r="L530" t="s">
        <v>842</v>
      </c>
      <c r="P530" t="s">
        <v>241</v>
      </c>
      <c r="Q53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3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30" s="107" t="str">
        <f>IFERROR(_xlfn.XLOOKUP("*"&amp;TRIM(Fusion[[#This Row],[Confinement Type]])&amp;"*", Map_Conf[From], Map_Conf[To], "", 2), "")</f>
        <v>MCF</v>
      </c>
      <c r="W530" s="108" t="str" cm="1">
        <f t="array" ref="W5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1" spans="1:23" hidden="1">
      <c r="A531">
        <v>373</v>
      </c>
      <c r="B531" t="s">
        <v>695</v>
      </c>
      <c r="C531" t="s">
        <v>61</v>
      </c>
      <c r="D531" t="s">
        <v>62</v>
      </c>
      <c r="E531">
        <v>1200</v>
      </c>
      <c r="F531" t="s">
        <v>493</v>
      </c>
      <c r="G531" t="s">
        <v>52</v>
      </c>
      <c r="H531" t="s">
        <v>76</v>
      </c>
      <c r="I531">
        <v>0.6</v>
      </c>
      <c r="J531" t="s">
        <v>77</v>
      </c>
      <c r="K531">
        <v>1990</v>
      </c>
      <c r="L531" t="s">
        <v>369</v>
      </c>
      <c r="P531" t="s">
        <v>320</v>
      </c>
      <c r="Q53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1.1527482785003826</v>
      </c>
      <c r="R53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31" s="107" t="str">
        <f>IFERROR(_xlfn.XLOOKUP("*"&amp;TRIM(Fusion[[#This Row],[Confinement Type]])&amp;"*", Map_Conf[From], Map_Conf[To], "", 2), "")</f>
        <v>MCF</v>
      </c>
      <c r="W531" s="108" t="str" cm="1">
        <f t="array" ref="W5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2" spans="1:23" hidden="1">
      <c r="A532">
        <v>374</v>
      </c>
      <c r="B532" t="s">
        <v>696</v>
      </c>
      <c r="C532" t="s">
        <v>61</v>
      </c>
      <c r="D532" t="s">
        <v>62</v>
      </c>
      <c r="E532">
        <v>1200</v>
      </c>
      <c r="F532" t="s">
        <v>493</v>
      </c>
      <c r="G532" t="s">
        <v>32</v>
      </c>
      <c r="H532" t="s">
        <v>76</v>
      </c>
      <c r="I532">
        <v>3.1</v>
      </c>
      <c r="J532" t="s">
        <v>77</v>
      </c>
      <c r="K532">
        <v>1990</v>
      </c>
      <c r="L532" t="s">
        <v>369</v>
      </c>
      <c r="Q53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5.9558661055853106</v>
      </c>
      <c r="R53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32" s="107" t="str">
        <f>IFERROR(_xlfn.XLOOKUP("*"&amp;TRIM(Fusion[[#This Row],[Confinement Type]])&amp;"*", Map_Conf[From], Map_Conf[To], "", 2), "")</f>
        <v>MCF</v>
      </c>
      <c r="W532" s="108" t="str" cm="1">
        <f t="array" ref="W5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3" spans="1:23" hidden="1">
      <c r="A533" s="4">
        <v>376</v>
      </c>
      <c r="B533" s="4" t="s">
        <v>695</v>
      </c>
      <c r="C533" s="4" t="s">
        <v>61</v>
      </c>
      <c r="D533" s="4" t="s">
        <v>62</v>
      </c>
      <c r="E533" s="4">
        <v>1200</v>
      </c>
      <c r="F533" s="4" t="s">
        <v>115</v>
      </c>
      <c r="G533" s="4" t="s">
        <v>52</v>
      </c>
      <c r="H533" s="4" t="s">
        <v>76</v>
      </c>
      <c r="I533" s="4">
        <v>13.4</v>
      </c>
      <c r="J533" s="4" t="s">
        <v>77</v>
      </c>
      <c r="K533" s="4">
        <v>1990</v>
      </c>
      <c r="L533" s="4" t="s">
        <v>369</v>
      </c>
      <c r="O533" s="4" t="s">
        <v>372</v>
      </c>
      <c r="P533" s="4"/>
      <c r="Q533"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25.744711553175215</v>
      </c>
      <c r="R53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33" s="107" t="str">
        <f>IFERROR(_xlfn.XLOOKUP("*"&amp;TRIM(Fusion[[#This Row],[Confinement Type]])&amp;"*", Map_Conf[From], Map_Conf[To], "", 2), "")</f>
        <v>MCF</v>
      </c>
      <c r="W533" s="108" t="str" cm="1">
        <f t="array" ref="W5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4" spans="1:23">
      <c r="A534" s="4">
        <v>333</v>
      </c>
      <c r="B534" s="4" t="s">
        <v>330</v>
      </c>
      <c r="C534" s="4" t="s">
        <v>61</v>
      </c>
      <c r="D534" s="4" t="s">
        <v>62</v>
      </c>
      <c r="E534" s="4">
        <v>190</v>
      </c>
      <c r="F534" s="4" t="s">
        <v>669</v>
      </c>
      <c r="G534" s="4" t="s">
        <v>32</v>
      </c>
      <c r="H534" s="4" t="s">
        <v>33</v>
      </c>
      <c r="I534" s="4">
        <v>20000000</v>
      </c>
      <c r="J534" s="4" t="s">
        <v>34</v>
      </c>
      <c r="K534" s="4">
        <v>2010</v>
      </c>
      <c r="L534" s="4" t="s">
        <v>331</v>
      </c>
      <c r="O534" s="4" t="s">
        <v>334</v>
      </c>
      <c r="P534" s="4"/>
      <c r="Q534"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3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121.2180164245592</v>
      </c>
      <c r="V534" s="107" t="str">
        <f>IFERROR(_xlfn.XLOOKUP("*"&amp;TRIM(Fusion[[#This Row],[Confinement Type]])&amp;"*", Map_Conf[From], Map_Conf[To], "", 2), "")</f>
        <v>MCF</v>
      </c>
      <c r="W534" s="108" t="str" cm="1">
        <f t="array" ref="W5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35" spans="1:23" hidden="1">
      <c r="B535" t="s">
        <v>797</v>
      </c>
      <c r="C535" t="s">
        <v>30</v>
      </c>
      <c r="D535" t="s">
        <v>798</v>
      </c>
      <c r="E535">
        <v>999</v>
      </c>
      <c r="F535" t="s">
        <v>63</v>
      </c>
      <c r="G535" t="s">
        <v>52</v>
      </c>
      <c r="H535" t="s">
        <v>76</v>
      </c>
      <c r="I535">
        <v>0.82831810387667537</v>
      </c>
      <c r="J535" t="s">
        <v>128</v>
      </c>
      <c r="K535">
        <v>1991</v>
      </c>
      <c r="L535" t="s">
        <v>799</v>
      </c>
      <c r="O535" t="s">
        <v>806</v>
      </c>
      <c r="Q53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1.5271400448616763</v>
      </c>
      <c r="R53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35" s="107" t="str">
        <f>IFERROR(_xlfn.XLOOKUP("*"&amp;TRIM(Fusion[[#This Row],[Confinement Type]])&amp;"*", Map_Conf[From], Map_Conf[To], "", 2), "")</f>
        <v>MCF</v>
      </c>
      <c r="W535" s="108" t="str" cm="1">
        <f t="array" ref="W5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6" spans="1:23" hidden="1">
      <c r="A536">
        <v>379</v>
      </c>
      <c r="B536" t="s">
        <v>696</v>
      </c>
      <c r="C536" t="s">
        <v>61</v>
      </c>
      <c r="D536" t="s">
        <v>62</v>
      </c>
      <c r="E536">
        <v>1200</v>
      </c>
      <c r="F536" t="s">
        <v>31</v>
      </c>
      <c r="G536" t="s">
        <v>32</v>
      </c>
      <c r="H536" t="s">
        <v>33</v>
      </c>
      <c r="I536">
        <v>7227000000</v>
      </c>
      <c r="J536" t="s">
        <v>34</v>
      </c>
      <c r="K536">
        <v>1990</v>
      </c>
      <c r="L536" t="s">
        <v>369</v>
      </c>
      <c r="O536" t="s">
        <v>374</v>
      </c>
      <c r="Q53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3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36" s="107" t="str">
        <f>IFERROR(_xlfn.XLOOKUP("*"&amp;TRIM(Fusion[[#This Row],[Confinement Type]])&amp;"*", Map_Conf[From], Map_Conf[To], "", 2), "")</f>
        <v>MCF</v>
      </c>
      <c r="W536" s="108" t="str" cm="1">
        <f t="array" ref="W5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7" spans="1:23" hidden="1">
      <c r="A537">
        <v>185</v>
      </c>
      <c r="B537" t="s">
        <v>226</v>
      </c>
      <c r="C537" t="s">
        <v>61</v>
      </c>
      <c r="D537" t="s">
        <v>62</v>
      </c>
      <c r="E537">
        <v>1000</v>
      </c>
      <c r="F537" t="s">
        <v>63</v>
      </c>
      <c r="G537" t="s">
        <v>52</v>
      </c>
      <c r="H537" t="s">
        <v>76</v>
      </c>
      <c r="I537">
        <v>2</v>
      </c>
      <c r="J537" t="s">
        <v>128</v>
      </c>
      <c r="K537">
        <v>2000</v>
      </c>
      <c r="L537" t="s">
        <v>227</v>
      </c>
      <c r="O537" t="s">
        <v>228</v>
      </c>
      <c r="Q53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2.9164576074332174</v>
      </c>
      <c r="R53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37" s="107" t="str">
        <f>IFERROR(_xlfn.XLOOKUP("*"&amp;TRIM(Fusion[[#This Row],[Confinement Type]])&amp;"*", Map_Conf[From], Map_Conf[To], "", 2), "")</f>
        <v>MCF</v>
      </c>
      <c r="W537" s="108" t="str" cm="1">
        <f t="array" ref="W5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8" spans="1:23" hidden="1">
      <c r="A538">
        <v>381</v>
      </c>
      <c r="B538" t="s">
        <v>696</v>
      </c>
      <c r="C538" t="s">
        <v>61</v>
      </c>
      <c r="D538" t="s">
        <v>62</v>
      </c>
      <c r="E538">
        <v>1200</v>
      </c>
      <c r="F538" t="s">
        <v>115</v>
      </c>
      <c r="G538" t="s">
        <v>32</v>
      </c>
      <c r="H538" t="s">
        <v>76</v>
      </c>
      <c r="I538">
        <v>17.2</v>
      </c>
      <c r="J538" t="s">
        <v>77</v>
      </c>
      <c r="K538">
        <v>1990</v>
      </c>
      <c r="L538" t="s">
        <v>369</v>
      </c>
      <c r="Q53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33.0454506503443</v>
      </c>
      <c r="R53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38" s="107" t="str">
        <f>IFERROR(_xlfn.XLOOKUP("*"&amp;TRIM(Fusion[[#This Row],[Confinement Type]])&amp;"*", Map_Conf[From], Map_Conf[To], "", 2), "")</f>
        <v>MCF</v>
      </c>
      <c r="W538" s="108" t="str" cm="1">
        <f t="array" ref="W5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39" spans="1:23" hidden="1">
      <c r="A539">
        <v>383</v>
      </c>
      <c r="B539" t="s">
        <v>695</v>
      </c>
      <c r="C539" t="s">
        <v>61</v>
      </c>
      <c r="D539" t="s">
        <v>62</v>
      </c>
      <c r="E539">
        <v>1200</v>
      </c>
      <c r="F539" t="s">
        <v>108</v>
      </c>
      <c r="G539" t="s">
        <v>52</v>
      </c>
      <c r="H539" t="s">
        <v>76</v>
      </c>
      <c r="I539">
        <v>78.7</v>
      </c>
      <c r="J539" t="s">
        <v>77</v>
      </c>
      <c r="K539">
        <v>1990</v>
      </c>
      <c r="L539" t="s">
        <v>369</v>
      </c>
      <c r="O539" t="s">
        <v>376</v>
      </c>
      <c r="Q53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151.20214919663354</v>
      </c>
      <c r="R53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39" s="107" t="str">
        <f>IFERROR(_xlfn.XLOOKUP("*"&amp;TRIM(Fusion[[#This Row],[Confinement Type]])&amp;"*", Map_Conf[From], Map_Conf[To], "", 2), "")</f>
        <v>MCF</v>
      </c>
      <c r="W539" s="108" t="str" cm="1">
        <f t="array" ref="W5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0" spans="1:23" hidden="1">
      <c r="A540" s="4">
        <v>384</v>
      </c>
      <c r="B540" s="4" t="s">
        <v>696</v>
      </c>
      <c r="C540" s="4" t="s">
        <v>61</v>
      </c>
      <c r="D540" s="4" t="s">
        <v>62</v>
      </c>
      <c r="E540" s="4">
        <v>1200</v>
      </c>
      <c r="F540" s="4" t="s">
        <v>108</v>
      </c>
      <c r="G540" s="4" t="s">
        <v>32</v>
      </c>
      <c r="H540" s="4" t="s">
        <v>76</v>
      </c>
      <c r="I540" s="4">
        <v>105.1</v>
      </c>
      <c r="J540" s="4" t="s">
        <v>77</v>
      </c>
      <c r="K540" s="4">
        <v>1990</v>
      </c>
      <c r="L540" s="4" t="s">
        <v>369</v>
      </c>
      <c r="O540" s="4" t="s">
        <v>376</v>
      </c>
      <c r="P540" s="4" t="s">
        <v>504</v>
      </c>
      <c r="Q540" s="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201.92307345065035</v>
      </c>
      <c r="R54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40" s="107" t="str">
        <f>IFERROR(_xlfn.XLOOKUP("*"&amp;TRIM(Fusion[[#This Row],[Confinement Type]])&amp;"*", Map_Conf[From], Map_Conf[To], "", 2), "")</f>
        <v>MCF</v>
      </c>
      <c r="W540" s="108" t="str" cm="1">
        <f t="array" ref="W5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1" spans="1:23" hidden="1">
      <c r="A541" s="4">
        <v>375</v>
      </c>
      <c r="B541" s="4" t="s">
        <v>695</v>
      </c>
      <c r="C541" s="4" t="s">
        <v>61</v>
      </c>
      <c r="D541" s="4" t="s">
        <v>62</v>
      </c>
      <c r="E541" s="4">
        <v>1200</v>
      </c>
      <c r="F541" s="4" t="s">
        <v>31</v>
      </c>
      <c r="G541" s="4" t="s">
        <v>52</v>
      </c>
      <c r="H541" s="4" t="s">
        <v>33</v>
      </c>
      <c r="I541" s="4">
        <v>3646000000</v>
      </c>
      <c r="J541" s="4" t="s">
        <v>34</v>
      </c>
      <c r="K541" s="4">
        <v>1990</v>
      </c>
      <c r="L541" s="4" t="s">
        <v>369</v>
      </c>
      <c r="O541" s="4" t="s">
        <v>370</v>
      </c>
      <c r="P541" s="4"/>
      <c r="Q541"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4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41" s="107" t="str">
        <f>IFERROR(_xlfn.XLOOKUP("*"&amp;TRIM(Fusion[[#This Row],[Confinement Type]])&amp;"*", Map_Conf[From], Map_Conf[To], "", 2), "")</f>
        <v>MCF</v>
      </c>
      <c r="W541" s="108" t="str" cm="1">
        <f t="array" ref="W5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2" spans="1:23" hidden="1">
      <c r="A542">
        <v>186</v>
      </c>
      <c r="B542" t="s">
        <v>229</v>
      </c>
      <c r="C542" t="s">
        <v>61</v>
      </c>
      <c r="D542" t="s">
        <v>62</v>
      </c>
      <c r="E542">
        <v>1000</v>
      </c>
      <c r="F542" t="s">
        <v>63</v>
      </c>
      <c r="G542" t="s">
        <v>52</v>
      </c>
      <c r="H542" t="s">
        <v>76</v>
      </c>
      <c r="I542">
        <v>2</v>
      </c>
      <c r="J542" t="s">
        <v>128</v>
      </c>
      <c r="K542">
        <v>2000</v>
      </c>
      <c r="L542" t="s">
        <v>227</v>
      </c>
      <c r="O542" t="s">
        <v>228</v>
      </c>
      <c r="Q54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2.9164576074332174</v>
      </c>
      <c r="R54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42" s="107" t="str">
        <f>IFERROR(_xlfn.XLOOKUP("*"&amp;TRIM(Fusion[[#This Row],[Confinement Type]])&amp;"*", Map_Conf[From], Map_Conf[To], "", 2), "")</f>
        <v>MCF</v>
      </c>
      <c r="W542" s="108" t="str" cm="1">
        <f t="array" ref="W5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3" spans="1:23" hidden="1">
      <c r="A543">
        <v>127</v>
      </c>
      <c r="B543" t="s">
        <v>183</v>
      </c>
      <c r="C543" t="s">
        <v>61</v>
      </c>
      <c r="D543" t="s">
        <v>62</v>
      </c>
      <c r="E543">
        <v>1200</v>
      </c>
      <c r="F543" t="s">
        <v>63</v>
      </c>
      <c r="G543" t="s">
        <v>52</v>
      </c>
      <c r="H543" t="s">
        <v>76</v>
      </c>
      <c r="I543">
        <v>2.0053272450532726</v>
      </c>
      <c r="J543" t="s">
        <v>128</v>
      </c>
      <c r="K543">
        <v>1986</v>
      </c>
      <c r="L543" t="s">
        <v>147</v>
      </c>
      <c r="O543" t="s">
        <v>185</v>
      </c>
      <c r="P543" t="s">
        <v>689</v>
      </c>
      <c r="Q54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4.5944498952882498</v>
      </c>
      <c r="R54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43" s="107" t="str">
        <f>IFERROR(_xlfn.XLOOKUP("*"&amp;TRIM(Fusion[[#This Row],[Confinement Type]])&amp;"*", Map_Conf[From], Map_Conf[To], "", 2), "")</f>
        <v>MCF</v>
      </c>
      <c r="W543" s="108" t="str" cm="1">
        <f t="array" ref="W5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4" spans="1:23" hidden="1">
      <c r="A544">
        <v>386</v>
      </c>
      <c r="B544" t="s">
        <v>377</v>
      </c>
      <c r="C544" t="s">
        <v>61</v>
      </c>
      <c r="D544" t="s">
        <v>326</v>
      </c>
      <c r="F544" t="s">
        <v>115</v>
      </c>
      <c r="G544" t="s">
        <v>32</v>
      </c>
      <c r="H544" t="s">
        <v>33</v>
      </c>
      <c r="I544">
        <v>17200000</v>
      </c>
      <c r="J544" t="s">
        <v>34</v>
      </c>
      <c r="K544">
        <v>1982</v>
      </c>
      <c r="L544" t="s">
        <v>379</v>
      </c>
      <c r="O544" t="s">
        <v>720</v>
      </c>
      <c r="P544" t="s">
        <v>704</v>
      </c>
      <c r="Q54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4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44" s="107" t="str">
        <f>IFERROR(_xlfn.XLOOKUP("*"&amp;TRIM(Fusion[[#This Row],[Confinement Type]])&amp;"*", Map_Conf[From], Map_Conf[To], "", 2), "")</f>
        <v>MCF</v>
      </c>
      <c r="W544" s="108" t="str" cm="1">
        <f t="array" ref="W5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5" spans="1:23" hidden="1">
      <c r="A545">
        <v>387</v>
      </c>
      <c r="B545" t="s">
        <v>377</v>
      </c>
      <c r="C545" t="s">
        <v>61</v>
      </c>
      <c r="D545" t="s">
        <v>326</v>
      </c>
      <c r="F545" t="s">
        <v>381</v>
      </c>
      <c r="G545" t="s">
        <v>32</v>
      </c>
      <c r="H545" t="s">
        <v>76</v>
      </c>
      <c r="I545">
        <v>13157.407407407407</v>
      </c>
      <c r="J545" t="s">
        <v>382</v>
      </c>
      <c r="K545">
        <v>1982</v>
      </c>
      <c r="L545" t="s">
        <v>379</v>
      </c>
      <c r="O545" t="s">
        <v>383</v>
      </c>
      <c r="Q54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4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45" s="107" t="str">
        <f>IFERROR(_xlfn.XLOOKUP("*"&amp;TRIM(Fusion[[#This Row],[Confinement Type]])&amp;"*", Map_Conf[From], Map_Conf[To], "", 2), "")</f>
        <v>MCF</v>
      </c>
      <c r="W545" s="108" t="str" cm="1">
        <f t="array" ref="W5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6" spans="1:23" hidden="1">
      <c r="A546">
        <v>388</v>
      </c>
      <c r="B546" t="s">
        <v>377</v>
      </c>
      <c r="C546" t="s">
        <v>61</v>
      </c>
      <c r="D546" t="s">
        <v>326</v>
      </c>
      <c r="F546" t="s">
        <v>31</v>
      </c>
      <c r="G546" t="s">
        <v>32</v>
      </c>
      <c r="H546" t="s">
        <v>33</v>
      </c>
      <c r="I546">
        <v>1502000000</v>
      </c>
      <c r="J546" t="s">
        <v>34</v>
      </c>
      <c r="K546">
        <v>1982</v>
      </c>
      <c r="L546" t="s">
        <v>379</v>
      </c>
      <c r="O546" t="s">
        <v>384</v>
      </c>
      <c r="Q54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4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46" s="107" t="str">
        <f>IFERROR(_xlfn.XLOOKUP("*"&amp;TRIM(Fusion[[#This Row],[Confinement Type]])&amp;"*", Map_Conf[From], Map_Conf[To], "", 2), "")</f>
        <v>MCF</v>
      </c>
      <c r="W546" s="108" t="str" cm="1">
        <f t="array" ref="W5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7" spans="1:23" hidden="1">
      <c r="A547">
        <v>507</v>
      </c>
      <c r="B547" t="s">
        <v>385</v>
      </c>
      <c r="C547" t="s">
        <v>61</v>
      </c>
      <c r="D547" t="s">
        <v>62</v>
      </c>
      <c r="E547">
        <v>1200</v>
      </c>
      <c r="F547" t="s">
        <v>690</v>
      </c>
      <c r="G547" t="s">
        <v>52</v>
      </c>
      <c r="H547" t="s">
        <v>76</v>
      </c>
      <c r="I547">
        <v>1</v>
      </c>
      <c r="J547" t="s">
        <v>77</v>
      </c>
      <c r="K547">
        <v>1983</v>
      </c>
      <c r="L547" t="s">
        <v>693</v>
      </c>
      <c r="Q54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2.5211546184738958</v>
      </c>
      <c r="R54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47" s="107" t="str">
        <f>IFERROR(_xlfn.XLOOKUP("*"&amp;TRIM(Fusion[[#This Row],[Confinement Type]])&amp;"*", Map_Conf[From], Map_Conf[To], "", 2), "")</f>
        <v>MCF</v>
      </c>
      <c r="W547" s="108" t="str" cm="1">
        <f t="array" ref="W5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8" spans="1:23" hidden="1">
      <c r="A548" s="4">
        <v>390</v>
      </c>
      <c r="B548" s="4" t="s">
        <v>387</v>
      </c>
      <c r="C548" s="4" t="s">
        <v>30</v>
      </c>
      <c r="D548" s="4" t="s">
        <v>815</v>
      </c>
      <c r="E548" s="4">
        <v>1083</v>
      </c>
      <c r="F548" s="4" t="s">
        <v>31</v>
      </c>
      <c r="G548" s="4" t="s">
        <v>52</v>
      </c>
      <c r="H548" s="4" t="s">
        <v>33</v>
      </c>
      <c r="I548" s="4">
        <v>4231500000</v>
      </c>
      <c r="J548" s="4" t="s">
        <v>34</v>
      </c>
      <c r="K548" s="4">
        <v>1988</v>
      </c>
      <c r="L548" s="4" t="s">
        <v>386</v>
      </c>
      <c r="O548" s="4" t="s">
        <v>389</v>
      </c>
      <c r="P548" s="4"/>
      <c r="Q548"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4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48" s="107" t="str">
        <f>IFERROR(_xlfn.XLOOKUP("*"&amp;TRIM(Fusion[[#This Row],[Confinement Type]])&amp;"*", Map_Conf[From], Map_Conf[To], "", 2), "")</f>
        <v>MCF</v>
      </c>
      <c r="W548" s="108" t="str" cm="1">
        <f t="array" ref="W5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49" spans="1:23" hidden="1">
      <c r="A549">
        <v>391</v>
      </c>
      <c r="B549" t="s">
        <v>387</v>
      </c>
      <c r="C549" t="s">
        <v>30</v>
      </c>
      <c r="D549" t="s">
        <v>815</v>
      </c>
      <c r="E549">
        <v>1083</v>
      </c>
      <c r="F549" t="s">
        <v>108</v>
      </c>
      <c r="G549" t="s">
        <v>52</v>
      </c>
      <c r="H549" t="s">
        <v>76</v>
      </c>
      <c r="I549">
        <v>9.0399999999999991</v>
      </c>
      <c r="J549" t="s">
        <v>77</v>
      </c>
      <c r="K549">
        <v>1988</v>
      </c>
      <c r="L549" t="s">
        <v>386</v>
      </c>
      <c r="O549" t="s">
        <v>390</v>
      </c>
      <c r="P549" t="s">
        <v>228</v>
      </c>
      <c r="Q54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19.188565342349953</v>
      </c>
      <c r="R54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49" s="107" t="str">
        <f>IFERROR(_xlfn.XLOOKUP("*"&amp;TRIM(Fusion[[#This Row],[Confinement Type]])&amp;"*", Map_Conf[From], Map_Conf[To], "", 2), "")</f>
        <v>MCF</v>
      </c>
      <c r="W549" s="108" t="str" cm="1">
        <f t="array" ref="W5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0" spans="1:23">
      <c r="A550" s="4"/>
      <c r="B550" s="4" t="s">
        <v>839</v>
      </c>
      <c r="C550" s="4" t="s">
        <v>30</v>
      </c>
      <c r="D550" s="4" t="s">
        <v>796</v>
      </c>
      <c r="E550" s="4">
        <v>815</v>
      </c>
      <c r="F550" s="4" t="s">
        <v>669</v>
      </c>
      <c r="G550" s="4" t="s">
        <v>52</v>
      </c>
      <c r="H550" s="4" t="s">
        <v>33</v>
      </c>
      <c r="I550" s="4">
        <v>50000000</v>
      </c>
      <c r="J550" s="4" t="s">
        <v>34</v>
      </c>
      <c r="K550" s="4">
        <v>1985</v>
      </c>
      <c r="L550" s="4" t="s">
        <v>842</v>
      </c>
      <c r="O550" s="4"/>
      <c r="P550" s="4"/>
      <c r="Q550"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5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143.17228088580748</v>
      </c>
      <c r="V550" s="107" t="str">
        <f>IFERROR(_xlfn.XLOOKUP("*"&amp;TRIM(Fusion[[#This Row],[Confinement Type]])&amp;"*", Map_Conf[From], Map_Conf[To], "", 2), "")</f>
        <v>MCF</v>
      </c>
      <c r="W550" s="108" t="str" cm="1">
        <f t="array" ref="W5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1" spans="1:23" hidden="1">
      <c r="A551">
        <v>569</v>
      </c>
      <c r="B551" t="s">
        <v>508</v>
      </c>
      <c r="C551" t="s">
        <v>61</v>
      </c>
      <c r="D551" t="s">
        <v>62</v>
      </c>
      <c r="E551">
        <v>1000</v>
      </c>
      <c r="F551" t="s">
        <v>63</v>
      </c>
      <c r="G551" t="s">
        <v>57</v>
      </c>
      <c r="H551" t="s">
        <v>76</v>
      </c>
      <c r="I551" s="127">
        <v>5.54</v>
      </c>
      <c r="J551" t="s">
        <v>77</v>
      </c>
      <c r="K551">
        <v>2011</v>
      </c>
      <c r="L551" t="s">
        <v>507</v>
      </c>
      <c r="O551" t="s">
        <v>504</v>
      </c>
      <c r="Q55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6.184489039250642</v>
      </c>
      <c r="R55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51" s="107" t="str">
        <f>IFERROR(_xlfn.XLOOKUP("*"&amp;TRIM(Fusion[[#This Row],[Confinement Type]])&amp;"*", Map_Conf[From], Map_Conf[To], "", 2), "")</f>
        <v>ICF</v>
      </c>
      <c r="W551" s="108" t="str" cm="1">
        <f t="array" ref="W5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52" spans="1:23" hidden="1">
      <c r="A552">
        <v>36</v>
      </c>
      <c r="B552" t="s">
        <v>114</v>
      </c>
      <c r="C552" t="s">
        <v>61</v>
      </c>
      <c r="D552" t="s">
        <v>62</v>
      </c>
      <c r="E552">
        <v>1000</v>
      </c>
      <c r="F552" t="s">
        <v>493</v>
      </c>
      <c r="G552" t="s">
        <v>52</v>
      </c>
      <c r="H552" t="s">
        <v>76</v>
      </c>
      <c r="I552">
        <v>0.5</v>
      </c>
      <c r="J552" t="s">
        <v>77</v>
      </c>
      <c r="K552">
        <v>1988</v>
      </c>
      <c r="L552" t="s">
        <v>597</v>
      </c>
      <c r="P552" t="s">
        <v>400</v>
      </c>
      <c r="Q55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1.0613144547759932</v>
      </c>
      <c r="R55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52" s="107" t="str">
        <f>IFERROR(_xlfn.XLOOKUP("*"&amp;TRIM(Fusion[[#This Row],[Confinement Type]])&amp;"*", Map_Conf[From], Map_Conf[To], "", 2), "")</f>
        <v>MCF</v>
      </c>
      <c r="W552" s="108" t="str" cm="1">
        <f t="array" ref="W5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3" spans="1:23">
      <c r="B553" t="s">
        <v>125</v>
      </c>
      <c r="C553" t="s">
        <v>30</v>
      </c>
      <c r="D553" t="s">
        <v>796</v>
      </c>
      <c r="E553">
        <v>815</v>
      </c>
      <c r="F553" t="s">
        <v>669</v>
      </c>
      <c r="G553" t="s">
        <v>52</v>
      </c>
      <c r="H553" t="s">
        <v>33</v>
      </c>
      <c r="I553">
        <v>60000000</v>
      </c>
      <c r="J553" t="s">
        <v>34</v>
      </c>
      <c r="K553">
        <v>1985</v>
      </c>
      <c r="L553" t="s">
        <v>842</v>
      </c>
      <c r="P553" t="s">
        <v>236</v>
      </c>
      <c r="Q55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5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171.80673706296898</v>
      </c>
      <c r="V553" s="107" t="str">
        <f>IFERROR(_xlfn.XLOOKUP("*"&amp;TRIM(Fusion[[#This Row],[Confinement Type]])&amp;"*", Map_Conf[From], Map_Conf[To], "", 2), "")</f>
        <v>MCF</v>
      </c>
      <c r="W553" s="108" t="str" cm="1">
        <f t="array" ref="W5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4" spans="1:23" hidden="1">
      <c r="A554">
        <v>38</v>
      </c>
      <c r="B554" t="s">
        <v>114</v>
      </c>
      <c r="C554" t="s">
        <v>61</v>
      </c>
      <c r="D554" t="s">
        <v>62</v>
      </c>
      <c r="E554">
        <v>1000</v>
      </c>
      <c r="F554" t="s">
        <v>115</v>
      </c>
      <c r="G554" t="s">
        <v>52</v>
      </c>
      <c r="H554" t="s">
        <v>76</v>
      </c>
      <c r="I554">
        <v>5.6</v>
      </c>
      <c r="J554" t="s">
        <v>77</v>
      </c>
      <c r="K554">
        <v>1988</v>
      </c>
      <c r="L554" t="s">
        <v>597</v>
      </c>
      <c r="Q55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11.886721893491123</v>
      </c>
      <c r="R55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54" s="107" t="str">
        <f>IFERROR(_xlfn.XLOOKUP("*"&amp;TRIM(Fusion[[#This Row],[Confinement Type]])&amp;"*", Map_Conf[From], Map_Conf[To], "", 2), "")</f>
        <v>MIF</v>
      </c>
      <c r="W554" s="108" t="str" cm="1">
        <f t="array" ref="W5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555" spans="1:23">
      <c r="A555">
        <v>385</v>
      </c>
      <c r="B555" t="s">
        <v>377</v>
      </c>
      <c r="C555" t="s">
        <v>61</v>
      </c>
      <c r="D555" t="s">
        <v>326</v>
      </c>
      <c r="F555" t="s">
        <v>116</v>
      </c>
      <c r="G555" t="s">
        <v>32</v>
      </c>
      <c r="H555" t="s">
        <v>33</v>
      </c>
      <c r="I555">
        <v>65700000</v>
      </c>
      <c r="J555" t="s">
        <v>34</v>
      </c>
      <c r="K555">
        <v>1982</v>
      </c>
      <c r="L555" t="s">
        <v>379</v>
      </c>
      <c r="O555" t="s">
        <v>380</v>
      </c>
      <c r="P555" t="s">
        <v>672</v>
      </c>
      <c r="Q55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5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55" s="107" t="str">
        <f>IFERROR(_xlfn.XLOOKUP("*"&amp;TRIM(Fusion[[#This Row],[Confinement Type]])&amp;"*", Map_Conf[From], Map_Conf[To], "", 2), "")</f>
        <v>MCF</v>
      </c>
      <c r="W555" s="108" t="str" cm="1">
        <f t="array" ref="W5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6" spans="1:23" hidden="1">
      <c r="A556">
        <v>40</v>
      </c>
      <c r="B556" t="s">
        <v>114</v>
      </c>
      <c r="C556" t="s">
        <v>61</v>
      </c>
      <c r="D556" t="s">
        <v>62</v>
      </c>
      <c r="E556">
        <v>1000</v>
      </c>
      <c r="F556" t="s">
        <v>31</v>
      </c>
      <c r="G556" t="s">
        <v>52</v>
      </c>
      <c r="H556" t="s">
        <v>33</v>
      </c>
      <c r="I556">
        <v>2890000000.0000005</v>
      </c>
      <c r="J556" t="s">
        <v>34</v>
      </c>
      <c r="K556">
        <v>1988</v>
      </c>
      <c r="L556" t="s">
        <v>597</v>
      </c>
      <c r="O556" t="s">
        <v>117</v>
      </c>
      <c r="P556" t="s">
        <v>127</v>
      </c>
      <c r="Q55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5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56" s="107" t="str">
        <f>IFERROR(_xlfn.XLOOKUP("*"&amp;TRIM(Fusion[[#This Row],[Confinement Type]])&amp;"*", Map_Conf[From], Map_Conf[To], "", 2), "")</f>
        <v>MCF</v>
      </c>
      <c r="W556" s="108" t="str" cm="1">
        <f t="array" ref="W5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7" spans="1:23" hidden="1">
      <c r="A557">
        <v>41</v>
      </c>
      <c r="B557" t="s">
        <v>114</v>
      </c>
      <c r="C557" t="s">
        <v>61</v>
      </c>
      <c r="D557" t="s">
        <v>62</v>
      </c>
      <c r="E557">
        <v>1000</v>
      </c>
      <c r="F557" t="s">
        <v>75</v>
      </c>
      <c r="G557" t="s">
        <v>52</v>
      </c>
      <c r="H557" t="s">
        <v>76</v>
      </c>
      <c r="I557">
        <v>65.3</v>
      </c>
      <c r="J557" t="s">
        <v>77</v>
      </c>
      <c r="K557">
        <v>1988</v>
      </c>
      <c r="L557" t="s">
        <v>597</v>
      </c>
      <c r="O557" t="s">
        <v>700</v>
      </c>
      <c r="Q55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138.6076677937447</v>
      </c>
      <c r="R55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57" s="107" t="str">
        <f>IFERROR(_xlfn.XLOOKUP("*"&amp;TRIM(Fusion[[#This Row],[Confinement Type]])&amp;"*", Map_Conf[From], Map_Conf[To], "", 2), "")</f>
        <v>MIF</v>
      </c>
      <c r="W557" s="108" t="str" cm="1">
        <f t="array" ref="W5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558" spans="1:23" hidden="1">
      <c r="A558">
        <v>42</v>
      </c>
      <c r="B558" t="s">
        <v>79</v>
      </c>
      <c r="C558" t="s">
        <v>61</v>
      </c>
      <c r="D558" t="s">
        <v>62</v>
      </c>
      <c r="E558">
        <v>1000</v>
      </c>
      <c r="F558" t="s">
        <v>75</v>
      </c>
      <c r="G558" t="s">
        <v>32</v>
      </c>
      <c r="H558" t="s">
        <v>76</v>
      </c>
      <c r="I558">
        <v>90</v>
      </c>
      <c r="J558" t="s">
        <v>77</v>
      </c>
      <c r="K558">
        <v>1989</v>
      </c>
      <c r="L558" t="s">
        <v>597</v>
      </c>
      <c r="O558" t="s">
        <v>701</v>
      </c>
      <c r="Q55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182.25508064516129</v>
      </c>
      <c r="R55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58" s="107" t="str">
        <f>IFERROR(_xlfn.XLOOKUP("*"&amp;TRIM(Fusion[[#This Row],[Confinement Type]])&amp;"*", Map_Conf[From], Map_Conf[To], "", 2), "")</f>
        <v>MCF</v>
      </c>
      <c r="W558" s="108" t="str" cm="1">
        <f t="array" ref="W5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59" spans="1:23" hidden="1">
      <c r="A559">
        <v>397</v>
      </c>
      <c r="B559" t="s">
        <v>200</v>
      </c>
      <c r="C559" t="s">
        <v>61</v>
      </c>
      <c r="D559" t="s">
        <v>62</v>
      </c>
      <c r="E559">
        <v>1000</v>
      </c>
      <c r="F559" t="s">
        <v>108</v>
      </c>
      <c r="G559" t="s">
        <v>52</v>
      </c>
      <c r="H559" t="s">
        <v>76</v>
      </c>
      <c r="I559">
        <v>75.790000000000006</v>
      </c>
      <c r="J559" t="s">
        <v>77</v>
      </c>
      <c r="K559">
        <v>1992</v>
      </c>
      <c r="L559" t="s">
        <v>397</v>
      </c>
      <c r="Q55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135.64789401282965</v>
      </c>
      <c r="R55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59" s="107" t="str">
        <f>IFERROR(_xlfn.XLOOKUP("*"&amp;TRIM(Fusion[[#This Row],[Confinement Type]])&amp;"*", Map_Conf[From], Map_Conf[To], "", 2), "")</f>
        <v>MCF</v>
      </c>
      <c r="W559" s="108" t="str" cm="1">
        <f t="array" ref="W5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0" spans="1:23">
      <c r="A560">
        <v>389</v>
      </c>
      <c r="B560" t="s">
        <v>385</v>
      </c>
      <c r="C560" t="s">
        <v>61</v>
      </c>
      <c r="D560" t="s">
        <v>62</v>
      </c>
      <c r="E560">
        <v>1200</v>
      </c>
      <c r="F560" t="s">
        <v>116</v>
      </c>
      <c r="G560" t="s">
        <v>52</v>
      </c>
      <c r="H560" t="s">
        <v>33</v>
      </c>
      <c r="I560">
        <v>49100000</v>
      </c>
      <c r="J560" t="s">
        <v>34</v>
      </c>
      <c r="K560">
        <v>1982</v>
      </c>
      <c r="L560" t="s">
        <v>693</v>
      </c>
      <c r="Q56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6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106.47110276338515</v>
      </c>
      <c r="V560" s="107" t="str">
        <f>IFERROR(_xlfn.XLOOKUP("*"&amp;TRIM(Fusion[[#This Row],[Confinement Type]])&amp;"*", Map_Conf[From], Map_Conf[To], "", 2), "")</f>
        <v>MCF</v>
      </c>
      <c r="W560" s="108" t="str" cm="1">
        <f t="array" ref="W5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1" spans="1:23" hidden="1">
      <c r="A561">
        <v>439</v>
      </c>
      <c r="B561" t="s">
        <v>232</v>
      </c>
      <c r="C561" t="s">
        <v>61</v>
      </c>
      <c r="D561" t="s">
        <v>62</v>
      </c>
      <c r="E561">
        <v>1000</v>
      </c>
      <c r="F561" t="s">
        <v>115</v>
      </c>
      <c r="G561" t="s">
        <v>52</v>
      </c>
      <c r="H561" t="s">
        <v>76</v>
      </c>
      <c r="I561">
        <v>3.51</v>
      </c>
      <c r="J561" t="s">
        <v>77</v>
      </c>
      <c r="K561">
        <v>1992</v>
      </c>
      <c r="L561" t="s">
        <v>420</v>
      </c>
      <c r="O561" t="s">
        <v>665</v>
      </c>
      <c r="Q56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6.2821494654312175</v>
      </c>
      <c r="R56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61" s="107" t="str">
        <f>IFERROR(_xlfn.XLOOKUP("*"&amp;TRIM(Fusion[[#This Row],[Confinement Type]])&amp;"*", Map_Conf[From], Map_Conf[To], "", 2), "")</f>
        <v>MCF</v>
      </c>
      <c r="W561" s="108" t="str" cm="1">
        <f t="array" ref="W5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2" spans="1:23" hidden="1">
      <c r="A562">
        <v>296</v>
      </c>
      <c r="B562" t="s">
        <v>301</v>
      </c>
      <c r="C562" t="s">
        <v>61</v>
      </c>
      <c r="D562" t="s">
        <v>62</v>
      </c>
      <c r="E562">
        <v>1000</v>
      </c>
      <c r="F562" t="s">
        <v>63</v>
      </c>
      <c r="G562" t="s">
        <v>52</v>
      </c>
      <c r="H562" t="s">
        <v>76</v>
      </c>
      <c r="I562">
        <v>17.5</v>
      </c>
      <c r="J562" t="s">
        <v>77</v>
      </c>
      <c r="K562">
        <v>1992</v>
      </c>
      <c r="L562" t="s">
        <v>294</v>
      </c>
      <c r="O562" t="s">
        <v>306</v>
      </c>
      <c r="Q56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31.321258018531715</v>
      </c>
      <c r="R56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62" s="107" t="str">
        <f>IFERROR(_xlfn.XLOOKUP("*"&amp;TRIM(Fusion[[#This Row],[Confinement Type]])&amp;"*", Map_Conf[From], Map_Conf[To], "", 2), "")</f>
        <v>MCF</v>
      </c>
      <c r="W562" s="108" t="str" cm="1">
        <f t="array" ref="W5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3" spans="1:23" hidden="1">
      <c r="A563">
        <v>441</v>
      </c>
      <c r="B563" t="s">
        <v>232</v>
      </c>
      <c r="C563" t="s">
        <v>61</v>
      </c>
      <c r="D563" t="s">
        <v>62</v>
      </c>
      <c r="E563">
        <v>1000</v>
      </c>
      <c r="F563" t="s">
        <v>493</v>
      </c>
      <c r="G563" t="s">
        <v>52</v>
      </c>
      <c r="H563" t="s">
        <v>76</v>
      </c>
      <c r="I563">
        <v>0.25</v>
      </c>
      <c r="J563" t="s">
        <v>77</v>
      </c>
      <c r="K563">
        <v>1992</v>
      </c>
      <c r="L563" t="s">
        <v>420</v>
      </c>
      <c r="Q56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0.44744654312188165</v>
      </c>
      <c r="R56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63" s="107" t="str">
        <f>IFERROR(_xlfn.XLOOKUP("*"&amp;TRIM(Fusion[[#This Row],[Confinement Type]])&amp;"*", Map_Conf[From], Map_Conf[To], "", 2), "")</f>
        <v>MCF</v>
      </c>
      <c r="W563" s="108" t="str" cm="1">
        <f t="array" ref="W5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4" spans="1:23" hidden="1">
      <c r="A564">
        <v>442</v>
      </c>
      <c r="B564" t="s">
        <v>232</v>
      </c>
      <c r="C564" t="s">
        <v>61</v>
      </c>
      <c r="D564" t="s">
        <v>62</v>
      </c>
      <c r="E564">
        <v>1000</v>
      </c>
      <c r="F564" t="s">
        <v>31</v>
      </c>
      <c r="G564" t="s">
        <v>52</v>
      </c>
      <c r="H564" t="s">
        <v>33</v>
      </c>
      <c r="I564">
        <v>2129000000</v>
      </c>
      <c r="J564" t="s">
        <v>34</v>
      </c>
      <c r="K564">
        <v>1992</v>
      </c>
      <c r="L564" t="s">
        <v>420</v>
      </c>
      <c r="O564" t="s">
        <v>705</v>
      </c>
      <c r="Q56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6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64" s="107" t="str">
        <f>IFERROR(_xlfn.XLOOKUP("*"&amp;TRIM(Fusion[[#This Row],[Confinement Type]])&amp;"*", Map_Conf[From], Map_Conf[To], "", 2), "")</f>
        <v>ICF</v>
      </c>
      <c r="W564" s="108" t="str" cm="1">
        <f t="array" ref="W5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65" spans="1:23" hidden="1">
      <c r="A565">
        <v>443</v>
      </c>
      <c r="B565" t="s">
        <v>114</v>
      </c>
      <c r="C565" t="s">
        <v>61</v>
      </c>
      <c r="D565" t="s">
        <v>421</v>
      </c>
      <c r="E565">
        <v>1000</v>
      </c>
      <c r="F565" t="s">
        <v>108</v>
      </c>
      <c r="G565" t="s">
        <v>52</v>
      </c>
      <c r="H565" t="s">
        <v>76</v>
      </c>
      <c r="I565">
        <v>100</v>
      </c>
      <c r="J565" t="s">
        <v>77</v>
      </c>
      <c r="K565">
        <v>1992</v>
      </c>
      <c r="L565" t="s">
        <v>420</v>
      </c>
      <c r="P565" t="s">
        <v>121</v>
      </c>
      <c r="Q56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178.97861724875267</v>
      </c>
      <c r="R56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65" s="107" t="str">
        <f>IFERROR(_xlfn.XLOOKUP("*"&amp;TRIM(Fusion[[#This Row],[Confinement Type]])&amp;"*", Map_Conf[From], Map_Conf[To], "", 2), "")</f>
        <v>MCF</v>
      </c>
      <c r="W565" s="108" t="str" cm="1">
        <f t="array" ref="W5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6" spans="1:23" hidden="1">
      <c r="A566">
        <v>444</v>
      </c>
      <c r="B566" t="s">
        <v>422</v>
      </c>
      <c r="C566" t="s">
        <v>61</v>
      </c>
      <c r="D566" t="s">
        <v>421</v>
      </c>
      <c r="E566">
        <v>1000</v>
      </c>
      <c r="F566" t="s">
        <v>108</v>
      </c>
      <c r="G566" t="s">
        <v>52</v>
      </c>
      <c r="H566" t="s">
        <v>76</v>
      </c>
      <c r="I566">
        <v>82</v>
      </c>
      <c r="J566" t="s">
        <v>77</v>
      </c>
      <c r="K566">
        <v>1992</v>
      </c>
      <c r="L566" t="s">
        <v>420</v>
      </c>
      <c r="Q56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146.76246614397718</v>
      </c>
      <c r="R56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66" s="107" t="str">
        <f>IFERROR(_xlfn.XLOOKUP("*"&amp;TRIM(Fusion[[#This Row],[Confinement Type]])&amp;"*", Map_Conf[From], Map_Conf[To], "", 2), "")</f>
        <v>MCF</v>
      </c>
      <c r="W566" s="108" t="str" cm="1">
        <f t="array" ref="W5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7" spans="1:23" hidden="1">
      <c r="A567">
        <v>445</v>
      </c>
      <c r="B567" t="s">
        <v>232</v>
      </c>
      <c r="C567" t="s">
        <v>61</v>
      </c>
      <c r="D567" t="s">
        <v>421</v>
      </c>
      <c r="E567">
        <v>1000</v>
      </c>
      <c r="F567" t="s">
        <v>108</v>
      </c>
      <c r="G567" t="s">
        <v>52</v>
      </c>
      <c r="H567" t="s">
        <v>76</v>
      </c>
      <c r="I567">
        <v>47.53</v>
      </c>
      <c r="J567" t="s">
        <v>77</v>
      </c>
      <c r="K567">
        <v>1992</v>
      </c>
      <c r="L567" t="s">
        <v>420</v>
      </c>
      <c r="Q56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85.068536778332145</v>
      </c>
      <c r="R56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67" s="107" t="str">
        <f>IFERROR(_xlfn.XLOOKUP("*"&amp;TRIM(Fusion[[#This Row],[Confinement Type]])&amp;"*", Map_Conf[From], Map_Conf[To], "", 2), "")</f>
        <v>MCF</v>
      </c>
      <c r="W567" s="108" t="str" cm="1">
        <f t="array" ref="W5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8" spans="1:23" hidden="1">
      <c r="A568">
        <v>446</v>
      </c>
      <c r="B568" t="s">
        <v>423</v>
      </c>
      <c r="C568" t="s">
        <v>61</v>
      </c>
      <c r="D568" t="s">
        <v>251</v>
      </c>
      <c r="E568">
        <v>1000</v>
      </c>
      <c r="F568" t="s">
        <v>667</v>
      </c>
      <c r="G568" t="s">
        <v>52</v>
      </c>
      <c r="H568" t="s">
        <v>33</v>
      </c>
      <c r="I568">
        <v>2620000000</v>
      </c>
      <c r="J568" t="s">
        <v>34</v>
      </c>
      <c r="K568">
        <v>2004</v>
      </c>
      <c r="L568" t="s">
        <v>424</v>
      </c>
      <c r="O568" t="s">
        <v>666</v>
      </c>
      <c r="Q56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6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68" s="107" t="str">
        <f>IFERROR(_xlfn.XLOOKUP("*"&amp;TRIM(Fusion[[#This Row],[Confinement Type]])&amp;"*", Map_Conf[From], Map_Conf[To], "", 2), "")</f>
        <v>MCF</v>
      </c>
      <c r="W568" s="108" t="str" cm="1">
        <f t="array" ref="W5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69" spans="1:23" hidden="1">
      <c r="A569">
        <v>447</v>
      </c>
      <c r="B569" t="s">
        <v>423</v>
      </c>
      <c r="C569" t="s">
        <v>61</v>
      </c>
      <c r="D569" t="s">
        <v>251</v>
      </c>
      <c r="E569">
        <v>1000</v>
      </c>
      <c r="F569" t="s">
        <v>75</v>
      </c>
      <c r="G569" t="s">
        <v>52</v>
      </c>
      <c r="H569" t="s">
        <v>76</v>
      </c>
      <c r="I569">
        <v>77.599999999999994</v>
      </c>
      <c r="J569" t="s">
        <v>77</v>
      </c>
      <c r="K569">
        <v>2004</v>
      </c>
      <c r="L569" t="s">
        <v>424</v>
      </c>
      <c r="O569" t="s">
        <v>425</v>
      </c>
      <c r="P569" t="s">
        <v>159</v>
      </c>
      <c r="Q56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103.15459608258337</v>
      </c>
      <c r="R56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69" s="107" t="str">
        <f>IFERROR(_xlfn.XLOOKUP("*"&amp;TRIM(Fusion[[#This Row],[Confinement Type]])&amp;"*", Map_Conf[From], Map_Conf[To], "", 2), "")</f>
        <v>MCF</v>
      </c>
      <c r="W569" s="108" t="str" cm="1">
        <f t="array" ref="W5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70" spans="1:23" hidden="1">
      <c r="A570">
        <v>448</v>
      </c>
      <c r="B570" t="s">
        <v>426</v>
      </c>
      <c r="C570" t="s">
        <v>61</v>
      </c>
      <c r="D570" t="s">
        <v>62</v>
      </c>
      <c r="E570">
        <v>1080</v>
      </c>
      <c r="F570" t="s">
        <v>31</v>
      </c>
      <c r="G570" t="s">
        <v>32</v>
      </c>
      <c r="H570" t="s">
        <v>33</v>
      </c>
      <c r="I570">
        <v>4228700000</v>
      </c>
      <c r="J570" t="s">
        <v>34</v>
      </c>
      <c r="K570">
        <v>2003</v>
      </c>
      <c r="L570" t="s">
        <v>427</v>
      </c>
      <c r="O570" t="s">
        <v>957</v>
      </c>
      <c r="Q57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7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70" s="107" t="str">
        <f>IFERROR(_xlfn.XLOOKUP("*"&amp;TRIM(Fusion[[#This Row],[Confinement Type]])&amp;"*", Map_Conf[From], Map_Conf[To], "", 2), "")</f>
        <v>MCF</v>
      </c>
      <c r="W570" s="108" t="str" cm="1">
        <f t="array" ref="W5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71" spans="1:23" hidden="1">
      <c r="A571">
        <v>504</v>
      </c>
      <c r="B571" t="s">
        <v>475</v>
      </c>
      <c r="C571" t="s">
        <v>61</v>
      </c>
      <c r="D571" t="s">
        <v>62</v>
      </c>
      <c r="F571" t="s">
        <v>493</v>
      </c>
      <c r="G571" t="s">
        <v>32</v>
      </c>
      <c r="H571" t="s">
        <v>33</v>
      </c>
      <c r="I571">
        <v>3600000</v>
      </c>
      <c r="J571" t="s">
        <v>34</v>
      </c>
      <c r="K571">
        <v>2002</v>
      </c>
      <c r="L571" t="s">
        <v>477</v>
      </c>
      <c r="O571" t="s">
        <v>478</v>
      </c>
      <c r="P571" t="s">
        <v>691</v>
      </c>
      <c r="Q57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7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71" s="107" t="str">
        <f>IFERROR(_xlfn.XLOOKUP("*"&amp;TRIM(Fusion[[#This Row],[Confinement Type]])&amp;"*", Map_Conf[From], Map_Conf[To], "", 2), "")</f>
        <v>MCF</v>
      </c>
      <c r="W571" s="108" t="str" cm="1">
        <f t="array" ref="W5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72" spans="1:23" hidden="1">
      <c r="B572" t="s">
        <v>741</v>
      </c>
      <c r="C572" t="s">
        <v>61</v>
      </c>
      <c r="D572" t="s">
        <v>62</v>
      </c>
      <c r="E572">
        <v>1000</v>
      </c>
      <c r="F572" t="s">
        <v>493</v>
      </c>
      <c r="G572" t="s">
        <v>52</v>
      </c>
      <c r="H572" t="s">
        <v>76</v>
      </c>
      <c r="I572">
        <v>0.5</v>
      </c>
      <c r="J572" t="s">
        <v>77</v>
      </c>
      <c r="K572">
        <v>2010</v>
      </c>
      <c r="L572" t="s">
        <v>732</v>
      </c>
      <c r="Q57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0.5757855780166562</v>
      </c>
      <c r="R57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72" s="107" t="str">
        <f>IFERROR(_xlfn.XLOOKUP("*"&amp;TRIM(Fusion[[#This Row],[Confinement Type]])&amp;"*", Map_Conf[From], Map_Conf[To], "", 2), "")</f>
        <v>MCF</v>
      </c>
      <c r="W572" s="108" t="str" cm="1">
        <f t="array" ref="W5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73" spans="1:23" hidden="1">
      <c r="B573" t="s">
        <v>200</v>
      </c>
      <c r="C573" t="s">
        <v>61</v>
      </c>
      <c r="D573" t="s">
        <v>62</v>
      </c>
      <c r="E573">
        <v>1000</v>
      </c>
      <c r="F573" t="s">
        <v>493</v>
      </c>
      <c r="G573" t="s">
        <v>52</v>
      </c>
      <c r="H573" t="s">
        <v>76</v>
      </c>
      <c r="I573">
        <v>0.5</v>
      </c>
      <c r="J573" t="s">
        <v>77</v>
      </c>
      <c r="K573">
        <v>2010</v>
      </c>
      <c r="L573" t="s">
        <v>732</v>
      </c>
      <c r="Q57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0.5757855780166562</v>
      </c>
      <c r="R57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73" s="107" t="str">
        <f>IFERROR(_xlfn.XLOOKUP("*"&amp;TRIM(Fusion[[#This Row],[Confinement Type]])&amp;"*", Map_Conf[From], Map_Conf[To], "", 2), "")</f>
        <v>MCF</v>
      </c>
      <c r="W573" s="108" t="str" cm="1">
        <f t="array" ref="W5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74" spans="1:23" hidden="1">
      <c r="B574" t="s">
        <v>737</v>
      </c>
      <c r="C574" t="s">
        <v>61</v>
      </c>
      <c r="D574" t="s">
        <v>62</v>
      </c>
      <c r="E574">
        <v>1000</v>
      </c>
      <c r="F574" t="s">
        <v>493</v>
      </c>
      <c r="G574" t="s">
        <v>52</v>
      </c>
      <c r="H574" t="s">
        <v>76</v>
      </c>
      <c r="I574">
        <v>0.25</v>
      </c>
      <c r="J574" t="s">
        <v>77</v>
      </c>
      <c r="K574">
        <v>2010</v>
      </c>
      <c r="L574" t="s">
        <v>732</v>
      </c>
      <c r="P574" t="s">
        <v>504</v>
      </c>
      <c r="Q57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0.2878927890083281</v>
      </c>
      <c r="R57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74" s="107" t="str">
        <f>IFERROR(_xlfn.XLOOKUP("*"&amp;TRIM(Fusion[[#This Row],[Confinement Type]])&amp;"*", Map_Conf[From], Map_Conf[To], "", 2), "")</f>
        <v>MCF</v>
      </c>
      <c r="W574" s="108" t="str" cm="1">
        <f t="array" ref="W5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75" spans="1:23" hidden="1">
      <c r="B575" t="s">
        <v>736</v>
      </c>
      <c r="C575" t="s">
        <v>61</v>
      </c>
      <c r="D575" t="s">
        <v>62</v>
      </c>
      <c r="E575">
        <v>1000</v>
      </c>
      <c r="F575" t="s">
        <v>493</v>
      </c>
      <c r="G575" t="s">
        <v>52</v>
      </c>
      <c r="H575" t="s">
        <v>76</v>
      </c>
      <c r="I575">
        <v>0.25</v>
      </c>
      <c r="J575" t="s">
        <v>77</v>
      </c>
      <c r="K575">
        <v>2010</v>
      </c>
      <c r="L575" t="s">
        <v>732</v>
      </c>
      <c r="Q57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0.2878927890083281</v>
      </c>
      <c r="R57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75" s="107" t="str">
        <f>IFERROR(_xlfn.XLOOKUP("*"&amp;TRIM(Fusion[[#This Row],[Confinement Type]])&amp;"*", Map_Conf[From], Map_Conf[To], "", 2), "")</f>
        <v/>
      </c>
      <c r="W575" s="108" t="e" cm="1">
        <f t="array" ref="W5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576" spans="1:23" hidden="1">
      <c r="B576" t="s">
        <v>735</v>
      </c>
      <c r="C576" t="s">
        <v>61</v>
      </c>
      <c r="D576" t="s">
        <v>62</v>
      </c>
      <c r="E576">
        <v>1450</v>
      </c>
      <c r="F576" t="s">
        <v>493</v>
      </c>
      <c r="G576" t="s">
        <v>52</v>
      </c>
      <c r="H576" t="s">
        <v>76</v>
      </c>
      <c r="I576">
        <v>0.5</v>
      </c>
      <c r="J576" t="s">
        <v>77</v>
      </c>
      <c r="K576">
        <v>2010</v>
      </c>
      <c r="L576" t="s">
        <v>732</v>
      </c>
      <c r="Q57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0.5757855780166562</v>
      </c>
      <c r="R57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76" s="107" t="str">
        <f>IFERROR(_xlfn.XLOOKUP("*"&amp;TRIM(Fusion[[#This Row],[Confinement Type]])&amp;"*", Map_Conf[From], Map_Conf[To], "", 2), "")</f>
        <v>MCF</v>
      </c>
      <c r="W576" s="108" t="str" cm="1">
        <f t="array" ref="W5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77" spans="1:23" hidden="1">
      <c r="A577">
        <v>254</v>
      </c>
      <c r="B577" t="s">
        <v>281</v>
      </c>
      <c r="C577" t="s">
        <v>61</v>
      </c>
      <c r="D577" t="s">
        <v>278</v>
      </c>
      <c r="E577">
        <v>1940</v>
      </c>
      <c r="F577" t="s">
        <v>63</v>
      </c>
      <c r="G577" t="s">
        <v>57</v>
      </c>
      <c r="H577" t="s">
        <v>33</v>
      </c>
      <c r="I577">
        <v>245000</v>
      </c>
      <c r="J577" t="s">
        <v>34</v>
      </c>
      <c r="K577">
        <v>2003</v>
      </c>
      <c r="L577" t="s">
        <v>279</v>
      </c>
      <c r="Q57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7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0.17234764399372479</v>
      </c>
      <c r="V577" s="107" t="str">
        <f>IFERROR(_xlfn.XLOOKUP("*"&amp;TRIM(Fusion[[#This Row],[Confinement Type]])&amp;"*", Map_Conf[From], Map_Conf[To], "", 2), "")</f>
        <v>MCF</v>
      </c>
      <c r="W577" s="108" t="str" cm="1">
        <f t="array" ref="W5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78" spans="1:23">
      <c r="B578" t="s">
        <v>741</v>
      </c>
      <c r="C578" t="s">
        <v>61</v>
      </c>
      <c r="D578" t="s">
        <v>62</v>
      </c>
      <c r="E578">
        <v>3000</v>
      </c>
      <c r="F578" t="s">
        <v>116</v>
      </c>
      <c r="G578" t="s">
        <v>52</v>
      </c>
      <c r="H578" t="s">
        <v>33</v>
      </c>
      <c r="I578">
        <v>171000000</v>
      </c>
      <c r="J578" t="s">
        <v>34</v>
      </c>
      <c r="K578">
        <v>2010</v>
      </c>
      <c r="L578" t="s">
        <v>732</v>
      </c>
      <c r="Q57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7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65.639555893898802</v>
      </c>
      <c r="V578" s="107" t="str">
        <f>IFERROR(_xlfn.XLOOKUP("*"&amp;TRIM(Fusion[[#This Row],[Confinement Type]])&amp;"*", Map_Conf[From], Map_Conf[To], "", 2), "")</f>
        <v>MCF</v>
      </c>
      <c r="W578" s="108" t="str" cm="1">
        <f t="array" ref="W5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79" spans="1:23">
      <c r="B579" t="s">
        <v>741</v>
      </c>
      <c r="C579" t="s">
        <v>61</v>
      </c>
      <c r="D579" t="s">
        <v>62</v>
      </c>
      <c r="E579">
        <v>2500</v>
      </c>
      <c r="F579" t="s">
        <v>116</v>
      </c>
      <c r="G579" t="s">
        <v>52</v>
      </c>
      <c r="H579" t="s">
        <v>33</v>
      </c>
      <c r="I579">
        <v>156000000</v>
      </c>
      <c r="J579" t="s">
        <v>34</v>
      </c>
      <c r="K579">
        <v>2010</v>
      </c>
      <c r="L579" t="s">
        <v>732</v>
      </c>
      <c r="P579" t="s">
        <v>400</v>
      </c>
      <c r="Q57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7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71.858040136478692</v>
      </c>
      <c r="V579" s="107" t="str">
        <f>IFERROR(_xlfn.XLOOKUP("*"&amp;TRIM(Fusion[[#This Row],[Confinement Type]])&amp;"*", Map_Conf[From], Map_Conf[To], "", 2), "")</f>
        <v>MCF</v>
      </c>
      <c r="W579" s="108" t="str" cm="1">
        <f t="array" ref="W5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0" spans="1:23">
      <c r="B580" t="s">
        <v>741</v>
      </c>
      <c r="C580" t="s">
        <v>61</v>
      </c>
      <c r="D580" t="s">
        <v>62</v>
      </c>
      <c r="E580">
        <v>2000</v>
      </c>
      <c r="F580" t="s">
        <v>116</v>
      </c>
      <c r="G580" t="s">
        <v>52</v>
      </c>
      <c r="H580" t="s">
        <v>33</v>
      </c>
      <c r="I580">
        <v>139000000</v>
      </c>
      <c r="J580" t="s">
        <v>34</v>
      </c>
      <c r="K580">
        <v>2010</v>
      </c>
      <c r="L580" t="s">
        <v>732</v>
      </c>
      <c r="Q58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8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80.034195344315208</v>
      </c>
      <c r="V580" s="107" t="str">
        <f>IFERROR(_xlfn.XLOOKUP("*"&amp;TRIM(Fusion[[#This Row],[Confinement Type]])&amp;"*", Map_Conf[From], Map_Conf[To], "", 2), "")</f>
        <v>MCF</v>
      </c>
      <c r="W580" s="108" t="str" cm="1">
        <f t="array" ref="W5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1" spans="1:23">
      <c r="B581" t="s">
        <v>741</v>
      </c>
      <c r="C581" t="s">
        <v>61</v>
      </c>
      <c r="D581" t="s">
        <v>62</v>
      </c>
      <c r="E581">
        <v>1500</v>
      </c>
      <c r="F581" t="s">
        <v>116</v>
      </c>
      <c r="G581" t="s">
        <v>52</v>
      </c>
      <c r="H581" t="s">
        <v>33</v>
      </c>
      <c r="I581">
        <v>121000000</v>
      </c>
      <c r="J581" t="s">
        <v>34</v>
      </c>
      <c r="K581">
        <v>2010</v>
      </c>
      <c r="L581" t="s">
        <v>732</v>
      </c>
      <c r="Q58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8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92.893406586687206</v>
      </c>
      <c r="V581" s="107" t="str">
        <f>IFERROR(_xlfn.XLOOKUP("*"&amp;TRIM(Fusion[[#This Row],[Confinement Type]])&amp;"*", Map_Conf[From], Map_Conf[To], "", 2), "")</f>
        <v>ICF</v>
      </c>
      <c r="W581" s="108" t="str" cm="1">
        <f t="array" ref="W5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582" spans="1:23" hidden="1">
      <c r="B582" t="s">
        <v>200</v>
      </c>
      <c r="C582" t="s">
        <v>61</v>
      </c>
      <c r="D582" t="s">
        <v>62</v>
      </c>
      <c r="E582">
        <v>1000</v>
      </c>
      <c r="F582" t="s">
        <v>75</v>
      </c>
      <c r="G582" t="s">
        <v>52</v>
      </c>
      <c r="H582" t="s">
        <v>76</v>
      </c>
      <c r="I582">
        <v>110</v>
      </c>
      <c r="J582" t="s">
        <v>77</v>
      </c>
      <c r="K582">
        <v>2010</v>
      </c>
      <c r="L582" t="s">
        <v>732</v>
      </c>
      <c r="O582" t="s">
        <v>742</v>
      </c>
      <c r="Q58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126.67282716366437</v>
      </c>
      <c r="R58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82" s="107" t="str">
        <f>IFERROR(_xlfn.XLOOKUP("*"&amp;TRIM(Fusion[[#This Row],[Confinement Type]])&amp;"*", Map_Conf[From], Map_Conf[To], "", 2), "")</f>
        <v>MCF</v>
      </c>
      <c r="W582" s="108" t="str" cm="1">
        <f t="array" ref="W5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3" spans="1:23" hidden="1">
      <c r="B583" t="s">
        <v>735</v>
      </c>
      <c r="C583" t="s">
        <v>61</v>
      </c>
      <c r="D583" t="s">
        <v>62</v>
      </c>
      <c r="E583">
        <v>1450</v>
      </c>
      <c r="F583" t="s">
        <v>75</v>
      </c>
      <c r="G583" t="s">
        <v>52</v>
      </c>
      <c r="H583" t="s">
        <v>76</v>
      </c>
      <c r="I583">
        <v>142</v>
      </c>
      <c r="J583" t="s">
        <v>77</v>
      </c>
      <c r="K583">
        <v>2010</v>
      </c>
      <c r="L583" t="s">
        <v>732</v>
      </c>
      <c r="O583" t="s">
        <v>744</v>
      </c>
      <c r="Q58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163.52310415673037</v>
      </c>
      <c r="R58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83" s="107" t="str">
        <f>IFERROR(_xlfn.XLOOKUP("*"&amp;TRIM(Fusion[[#This Row],[Confinement Type]])&amp;"*", Map_Conf[From], Map_Conf[To], "", 2), "")</f>
        <v>MCF</v>
      </c>
      <c r="W583" s="108" t="str" cm="1">
        <f t="array" ref="W5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4" spans="1:23" hidden="1">
      <c r="B584" t="s">
        <v>232</v>
      </c>
      <c r="C584" t="s">
        <v>61</v>
      </c>
      <c r="D584" t="s">
        <v>62</v>
      </c>
      <c r="E584">
        <v>1000</v>
      </c>
      <c r="F584" t="s">
        <v>75</v>
      </c>
      <c r="G584" t="s">
        <v>52</v>
      </c>
      <c r="H584" t="s">
        <v>76</v>
      </c>
      <c r="I584">
        <v>88.9</v>
      </c>
      <c r="J584" t="s">
        <v>77</v>
      </c>
      <c r="K584">
        <v>2010</v>
      </c>
      <c r="L584" t="s">
        <v>732</v>
      </c>
      <c r="O584" t="s">
        <v>743</v>
      </c>
      <c r="Q58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102.37467577136148</v>
      </c>
      <c r="R58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84" s="107" t="str">
        <f>IFERROR(_xlfn.XLOOKUP("*"&amp;TRIM(Fusion[[#This Row],[Confinement Type]])&amp;"*", Map_Conf[From], Map_Conf[To], "", 2), "")</f>
        <v>MCF</v>
      </c>
      <c r="W584" s="108" t="str" cm="1">
        <f t="array" ref="W5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5" spans="1:23" hidden="1">
      <c r="A585">
        <v>449</v>
      </c>
      <c r="B585" t="s">
        <v>60</v>
      </c>
      <c r="C585" t="s">
        <v>61</v>
      </c>
      <c r="D585" t="s">
        <v>62</v>
      </c>
      <c r="E585">
        <v>1200</v>
      </c>
      <c r="F585" t="s">
        <v>493</v>
      </c>
      <c r="G585" t="s">
        <v>52</v>
      </c>
      <c r="H585" t="s">
        <v>76</v>
      </c>
      <c r="I585">
        <v>0.5</v>
      </c>
      <c r="J585" t="s">
        <v>77</v>
      </c>
      <c r="K585">
        <v>1983</v>
      </c>
      <c r="L585" t="s">
        <v>428</v>
      </c>
      <c r="Q58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1.2605773092369479</v>
      </c>
      <c r="R58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85" s="107" t="str">
        <f>IFERROR(_xlfn.XLOOKUP("*"&amp;TRIM(Fusion[[#This Row],[Confinement Type]])&amp;"*", Map_Conf[From], Map_Conf[To], "", 2), "")</f>
        <v>MCF</v>
      </c>
      <c r="W585" s="108" t="str" cm="1">
        <f t="array" ref="W5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6" spans="1:23">
      <c r="B586" t="s">
        <v>735</v>
      </c>
      <c r="C586" t="s">
        <v>61</v>
      </c>
      <c r="D586" t="s">
        <v>62</v>
      </c>
      <c r="E586">
        <v>1450</v>
      </c>
      <c r="F586" t="s">
        <v>116</v>
      </c>
      <c r="G586" t="s">
        <v>52</v>
      </c>
      <c r="H586" t="s">
        <v>33</v>
      </c>
      <c r="I586">
        <v>119000000</v>
      </c>
      <c r="J586" t="s">
        <v>34</v>
      </c>
      <c r="K586">
        <v>2010</v>
      </c>
      <c r="L586" t="s">
        <v>732</v>
      </c>
      <c r="Q58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8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94.508253495147713</v>
      </c>
      <c r="V586" s="107" t="str">
        <f>IFERROR(_xlfn.XLOOKUP("*"&amp;TRIM(Fusion[[#This Row],[Confinement Type]])&amp;"*", Map_Conf[From], Map_Conf[To], "", 2), "")</f>
        <v>MCF</v>
      </c>
      <c r="W586" s="108" t="str" cm="1">
        <f t="array" ref="W5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7" spans="1:23" hidden="1">
      <c r="A587">
        <v>451</v>
      </c>
      <c r="B587" t="s">
        <v>60</v>
      </c>
      <c r="C587" t="s">
        <v>61</v>
      </c>
      <c r="D587" t="s">
        <v>62</v>
      </c>
      <c r="E587">
        <v>1200</v>
      </c>
      <c r="F587" t="s">
        <v>75</v>
      </c>
      <c r="G587" t="s">
        <v>52</v>
      </c>
      <c r="H587" t="s">
        <v>76</v>
      </c>
      <c r="I587">
        <v>75</v>
      </c>
      <c r="J587" t="s">
        <v>77</v>
      </c>
      <c r="K587">
        <v>1983</v>
      </c>
      <c r="L587" t="s">
        <v>428</v>
      </c>
      <c r="O587" t="s">
        <v>431</v>
      </c>
      <c r="Q58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189.08659638554218</v>
      </c>
      <c r="R58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87" s="107" t="str">
        <f>IFERROR(_xlfn.XLOOKUP("*"&amp;TRIM(Fusion[[#This Row],[Confinement Type]])&amp;"*", Map_Conf[From], Map_Conf[To], "", 2), "")</f>
        <v>MCF</v>
      </c>
      <c r="W587" s="108" t="str" cm="1">
        <f t="array" ref="W5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8" spans="1:23" hidden="1">
      <c r="A588">
        <v>452</v>
      </c>
      <c r="B588" t="s">
        <v>60</v>
      </c>
      <c r="C588" t="s">
        <v>61</v>
      </c>
      <c r="D588" t="s">
        <v>62</v>
      </c>
      <c r="E588">
        <v>1200</v>
      </c>
      <c r="F588" t="s">
        <v>31</v>
      </c>
      <c r="G588" t="s">
        <v>52</v>
      </c>
      <c r="H588" t="s">
        <v>33</v>
      </c>
      <c r="I588">
        <v>2307000000</v>
      </c>
      <c r="J588" t="s">
        <v>34</v>
      </c>
      <c r="K588">
        <v>1983</v>
      </c>
      <c r="L588" t="s">
        <v>428</v>
      </c>
      <c r="O588" t="s">
        <v>432</v>
      </c>
      <c r="Q58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8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88" s="107" t="str">
        <f>IFERROR(_xlfn.XLOOKUP("*"&amp;TRIM(Fusion[[#This Row],[Confinement Type]])&amp;"*", Map_Conf[From], Map_Conf[To], "", 2), "")</f>
        <v>MCF</v>
      </c>
      <c r="W588" s="108" t="str" cm="1">
        <f t="array" ref="W5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89" spans="1:23" hidden="1">
      <c r="A589" s="4"/>
      <c r="B589" s="4" t="s">
        <v>940</v>
      </c>
      <c r="C589" s="4" t="s">
        <v>61</v>
      </c>
      <c r="D589" s="4" t="s">
        <v>62</v>
      </c>
      <c r="E589" s="4">
        <v>1203</v>
      </c>
      <c r="F589" s="4" t="s">
        <v>31</v>
      </c>
      <c r="G589" s="4" t="s">
        <v>32</v>
      </c>
      <c r="H589" s="4" t="s">
        <v>33</v>
      </c>
      <c r="I589" s="4">
        <v>5801517000</v>
      </c>
      <c r="J589" s="4" t="s">
        <v>34</v>
      </c>
      <c r="K589" s="4">
        <v>1984</v>
      </c>
      <c r="L589" s="4" t="s">
        <v>938</v>
      </c>
      <c r="O589" s="4" t="s">
        <v>935</v>
      </c>
      <c r="P589" s="4"/>
      <c r="Q589"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8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89" s="107" t="str">
        <f>IFERROR(_xlfn.XLOOKUP("*"&amp;TRIM(Fusion[[#This Row],[Confinement Type]])&amp;"*", Map_Conf[From], Map_Conf[To], "", 2), "")</f>
        <v>MCF</v>
      </c>
      <c r="W589" s="108" t="str" cm="1">
        <f t="array" ref="W5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0" spans="1:23" hidden="1">
      <c r="A590" s="4"/>
      <c r="B590" s="4" t="s">
        <v>941</v>
      </c>
      <c r="C590" s="4" t="s">
        <v>61</v>
      </c>
      <c r="D590" s="4" t="s">
        <v>62</v>
      </c>
      <c r="E590" s="4">
        <v>1209</v>
      </c>
      <c r="F590" s="4" t="s">
        <v>31</v>
      </c>
      <c r="G590" s="4" t="s">
        <v>32</v>
      </c>
      <c r="H590" s="4" t="s">
        <v>33</v>
      </c>
      <c r="I590" s="4">
        <v>4251921000</v>
      </c>
      <c r="J590" s="4" t="s">
        <v>34</v>
      </c>
      <c r="K590" s="4">
        <v>1984</v>
      </c>
      <c r="L590" s="4" t="s">
        <v>938</v>
      </c>
      <c r="O590" s="4" t="s">
        <v>935</v>
      </c>
      <c r="P590" s="4"/>
      <c r="Q590"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9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90" s="107" t="str">
        <f>IFERROR(_xlfn.XLOOKUP("*"&amp;TRIM(Fusion[[#This Row],[Confinement Type]])&amp;"*", Map_Conf[From], Map_Conf[To], "", 2), "")</f>
        <v>MCF</v>
      </c>
      <c r="W590" s="108" t="str" cm="1">
        <f t="array" ref="W5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1" spans="1:23">
      <c r="B591" t="s">
        <v>741</v>
      </c>
      <c r="C591" t="s">
        <v>61</v>
      </c>
      <c r="D591" t="s">
        <v>62</v>
      </c>
      <c r="E591">
        <v>1200</v>
      </c>
      <c r="F591" t="s">
        <v>116</v>
      </c>
      <c r="G591" t="s">
        <v>52</v>
      </c>
      <c r="H591" t="s">
        <v>33</v>
      </c>
      <c r="I591">
        <v>108000000</v>
      </c>
      <c r="J591" t="s">
        <v>34</v>
      </c>
      <c r="K591">
        <v>2010</v>
      </c>
      <c r="L591" t="s">
        <v>732</v>
      </c>
      <c r="P591" t="s">
        <v>259</v>
      </c>
      <c r="Q59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9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103.64140404299812</v>
      </c>
      <c r="V591" s="107" t="str">
        <f>IFERROR(_xlfn.XLOOKUP("*"&amp;TRIM(Fusion[[#This Row],[Confinement Type]])&amp;"*", Map_Conf[From], Map_Conf[To], "", 2), "")</f>
        <v>MCF</v>
      </c>
      <c r="W591" s="108" t="str" cm="1">
        <f t="array" ref="W5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2" spans="1:23">
      <c r="B592" t="s">
        <v>741</v>
      </c>
      <c r="C592" t="s">
        <v>61</v>
      </c>
      <c r="D592" t="s">
        <v>62</v>
      </c>
      <c r="E592">
        <v>1000</v>
      </c>
      <c r="F592" t="s">
        <v>116</v>
      </c>
      <c r="G592" t="s">
        <v>52</v>
      </c>
      <c r="H592" t="s">
        <v>33</v>
      </c>
      <c r="I592">
        <v>99000000</v>
      </c>
      <c r="J592" t="s">
        <v>34</v>
      </c>
      <c r="K592">
        <v>2010</v>
      </c>
      <c r="L592" t="s">
        <v>732</v>
      </c>
      <c r="Q59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9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114.00554444729792</v>
      </c>
      <c r="V592" s="107" t="str">
        <f>IFERROR(_xlfn.XLOOKUP("*"&amp;TRIM(Fusion[[#This Row],[Confinement Type]])&amp;"*", Map_Conf[From], Map_Conf[To], "", 2), "")</f>
        <v>MCF</v>
      </c>
      <c r="W592" s="108" t="str" cm="1">
        <f t="array" ref="W5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593" spans="1:23">
      <c r="B593" t="s">
        <v>200</v>
      </c>
      <c r="C593" t="s">
        <v>61</v>
      </c>
      <c r="D593" t="s">
        <v>62</v>
      </c>
      <c r="E593">
        <v>1000</v>
      </c>
      <c r="F593" t="s">
        <v>116</v>
      </c>
      <c r="G593" t="s">
        <v>52</v>
      </c>
      <c r="H593" t="s">
        <v>33</v>
      </c>
      <c r="I593">
        <v>99000000</v>
      </c>
      <c r="J593" t="s">
        <v>34</v>
      </c>
      <c r="K593">
        <v>2010</v>
      </c>
      <c r="L593" t="s">
        <v>732</v>
      </c>
      <c r="Q59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9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114.00554444729792</v>
      </c>
      <c r="V593" s="107" t="str">
        <f>IFERROR(_xlfn.XLOOKUP("*"&amp;TRIM(Fusion[[#This Row],[Confinement Type]])&amp;"*", Map_Conf[From], Map_Conf[To], "", 2), "")</f>
        <v>MCF</v>
      </c>
      <c r="W593" s="108" t="str" cm="1">
        <f t="array" ref="W5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4" spans="1:23">
      <c r="B594" t="s">
        <v>737</v>
      </c>
      <c r="C594" t="s">
        <v>61</v>
      </c>
      <c r="D594" t="s">
        <v>62</v>
      </c>
      <c r="E594">
        <v>1000</v>
      </c>
      <c r="F594" t="s">
        <v>116</v>
      </c>
      <c r="G594" t="s">
        <v>52</v>
      </c>
      <c r="H594" t="s">
        <v>33</v>
      </c>
      <c r="I594">
        <v>99000000</v>
      </c>
      <c r="J594" t="s">
        <v>34</v>
      </c>
      <c r="K594">
        <v>2010</v>
      </c>
      <c r="L594" t="s">
        <v>732</v>
      </c>
      <c r="Q59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9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114.00554444729792</v>
      </c>
      <c r="V594" s="107" t="str">
        <f>IFERROR(_xlfn.XLOOKUP("*"&amp;TRIM(Fusion[[#This Row],[Confinement Type]])&amp;"*", Map_Conf[From], Map_Conf[To], "", 2), "")</f>
        <v>MCF</v>
      </c>
      <c r="W594" s="108" t="str" cm="1">
        <f t="array" ref="W5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5" spans="1:23">
      <c r="B595" t="s">
        <v>736</v>
      </c>
      <c r="C595" t="s">
        <v>61</v>
      </c>
      <c r="D595" t="s">
        <v>62</v>
      </c>
      <c r="E595">
        <v>1000</v>
      </c>
      <c r="F595" t="s">
        <v>116</v>
      </c>
      <c r="G595" t="s">
        <v>52</v>
      </c>
      <c r="H595" t="s">
        <v>33</v>
      </c>
      <c r="I595">
        <v>99000000</v>
      </c>
      <c r="J595" t="s">
        <v>34</v>
      </c>
      <c r="K595">
        <v>2010</v>
      </c>
      <c r="L595" t="s">
        <v>732</v>
      </c>
      <c r="Q59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9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114.00554444729792</v>
      </c>
      <c r="V595" s="107" t="str">
        <f>IFERROR(_xlfn.XLOOKUP("*"&amp;TRIM(Fusion[[#This Row],[Confinement Type]])&amp;"*", Map_Conf[From], Map_Conf[To], "", 2), "")</f>
        <v>MCF</v>
      </c>
      <c r="W595" s="108" t="str" cm="1">
        <f t="array" ref="W5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96" spans="1:23">
      <c r="B596" t="s">
        <v>1102</v>
      </c>
      <c r="C596" t="s">
        <v>61</v>
      </c>
      <c r="D596" t="s">
        <v>62</v>
      </c>
      <c r="E596">
        <v>1164</v>
      </c>
      <c r="F596" t="s">
        <v>116</v>
      </c>
      <c r="G596" t="s">
        <v>32</v>
      </c>
      <c r="H596" t="s">
        <v>33</v>
      </c>
      <c r="I596">
        <v>54598800</v>
      </c>
      <c r="J596" t="s">
        <v>34</v>
      </c>
      <c r="K596">
        <v>1984</v>
      </c>
      <c r="L596" t="s">
        <v>938</v>
      </c>
      <c r="O596" t="s">
        <v>1103</v>
      </c>
      <c r="Q59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9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113.36353743190816</v>
      </c>
      <c r="V596" s="107" t="str">
        <f>IFERROR(_xlfn.XLOOKUP("*"&amp;TRIM(Fusion[[#This Row],[Confinement Type]])&amp;"*", Map_Conf[From], Map_Conf[To], "", 2), "")</f>
        <v>MCF</v>
      </c>
      <c r="W596" s="108" t="str" cm="1">
        <f t="array" ref="W5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597" spans="1:23">
      <c r="B597" t="s">
        <v>941</v>
      </c>
      <c r="C597" t="s">
        <v>61</v>
      </c>
      <c r="D597" t="s">
        <v>62</v>
      </c>
      <c r="E597">
        <v>1209</v>
      </c>
      <c r="F597" t="s">
        <v>116</v>
      </c>
      <c r="G597" t="s">
        <v>32</v>
      </c>
      <c r="H597" t="s">
        <v>33</v>
      </c>
      <c r="I597">
        <v>56997360</v>
      </c>
      <c r="J597" t="s">
        <v>34</v>
      </c>
      <c r="K597">
        <v>1984</v>
      </c>
      <c r="L597" t="s">
        <v>938</v>
      </c>
      <c r="O597" t="s">
        <v>1101</v>
      </c>
      <c r="Q59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9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113.93881848217292</v>
      </c>
      <c r="V597" s="107" t="str">
        <f>IFERROR(_xlfn.XLOOKUP("*"&amp;TRIM(Fusion[[#This Row],[Confinement Type]])&amp;"*", Map_Conf[From], Map_Conf[To], "", 2), "")</f>
        <v>MCF</v>
      </c>
      <c r="W597" s="108" t="str" cm="1">
        <f t="array" ref="W5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8" spans="1:23">
      <c r="A598" s="4"/>
      <c r="B598" s="4" t="s">
        <v>939</v>
      </c>
      <c r="C598" s="4" t="s">
        <v>61</v>
      </c>
      <c r="D598" s="4" t="s">
        <v>62</v>
      </c>
      <c r="E598" s="4">
        <v>1247</v>
      </c>
      <c r="F598" s="4" t="s">
        <v>116</v>
      </c>
      <c r="G598" s="4" t="s">
        <v>32</v>
      </c>
      <c r="H598" s="4" t="s">
        <v>33</v>
      </c>
      <c r="I598" s="4">
        <v>65360760</v>
      </c>
      <c r="J598" s="4" t="s">
        <v>34</v>
      </c>
      <c r="K598" s="4">
        <v>1984</v>
      </c>
      <c r="L598" s="4" t="s">
        <v>938</v>
      </c>
      <c r="O598" s="4" t="s">
        <v>1101</v>
      </c>
      <c r="P598" s="4"/>
      <c r="Q598"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59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126.67587473705902</v>
      </c>
      <c r="V598" s="107" t="str">
        <f>IFERROR(_xlfn.XLOOKUP("*"&amp;TRIM(Fusion[[#This Row],[Confinement Type]])&amp;"*", Map_Conf[From], Map_Conf[To], "", 2), "")</f>
        <v>MCF</v>
      </c>
      <c r="W598" s="108" t="str" cm="1">
        <f t="array" ref="W5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599" spans="1:23" hidden="1">
      <c r="B599" t="s">
        <v>187</v>
      </c>
      <c r="C599" t="s">
        <v>61</v>
      </c>
      <c r="D599" t="s">
        <v>62</v>
      </c>
      <c r="E599">
        <v>1200</v>
      </c>
      <c r="F599" t="s">
        <v>75</v>
      </c>
      <c r="G599" t="s">
        <v>52</v>
      </c>
      <c r="H599" t="s">
        <v>76</v>
      </c>
      <c r="J599" t="s">
        <v>77</v>
      </c>
      <c r="K599">
        <v>1986</v>
      </c>
      <c r="L599" t="s">
        <v>1105</v>
      </c>
      <c r="O599" t="s">
        <v>1099</v>
      </c>
      <c r="P599" t="s">
        <v>490</v>
      </c>
      <c r="Q59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v>
      </c>
      <c r="R59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599" s="107" t="str">
        <f>IFERROR(_xlfn.XLOOKUP("*"&amp;TRIM(Fusion[[#This Row],[Confinement Type]])&amp;"*", Map_Conf[From], Map_Conf[To], "", 2), "")</f>
        <v>MCF</v>
      </c>
      <c r="W599" s="108" t="str" cm="1">
        <f t="array" ref="W5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0" spans="1:23" hidden="1">
      <c r="B600" t="s">
        <v>165</v>
      </c>
      <c r="C600" t="s">
        <v>61</v>
      </c>
      <c r="D600" t="s">
        <v>62</v>
      </c>
      <c r="E600">
        <v>1200</v>
      </c>
      <c r="F600" t="s">
        <v>75</v>
      </c>
      <c r="G600" t="s">
        <v>52</v>
      </c>
      <c r="H600" t="s">
        <v>76</v>
      </c>
      <c r="J600" t="s">
        <v>77</v>
      </c>
      <c r="K600">
        <v>1986</v>
      </c>
      <c r="L600" t="s">
        <v>1105</v>
      </c>
      <c r="O600" t="s">
        <v>1099</v>
      </c>
      <c r="Q60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v>
      </c>
      <c r="R60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00" s="107" t="str">
        <f>IFERROR(_xlfn.XLOOKUP("*"&amp;TRIM(Fusion[[#This Row],[Confinement Type]])&amp;"*", Map_Conf[From], Map_Conf[To], "", 2), "")</f>
        <v>MCF</v>
      </c>
      <c r="W600" s="108" t="str" cm="1">
        <f t="array" ref="W6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1" spans="1:23" hidden="1">
      <c r="B601" t="s">
        <v>170</v>
      </c>
      <c r="C601" t="s">
        <v>61</v>
      </c>
      <c r="D601" t="s">
        <v>113</v>
      </c>
      <c r="E601">
        <v>970</v>
      </c>
      <c r="F601" t="s">
        <v>75</v>
      </c>
      <c r="G601" t="s">
        <v>52</v>
      </c>
      <c r="H601" t="s">
        <v>76</v>
      </c>
      <c r="J601" t="s">
        <v>77</v>
      </c>
      <c r="K601">
        <v>1986</v>
      </c>
      <c r="L601" t="s">
        <v>1105</v>
      </c>
      <c r="O601" t="s">
        <v>1099</v>
      </c>
      <c r="Q60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v>
      </c>
      <c r="R60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01" s="107" t="str">
        <f>IFERROR(_xlfn.XLOOKUP("*"&amp;TRIM(Fusion[[#This Row],[Confinement Type]])&amp;"*", Map_Conf[From], Map_Conf[To], "", 2), "")</f>
        <v>MCF</v>
      </c>
      <c r="W601" s="108" t="str" cm="1">
        <f t="array" ref="W6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2" spans="1:23" hidden="1">
      <c r="B602" t="s">
        <v>172</v>
      </c>
      <c r="C602" t="s">
        <v>61</v>
      </c>
      <c r="D602" t="s">
        <v>113</v>
      </c>
      <c r="E602">
        <v>970</v>
      </c>
      <c r="F602" t="s">
        <v>75</v>
      </c>
      <c r="G602" t="s">
        <v>52</v>
      </c>
      <c r="H602" t="s">
        <v>76</v>
      </c>
      <c r="J602" t="s">
        <v>77</v>
      </c>
      <c r="K602">
        <v>1986</v>
      </c>
      <c r="L602" t="s">
        <v>1105</v>
      </c>
      <c r="O602" t="s">
        <v>1099</v>
      </c>
      <c r="Q60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v>
      </c>
      <c r="R60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02" s="107" t="str">
        <f>IFERROR(_xlfn.XLOOKUP("*"&amp;TRIM(Fusion[[#This Row],[Confinement Type]])&amp;"*", Map_Conf[From], Map_Conf[To], "", 2), "")</f>
        <v>MCF</v>
      </c>
      <c r="W602" s="108" t="str" cm="1">
        <f t="array" ref="W60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3" spans="1:23" hidden="1">
      <c r="B603" t="s">
        <v>174</v>
      </c>
      <c r="C603" t="s">
        <v>61</v>
      </c>
      <c r="D603" t="s">
        <v>62</v>
      </c>
      <c r="E603">
        <v>1200</v>
      </c>
      <c r="F603" t="s">
        <v>75</v>
      </c>
      <c r="G603" t="s">
        <v>52</v>
      </c>
      <c r="H603" t="s">
        <v>76</v>
      </c>
      <c r="J603" t="s">
        <v>77</v>
      </c>
      <c r="K603">
        <v>1986</v>
      </c>
      <c r="L603" t="s">
        <v>1105</v>
      </c>
      <c r="O603" t="s">
        <v>1099</v>
      </c>
      <c r="P603" t="s">
        <v>504</v>
      </c>
      <c r="Q60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v>
      </c>
      <c r="R60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03" s="107" t="str">
        <f>IFERROR(_xlfn.XLOOKUP("*"&amp;TRIM(Fusion[[#This Row],[Confinement Type]])&amp;"*", Map_Conf[From], Map_Conf[To], "", 2), "")</f>
        <v>MCF</v>
      </c>
      <c r="W603" s="108" t="str" cm="1">
        <f t="array" ref="W60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4" spans="1:23" hidden="1">
      <c r="B604" t="s">
        <v>176</v>
      </c>
      <c r="C604" t="s">
        <v>61</v>
      </c>
      <c r="D604" t="s">
        <v>62</v>
      </c>
      <c r="E604">
        <v>1200</v>
      </c>
      <c r="F604" t="s">
        <v>75</v>
      </c>
      <c r="G604" t="s">
        <v>52</v>
      </c>
      <c r="H604" t="s">
        <v>76</v>
      </c>
      <c r="J604" t="s">
        <v>77</v>
      </c>
      <c r="K604">
        <v>1986</v>
      </c>
      <c r="L604" t="s">
        <v>1105</v>
      </c>
      <c r="O604" t="s">
        <v>1099</v>
      </c>
      <c r="P604" t="s">
        <v>64</v>
      </c>
      <c r="Q60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v>
      </c>
      <c r="R60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04" s="107" t="str">
        <f>IFERROR(_xlfn.XLOOKUP("*"&amp;TRIM(Fusion[[#This Row],[Confinement Type]])&amp;"*", Map_Conf[From], Map_Conf[To], "", 2), "")</f>
        <v>MCF</v>
      </c>
      <c r="W604" s="108" t="str" cm="1">
        <f t="array" ref="W60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605" spans="1:23" hidden="1">
      <c r="B605" t="s">
        <v>182</v>
      </c>
      <c r="C605" t="s">
        <v>61</v>
      </c>
      <c r="D605" t="s">
        <v>62</v>
      </c>
      <c r="E605">
        <v>1200</v>
      </c>
      <c r="F605" t="s">
        <v>75</v>
      </c>
      <c r="G605" t="s">
        <v>52</v>
      </c>
      <c r="H605" t="s">
        <v>76</v>
      </c>
      <c r="J605" t="s">
        <v>77</v>
      </c>
      <c r="K605">
        <v>1986</v>
      </c>
      <c r="L605" t="s">
        <v>1105</v>
      </c>
      <c r="O605" t="s">
        <v>1099</v>
      </c>
      <c r="P605" t="s">
        <v>689</v>
      </c>
      <c r="Q60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v>
      </c>
      <c r="R60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05" s="107" t="str">
        <f>IFERROR(_xlfn.XLOOKUP("*"&amp;TRIM(Fusion[[#This Row],[Confinement Type]])&amp;"*", Map_Conf[From], Map_Conf[To], "", 2), "")</f>
        <v>MCF</v>
      </c>
      <c r="W605" s="108" t="str" cm="1">
        <f t="array" ref="W60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RFP</v>
      </c>
    </row>
    <row r="606" spans="1:23" hidden="1">
      <c r="B606" t="s">
        <v>1100</v>
      </c>
      <c r="C606" t="s">
        <v>61</v>
      </c>
      <c r="D606" t="s">
        <v>62</v>
      </c>
      <c r="E606">
        <v>1200</v>
      </c>
      <c r="F606" t="s">
        <v>75</v>
      </c>
      <c r="G606" t="s">
        <v>52</v>
      </c>
      <c r="H606" t="s">
        <v>76</v>
      </c>
      <c r="J606" t="s">
        <v>77</v>
      </c>
      <c r="K606">
        <v>1986</v>
      </c>
      <c r="L606" t="s">
        <v>1105</v>
      </c>
      <c r="O606" t="s">
        <v>1099</v>
      </c>
      <c r="P606" t="s">
        <v>691</v>
      </c>
      <c r="Q60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v>
      </c>
      <c r="R60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06" s="107" t="str">
        <f>IFERROR(_xlfn.XLOOKUP("*"&amp;TRIM(Fusion[[#This Row],[Confinement Type]])&amp;"*", Map_Conf[From], Map_Conf[To], "", 2), "")</f>
        <v>MCF</v>
      </c>
      <c r="W606" s="108" t="str" cm="1">
        <f t="array" ref="W60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7" spans="1:23" hidden="1">
      <c r="B607" t="s">
        <v>1102</v>
      </c>
      <c r="C607" t="s">
        <v>61</v>
      </c>
      <c r="D607" t="s">
        <v>62</v>
      </c>
      <c r="E607">
        <v>1164</v>
      </c>
      <c r="F607" t="s">
        <v>31</v>
      </c>
      <c r="G607" t="s">
        <v>32</v>
      </c>
      <c r="H607" t="s">
        <v>33</v>
      </c>
      <c r="I607">
        <v>3948156000</v>
      </c>
      <c r="J607" t="s">
        <v>34</v>
      </c>
      <c r="K607">
        <v>1984</v>
      </c>
      <c r="L607" t="s">
        <v>938</v>
      </c>
      <c r="O607" t="s">
        <v>1103</v>
      </c>
      <c r="Q60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0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07" s="107" t="str">
        <f>IFERROR(_xlfn.XLOOKUP("*"&amp;TRIM(Fusion[[#This Row],[Confinement Type]])&amp;"*", Map_Conf[From], Map_Conf[To], "", 2), "")</f>
        <v>MCF</v>
      </c>
      <c r="W607" s="108" t="str" cm="1">
        <f t="array" ref="W60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8" spans="1:23" hidden="1">
      <c r="B608" t="s">
        <v>1102</v>
      </c>
      <c r="C608" t="s">
        <v>61</v>
      </c>
      <c r="D608" t="s">
        <v>62</v>
      </c>
      <c r="E608">
        <v>1164</v>
      </c>
      <c r="F608" t="s">
        <v>75</v>
      </c>
      <c r="G608" t="s">
        <v>32</v>
      </c>
      <c r="H608" t="s">
        <v>76</v>
      </c>
      <c r="I608">
        <v>69.432000000000002</v>
      </c>
      <c r="J608" t="s">
        <v>128</v>
      </c>
      <c r="K608">
        <v>1984</v>
      </c>
      <c r="L608" t="s">
        <v>938</v>
      </c>
      <c r="O608" t="s">
        <v>1103</v>
      </c>
      <c r="P608" t="s">
        <v>485</v>
      </c>
      <c r="Q60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167.80424662175167</v>
      </c>
      <c r="R60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08" s="107" t="str">
        <f>IFERROR(_xlfn.XLOOKUP("*"&amp;TRIM(Fusion[[#This Row],[Confinement Type]])&amp;"*", Map_Conf[From], Map_Conf[To], "", 2), "")</f>
        <v>MCF</v>
      </c>
      <c r="W608" s="108" t="str" cm="1">
        <f t="array" ref="W60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09" spans="1:23" hidden="1">
      <c r="B609" t="s">
        <v>939</v>
      </c>
      <c r="C609" t="s">
        <v>61</v>
      </c>
      <c r="D609" t="s">
        <v>62</v>
      </c>
      <c r="E609">
        <v>1247</v>
      </c>
      <c r="F609" t="s">
        <v>75</v>
      </c>
      <c r="G609" t="s">
        <v>32</v>
      </c>
      <c r="H609" t="s">
        <v>76</v>
      </c>
      <c r="I609">
        <v>86.001000000000005</v>
      </c>
      <c r="J609" t="s">
        <v>128</v>
      </c>
      <c r="K609">
        <v>1984</v>
      </c>
      <c r="L609" t="s">
        <v>938</v>
      </c>
      <c r="O609" t="s">
        <v>1101</v>
      </c>
      <c r="Q60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207.84844183830606</v>
      </c>
      <c r="R60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09" s="107" t="str">
        <f>IFERROR(_xlfn.XLOOKUP("*"&amp;TRIM(Fusion[[#This Row],[Confinement Type]])&amp;"*", Map_Conf[From], Map_Conf[To], "", 2), "")</f>
        <v>MCF</v>
      </c>
      <c r="W609" s="108" t="str" cm="1">
        <f t="array" ref="W60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0" spans="1:23" hidden="1">
      <c r="B610" t="s">
        <v>940</v>
      </c>
      <c r="C610" t="s">
        <v>61</v>
      </c>
      <c r="D610" t="s">
        <v>62</v>
      </c>
      <c r="E610">
        <v>1203</v>
      </c>
      <c r="F610" t="s">
        <v>75</v>
      </c>
      <c r="G610" t="s">
        <v>32</v>
      </c>
      <c r="H610" t="s">
        <v>76</v>
      </c>
      <c r="I610">
        <v>82.844999999999999</v>
      </c>
      <c r="J610" t="s">
        <v>128</v>
      </c>
      <c r="K610">
        <v>1984</v>
      </c>
      <c r="L610" t="s">
        <v>938</v>
      </c>
      <c r="O610" t="s">
        <v>1101</v>
      </c>
      <c r="Q61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200.2209760827719</v>
      </c>
      <c r="R61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10" s="107" t="str">
        <f>IFERROR(_xlfn.XLOOKUP("*"&amp;TRIM(Fusion[[#This Row],[Confinement Type]])&amp;"*", Map_Conf[From], Map_Conf[To], "", 2), "")</f>
        <v>MCF</v>
      </c>
      <c r="W610" s="108" t="str" cm="1">
        <f t="array" ref="W61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1" spans="1:23" hidden="1">
      <c r="B611" t="s">
        <v>941</v>
      </c>
      <c r="C611" t="s">
        <v>61</v>
      </c>
      <c r="D611" t="s">
        <v>62</v>
      </c>
      <c r="E611">
        <v>1209</v>
      </c>
      <c r="F611" t="s">
        <v>75</v>
      </c>
      <c r="G611" t="s">
        <v>32</v>
      </c>
      <c r="H611" t="s">
        <v>76</v>
      </c>
      <c r="I611">
        <v>61.542000000000002</v>
      </c>
      <c r="J611" t="s">
        <v>128</v>
      </c>
      <c r="K611">
        <v>1984</v>
      </c>
      <c r="L611" t="s">
        <v>938</v>
      </c>
      <c r="O611" t="s">
        <v>1101</v>
      </c>
      <c r="Q61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148.73558223291627</v>
      </c>
      <c r="R61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11" s="107" t="str">
        <f>IFERROR(_xlfn.XLOOKUP("*"&amp;TRIM(Fusion[[#This Row],[Confinement Type]])&amp;"*", Map_Conf[From], Map_Conf[To], "", 2), "")</f>
        <v>MCF</v>
      </c>
      <c r="W611" s="108" t="str" cm="1">
        <f t="array" ref="W61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2" spans="1:23" hidden="1">
      <c r="B612" t="s">
        <v>939</v>
      </c>
      <c r="C612" t="s">
        <v>61</v>
      </c>
      <c r="D612" t="s">
        <v>62</v>
      </c>
      <c r="E612">
        <v>1247</v>
      </c>
      <c r="F612" t="s">
        <v>31</v>
      </c>
      <c r="G612" t="s">
        <v>32</v>
      </c>
      <c r="H612" t="s">
        <v>33</v>
      </c>
      <c r="I612">
        <v>6121062000</v>
      </c>
      <c r="J612" t="s">
        <v>34</v>
      </c>
      <c r="K612">
        <v>1984</v>
      </c>
      <c r="L612" t="s">
        <v>938</v>
      </c>
      <c r="O612" t="s">
        <v>936</v>
      </c>
      <c r="P612" t="s">
        <v>145</v>
      </c>
      <c r="Q61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1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12" s="107" t="str">
        <f>IFERROR(_xlfn.XLOOKUP("*"&amp;TRIM(Fusion[[#This Row],[Confinement Type]])&amp;"*", Map_Conf[From], Map_Conf[To], "", 2), "")</f>
        <v>MCF</v>
      </c>
      <c r="W612" s="108" t="str" cm="1">
        <f t="array" ref="W61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3" spans="1:23" hidden="1">
      <c r="A613">
        <v>458</v>
      </c>
      <c r="B613" t="s">
        <v>674</v>
      </c>
      <c r="C613" t="s">
        <v>61</v>
      </c>
      <c r="D613" t="s">
        <v>62</v>
      </c>
      <c r="E613">
        <v>1200</v>
      </c>
      <c r="F613" t="s">
        <v>31</v>
      </c>
      <c r="G613" t="s">
        <v>57</v>
      </c>
      <c r="H613" t="s">
        <v>33</v>
      </c>
      <c r="I613">
        <v>3116000000</v>
      </c>
      <c r="J613" t="s">
        <v>34</v>
      </c>
      <c r="K613">
        <v>2020</v>
      </c>
      <c r="L613" t="s">
        <v>433</v>
      </c>
      <c r="O613" t="s">
        <v>668</v>
      </c>
      <c r="P613" t="s">
        <v>263</v>
      </c>
      <c r="Q61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1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13" s="107" t="str">
        <f>IFERROR(_xlfn.XLOOKUP("*"&amp;TRIM(Fusion[[#This Row],[Confinement Type]])&amp;"*", Map_Conf[From], Map_Conf[To], "", 2), "")</f>
        <v/>
      </c>
      <c r="W613" s="108" t="e" cm="1">
        <f t="array" ref="W61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14" spans="1:23" hidden="1">
      <c r="A614">
        <v>459</v>
      </c>
      <c r="B614" t="s">
        <v>434</v>
      </c>
      <c r="C614" t="s">
        <v>61</v>
      </c>
      <c r="D614" t="s">
        <v>62</v>
      </c>
      <c r="E614">
        <v>1000</v>
      </c>
      <c r="F614" t="s">
        <v>75</v>
      </c>
      <c r="G614" t="s">
        <v>57</v>
      </c>
      <c r="H614" t="s">
        <v>76</v>
      </c>
      <c r="I614">
        <v>52.35</v>
      </c>
      <c r="J614" t="s">
        <v>77</v>
      </c>
      <c r="K614">
        <v>2002</v>
      </c>
      <c r="L614" t="s">
        <v>435</v>
      </c>
      <c r="O614" t="s">
        <v>436</v>
      </c>
      <c r="Q61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73.070880767092831</v>
      </c>
      <c r="R61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14" s="107" t="str">
        <f>IFERROR(_xlfn.XLOOKUP("*"&amp;TRIM(Fusion[[#This Row],[Confinement Type]])&amp;"*", Map_Conf[From], Map_Conf[To], "", 2), "")</f>
        <v>MCF</v>
      </c>
      <c r="W614" s="108" t="str" cm="1">
        <f t="array" ref="W61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5" spans="1:23" hidden="1">
      <c r="A615">
        <v>460</v>
      </c>
      <c r="B615" t="s">
        <v>437</v>
      </c>
      <c r="C615" t="s">
        <v>61</v>
      </c>
      <c r="D615" t="s">
        <v>62</v>
      </c>
      <c r="E615">
        <v>1000</v>
      </c>
      <c r="F615" t="s">
        <v>75</v>
      </c>
      <c r="G615" t="s">
        <v>57</v>
      </c>
      <c r="H615" t="s">
        <v>76</v>
      </c>
      <c r="I615">
        <v>55.73</v>
      </c>
      <c r="J615" t="s">
        <v>77</v>
      </c>
      <c r="K615">
        <v>2002</v>
      </c>
      <c r="L615" t="s">
        <v>435</v>
      </c>
      <c r="O615" t="s">
        <v>436</v>
      </c>
      <c r="Q61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77.788733240689268</v>
      </c>
      <c r="R61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15" s="107" t="str">
        <f>IFERROR(_xlfn.XLOOKUP("*"&amp;TRIM(Fusion[[#This Row],[Confinement Type]])&amp;"*", Map_Conf[From], Map_Conf[To], "", 2), "")</f>
        <v>MCF</v>
      </c>
      <c r="W615" s="108" t="str" cm="1">
        <f t="array" ref="W61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16" spans="1:23" hidden="1">
      <c r="A616">
        <v>461</v>
      </c>
      <c r="B616" t="s">
        <v>438</v>
      </c>
      <c r="C616" t="s">
        <v>61</v>
      </c>
      <c r="D616" t="s">
        <v>62</v>
      </c>
      <c r="E616">
        <v>1000</v>
      </c>
      <c r="F616" t="s">
        <v>75</v>
      </c>
      <c r="G616" t="s">
        <v>32</v>
      </c>
      <c r="H616" t="s">
        <v>76</v>
      </c>
      <c r="I616">
        <v>101</v>
      </c>
      <c r="J616" t="s">
        <v>77</v>
      </c>
      <c r="K616">
        <v>2002</v>
      </c>
      <c r="L616" t="s">
        <v>435</v>
      </c>
      <c r="O616" t="s">
        <v>439</v>
      </c>
      <c r="Q61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140.977248471373</v>
      </c>
      <c r="R61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16" s="107" t="str">
        <f>IFERROR(_xlfn.XLOOKUP("*"&amp;TRIM(Fusion[[#This Row],[Confinement Type]])&amp;"*", Map_Conf[From], Map_Conf[To], "", 2), "")</f>
        <v>MCF</v>
      </c>
      <c r="W616" s="108" t="str" cm="1">
        <f t="array" ref="W61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17" spans="1:23" hidden="1">
      <c r="A617">
        <v>214</v>
      </c>
      <c r="B617" t="s">
        <v>79</v>
      </c>
      <c r="C617" t="s">
        <v>61</v>
      </c>
      <c r="D617" t="s">
        <v>62</v>
      </c>
      <c r="F617" t="s">
        <v>63</v>
      </c>
      <c r="G617" t="s">
        <v>32</v>
      </c>
      <c r="H617" t="s">
        <v>33</v>
      </c>
      <c r="I617">
        <v>8000000</v>
      </c>
      <c r="J617" t="s">
        <v>34</v>
      </c>
      <c r="K617">
        <v>1989</v>
      </c>
      <c r="L617" t="s">
        <v>80</v>
      </c>
      <c r="O617" t="s">
        <v>259</v>
      </c>
      <c r="P617" t="s">
        <v>504</v>
      </c>
      <c r="Q61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1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17" s="107" t="str">
        <f>IFERROR(_xlfn.XLOOKUP("*"&amp;TRIM(Fusion[[#This Row],[Confinement Type]])&amp;"*", Map_Conf[From], Map_Conf[To], "", 2), "")</f>
        <v>ICF</v>
      </c>
      <c r="W617" s="108" t="str" cm="1">
        <f t="array" ref="W61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18" spans="1:23">
      <c r="B618" t="s">
        <v>940</v>
      </c>
      <c r="C618" t="s">
        <v>61</v>
      </c>
      <c r="D618" t="s">
        <v>62</v>
      </c>
      <c r="E618">
        <v>1203</v>
      </c>
      <c r="F618" t="s">
        <v>116</v>
      </c>
      <c r="G618" t="s">
        <v>32</v>
      </c>
      <c r="H618" t="s">
        <v>33</v>
      </c>
      <c r="I618">
        <v>68611440</v>
      </c>
      <c r="J618" t="s">
        <v>34</v>
      </c>
      <c r="K618">
        <v>1984</v>
      </c>
      <c r="L618" t="s">
        <v>938</v>
      </c>
      <c r="O618" t="s">
        <v>1101</v>
      </c>
      <c r="Q61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18">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137.83965546576292</v>
      </c>
      <c r="V618" s="107" t="str">
        <f>IFERROR(_xlfn.XLOOKUP("*"&amp;TRIM(Fusion[[#This Row],[Confinement Type]])&amp;"*", Map_Conf[From], Map_Conf[To], "", 2), "")</f>
        <v>ICF</v>
      </c>
      <c r="W618" s="108" t="str" cm="1">
        <f t="array" ref="W61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19" spans="1:23" hidden="1">
      <c r="A619">
        <v>468</v>
      </c>
      <c r="B619" t="s">
        <v>81</v>
      </c>
      <c r="C619" t="s">
        <v>61</v>
      </c>
      <c r="D619" t="s">
        <v>62</v>
      </c>
      <c r="E619">
        <v>1000</v>
      </c>
      <c r="F619" t="s">
        <v>75</v>
      </c>
      <c r="G619" t="s">
        <v>57</v>
      </c>
      <c r="H619" t="s">
        <v>76</v>
      </c>
      <c r="I619">
        <v>70</v>
      </c>
      <c r="J619" t="s">
        <v>77</v>
      </c>
      <c r="K619">
        <v>2003</v>
      </c>
      <c r="L619" t="s">
        <v>440</v>
      </c>
      <c r="O619" t="s">
        <v>638</v>
      </c>
      <c r="Q61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95.529836956521734</v>
      </c>
      <c r="R61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19" s="107" t="str">
        <f>IFERROR(_xlfn.XLOOKUP("*"&amp;TRIM(Fusion[[#This Row],[Confinement Type]])&amp;"*", Map_Conf[From], Map_Conf[To], "", 2), "")</f>
        <v>MCF</v>
      </c>
      <c r="W619" s="108" t="str" cm="1">
        <f t="array" ref="W61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0" spans="1:23" hidden="1">
      <c r="A620">
        <v>469</v>
      </c>
      <c r="B620" t="s">
        <v>81</v>
      </c>
      <c r="C620" t="s">
        <v>61</v>
      </c>
      <c r="D620" t="s">
        <v>62</v>
      </c>
      <c r="E620">
        <v>1000</v>
      </c>
      <c r="F620" t="s">
        <v>75</v>
      </c>
      <c r="G620" t="s">
        <v>32</v>
      </c>
      <c r="H620" t="s">
        <v>76</v>
      </c>
      <c r="I620">
        <v>130</v>
      </c>
      <c r="J620" t="s">
        <v>77</v>
      </c>
      <c r="K620">
        <v>2003</v>
      </c>
      <c r="L620" t="s">
        <v>440</v>
      </c>
      <c r="O620" t="s">
        <v>639</v>
      </c>
      <c r="Q62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177.4125543478261</v>
      </c>
      <c r="R62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20" s="107" t="str">
        <f>IFERROR(_xlfn.XLOOKUP("*"&amp;TRIM(Fusion[[#This Row],[Confinement Type]])&amp;"*", Map_Conf[From], Map_Conf[To], "", 2), "")</f>
        <v>MCF</v>
      </c>
      <c r="W620" s="108" t="str" cm="1">
        <f t="array" ref="W62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1" spans="1:23" hidden="1">
      <c r="A621">
        <v>470</v>
      </c>
      <c r="B621" t="s">
        <v>443</v>
      </c>
      <c r="C621" t="s">
        <v>61</v>
      </c>
      <c r="D621" t="s">
        <v>62</v>
      </c>
      <c r="E621">
        <v>1185</v>
      </c>
      <c r="F621" t="s">
        <v>31</v>
      </c>
      <c r="G621" t="s">
        <v>52</v>
      </c>
      <c r="H621" t="s">
        <v>33</v>
      </c>
      <c r="I621">
        <v>3609000000</v>
      </c>
      <c r="J621" t="s">
        <v>34</v>
      </c>
      <c r="K621">
        <v>1976</v>
      </c>
      <c r="L621" t="s">
        <v>444</v>
      </c>
      <c r="O621" t="s">
        <v>389</v>
      </c>
      <c r="Q62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2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21" s="107" t="str">
        <f>IFERROR(_xlfn.XLOOKUP("*"&amp;TRIM(Fusion[[#This Row],[Confinement Type]])&amp;"*", Map_Conf[From], Map_Conf[To], "", 2), "")</f>
        <v>MCF</v>
      </c>
      <c r="W621" s="108" t="str" cm="1">
        <f t="array" ref="W62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2" spans="1:23" hidden="1">
      <c r="B622" t="s">
        <v>738</v>
      </c>
      <c r="C622" t="s">
        <v>61</v>
      </c>
      <c r="D622" t="s">
        <v>62</v>
      </c>
      <c r="E622">
        <v>1000</v>
      </c>
      <c r="F622" t="s">
        <v>63</v>
      </c>
      <c r="G622" t="s">
        <v>32</v>
      </c>
      <c r="H622" t="s">
        <v>33</v>
      </c>
      <c r="I622">
        <v>400000</v>
      </c>
      <c r="J622" t="s">
        <v>34</v>
      </c>
      <c r="K622">
        <v>2010</v>
      </c>
      <c r="L622" t="s">
        <v>732</v>
      </c>
      <c r="Q62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2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0.460628462413325</v>
      </c>
      <c r="V622" s="107" t="str">
        <f>IFERROR(_xlfn.XLOOKUP("*"&amp;TRIM(Fusion[[#This Row],[Confinement Type]])&amp;"*", Map_Conf[From], Map_Conf[To], "", 2), "")</f>
        <v>ICF</v>
      </c>
      <c r="W622" s="108" t="str" cm="1">
        <f t="array" ref="W62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23" spans="1:23" hidden="1">
      <c r="B623" t="s">
        <v>939</v>
      </c>
      <c r="C623" t="s">
        <v>61</v>
      </c>
      <c r="D623" t="s">
        <v>62</v>
      </c>
      <c r="E623">
        <v>1247</v>
      </c>
      <c r="F623" t="s">
        <v>63</v>
      </c>
      <c r="G623" t="s">
        <v>32</v>
      </c>
      <c r="H623" t="s">
        <v>33</v>
      </c>
      <c r="I623">
        <v>3313800</v>
      </c>
      <c r="J623" t="s">
        <v>34</v>
      </c>
      <c r="K623">
        <v>1984</v>
      </c>
      <c r="L623" t="s">
        <v>938</v>
      </c>
      <c r="O623" t="s">
        <v>1101</v>
      </c>
      <c r="Q62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2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6.4224851991266041</v>
      </c>
      <c r="V623" s="107" t="str">
        <f>IFERROR(_xlfn.XLOOKUP("*"&amp;TRIM(Fusion[[#This Row],[Confinement Type]])&amp;"*", Map_Conf[From], Map_Conf[To], "", 2), "")</f>
        <v>MCF</v>
      </c>
      <c r="W623" s="108" t="str" cm="1">
        <f t="array" ref="W62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4" spans="1:23" hidden="1">
      <c r="B624" t="s">
        <v>795</v>
      </c>
      <c r="C624" t="s">
        <v>30</v>
      </c>
      <c r="D624" t="s">
        <v>796</v>
      </c>
      <c r="E624">
        <v>972</v>
      </c>
      <c r="F624" t="s">
        <v>31</v>
      </c>
      <c r="G624" t="s">
        <v>52</v>
      </c>
      <c r="H624" t="s">
        <v>33</v>
      </c>
      <c r="I624">
        <v>3929900000</v>
      </c>
      <c r="J624" t="s">
        <v>34</v>
      </c>
      <c r="K624">
        <v>1991</v>
      </c>
      <c r="L624" t="s">
        <v>799</v>
      </c>
      <c r="O624" t="s">
        <v>804</v>
      </c>
      <c r="Q62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2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24" s="107" t="str">
        <f>IFERROR(_xlfn.XLOOKUP("*"&amp;TRIM(Fusion[[#This Row],[Confinement Type]])&amp;"*", Map_Conf[From], Map_Conf[To], "", 2), "")</f>
        <v>MCF</v>
      </c>
      <c r="W624" s="108" t="str" cm="1">
        <f t="array" ref="W62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5" spans="1:23" hidden="1">
      <c r="B625" t="s">
        <v>797</v>
      </c>
      <c r="C625" t="s">
        <v>30</v>
      </c>
      <c r="D625" t="s">
        <v>798</v>
      </c>
      <c r="E625">
        <v>999</v>
      </c>
      <c r="F625" t="s">
        <v>31</v>
      </c>
      <c r="G625" t="s">
        <v>52</v>
      </c>
      <c r="H625" t="s">
        <v>33</v>
      </c>
      <c r="I625">
        <v>2716020000</v>
      </c>
      <c r="J625" t="s">
        <v>34</v>
      </c>
      <c r="K625">
        <v>1991</v>
      </c>
      <c r="L625" t="s">
        <v>799</v>
      </c>
      <c r="O625" t="s">
        <v>805</v>
      </c>
      <c r="Q62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2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25" s="107" t="str">
        <f>IFERROR(_xlfn.XLOOKUP("*"&amp;TRIM(Fusion[[#This Row],[Confinement Type]])&amp;"*", Map_Conf[From], Map_Conf[To], "", 2), "")</f>
        <v>MCF</v>
      </c>
      <c r="W625" s="108" t="str" cm="1">
        <f t="array" ref="W62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6" spans="1:23">
      <c r="A626">
        <v>457</v>
      </c>
      <c r="B626" t="s">
        <v>674</v>
      </c>
      <c r="C626" t="s">
        <v>61</v>
      </c>
      <c r="D626" t="s">
        <v>62</v>
      </c>
      <c r="E626">
        <v>1200</v>
      </c>
      <c r="F626" t="s">
        <v>116</v>
      </c>
      <c r="G626" t="s">
        <v>57</v>
      </c>
      <c r="H626" t="s">
        <v>33</v>
      </c>
      <c r="I626">
        <v>236000000</v>
      </c>
      <c r="J626" t="s">
        <v>34</v>
      </c>
      <c r="K626">
        <v>2020</v>
      </c>
      <c r="L626" t="s">
        <v>433</v>
      </c>
      <c r="O626" t="s">
        <v>640</v>
      </c>
      <c r="Q62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2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190.81251054501806</v>
      </c>
      <c r="V626" s="107" t="str">
        <f>IFERROR(_xlfn.XLOOKUP("*"&amp;TRIM(Fusion[[#This Row],[Confinement Type]])&amp;"*", Map_Conf[From], Map_Conf[To], "", 2), "")</f>
        <v>MCF</v>
      </c>
      <c r="W626" s="108" t="str" cm="1">
        <f t="array" ref="W62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7" spans="1:23">
      <c r="A627">
        <v>592</v>
      </c>
      <c r="B627" t="s">
        <v>443</v>
      </c>
      <c r="C627" t="s">
        <v>61</v>
      </c>
      <c r="D627" t="s">
        <v>62</v>
      </c>
      <c r="E627">
        <v>1185</v>
      </c>
      <c r="F627" t="s">
        <v>116</v>
      </c>
      <c r="G627" t="s">
        <v>52</v>
      </c>
      <c r="H627" t="s">
        <v>33</v>
      </c>
      <c r="I627">
        <v>3226666.6666666665</v>
      </c>
      <c r="J627" t="s">
        <v>34</v>
      </c>
      <c r="K627">
        <v>1967</v>
      </c>
      <c r="L627" t="s">
        <v>444</v>
      </c>
      <c r="O627" t="s">
        <v>1109</v>
      </c>
      <c r="Q62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2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20.47142642984074</v>
      </c>
      <c r="V627" s="107" t="str">
        <f>IFERROR(_xlfn.XLOOKUP("*"&amp;TRIM(Fusion[[#This Row],[Confinement Type]])&amp;"*", Map_Conf[From], Map_Conf[To], "", 2), "")</f>
        <v>MCF</v>
      </c>
      <c r="W627" s="108" t="str" cm="1">
        <f t="array" ref="W62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8" spans="1:23" hidden="1">
      <c r="A628">
        <v>480</v>
      </c>
      <c r="B628" t="s">
        <v>449</v>
      </c>
      <c r="C628" t="s">
        <v>61</v>
      </c>
      <c r="D628" t="s">
        <v>62</v>
      </c>
      <c r="F628" t="s">
        <v>75</v>
      </c>
      <c r="G628" t="s">
        <v>32</v>
      </c>
      <c r="H628" t="s">
        <v>76</v>
      </c>
      <c r="I628">
        <v>100</v>
      </c>
      <c r="J628" t="s">
        <v>450</v>
      </c>
      <c r="K628">
        <v>2005</v>
      </c>
      <c r="L628" t="s">
        <v>451</v>
      </c>
      <c r="O628" t="s">
        <v>648</v>
      </c>
      <c r="Q62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160.06303343573987</v>
      </c>
      <c r="R62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28" s="107" t="str">
        <f>IFERROR(_xlfn.XLOOKUP("*"&amp;TRIM(Fusion[[#This Row],[Confinement Type]])&amp;"*", Map_Conf[From], Map_Conf[To], "", 2), "")</f>
        <v>MCF</v>
      </c>
      <c r="W628" s="108" t="str" cm="1">
        <f t="array" ref="W62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29" spans="1:23" hidden="1">
      <c r="A629">
        <v>481</v>
      </c>
      <c r="B629" t="s">
        <v>452</v>
      </c>
      <c r="C629" t="s">
        <v>61</v>
      </c>
      <c r="D629" t="s">
        <v>62</v>
      </c>
      <c r="F629" t="s">
        <v>75</v>
      </c>
      <c r="G629" t="s">
        <v>57</v>
      </c>
      <c r="H629" t="s">
        <v>76</v>
      </c>
      <c r="I629">
        <v>50</v>
      </c>
      <c r="J629" t="s">
        <v>450</v>
      </c>
      <c r="K629">
        <v>2005</v>
      </c>
      <c r="L629" t="s">
        <v>451</v>
      </c>
      <c r="O629" t="s">
        <v>648</v>
      </c>
      <c r="P629" t="s">
        <v>373</v>
      </c>
      <c r="Q62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80.031516717869934</v>
      </c>
      <c r="R62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29" s="107" t="str">
        <f>IFERROR(_xlfn.XLOOKUP("*"&amp;TRIM(Fusion[[#This Row],[Confinement Type]])&amp;"*", Map_Conf[From], Map_Conf[To], "", 2), "")</f>
        <v>MCF</v>
      </c>
      <c r="W629" s="108" t="str" cm="1">
        <f t="array" ref="W62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630" spans="1:23" hidden="1">
      <c r="A630">
        <v>482</v>
      </c>
      <c r="B630" t="s">
        <v>453</v>
      </c>
      <c r="C630" t="s">
        <v>61</v>
      </c>
      <c r="D630" t="s">
        <v>62</v>
      </c>
      <c r="E630">
        <v>1000</v>
      </c>
      <c r="F630" t="s">
        <v>1144</v>
      </c>
      <c r="G630" t="s">
        <v>52</v>
      </c>
      <c r="H630" t="s">
        <v>33</v>
      </c>
      <c r="I630">
        <v>733000000</v>
      </c>
      <c r="J630" t="s">
        <v>34</v>
      </c>
      <c r="K630">
        <v>1990</v>
      </c>
      <c r="L630" t="s">
        <v>55</v>
      </c>
      <c r="O630" t="s">
        <v>645</v>
      </c>
      <c r="Q63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3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30" s="107" t="str">
        <f>IFERROR(_xlfn.XLOOKUP("*"&amp;TRIM(Fusion[[#This Row],[Confinement Type]])&amp;"*", Map_Conf[From], Map_Conf[To], "", 2), "")</f>
        <v>MCF</v>
      </c>
      <c r="W630" s="108" t="str" cm="1">
        <f t="array" ref="W63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1" spans="1:23" hidden="1">
      <c r="A631">
        <v>483</v>
      </c>
      <c r="B631" t="s">
        <v>454</v>
      </c>
      <c r="C631" t="s">
        <v>61</v>
      </c>
      <c r="D631" t="s">
        <v>62</v>
      </c>
      <c r="E631">
        <v>1148</v>
      </c>
      <c r="F631" t="s">
        <v>1144</v>
      </c>
      <c r="G631" t="s">
        <v>52</v>
      </c>
      <c r="H631" t="s">
        <v>33</v>
      </c>
      <c r="I631">
        <v>281000000</v>
      </c>
      <c r="J631" t="s">
        <v>34</v>
      </c>
      <c r="K631">
        <v>1990</v>
      </c>
      <c r="L631" t="s">
        <v>55</v>
      </c>
      <c r="O631" t="s">
        <v>641</v>
      </c>
      <c r="P631" t="s">
        <v>504</v>
      </c>
      <c r="Q63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3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31" s="107" t="str">
        <f>IFERROR(_xlfn.XLOOKUP("*"&amp;TRIM(Fusion[[#This Row],[Confinement Type]])&amp;"*", Map_Conf[From], Map_Conf[To], "", 2), "")</f>
        <v>MCF</v>
      </c>
      <c r="W631" s="108" t="str" cm="1">
        <f t="array" ref="W63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2" spans="1:23" hidden="1">
      <c r="A632">
        <v>484</v>
      </c>
      <c r="B632" t="s">
        <v>455</v>
      </c>
      <c r="C632" t="s">
        <v>61</v>
      </c>
      <c r="D632" t="s">
        <v>62</v>
      </c>
      <c r="E632">
        <v>1200</v>
      </c>
      <c r="F632" t="s">
        <v>1144</v>
      </c>
      <c r="G632" t="s">
        <v>52</v>
      </c>
      <c r="H632" t="s">
        <v>33</v>
      </c>
      <c r="I632">
        <v>157000000</v>
      </c>
      <c r="J632" t="s">
        <v>34</v>
      </c>
      <c r="K632">
        <v>1990</v>
      </c>
      <c r="L632" t="s">
        <v>55</v>
      </c>
      <c r="O632" t="s">
        <v>642</v>
      </c>
      <c r="Q63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3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32" s="107" t="str">
        <f>IFERROR(_xlfn.XLOOKUP("*"&amp;TRIM(Fusion[[#This Row],[Confinement Type]])&amp;"*", Map_Conf[From], Map_Conf[To], "", 2), "")</f>
        <v>MCF</v>
      </c>
      <c r="W632" s="108" t="str" cm="1">
        <f t="array" ref="W63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3" spans="1:23" hidden="1">
      <c r="A633">
        <v>485</v>
      </c>
      <c r="B633" t="s">
        <v>456</v>
      </c>
      <c r="C633" t="s">
        <v>61</v>
      </c>
      <c r="D633" t="s">
        <v>62</v>
      </c>
      <c r="E633">
        <v>1424</v>
      </c>
      <c r="F633" t="s">
        <v>1144</v>
      </c>
      <c r="G633" t="s">
        <v>52</v>
      </c>
      <c r="H633" t="s">
        <v>33</v>
      </c>
      <c r="I633">
        <v>333000000</v>
      </c>
      <c r="J633" t="s">
        <v>34</v>
      </c>
      <c r="K633">
        <v>1990</v>
      </c>
      <c r="L633" t="s">
        <v>55</v>
      </c>
      <c r="O633" t="s">
        <v>643</v>
      </c>
      <c r="Q63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3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33" s="107" t="str">
        <f>IFERROR(_xlfn.XLOOKUP("*"&amp;TRIM(Fusion[[#This Row],[Confinement Type]])&amp;"*", Map_Conf[From], Map_Conf[To], "", 2), "")</f>
        <v>MCF</v>
      </c>
      <c r="W633" s="108" t="str" cm="1">
        <f t="array" ref="W63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4" spans="1:23" hidden="1">
      <c r="A634">
        <v>486</v>
      </c>
      <c r="B634" t="s">
        <v>457</v>
      </c>
      <c r="C634" t="s">
        <v>61</v>
      </c>
      <c r="D634" t="s">
        <v>62</v>
      </c>
      <c r="E634">
        <v>1200</v>
      </c>
      <c r="F634" t="s">
        <v>1144</v>
      </c>
      <c r="G634" t="s">
        <v>52</v>
      </c>
      <c r="H634" t="s">
        <v>33</v>
      </c>
      <c r="I634">
        <v>173000000</v>
      </c>
      <c r="J634" t="s">
        <v>34</v>
      </c>
      <c r="K634">
        <v>1990</v>
      </c>
      <c r="L634" t="s">
        <v>55</v>
      </c>
      <c r="O634" t="s">
        <v>644</v>
      </c>
      <c r="P634" t="s">
        <v>504</v>
      </c>
      <c r="Q63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3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34" s="107" t="str">
        <f>IFERROR(_xlfn.XLOOKUP("*"&amp;TRIM(Fusion[[#This Row],[Confinement Type]])&amp;"*", Map_Conf[From], Map_Conf[To], "", 2), "")</f>
        <v/>
      </c>
      <c r="W634" s="108" t="e" cm="1">
        <f t="array" ref="W63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35" spans="1:23" hidden="1">
      <c r="A635">
        <v>487</v>
      </c>
      <c r="B635" t="s">
        <v>458</v>
      </c>
      <c r="C635" t="s">
        <v>61</v>
      </c>
      <c r="D635" t="s">
        <v>62</v>
      </c>
      <c r="E635">
        <v>1378</v>
      </c>
      <c r="F635" t="s">
        <v>1144</v>
      </c>
      <c r="G635" t="s">
        <v>52</v>
      </c>
      <c r="H635" t="s">
        <v>33</v>
      </c>
      <c r="I635">
        <v>174000000</v>
      </c>
      <c r="J635" t="s">
        <v>34</v>
      </c>
      <c r="K635">
        <v>1990</v>
      </c>
      <c r="L635" t="s">
        <v>55</v>
      </c>
      <c r="O635" t="s">
        <v>643</v>
      </c>
      <c r="P635" t="s">
        <v>190</v>
      </c>
      <c r="Q63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3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35" s="107" t="str">
        <f>IFERROR(_xlfn.XLOOKUP("*"&amp;TRIM(Fusion[[#This Row],[Confinement Type]])&amp;"*", Map_Conf[From], Map_Conf[To], "", 2), "")</f>
        <v>MCF</v>
      </c>
      <c r="W635" s="108" t="str" cm="1">
        <f t="array" ref="W63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6" spans="1:23" hidden="1">
      <c r="O636" t="s">
        <v>463</v>
      </c>
      <c r="Q63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3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36" s="107" t="str">
        <f>IFERROR(_xlfn.XLOOKUP("*"&amp;TRIM(Fusion[[#This Row],[Confinement Type]])&amp;"*", Map_Conf[From], Map_Conf[To], "", 2), "")</f>
        <v>MCF</v>
      </c>
      <c r="W636" s="108" t="str" cm="1">
        <f t="array" ref="W63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7" spans="1:23" hidden="1">
      <c r="O637" t="s">
        <v>464</v>
      </c>
      <c r="Q63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3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37" s="107" t="str">
        <f>IFERROR(_xlfn.XLOOKUP("*"&amp;TRIM(Fusion[[#This Row],[Confinement Type]])&amp;"*", Map_Conf[From], Map_Conf[To], "", 2), "")</f>
        <v>MCF</v>
      </c>
      <c r="W637" s="108" t="str" cm="1">
        <f t="array" ref="W63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8" spans="1:23" hidden="1">
      <c r="O638" t="s">
        <v>464</v>
      </c>
      <c r="Q63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3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38" s="107" t="str">
        <f>IFERROR(_xlfn.XLOOKUP("*"&amp;TRIM(Fusion[[#This Row],[Confinement Type]])&amp;"*", Map_Conf[From], Map_Conf[To], "", 2), "")</f>
        <v>MCF</v>
      </c>
      <c r="W638" s="108" t="str" cm="1">
        <f t="array" ref="W63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39" spans="1:23" hidden="1">
      <c r="A639">
        <v>497</v>
      </c>
      <c r="B639" t="s">
        <v>465</v>
      </c>
      <c r="C639" t="s">
        <v>61</v>
      </c>
      <c r="D639" t="s">
        <v>62</v>
      </c>
      <c r="E639">
        <v>1148</v>
      </c>
      <c r="F639" t="s">
        <v>108</v>
      </c>
      <c r="G639" t="s">
        <v>52</v>
      </c>
      <c r="H639" t="s">
        <v>76</v>
      </c>
      <c r="I639">
        <v>72</v>
      </c>
      <c r="J639" t="s">
        <v>77</v>
      </c>
      <c r="K639">
        <v>1990</v>
      </c>
      <c r="L639" t="s">
        <v>55</v>
      </c>
      <c r="O639" t="s">
        <v>466</v>
      </c>
      <c r="Q63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138.32979342004592</v>
      </c>
      <c r="R63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39" s="107" t="str">
        <f>IFERROR(_xlfn.XLOOKUP("*"&amp;TRIM(Fusion[[#This Row],[Confinement Type]])&amp;"*", Map_Conf[From], Map_Conf[To], "", 2), "")</f>
        <v>MCF</v>
      </c>
      <c r="W639" s="108" t="str" cm="1">
        <f t="array" ref="W63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0" spans="1:23" hidden="1">
      <c r="A640">
        <v>498</v>
      </c>
      <c r="B640" t="s">
        <v>455</v>
      </c>
      <c r="C640" t="s">
        <v>61</v>
      </c>
      <c r="D640" t="s">
        <v>62</v>
      </c>
      <c r="E640">
        <v>1200</v>
      </c>
      <c r="F640" t="s">
        <v>108</v>
      </c>
      <c r="G640" t="s">
        <v>52</v>
      </c>
      <c r="H640" t="s">
        <v>76</v>
      </c>
      <c r="I640">
        <v>72</v>
      </c>
      <c r="J640" t="s">
        <v>77</v>
      </c>
      <c r="K640">
        <v>1990</v>
      </c>
      <c r="L640" t="s">
        <v>55</v>
      </c>
      <c r="O640" t="s">
        <v>467</v>
      </c>
      <c r="Q64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138.32979342004592</v>
      </c>
      <c r="R64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40" s="107" t="str">
        <f>IFERROR(_xlfn.XLOOKUP("*"&amp;TRIM(Fusion[[#This Row],[Confinement Type]])&amp;"*", Map_Conf[From], Map_Conf[To], "", 2), "")</f>
        <v>MCF</v>
      </c>
      <c r="W640" s="108" t="str" cm="1">
        <f t="array" ref="W64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1" spans="1:23" hidden="1">
      <c r="A641">
        <v>499</v>
      </c>
      <c r="B641" t="s">
        <v>456</v>
      </c>
      <c r="C641" t="s">
        <v>61</v>
      </c>
      <c r="D641" t="s">
        <v>62</v>
      </c>
      <c r="E641">
        <v>1424</v>
      </c>
      <c r="F641" t="s">
        <v>108</v>
      </c>
      <c r="G641" t="s">
        <v>52</v>
      </c>
      <c r="H641" t="s">
        <v>76</v>
      </c>
      <c r="I641">
        <v>57</v>
      </c>
      <c r="J641" t="s">
        <v>77</v>
      </c>
      <c r="K641">
        <v>1990</v>
      </c>
      <c r="L641" t="s">
        <v>55</v>
      </c>
      <c r="O641" t="s">
        <v>466</v>
      </c>
      <c r="Q64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109.51108645753635</v>
      </c>
      <c r="R64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41" s="107" t="str">
        <f>IFERROR(_xlfn.XLOOKUP("*"&amp;TRIM(Fusion[[#This Row],[Confinement Type]])&amp;"*", Map_Conf[From], Map_Conf[To], "", 2), "")</f>
        <v>MCF</v>
      </c>
      <c r="W641" s="108" t="str" cm="1">
        <f t="array" ref="W64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2" spans="1:23" hidden="1">
      <c r="A642">
        <v>500</v>
      </c>
      <c r="B642" t="s">
        <v>468</v>
      </c>
      <c r="C642" t="s">
        <v>61</v>
      </c>
      <c r="D642" t="s">
        <v>62</v>
      </c>
      <c r="E642">
        <v>1200</v>
      </c>
      <c r="F642" t="s">
        <v>108</v>
      </c>
      <c r="G642" t="s">
        <v>52</v>
      </c>
      <c r="H642" t="s">
        <v>76</v>
      </c>
      <c r="I642">
        <v>72</v>
      </c>
      <c r="J642" t="s">
        <v>77</v>
      </c>
      <c r="K642">
        <v>1990</v>
      </c>
      <c r="L642" t="s">
        <v>55</v>
      </c>
      <c r="O642" t="s">
        <v>467</v>
      </c>
      <c r="Q64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138.32979342004592</v>
      </c>
      <c r="R64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42" s="107" t="str">
        <f>IFERROR(_xlfn.XLOOKUP("*"&amp;TRIM(Fusion[[#This Row],[Confinement Type]])&amp;"*", Map_Conf[From], Map_Conf[To], "", 2), "")</f>
        <v>MCF</v>
      </c>
      <c r="W642" s="108" t="str" cm="1">
        <f t="array" ref="W64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3" spans="1:23" hidden="1">
      <c r="A643">
        <v>501</v>
      </c>
      <c r="B643" t="s">
        <v>457</v>
      </c>
      <c r="C643" t="s">
        <v>61</v>
      </c>
      <c r="D643" t="s">
        <v>62</v>
      </c>
      <c r="E643">
        <v>1200</v>
      </c>
      <c r="F643" t="s">
        <v>108</v>
      </c>
      <c r="G643" t="s">
        <v>52</v>
      </c>
      <c r="H643" t="s">
        <v>76</v>
      </c>
      <c r="I643">
        <v>57</v>
      </c>
      <c r="J643" t="s">
        <v>77</v>
      </c>
      <c r="K643">
        <v>1990</v>
      </c>
      <c r="L643" t="s">
        <v>55</v>
      </c>
      <c r="O643" t="s">
        <v>467</v>
      </c>
      <c r="Q64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109.51108645753635</v>
      </c>
      <c r="R64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43" s="107" t="str">
        <f>IFERROR(_xlfn.XLOOKUP("*"&amp;TRIM(Fusion[[#This Row],[Confinement Type]])&amp;"*", Map_Conf[From], Map_Conf[To], "", 2), "")</f>
        <v>MCF</v>
      </c>
      <c r="W643" s="108" t="str" cm="1">
        <f t="array" ref="W64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4" spans="1:23" hidden="1">
      <c r="A644">
        <v>502</v>
      </c>
      <c r="B644" t="s">
        <v>458</v>
      </c>
      <c r="C644" t="s">
        <v>61</v>
      </c>
      <c r="D644" t="s">
        <v>62</v>
      </c>
      <c r="E644">
        <v>1424</v>
      </c>
      <c r="F644" t="s">
        <v>108</v>
      </c>
      <c r="G644" t="s">
        <v>52</v>
      </c>
      <c r="H644" t="s">
        <v>76</v>
      </c>
      <c r="I644">
        <v>63</v>
      </c>
      <c r="J644" t="s">
        <v>77</v>
      </c>
      <c r="K644">
        <v>1990</v>
      </c>
      <c r="L644" t="s">
        <v>55</v>
      </c>
      <c r="O644" t="s">
        <v>466</v>
      </c>
      <c r="Q64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121.03856924254018</v>
      </c>
      <c r="R64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44" s="107" t="str">
        <f>IFERROR(_xlfn.XLOOKUP("*"&amp;TRIM(Fusion[[#This Row],[Confinement Type]])&amp;"*", Map_Conf[From], Map_Conf[To], "", 2), "")</f>
        <v>MCF</v>
      </c>
      <c r="W644" s="108" t="str" cm="1">
        <f t="array" ref="W64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5" spans="1:23" hidden="1">
      <c r="A645">
        <v>503</v>
      </c>
      <c r="B645" t="s">
        <v>469</v>
      </c>
      <c r="C645" t="s">
        <v>470</v>
      </c>
      <c r="D645" t="s">
        <v>471</v>
      </c>
      <c r="E645">
        <v>150</v>
      </c>
      <c r="F645" t="s">
        <v>31</v>
      </c>
      <c r="G645" t="s">
        <v>52</v>
      </c>
      <c r="H645" t="s">
        <v>33</v>
      </c>
      <c r="I645">
        <v>603000000</v>
      </c>
      <c r="J645" t="s">
        <v>34</v>
      </c>
      <c r="K645">
        <v>2016</v>
      </c>
      <c r="L645" t="s">
        <v>472</v>
      </c>
      <c r="O645" t="s">
        <v>747</v>
      </c>
      <c r="Q64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4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45" s="107" t="str">
        <f>IFERROR(_xlfn.XLOOKUP("*"&amp;TRIM(Fusion[[#This Row],[Confinement Type]])&amp;"*", Map_Conf[From], Map_Conf[To], "", 2), "")</f>
        <v>MCF</v>
      </c>
      <c r="W645" s="108" t="str" cm="1">
        <f t="array" ref="W64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6" spans="1:23" hidden="1">
      <c r="A646">
        <v>506</v>
      </c>
      <c r="B646" t="s">
        <v>481</v>
      </c>
      <c r="C646" t="s">
        <v>470</v>
      </c>
      <c r="D646" t="s">
        <v>471</v>
      </c>
      <c r="E646">
        <v>150</v>
      </c>
      <c r="F646" t="s">
        <v>31</v>
      </c>
      <c r="G646" t="s">
        <v>52</v>
      </c>
      <c r="H646" t="s">
        <v>33</v>
      </c>
      <c r="I646">
        <v>1313000000</v>
      </c>
      <c r="J646" t="s">
        <v>34</v>
      </c>
      <c r="K646">
        <v>2016</v>
      </c>
      <c r="L646" t="s">
        <v>472</v>
      </c>
      <c r="O646" t="s">
        <v>482</v>
      </c>
      <c r="Q64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4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46" s="107" t="str">
        <f>IFERROR(_xlfn.XLOOKUP("*"&amp;TRIM(Fusion[[#This Row],[Confinement Type]])&amp;"*", Map_Conf[From], Map_Conf[To], "", 2), "")</f>
        <v>ICF</v>
      </c>
      <c r="W646" s="108" t="str" cm="1">
        <f t="array" ref="W64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47" spans="1:23" hidden="1">
      <c r="A647">
        <v>513</v>
      </c>
      <c r="B647" t="s">
        <v>483</v>
      </c>
      <c r="C647" t="s">
        <v>470</v>
      </c>
      <c r="D647" t="s">
        <v>471</v>
      </c>
      <c r="E647">
        <v>150</v>
      </c>
      <c r="F647" t="s">
        <v>31</v>
      </c>
      <c r="G647" t="s">
        <v>52</v>
      </c>
      <c r="H647" t="s">
        <v>33</v>
      </c>
      <c r="I647">
        <v>1714000000</v>
      </c>
      <c r="J647" t="s">
        <v>34</v>
      </c>
      <c r="K647">
        <v>2016</v>
      </c>
      <c r="L647" t="s">
        <v>472</v>
      </c>
      <c r="O647" t="s">
        <v>473</v>
      </c>
      <c r="P647" t="s">
        <v>334</v>
      </c>
      <c r="Q64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4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47" s="107" t="str">
        <f>IFERROR(_xlfn.XLOOKUP("*"&amp;TRIM(Fusion[[#This Row],[Confinement Type]])&amp;"*", Map_Conf[From], Map_Conf[To], "", 2), "")</f>
        <v>MCF</v>
      </c>
      <c r="W647" s="108" t="str" cm="1">
        <f t="array" ref="W64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8" spans="1:23" hidden="1">
      <c r="A648">
        <v>508</v>
      </c>
      <c r="B648" t="s">
        <v>694</v>
      </c>
      <c r="C648" t="s">
        <v>61</v>
      </c>
      <c r="D648" t="s">
        <v>62</v>
      </c>
      <c r="E648">
        <v>1200</v>
      </c>
      <c r="F648" t="s">
        <v>690</v>
      </c>
      <c r="G648" t="s">
        <v>52</v>
      </c>
      <c r="H648" t="s">
        <v>76</v>
      </c>
      <c r="I648">
        <v>1</v>
      </c>
      <c r="J648" t="s">
        <v>77</v>
      </c>
      <c r="K648">
        <v>1986</v>
      </c>
      <c r="L648" t="s">
        <v>472</v>
      </c>
      <c r="O648" t="s">
        <v>692</v>
      </c>
      <c r="Q64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2.2911222627737229</v>
      </c>
      <c r="R64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48" s="107" t="str">
        <f>IFERROR(_xlfn.XLOOKUP("*"&amp;TRIM(Fusion[[#This Row],[Confinement Type]])&amp;"*", Map_Conf[From], Map_Conf[To], "", 2), "")</f>
        <v>MCF</v>
      </c>
      <c r="W648" s="108" t="str" cm="1">
        <f t="array" ref="W64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49" spans="1:23" hidden="1">
      <c r="A649">
        <v>535</v>
      </c>
      <c r="B649" t="s">
        <v>497</v>
      </c>
      <c r="C649" t="s">
        <v>61</v>
      </c>
      <c r="D649" t="s">
        <v>62</v>
      </c>
      <c r="E649">
        <v>1000</v>
      </c>
      <c r="F649" t="s">
        <v>108</v>
      </c>
      <c r="G649" t="s">
        <v>57</v>
      </c>
      <c r="H649" t="s">
        <v>76</v>
      </c>
      <c r="I649">
        <v>56.269080000000002</v>
      </c>
      <c r="J649" t="s">
        <v>77</v>
      </c>
      <c r="K649">
        <v>2003</v>
      </c>
      <c r="L649" t="s">
        <v>498</v>
      </c>
      <c r="O649" t="s">
        <v>499</v>
      </c>
      <c r="Q64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76.791086258478259</v>
      </c>
      <c r="R64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49" s="107" t="str">
        <f>IFERROR(_xlfn.XLOOKUP("*"&amp;TRIM(Fusion[[#This Row],[Confinement Type]])&amp;"*", Map_Conf[From], Map_Conf[To], "", 2), "")</f>
        <v>MCF</v>
      </c>
      <c r="W649" s="108" t="str" cm="1">
        <f t="array" ref="W64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0" spans="1:23" hidden="1">
      <c r="A650">
        <v>536</v>
      </c>
      <c r="B650" t="s">
        <v>500</v>
      </c>
      <c r="C650" t="s">
        <v>61</v>
      </c>
      <c r="D650" t="s">
        <v>62</v>
      </c>
      <c r="E650">
        <v>2000</v>
      </c>
      <c r="F650" t="s">
        <v>108</v>
      </c>
      <c r="G650" t="s">
        <v>57</v>
      </c>
      <c r="H650" t="s">
        <v>76</v>
      </c>
      <c r="I650">
        <v>49.87332</v>
      </c>
      <c r="J650" t="s">
        <v>77</v>
      </c>
      <c r="K650">
        <v>2003</v>
      </c>
      <c r="L650" t="s">
        <v>498</v>
      </c>
      <c r="O650" t="s">
        <v>499</v>
      </c>
      <c r="Q65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68.062716115434782</v>
      </c>
      <c r="R65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50" s="107" t="str">
        <f>IFERROR(_xlfn.XLOOKUP("*"&amp;TRIM(Fusion[[#This Row],[Confinement Type]])&amp;"*", Map_Conf[From], Map_Conf[To], "", 2), "")</f>
        <v>MCF</v>
      </c>
      <c r="W650" s="108" t="str" cm="1">
        <f t="array" ref="W65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1" spans="1:23" hidden="1">
      <c r="A651">
        <v>537</v>
      </c>
      <c r="B651" t="s">
        <v>501</v>
      </c>
      <c r="C651" t="s">
        <v>61</v>
      </c>
      <c r="D651" t="s">
        <v>278</v>
      </c>
      <c r="E651">
        <v>1000</v>
      </c>
      <c r="F651" t="s">
        <v>108</v>
      </c>
      <c r="G651" t="s">
        <v>57</v>
      </c>
      <c r="H651" t="s">
        <v>76</v>
      </c>
      <c r="I651">
        <v>64.774079999999998</v>
      </c>
      <c r="J651" t="s">
        <v>77</v>
      </c>
      <c r="K651">
        <v>2003</v>
      </c>
      <c r="L651" t="s">
        <v>498</v>
      </c>
      <c r="O651" t="s">
        <v>499</v>
      </c>
      <c r="P651" t="s">
        <v>307</v>
      </c>
      <c r="Q65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88.397961448695654</v>
      </c>
      <c r="R65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51" s="107" t="str">
        <f>IFERROR(_xlfn.XLOOKUP("*"&amp;TRIM(Fusion[[#This Row],[Confinement Type]])&amp;"*", Map_Conf[From], Map_Conf[To], "", 2), "")</f>
        <v>MCF</v>
      </c>
      <c r="W651" s="108" t="str" cm="1">
        <f t="array" ref="W65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652" spans="1:23" hidden="1">
      <c r="A652">
        <v>538</v>
      </c>
      <c r="B652" t="s">
        <v>502</v>
      </c>
      <c r="C652" t="s">
        <v>61</v>
      </c>
      <c r="D652" t="s">
        <v>278</v>
      </c>
      <c r="E652">
        <v>2000</v>
      </c>
      <c r="F652" t="s">
        <v>108</v>
      </c>
      <c r="G652" t="s">
        <v>57</v>
      </c>
      <c r="H652" t="s">
        <v>76</v>
      </c>
      <c r="I652">
        <v>50.893920000000001</v>
      </c>
      <c r="J652" t="s">
        <v>77</v>
      </c>
      <c r="K652">
        <v>2003</v>
      </c>
      <c r="L652" t="s">
        <v>498</v>
      </c>
      <c r="O652" t="s">
        <v>499</v>
      </c>
      <c r="Q65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69.45554113826087</v>
      </c>
      <c r="R65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52" s="107" t="str">
        <f>IFERROR(_xlfn.XLOOKUP("*"&amp;TRIM(Fusion[[#This Row],[Confinement Type]])&amp;"*", Map_Conf[From], Map_Conf[To], "", 2), "")</f>
        <v>MCF</v>
      </c>
      <c r="W652" s="108" t="str" cm="1">
        <f t="array" ref="W65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3" spans="1:23" hidden="1">
      <c r="A653">
        <v>539</v>
      </c>
      <c r="B653" t="s">
        <v>497</v>
      </c>
      <c r="C653" t="s">
        <v>61</v>
      </c>
      <c r="D653" t="s">
        <v>62</v>
      </c>
      <c r="E653">
        <v>1000</v>
      </c>
      <c r="F653" t="s">
        <v>217</v>
      </c>
      <c r="G653" t="s">
        <v>57</v>
      </c>
      <c r="H653" t="s">
        <v>33</v>
      </c>
      <c r="I653">
        <v>4140000000</v>
      </c>
      <c r="J653" t="s">
        <v>34</v>
      </c>
      <c r="K653">
        <v>2003</v>
      </c>
      <c r="L653" t="s">
        <v>498</v>
      </c>
      <c r="P653" t="s">
        <v>159</v>
      </c>
      <c r="Q65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5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53" s="107" t="str">
        <f>IFERROR(_xlfn.XLOOKUP("*"&amp;TRIM(Fusion[[#This Row],[Confinement Type]])&amp;"*", Map_Conf[From], Map_Conf[To], "", 2), "")</f>
        <v>MCF</v>
      </c>
      <c r="W653" s="108" t="str" cm="1">
        <f t="array" ref="W65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4" spans="1:23" hidden="1">
      <c r="A654">
        <v>540</v>
      </c>
      <c r="B654" t="s">
        <v>500</v>
      </c>
      <c r="C654" t="s">
        <v>61</v>
      </c>
      <c r="D654" t="s">
        <v>62</v>
      </c>
      <c r="E654">
        <v>2000</v>
      </c>
      <c r="F654" t="s">
        <v>217</v>
      </c>
      <c r="G654" t="s">
        <v>57</v>
      </c>
      <c r="H654" t="s">
        <v>33</v>
      </c>
      <c r="I654">
        <v>7270000000</v>
      </c>
      <c r="J654" t="s">
        <v>34</v>
      </c>
      <c r="K654">
        <v>2003</v>
      </c>
      <c r="L654" t="s">
        <v>498</v>
      </c>
      <c r="Q65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5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54" s="107" t="str">
        <f>IFERROR(_xlfn.XLOOKUP("*"&amp;TRIM(Fusion[[#This Row],[Confinement Type]])&amp;"*", Map_Conf[From], Map_Conf[To], "", 2), "")</f>
        <v>MCF</v>
      </c>
      <c r="W654" s="108" t="str" cm="1">
        <f t="array" ref="W65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655" spans="1:23" hidden="1">
      <c r="A655">
        <v>541</v>
      </c>
      <c r="B655" t="s">
        <v>501</v>
      </c>
      <c r="C655" t="s">
        <v>61</v>
      </c>
      <c r="D655" t="s">
        <v>278</v>
      </c>
      <c r="E655">
        <v>1000</v>
      </c>
      <c r="F655" t="s">
        <v>217</v>
      </c>
      <c r="G655" t="s">
        <v>57</v>
      </c>
      <c r="H655" t="s">
        <v>33</v>
      </c>
      <c r="I655">
        <v>5020000000</v>
      </c>
      <c r="J655" t="s">
        <v>34</v>
      </c>
      <c r="K655">
        <v>2003</v>
      </c>
      <c r="L655" t="s">
        <v>498</v>
      </c>
      <c r="Q65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5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55" s="107" t="str">
        <f>IFERROR(_xlfn.XLOOKUP("*"&amp;TRIM(Fusion[[#This Row],[Confinement Type]])&amp;"*", Map_Conf[From], Map_Conf[To], "", 2), "")</f>
        <v>MCF</v>
      </c>
      <c r="W655" s="108" t="str" cm="1">
        <f t="array" ref="W65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Mirror</v>
      </c>
    </row>
    <row r="656" spans="1:23" hidden="1">
      <c r="A656">
        <v>542</v>
      </c>
      <c r="B656" t="s">
        <v>502</v>
      </c>
      <c r="C656" t="s">
        <v>61</v>
      </c>
      <c r="D656" t="s">
        <v>278</v>
      </c>
      <c r="E656">
        <v>2000</v>
      </c>
      <c r="F656" t="s">
        <v>217</v>
      </c>
      <c r="G656" t="s">
        <v>57</v>
      </c>
      <c r="H656" t="s">
        <v>33</v>
      </c>
      <c r="I656">
        <v>8010000000</v>
      </c>
      <c r="J656" t="s">
        <v>34</v>
      </c>
      <c r="K656">
        <v>2003</v>
      </c>
      <c r="L656" t="s">
        <v>498</v>
      </c>
      <c r="Q65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5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56" s="107" t="str">
        <f>IFERROR(_xlfn.XLOOKUP("*"&amp;TRIM(Fusion[[#This Row],[Confinement Type]])&amp;"*", Map_Conf[From], Map_Conf[To], "", 2), "")</f>
        <v>MCF</v>
      </c>
      <c r="W656" s="108" t="str" cm="1">
        <f t="array" ref="W65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7" spans="1:23" hidden="1">
      <c r="A657">
        <v>543</v>
      </c>
      <c r="B657" t="s">
        <v>497</v>
      </c>
      <c r="C657" t="s">
        <v>61</v>
      </c>
      <c r="D657" t="s">
        <v>62</v>
      </c>
      <c r="E657">
        <v>1000</v>
      </c>
      <c r="F657" t="s">
        <v>217</v>
      </c>
      <c r="G657" t="s">
        <v>57</v>
      </c>
      <c r="H657" t="s">
        <v>33</v>
      </c>
      <c r="I657">
        <v>5112000000</v>
      </c>
      <c r="J657" t="s">
        <v>34</v>
      </c>
      <c r="K657">
        <v>2003</v>
      </c>
      <c r="L657" t="s">
        <v>503</v>
      </c>
      <c r="O657" t="s">
        <v>504</v>
      </c>
      <c r="Q65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5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57" s="107" t="str">
        <f>IFERROR(_xlfn.XLOOKUP("*"&amp;TRIM(Fusion[[#This Row],[Confinement Type]])&amp;"*", Map_Conf[From], Map_Conf[To], "", 2), "")</f>
        <v>MCF</v>
      </c>
      <c r="W657" s="108" t="str" cm="1">
        <f t="array" ref="W65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8" spans="1:23" hidden="1">
      <c r="A658">
        <v>544</v>
      </c>
      <c r="B658" t="s">
        <v>505</v>
      </c>
      <c r="C658" t="s">
        <v>61</v>
      </c>
      <c r="D658" t="s">
        <v>107</v>
      </c>
      <c r="E658">
        <v>1000</v>
      </c>
      <c r="F658" t="s">
        <v>217</v>
      </c>
      <c r="G658" t="s">
        <v>57</v>
      </c>
      <c r="H658" t="s">
        <v>33</v>
      </c>
      <c r="I658">
        <v>5582000000</v>
      </c>
      <c r="J658" t="s">
        <v>34</v>
      </c>
      <c r="K658">
        <v>2003</v>
      </c>
      <c r="L658" t="s">
        <v>503</v>
      </c>
      <c r="O658" t="s">
        <v>504</v>
      </c>
      <c r="Q658"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5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58" s="107" t="str">
        <f>IFERROR(_xlfn.XLOOKUP("*"&amp;TRIM(Fusion[[#This Row],[Confinement Type]])&amp;"*", Map_Conf[From], Map_Conf[To], "", 2), "")</f>
        <v>MCF</v>
      </c>
      <c r="W658" s="108" t="str" cm="1">
        <f t="array" ref="W65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59" spans="1:23" hidden="1">
      <c r="A659">
        <v>545</v>
      </c>
      <c r="B659" t="s">
        <v>501</v>
      </c>
      <c r="C659" t="s">
        <v>61</v>
      </c>
      <c r="D659" t="s">
        <v>278</v>
      </c>
      <c r="E659">
        <v>1000</v>
      </c>
      <c r="F659" t="s">
        <v>217</v>
      </c>
      <c r="G659" t="s">
        <v>57</v>
      </c>
      <c r="H659" t="s">
        <v>33</v>
      </c>
      <c r="I659">
        <v>6239000000</v>
      </c>
      <c r="J659" t="s">
        <v>34</v>
      </c>
      <c r="K659">
        <v>2003</v>
      </c>
      <c r="L659" t="s">
        <v>503</v>
      </c>
      <c r="O659" t="s">
        <v>504</v>
      </c>
      <c r="Q659"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5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59" s="107" t="str">
        <f>IFERROR(_xlfn.XLOOKUP("*"&amp;TRIM(Fusion[[#This Row],[Confinement Type]])&amp;"*", Map_Conf[From], Map_Conf[To], "", 2), "")</f>
        <v>MCF</v>
      </c>
      <c r="W659" s="108" t="str" cm="1">
        <f t="array" ref="W65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60" spans="1:23">
      <c r="A660">
        <v>473</v>
      </c>
      <c r="B660" t="s">
        <v>445</v>
      </c>
      <c r="C660" t="s">
        <v>61</v>
      </c>
      <c r="D660" t="s">
        <v>62</v>
      </c>
      <c r="F660" t="s">
        <v>669</v>
      </c>
      <c r="G660" t="s">
        <v>57</v>
      </c>
      <c r="H660" t="s">
        <v>76</v>
      </c>
      <c r="I660">
        <v>51</v>
      </c>
      <c r="J660" t="s">
        <v>189</v>
      </c>
      <c r="K660">
        <v>2000</v>
      </c>
      <c r="L660" t="s">
        <v>446</v>
      </c>
      <c r="O660" t="s">
        <v>672</v>
      </c>
      <c r="Q66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60">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74.369668989547037</v>
      </c>
      <c r="V660" s="107" t="str">
        <f>IFERROR(_xlfn.XLOOKUP("*"&amp;TRIM(Fusion[[#This Row],[Confinement Type]])&amp;"*", Map_Conf[From], Map_Conf[To], "", 2), "")</f>
        <v>MCF</v>
      </c>
      <c r="W660" s="108" t="str" cm="1">
        <f t="array" ref="W66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61" spans="1:23">
      <c r="A661">
        <v>474</v>
      </c>
      <c r="B661" t="s">
        <v>445</v>
      </c>
      <c r="C661" t="s">
        <v>61</v>
      </c>
      <c r="D661" t="s">
        <v>62</v>
      </c>
      <c r="F661" t="s">
        <v>669</v>
      </c>
      <c r="G661" t="s">
        <v>57</v>
      </c>
      <c r="H661" t="s">
        <v>76</v>
      </c>
      <c r="I661">
        <v>77</v>
      </c>
      <c r="J661" t="s">
        <v>189</v>
      </c>
      <c r="K661">
        <v>2000</v>
      </c>
      <c r="L661" t="s">
        <v>446</v>
      </c>
      <c r="O661" t="s">
        <v>673</v>
      </c>
      <c r="P661" t="s">
        <v>373</v>
      </c>
      <c r="Q661"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6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112.28361788617887</v>
      </c>
      <c r="V661" s="107" t="str">
        <f>IFERROR(_xlfn.XLOOKUP("*"&amp;TRIM(Fusion[[#This Row],[Confinement Type]])&amp;"*", Map_Conf[From], Map_Conf[To], "", 2), "")</f>
        <v>MCF</v>
      </c>
      <c r="W661" s="108" t="str" cm="1">
        <f t="array" ref="W66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62" spans="1:23">
      <c r="B662" t="s">
        <v>797</v>
      </c>
      <c r="C662" t="s">
        <v>30</v>
      </c>
      <c r="D662" t="s">
        <v>798</v>
      </c>
      <c r="E662">
        <v>999</v>
      </c>
      <c r="F662" t="s">
        <v>116</v>
      </c>
      <c r="G662" t="s">
        <v>52</v>
      </c>
      <c r="H662" t="s">
        <v>33</v>
      </c>
      <c r="I662">
        <v>62190000</v>
      </c>
      <c r="J662" t="s">
        <v>34</v>
      </c>
      <c r="K662">
        <v>1991</v>
      </c>
      <c r="L662" t="s">
        <v>799</v>
      </c>
      <c r="O662" t="s">
        <v>807</v>
      </c>
      <c r="P662" t="s">
        <v>691</v>
      </c>
      <c r="Q66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6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114.77221957640461</v>
      </c>
      <c r="V662" s="107" t="str">
        <f>IFERROR(_xlfn.XLOOKUP("*"&amp;TRIM(Fusion[[#This Row],[Confinement Type]])&amp;"*", Map_Conf[From], Map_Conf[To], "", 2), "")</f>
        <v>MCF</v>
      </c>
      <c r="W662" s="108" t="e" cm="1">
        <f t="array" ref="W66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3" spans="1:23" hidden="1">
      <c r="B663" t="s">
        <v>941</v>
      </c>
      <c r="C663" t="s">
        <v>61</v>
      </c>
      <c r="D663" t="s">
        <v>62</v>
      </c>
      <c r="E663">
        <v>1209</v>
      </c>
      <c r="F663" t="s">
        <v>63</v>
      </c>
      <c r="G663" t="s">
        <v>32</v>
      </c>
      <c r="H663" t="s">
        <v>33</v>
      </c>
      <c r="I663">
        <v>3282240</v>
      </c>
      <c r="J663" t="s">
        <v>34</v>
      </c>
      <c r="K663">
        <v>1984</v>
      </c>
      <c r="L663" t="s">
        <v>938</v>
      </c>
      <c r="O663" t="s">
        <v>1101</v>
      </c>
      <c r="Q663"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63">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6.5612608649756279</v>
      </c>
      <c r="V663" s="107" t="str">
        <f>IFERROR(_xlfn.XLOOKUP("*"&amp;TRIM(Fusion[[#This Row],[Confinement Type]])&amp;"*", Map_Conf[From], Map_Conf[To], "", 2), "")</f>
        <v>MCF</v>
      </c>
      <c r="W663" s="108" t="e" cm="1">
        <f t="array" ref="W66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4" spans="1:23" hidden="1">
      <c r="B664" t="s">
        <v>1102</v>
      </c>
      <c r="C664" t="s">
        <v>61</v>
      </c>
      <c r="D664" t="s">
        <v>62</v>
      </c>
      <c r="E664">
        <v>1164</v>
      </c>
      <c r="F664" t="s">
        <v>63</v>
      </c>
      <c r="G664" t="s">
        <v>32</v>
      </c>
      <c r="H664" t="s">
        <v>33</v>
      </c>
      <c r="I664">
        <v>3219120</v>
      </c>
      <c r="J664" t="s">
        <v>34</v>
      </c>
      <c r="K664">
        <v>1984</v>
      </c>
      <c r="L664" t="s">
        <v>938</v>
      </c>
      <c r="O664" t="s">
        <v>1103</v>
      </c>
      <c r="Q66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64">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6.6838617445402493</v>
      </c>
      <c r="V664" s="107" t="str">
        <f>IFERROR(_xlfn.XLOOKUP("*"&amp;TRIM(Fusion[[#This Row],[Confinement Type]])&amp;"*", Map_Conf[From], Map_Conf[To], "", 2), "")</f>
        <v>MCF</v>
      </c>
      <c r="W664" s="108" t="e" cm="1">
        <f t="array" ref="W66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5" spans="1:23" hidden="1">
      <c r="B665" t="s">
        <v>940</v>
      </c>
      <c r="C665" t="s">
        <v>61</v>
      </c>
      <c r="D665" t="s">
        <v>62</v>
      </c>
      <c r="E665">
        <v>1203</v>
      </c>
      <c r="F665" t="s">
        <v>63</v>
      </c>
      <c r="G665" t="s">
        <v>32</v>
      </c>
      <c r="H665" t="s">
        <v>33</v>
      </c>
      <c r="I665">
        <v>3376920</v>
      </c>
      <c r="J665" t="s">
        <v>34</v>
      </c>
      <c r="K665">
        <v>1984</v>
      </c>
      <c r="L665" t="s">
        <v>938</v>
      </c>
      <c r="O665" t="s">
        <v>1101</v>
      </c>
      <c r="Q66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65">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6.784196474165884</v>
      </c>
      <c r="V665" s="107" t="str">
        <f>IFERROR(_xlfn.XLOOKUP("*"&amp;TRIM(Fusion[[#This Row],[Confinement Type]])&amp;"*", Map_Conf[From], Map_Conf[To], "", 2), "")</f>
        <v>MCF</v>
      </c>
      <c r="W665" s="108" t="e" cm="1">
        <f t="array" ref="W66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6" spans="1:23" hidden="1">
      <c r="A666">
        <v>552</v>
      </c>
      <c r="B666" t="s">
        <v>497</v>
      </c>
      <c r="C666" t="s">
        <v>61</v>
      </c>
      <c r="D666" t="s">
        <v>62</v>
      </c>
      <c r="E666">
        <v>1000</v>
      </c>
      <c r="F666" t="s">
        <v>493</v>
      </c>
      <c r="G666" t="s">
        <v>57</v>
      </c>
      <c r="H666" t="s">
        <v>76</v>
      </c>
      <c r="I666">
        <v>0.6</v>
      </c>
      <c r="J666" t="s">
        <v>77</v>
      </c>
      <c r="K666">
        <v>2003</v>
      </c>
      <c r="L666" t="s">
        <v>503</v>
      </c>
      <c r="O666" t="s">
        <v>504</v>
      </c>
      <c r="Q66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0.81882717391304349</v>
      </c>
      <c r="R66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66" s="107" t="str">
        <f>IFERROR(_xlfn.XLOOKUP("*"&amp;TRIM(Fusion[[#This Row],[Confinement Type]])&amp;"*", Map_Conf[From], Map_Conf[To], "", 2), "")</f>
        <v>MCF</v>
      </c>
      <c r="W666" s="108" t="e" cm="1">
        <f t="array" ref="W66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7" spans="1:23" hidden="1">
      <c r="A667">
        <v>553</v>
      </c>
      <c r="B667" t="s">
        <v>505</v>
      </c>
      <c r="C667" t="s">
        <v>61</v>
      </c>
      <c r="D667" t="s">
        <v>107</v>
      </c>
      <c r="E667">
        <v>1000</v>
      </c>
      <c r="F667" t="s">
        <v>493</v>
      </c>
      <c r="G667" t="s">
        <v>57</v>
      </c>
      <c r="H667" t="s">
        <v>76</v>
      </c>
      <c r="I667">
        <v>0.6</v>
      </c>
      <c r="J667" t="s">
        <v>77</v>
      </c>
      <c r="K667">
        <v>2003</v>
      </c>
      <c r="L667" t="s">
        <v>503</v>
      </c>
      <c r="O667" t="s">
        <v>504</v>
      </c>
      <c r="P667" t="s">
        <v>307</v>
      </c>
      <c r="Q66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0.81882717391304349</v>
      </c>
      <c r="R66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67" s="107" t="str">
        <f>IFERROR(_xlfn.XLOOKUP("*"&amp;TRIM(Fusion[[#This Row],[Confinement Type]])&amp;"*", Map_Conf[From], Map_Conf[To], "", 2), "")</f>
        <v>MCF</v>
      </c>
      <c r="W667" s="108" t="e" cm="1">
        <f t="array" ref="W66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8" spans="1:23" hidden="1">
      <c r="A668">
        <v>554</v>
      </c>
      <c r="B668" t="s">
        <v>501</v>
      </c>
      <c r="C668" t="s">
        <v>61</v>
      </c>
      <c r="D668" t="s">
        <v>278</v>
      </c>
      <c r="E668">
        <v>1000</v>
      </c>
      <c r="F668" t="s">
        <v>493</v>
      </c>
      <c r="G668" t="s">
        <v>57</v>
      </c>
      <c r="H668" t="s">
        <v>76</v>
      </c>
      <c r="I668">
        <v>0.6</v>
      </c>
      <c r="J668" t="s">
        <v>77</v>
      </c>
      <c r="K668">
        <v>2003</v>
      </c>
      <c r="L668" t="s">
        <v>503</v>
      </c>
      <c r="O668" t="s">
        <v>504</v>
      </c>
      <c r="Q66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0.81882717391304349</v>
      </c>
      <c r="R66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68" s="107" t="str">
        <f>IFERROR(_xlfn.XLOOKUP("*"&amp;TRIM(Fusion[[#This Row],[Confinement Type]])&amp;"*", Map_Conf[From], Map_Conf[To], "", 2), "")</f>
        <v>MCF</v>
      </c>
      <c r="W668" s="108" t="e" cm="1">
        <f t="array" ref="W66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69" spans="1:23" hidden="1">
      <c r="A669">
        <v>555</v>
      </c>
      <c r="B669" t="s">
        <v>497</v>
      </c>
      <c r="C669" t="s">
        <v>61</v>
      </c>
      <c r="D669" t="s">
        <v>62</v>
      </c>
      <c r="E669">
        <v>1000</v>
      </c>
      <c r="F669" t="s">
        <v>115</v>
      </c>
      <c r="G669" t="s">
        <v>57</v>
      </c>
      <c r="H669" t="s">
        <v>76</v>
      </c>
      <c r="I669">
        <v>8.89</v>
      </c>
      <c r="J669" t="s">
        <v>77</v>
      </c>
      <c r="K669">
        <v>2003</v>
      </c>
      <c r="L669" t="s">
        <v>503</v>
      </c>
      <c r="O669" t="s">
        <v>504</v>
      </c>
      <c r="P669" t="s">
        <v>236</v>
      </c>
      <c r="Q66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12.132289293478262</v>
      </c>
      <c r="R66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69" s="107" t="str">
        <f>IFERROR(_xlfn.XLOOKUP("*"&amp;TRIM(Fusion[[#This Row],[Confinement Type]])&amp;"*", Map_Conf[From], Map_Conf[To], "", 2), "")</f>
        <v>MCF</v>
      </c>
      <c r="W669" s="108" t="e" cm="1">
        <f t="array" ref="W66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70" spans="1:23" hidden="1">
      <c r="A670">
        <v>556</v>
      </c>
      <c r="B670" t="s">
        <v>505</v>
      </c>
      <c r="C670" t="s">
        <v>61</v>
      </c>
      <c r="D670" t="s">
        <v>107</v>
      </c>
      <c r="E670">
        <v>1000</v>
      </c>
      <c r="F670" t="s">
        <v>115</v>
      </c>
      <c r="G670" t="s">
        <v>57</v>
      </c>
      <c r="H670" t="s">
        <v>76</v>
      </c>
      <c r="I670">
        <v>6.18</v>
      </c>
      <c r="J670" t="s">
        <v>77</v>
      </c>
      <c r="K670">
        <v>2003</v>
      </c>
      <c r="L670" t="s">
        <v>503</v>
      </c>
      <c r="O670" t="s">
        <v>504</v>
      </c>
      <c r="P670" t="s">
        <v>159</v>
      </c>
      <c r="Q670">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8.4339198913043472</v>
      </c>
      <c r="R67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70" s="107" t="str">
        <f>IFERROR(_xlfn.XLOOKUP("*"&amp;TRIM(Fusion[[#This Row],[Confinement Type]])&amp;"*", Map_Conf[From], Map_Conf[To], "", 2), "")</f>
        <v>MCF</v>
      </c>
      <c r="W670" s="108" t="e" cm="1">
        <f t="array" ref="W67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71" spans="1:23" hidden="1">
      <c r="A671">
        <v>557</v>
      </c>
      <c r="B671" t="s">
        <v>501</v>
      </c>
      <c r="C671" t="s">
        <v>61</v>
      </c>
      <c r="D671" t="s">
        <v>278</v>
      </c>
      <c r="E671">
        <v>1000</v>
      </c>
      <c r="F671" t="s">
        <v>115</v>
      </c>
      <c r="G671" t="s">
        <v>57</v>
      </c>
      <c r="H671" t="s">
        <v>76</v>
      </c>
      <c r="I671">
        <v>6.9</v>
      </c>
      <c r="J671" t="s">
        <v>77</v>
      </c>
      <c r="K671">
        <v>2003</v>
      </c>
      <c r="L671" t="s">
        <v>503</v>
      </c>
      <c r="O671" t="s">
        <v>504</v>
      </c>
      <c r="P671" t="s">
        <v>241</v>
      </c>
      <c r="Q67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9.4165125000000014</v>
      </c>
      <c r="R67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71" s="107" t="str">
        <f>IFERROR(_xlfn.XLOOKUP("*"&amp;TRIM(Fusion[[#This Row],[Confinement Type]])&amp;"*", Map_Conf[From], Map_Conf[To], "", 2), "")</f>
        <v>MCF</v>
      </c>
      <c r="W671" s="108" t="e" cm="1">
        <f t="array" ref="W67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72" spans="1:23" hidden="1">
      <c r="A672">
        <v>558</v>
      </c>
      <c r="B672" t="s">
        <v>497</v>
      </c>
      <c r="C672" t="s">
        <v>61</v>
      </c>
      <c r="D672" t="s">
        <v>62</v>
      </c>
      <c r="E672">
        <v>1000</v>
      </c>
      <c r="F672" t="s">
        <v>108</v>
      </c>
      <c r="G672" t="s">
        <v>57</v>
      </c>
      <c r="H672" t="s">
        <v>76</v>
      </c>
      <c r="I672">
        <v>98</v>
      </c>
      <c r="J672" t="s">
        <v>77</v>
      </c>
      <c r="K672">
        <v>2003</v>
      </c>
      <c r="L672" t="s">
        <v>503</v>
      </c>
      <c r="O672" t="s">
        <v>504</v>
      </c>
      <c r="Q67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133.74177173913043</v>
      </c>
      <c r="R67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72" s="107" t="str">
        <f>IFERROR(_xlfn.XLOOKUP("*"&amp;TRIM(Fusion[[#This Row],[Confinement Type]])&amp;"*", Map_Conf[From], Map_Conf[To], "", 2), "")</f>
        <v>MCF</v>
      </c>
      <c r="W672" s="108" t="str" cm="1">
        <f t="array" ref="W67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3" spans="1:23" hidden="1">
      <c r="A673">
        <v>559</v>
      </c>
      <c r="B673" t="s">
        <v>505</v>
      </c>
      <c r="C673" t="s">
        <v>61</v>
      </c>
      <c r="D673" t="s">
        <v>107</v>
      </c>
      <c r="E673">
        <v>1000</v>
      </c>
      <c r="F673" t="s">
        <v>108</v>
      </c>
      <c r="G673" t="s">
        <v>57</v>
      </c>
      <c r="H673" t="s">
        <v>76</v>
      </c>
      <c r="I673">
        <v>104</v>
      </c>
      <c r="J673" t="s">
        <v>77</v>
      </c>
      <c r="K673">
        <v>2003</v>
      </c>
      <c r="L673" t="s">
        <v>503</v>
      </c>
      <c r="O673" t="s">
        <v>504</v>
      </c>
      <c r="P673" t="s">
        <v>336</v>
      </c>
      <c r="Q67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141.93004347826087</v>
      </c>
      <c r="R67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73" s="107" t="str">
        <f>IFERROR(_xlfn.XLOOKUP("*"&amp;TRIM(Fusion[[#This Row],[Confinement Type]])&amp;"*", Map_Conf[From], Map_Conf[To], "", 2), "")</f>
        <v>MCF</v>
      </c>
      <c r="W673" s="108" t="str" cm="1">
        <f t="array" ref="W67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4" spans="1:23" hidden="1">
      <c r="A674">
        <v>560</v>
      </c>
      <c r="B674" t="s">
        <v>501</v>
      </c>
      <c r="C674" t="s">
        <v>61</v>
      </c>
      <c r="D674" t="s">
        <v>278</v>
      </c>
      <c r="E674">
        <v>1000</v>
      </c>
      <c r="F674" t="s">
        <v>108</v>
      </c>
      <c r="G674" t="s">
        <v>57</v>
      </c>
      <c r="H674" t="s">
        <v>76</v>
      </c>
      <c r="I674">
        <v>111</v>
      </c>
      <c r="J674" t="s">
        <v>77</v>
      </c>
      <c r="K674">
        <v>2003</v>
      </c>
      <c r="L674" t="s">
        <v>503</v>
      </c>
      <c r="O674" t="s">
        <v>504</v>
      </c>
      <c r="Q67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151.48302717391306</v>
      </c>
      <c r="R67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74" s="107" t="str">
        <f>IFERROR(_xlfn.XLOOKUP("*"&amp;TRIM(Fusion[[#This Row],[Confinement Type]])&amp;"*", Map_Conf[From], Map_Conf[To], "", 2), "")</f>
        <v>MCF</v>
      </c>
      <c r="W674" s="108" t="str" cm="1">
        <f t="array" ref="W67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5" spans="1:23" hidden="1">
      <c r="A675">
        <v>561</v>
      </c>
      <c r="B675" t="s">
        <v>506</v>
      </c>
      <c r="C675" t="s">
        <v>61</v>
      </c>
      <c r="D675" t="s">
        <v>62</v>
      </c>
      <c r="E675">
        <v>1000</v>
      </c>
      <c r="F675" t="s">
        <v>217</v>
      </c>
      <c r="G675" t="s">
        <v>57</v>
      </c>
      <c r="H675" t="s">
        <v>33</v>
      </c>
      <c r="I675">
        <v>4645000000</v>
      </c>
      <c r="J675" t="s">
        <v>34</v>
      </c>
      <c r="K675">
        <v>2011</v>
      </c>
      <c r="L675" t="s">
        <v>507</v>
      </c>
      <c r="O675" t="s">
        <v>504</v>
      </c>
      <c r="Q67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7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75" s="107" t="str">
        <f>IFERROR(_xlfn.XLOOKUP("*"&amp;TRIM(Fusion[[#This Row],[Confinement Type]])&amp;"*", Map_Conf[From], Map_Conf[To], "", 2), "")</f>
        <v>MCF</v>
      </c>
      <c r="W675" s="108" t="str" cm="1">
        <f t="array" ref="W67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6" spans="1:23" hidden="1">
      <c r="A676">
        <v>456</v>
      </c>
      <c r="B676" t="s">
        <v>674</v>
      </c>
      <c r="C676" t="s">
        <v>61</v>
      </c>
      <c r="D676" t="s">
        <v>62</v>
      </c>
      <c r="E676">
        <v>1200</v>
      </c>
      <c r="F676" t="s">
        <v>63</v>
      </c>
      <c r="G676" t="s">
        <v>57</v>
      </c>
      <c r="H676" t="s">
        <v>33</v>
      </c>
      <c r="I676">
        <v>220000</v>
      </c>
      <c r="J676" t="s">
        <v>34</v>
      </c>
      <c r="K676">
        <v>2020</v>
      </c>
      <c r="L676" t="s">
        <v>433</v>
      </c>
      <c r="Q67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76">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0.17787606915213547</v>
      </c>
      <c r="V676" s="107" t="str">
        <f>IFERROR(_xlfn.XLOOKUP("*"&amp;TRIM(Fusion[[#This Row],[Confinement Type]])&amp;"*", Map_Conf[From], Map_Conf[To], "", 2), "")</f>
        <v>MCF</v>
      </c>
      <c r="W676" s="108" t="str" cm="1">
        <f t="array" ref="W67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Helical</v>
      </c>
    </row>
    <row r="677" spans="1:23" hidden="1">
      <c r="A677">
        <v>511</v>
      </c>
      <c r="B677" t="s">
        <v>469</v>
      </c>
      <c r="C677" t="s">
        <v>470</v>
      </c>
      <c r="D677" t="s">
        <v>471</v>
      </c>
      <c r="E677">
        <v>150</v>
      </c>
      <c r="F677" t="s">
        <v>63</v>
      </c>
      <c r="G677" t="s">
        <v>52</v>
      </c>
      <c r="H677" t="s">
        <v>76</v>
      </c>
      <c r="I677">
        <v>109570</v>
      </c>
      <c r="J677" t="s">
        <v>484</v>
      </c>
      <c r="K677">
        <v>2016</v>
      </c>
      <c r="L677" t="s">
        <v>472</v>
      </c>
      <c r="O677" t="s">
        <v>485</v>
      </c>
      <c r="P677" t="s">
        <v>504</v>
      </c>
      <c r="Q67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77">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0.76424976465964189</v>
      </c>
      <c r="V677" s="107" t="str">
        <f>IFERROR(_xlfn.XLOOKUP("*"&amp;TRIM(Fusion[[#This Row],[Confinement Type]])&amp;"*", Map_Conf[From], Map_Conf[To], "", 2), "")</f>
        <v>MCF</v>
      </c>
      <c r="W677" s="108" t="str" cm="1">
        <f t="array" ref="W67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8" spans="1:23" hidden="1">
      <c r="A678">
        <v>564</v>
      </c>
      <c r="B678" t="s">
        <v>506</v>
      </c>
      <c r="C678" t="s">
        <v>61</v>
      </c>
      <c r="D678" t="s">
        <v>62</v>
      </c>
      <c r="E678">
        <v>1000</v>
      </c>
      <c r="F678" t="s">
        <v>493</v>
      </c>
      <c r="G678" t="s">
        <v>57</v>
      </c>
      <c r="H678" t="s">
        <v>76</v>
      </c>
      <c r="I678">
        <v>0.6</v>
      </c>
      <c r="J678" t="s">
        <v>77</v>
      </c>
      <c r="K678">
        <v>2011</v>
      </c>
      <c r="L678" t="s">
        <v>507</v>
      </c>
      <c r="O678" t="s">
        <v>504</v>
      </c>
      <c r="Q67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0.66980025695855328</v>
      </c>
      <c r="R67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78" s="107" t="str">
        <f>IFERROR(_xlfn.XLOOKUP("*"&amp;TRIM(Fusion[[#This Row],[Confinement Type]])&amp;"*", Map_Conf[From], Map_Conf[To], "", 2), "")</f>
        <v>MCF</v>
      </c>
      <c r="W678" s="108" t="str" cm="1">
        <f t="array" ref="W67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79" spans="1:23" hidden="1">
      <c r="A679">
        <v>565</v>
      </c>
      <c r="B679" t="s">
        <v>506</v>
      </c>
      <c r="C679" t="s">
        <v>61</v>
      </c>
      <c r="D679" t="s">
        <v>62</v>
      </c>
      <c r="E679">
        <v>1000</v>
      </c>
      <c r="F679" t="s">
        <v>115</v>
      </c>
      <c r="G679" t="s">
        <v>57</v>
      </c>
      <c r="H679" t="s">
        <v>76</v>
      </c>
      <c r="I679">
        <v>5.42</v>
      </c>
      <c r="J679" t="s">
        <v>77</v>
      </c>
      <c r="K679">
        <v>2011</v>
      </c>
      <c r="L679" t="s">
        <v>507</v>
      </c>
      <c r="O679" t="s">
        <v>504</v>
      </c>
      <c r="Q67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6.0505289878589315</v>
      </c>
      <c r="R67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79" s="107" t="str">
        <f>IFERROR(_xlfn.XLOOKUP("*"&amp;TRIM(Fusion[[#This Row],[Confinement Type]])&amp;"*", Map_Conf[From], Map_Conf[To], "", 2), "")</f>
        <v>MCF</v>
      </c>
      <c r="W679" s="108" t="str" cm="1">
        <f t="array" ref="W67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0" spans="1:23" hidden="1">
      <c r="A680">
        <v>566</v>
      </c>
      <c r="B680" t="s">
        <v>508</v>
      </c>
      <c r="C680" t="s">
        <v>61</v>
      </c>
      <c r="D680" t="s">
        <v>62</v>
      </c>
      <c r="E680">
        <v>1000</v>
      </c>
      <c r="F680" t="s">
        <v>217</v>
      </c>
      <c r="G680" t="s">
        <v>57</v>
      </c>
      <c r="H680" t="s">
        <v>33</v>
      </c>
      <c r="I680">
        <v>5227000000</v>
      </c>
      <c r="J680" t="s">
        <v>34</v>
      </c>
      <c r="K680">
        <v>2011</v>
      </c>
      <c r="L680" t="s">
        <v>507</v>
      </c>
      <c r="O680" t="s">
        <v>504</v>
      </c>
      <c r="Q68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8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80" s="107" t="str">
        <f>IFERROR(_xlfn.XLOOKUP("*"&amp;TRIM(Fusion[[#This Row],[Confinement Type]])&amp;"*", Map_Conf[From], Map_Conf[To], "", 2), "")</f>
        <v>MCF</v>
      </c>
      <c r="W680" s="108" t="str" cm="1">
        <f t="array" ref="W68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1" spans="1:23" hidden="1">
      <c r="A681">
        <v>567</v>
      </c>
      <c r="B681" t="s">
        <v>506</v>
      </c>
      <c r="C681" t="s">
        <v>61</v>
      </c>
      <c r="D681" t="s">
        <v>62</v>
      </c>
      <c r="E681">
        <v>1000</v>
      </c>
      <c r="F681" t="s">
        <v>108</v>
      </c>
      <c r="G681" t="s">
        <v>57</v>
      </c>
      <c r="H681" t="s">
        <v>76</v>
      </c>
      <c r="I681">
        <v>87</v>
      </c>
      <c r="J681" t="s">
        <v>77</v>
      </c>
      <c r="K681">
        <v>2011</v>
      </c>
      <c r="L681" t="s">
        <v>507</v>
      </c>
      <c r="O681" t="s">
        <v>509</v>
      </c>
      <c r="Q68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97.121037258990228</v>
      </c>
      <c r="R68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81" s="107" t="str">
        <f>IFERROR(_xlfn.XLOOKUP("*"&amp;TRIM(Fusion[[#This Row],[Confinement Type]])&amp;"*", Map_Conf[From], Map_Conf[To], "", 2), "")</f>
        <v>MCF</v>
      </c>
      <c r="W681" s="108" t="str" cm="1">
        <f t="array" ref="W68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2" spans="1:23" hidden="1">
      <c r="A682">
        <v>512</v>
      </c>
      <c r="B682" t="s">
        <v>483</v>
      </c>
      <c r="C682" t="s">
        <v>470</v>
      </c>
      <c r="D682" t="s">
        <v>471</v>
      </c>
      <c r="E682">
        <v>150</v>
      </c>
      <c r="F682" t="s">
        <v>63</v>
      </c>
      <c r="G682" t="s">
        <v>52</v>
      </c>
      <c r="H682" t="s">
        <v>76</v>
      </c>
      <c r="I682">
        <v>169570</v>
      </c>
      <c r="J682" t="s">
        <v>484</v>
      </c>
      <c r="K682">
        <v>2016</v>
      </c>
      <c r="L682" t="s">
        <v>472</v>
      </c>
      <c r="O682" t="s">
        <v>485</v>
      </c>
      <c r="Q68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8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1.1827492250920459</v>
      </c>
      <c r="V682" s="107" t="str">
        <f>IFERROR(_xlfn.XLOOKUP("*"&amp;TRIM(Fusion[[#This Row],[Confinement Type]])&amp;"*", Map_Conf[From], Map_Conf[To], "", 2), "")</f>
        <v>MCF</v>
      </c>
      <c r="W682" s="108" t="str" cm="1">
        <f t="array" ref="W68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3" spans="1:23" hidden="1">
      <c r="A683">
        <v>563</v>
      </c>
      <c r="B683" t="s">
        <v>506</v>
      </c>
      <c r="C683" t="s">
        <v>61</v>
      </c>
      <c r="D683" t="s">
        <v>62</v>
      </c>
      <c r="E683">
        <v>1000</v>
      </c>
      <c r="F683" t="s">
        <v>63</v>
      </c>
      <c r="G683" t="s">
        <v>57</v>
      </c>
      <c r="H683" t="s">
        <v>76</v>
      </c>
      <c r="I683">
        <v>0.37</v>
      </c>
      <c r="J683" t="s">
        <v>77</v>
      </c>
      <c r="K683">
        <v>2011</v>
      </c>
      <c r="L683" t="s">
        <v>507</v>
      </c>
      <c r="O683" t="s">
        <v>504</v>
      </c>
      <c r="R68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83" s="107" t="str">
        <f>IFERROR(_xlfn.XLOOKUP("*"&amp;TRIM(Fusion[[#This Row],[Confinement Type]])&amp;"*", Map_Conf[From], Map_Conf[To], "", 2), "")</f>
        <v>MCF</v>
      </c>
      <c r="W683" s="108" t="str" cm="1">
        <f t="array" ref="W68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4" spans="1:23" hidden="1">
      <c r="A684">
        <v>570</v>
      </c>
      <c r="B684" t="s">
        <v>508</v>
      </c>
      <c r="C684" t="s">
        <v>61</v>
      </c>
      <c r="D684" t="s">
        <v>62</v>
      </c>
      <c r="E684">
        <v>1000</v>
      </c>
      <c r="F684" t="s">
        <v>493</v>
      </c>
      <c r="G684" t="s">
        <v>57</v>
      </c>
      <c r="H684" t="s">
        <v>76</v>
      </c>
      <c r="I684">
        <v>0.6</v>
      </c>
      <c r="J684" t="s">
        <v>77</v>
      </c>
      <c r="K684">
        <v>2011</v>
      </c>
      <c r="L684" t="s">
        <v>507</v>
      </c>
      <c r="O684" t="s">
        <v>504</v>
      </c>
      <c r="P684" t="s">
        <v>312</v>
      </c>
      <c r="Q68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0.66980025695855328</v>
      </c>
      <c r="R68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84" s="107" t="str">
        <f>IFERROR(_xlfn.XLOOKUP("*"&amp;TRIM(Fusion[[#This Row],[Confinement Type]])&amp;"*", Map_Conf[From], Map_Conf[To], "", 2), "")</f>
        <v>MCF</v>
      </c>
      <c r="W684" s="108" t="str" cm="1">
        <f t="array" ref="W68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5" spans="1:23" hidden="1">
      <c r="A685">
        <v>571</v>
      </c>
      <c r="B685" t="s">
        <v>508</v>
      </c>
      <c r="C685" t="s">
        <v>61</v>
      </c>
      <c r="D685" t="s">
        <v>62</v>
      </c>
      <c r="E685">
        <v>1000</v>
      </c>
      <c r="F685" t="s">
        <v>115</v>
      </c>
      <c r="G685" t="s">
        <v>57</v>
      </c>
      <c r="H685" t="s">
        <v>76</v>
      </c>
      <c r="I685">
        <v>0</v>
      </c>
      <c r="J685" t="s">
        <v>77</v>
      </c>
      <c r="K685">
        <v>2011</v>
      </c>
      <c r="L685" t="s">
        <v>507</v>
      </c>
      <c r="O685" t="s">
        <v>510</v>
      </c>
      <c r="Q68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v>
      </c>
      <c r="R68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85" s="107" t="str">
        <f>IFERROR(_xlfn.XLOOKUP("*"&amp;TRIM(Fusion[[#This Row],[Confinement Type]])&amp;"*", Map_Conf[From], Map_Conf[To], "", 2), "")</f>
        <v>MCF</v>
      </c>
      <c r="W685" s="108" t="str" cm="1">
        <f t="array" ref="W68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6" spans="1:23" hidden="1">
      <c r="A686">
        <v>572</v>
      </c>
      <c r="B686" t="s">
        <v>508</v>
      </c>
      <c r="C686" t="s">
        <v>61</v>
      </c>
      <c r="D686" t="s">
        <v>62</v>
      </c>
      <c r="E686">
        <v>1000</v>
      </c>
      <c r="F686" t="s">
        <v>108</v>
      </c>
      <c r="G686" t="s">
        <v>57</v>
      </c>
      <c r="H686" t="s">
        <v>76</v>
      </c>
      <c r="I686">
        <v>94</v>
      </c>
      <c r="J686" t="s">
        <v>77</v>
      </c>
      <c r="K686">
        <v>2011</v>
      </c>
      <c r="L686" t="s">
        <v>507</v>
      </c>
      <c r="O686" t="s">
        <v>511</v>
      </c>
      <c r="P686" t="s">
        <v>338</v>
      </c>
      <c r="Q686">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104.93537359017334</v>
      </c>
      <c r="R68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86" s="107" t="str">
        <f>IFERROR(_xlfn.XLOOKUP("*"&amp;TRIM(Fusion[[#This Row],[Confinement Type]])&amp;"*", Map_Conf[From], Map_Conf[To], "", 2), "")</f>
        <v>MCF</v>
      </c>
      <c r="W686" s="108" t="str" cm="1">
        <f t="array" ref="W68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7" spans="1:23" hidden="1">
      <c r="A687">
        <v>573</v>
      </c>
      <c r="B687" t="s">
        <v>512</v>
      </c>
      <c r="C687" t="s">
        <v>30</v>
      </c>
      <c r="D687" t="s">
        <v>803</v>
      </c>
      <c r="E687">
        <v>1000</v>
      </c>
      <c r="F687" t="s">
        <v>217</v>
      </c>
      <c r="G687" t="s">
        <v>57</v>
      </c>
      <c r="H687" t="s">
        <v>33</v>
      </c>
      <c r="I687">
        <v>5050000000</v>
      </c>
      <c r="J687" t="s">
        <v>34</v>
      </c>
      <c r="K687">
        <v>2011</v>
      </c>
      <c r="L687" t="s">
        <v>507</v>
      </c>
      <c r="O687" t="s">
        <v>834</v>
      </c>
      <c r="Q687"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8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87" s="107" t="str">
        <f>IFERROR(_xlfn.XLOOKUP("*"&amp;TRIM(Fusion[[#This Row],[Confinement Type]])&amp;"*", Map_Conf[From], Map_Conf[To], "", 2), "")</f>
        <v>MCF</v>
      </c>
      <c r="W687" s="108" t="str" cm="1">
        <f t="array" ref="W68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8" spans="1:23" hidden="1">
      <c r="A688">
        <v>574</v>
      </c>
      <c r="B688" t="s">
        <v>512</v>
      </c>
      <c r="C688" t="s">
        <v>30</v>
      </c>
      <c r="D688" t="s">
        <v>803</v>
      </c>
      <c r="E688">
        <v>1000</v>
      </c>
      <c r="F688" t="s">
        <v>108</v>
      </c>
      <c r="G688" t="s">
        <v>57</v>
      </c>
      <c r="H688" t="s">
        <v>76</v>
      </c>
      <c r="I688">
        <v>107</v>
      </c>
      <c r="J688" t="s">
        <v>77</v>
      </c>
      <c r="K688">
        <v>2011</v>
      </c>
      <c r="L688" t="s">
        <v>507</v>
      </c>
      <c r="O688" t="s">
        <v>834</v>
      </c>
      <c r="P688" t="s">
        <v>148</v>
      </c>
      <c r="Q68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119.447712490942</v>
      </c>
      <c r="R68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88" s="107" t="str">
        <f>IFERROR(_xlfn.XLOOKUP("*"&amp;TRIM(Fusion[[#This Row],[Confinement Type]])&amp;"*", Map_Conf[From], Map_Conf[To], "", 2), "")</f>
        <v>MCF</v>
      </c>
      <c r="W688" s="108" t="str" cm="1">
        <f t="array" ref="W68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89" spans="1:23">
      <c r="A689" s="4"/>
      <c r="B689" s="4" t="s">
        <v>795</v>
      </c>
      <c r="C689" s="4" t="s">
        <v>30</v>
      </c>
      <c r="D689" s="4" t="s">
        <v>796</v>
      </c>
      <c r="E689" s="4">
        <v>972</v>
      </c>
      <c r="F689" s="4" t="s">
        <v>116</v>
      </c>
      <c r="G689" s="4" t="s">
        <v>52</v>
      </c>
      <c r="H689" s="4" t="s">
        <v>33</v>
      </c>
      <c r="I689" s="4">
        <v>62030000</v>
      </c>
      <c r="J689" s="4" t="s">
        <v>34</v>
      </c>
      <c r="K689" s="4">
        <v>1991</v>
      </c>
      <c r="L689" s="4" t="s">
        <v>799</v>
      </c>
      <c r="O689" s="4" t="s">
        <v>807</v>
      </c>
      <c r="P689" s="4"/>
      <c r="Q689"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89">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117.65685304532792</v>
      </c>
      <c r="V689" s="107" t="str">
        <f>IFERROR(_xlfn.XLOOKUP("*"&amp;TRIM(Fusion[[#This Row],[Confinement Type]])&amp;"*", Map_Conf[From], Map_Conf[To], "", 2), "")</f>
        <v>ICF</v>
      </c>
      <c r="W689" s="108" t="str" cm="1">
        <f t="array" ref="W68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90" spans="1:23">
      <c r="A690">
        <v>494</v>
      </c>
      <c r="B690" t="s">
        <v>114</v>
      </c>
      <c r="C690" t="s">
        <v>61</v>
      </c>
      <c r="D690" t="s">
        <v>62</v>
      </c>
      <c r="E690">
        <v>1000</v>
      </c>
      <c r="F690" t="s">
        <v>116</v>
      </c>
      <c r="G690" t="s">
        <v>52</v>
      </c>
      <c r="H690" t="s">
        <v>33</v>
      </c>
      <c r="J690" t="s">
        <v>34</v>
      </c>
      <c r="K690">
        <v>1990</v>
      </c>
      <c r="L690" t="s">
        <v>55</v>
      </c>
      <c r="Q69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690" s="107" t="str">
        <f>IFERROR(_xlfn.XLOOKUP("*"&amp;TRIM(Fusion[[#This Row],[Confinement Type]])&amp;"*", Map_Conf[From], Map_Conf[To], "", 2), "")</f>
        <v>ICF</v>
      </c>
      <c r="W690" s="108" t="str" cm="1">
        <f t="array" ref="W69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Inertial</v>
      </c>
    </row>
    <row r="691" spans="1:23" hidden="1">
      <c r="A691">
        <v>577</v>
      </c>
      <c r="B691" t="s">
        <v>513</v>
      </c>
      <c r="C691" t="s">
        <v>61</v>
      </c>
      <c r="D691" t="s">
        <v>62</v>
      </c>
      <c r="E691">
        <v>1000</v>
      </c>
      <c r="F691" t="s">
        <v>493</v>
      </c>
      <c r="G691" t="s">
        <v>57</v>
      </c>
      <c r="H691" t="s">
        <v>76</v>
      </c>
      <c r="I691">
        <v>0.6</v>
      </c>
      <c r="J691" t="s">
        <v>77</v>
      </c>
      <c r="K691">
        <v>2011</v>
      </c>
      <c r="L691" t="s">
        <v>507</v>
      </c>
      <c r="O691" t="s">
        <v>504</v>
      </c>
      <c r="Q691">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0.66980025695855328</v>
      </c>
      <c r="R691"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91" s="107" t="str">
        <f>IFERROR(_xlfn.XLOOKUP("*"&amp;TRIM(Fusion[[#This Row],[Confinement Type]])&amp;"*", Map_Conf[From], Map_Conf[To], "", 2), "")</f>
        <v>MIF</v>
      </c>
      <c r="W691" s="108" t="str" cm="1">
        <f t="array" ref="W69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692" spans="1:23" hidden="1">
      <c r="A692">
        <v>578</v>
      </c>
      <c r="B692" t="s">
        <v>513</v>
      </c>
      <c r="C692" t="s">
        <v>61</v>
      </c>
      <c r="D692" t="s">
        <v>62</v>
      </c>
      <c r="E692">
        <v>1000</v>
      </c>
      <c r="F692" t="s">
        <v>115</v>
      </c>
      <c r="G692" t="s">
        <v>57</v>
      </c>
      <c r="H692" t="s">
        <v>76</v>
      </c>
      <c r="I692">
        <v>8.89</v>
      </c>
      <c r="J692" t="s">
        <v>77</v>
      </c>
      <c r="K692">
        <v>2011</v>
      </c>
      <c r="L692" t="s">
        <v>507</v>
      </c>
      <c r="O692" t="s">
        <v>504</v>
      </c>
      <c r="P692" t="s">
        <v>504</v>
      </c>
      <c r="Q692">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9.9242071406025651</v>
      </c>
      <c r="R692"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92" s="107" t="str">
        <f>IFERROR(_xlfn.XLOOKUP("*"&amp;TRIM(Fusion[[#This Row],[Confinement Type]])&amp;"*", Map_Conf[From], Map_Conf[To], "", 2), "")</f>
        <v>MIF</v>
      </c>
      <c r="W692" s="108" t="str" cm="1">
        <f t="array" ref="W692">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693" spans="1:23" hidden="1">
      <c r="A693">
        <v>579</v>
      </c>
      <c r="B693" t="s">
        <v>513</v>
      </c>
      <c r="C693" t="s">
        <v>61</v>
      </c>
      <c r="D693" t="s">
        <v>62</v>
      </c>
      <c r="E693">
        <v>1000</v>
      </c>
      <c r="F693" t="s">
        <v>108</v>
      </c>
      <c r="G693" t="s">
        <v>57</v>
      </c>
      <c r="H693" t="s">
        <v>76</v>
      </c>
      <c r="I693">
        <v>98</v>
      </c>
      <c r="J693" t="s">
        <v>77</v>
      </c>
      <c r="K693">
        <v>2011</v>
      </c>
      <c r="L693" t="s">
        <v>507</v>
      </c>
      <c r="O693" t="s">
        <v>504</v>
      </c>
      <c r="Q69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109.40070863656371</v>
      </c>
      <c r="R69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93" s="107" t="str">
        <f>IFERROR(_xlfn.XLOOKUP("*"&amp;TRIM(Fusion[[#This Row],[Confinement Type]])&amp;"*", Map_Conf[From], Map_Conf[To], "", 2), "")</f>
        <v>MIF</v>
      </c>
      <c r="W693" s="108" t="str" cm="1">
        <f t="array" ref="W693">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Magneto-Inertial</v>
      </c>
    </row>
    <row r="694" spans="1:23" hidden="1">
      <c r="A694">
        <v>580</v>
      </c>
      <c r="B694" t="s">
        <v>513</v>
      </c>
      <c r="C694" t="s">
        <v>61</v>
      </c>
      <c r="D694" t="s">
        <v>62</v>
      </c>
      <c r="E694">
        <v>1000</v>
      </c>
      <c r="F694" t="s">
        <v>217</v>
      </c>
      <c r="G694" t="s">
        <v>57</v>
      </c>
      <c r="H694" t="s">
        <v>33</v>
      </c>
      <c r="I694">
        <v>5112000000</v>
      </c>
      <c r="J694" t="s">
        <v>34</v>
      </c>
      <c r="K694">
        <v>2011</v>
      </c>
      <c r="L694" t="s">
        <v>507</v>
      </c>
      <c r="O694" t="s">
        <v>504</v>
      </c>
      <c r="Q69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69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94" s="107" t="str">
        <f>IFERROR(_xlfn.XLOOKUP("*"&amp;TRIM(Fusion[[#This Row],[Confinement Type]])&amp;"*", Map_Conf[From], Map_Conf[To], "", 2), "")</f>
        <v>MCF</v>
      </c>
      <c r="W694" s="108" t="str" cm="1">
        <f t="array" ref="W694">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95" spans="1:23">
      <c r="A695">
        <v>495</v>
      </c>
      <c r="B695" t="s">
        <v>460</v>
      </c>
      <c r="C695" t="s">
        <v>61</v>
      </c>
      <c r="D695" t="s">
        <v>62</v>
      </c>
      <c r="E695">
        <v>1200</v>
      </c>
      <c r="F695" t="s">
        <v>116</v>
      </c>
      <c r="G695" t="s">
        <v>52</v>
      </c>
      <c r="H695" t="s">
        <v>33</v>
      </c>
      <c r="J695" t="s">
        <v>34</v>
      </c>
      <c r="K695">
        <v>1990</v>
      </c>
      <c r="L695" t="s">
        <v>55</v>
      </c>
      <c r="O695" t="s">
        <v>1186</v>
      </c>
      <c r="Q695"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695" s="107" t="str">
        <f>IFERROR(_xlfn.XLOOKUP("*"&amp;TRIM(Fusion[[#This Row],[Confinement Type]])&amp;"*", Map_Conf[From], Map_Conf[To], "", 2), "")</f>
        <v>MCF</v>
      </c>
      <c r="W695" s="108" t="str" cm="1">
        <f t="array" ref="W695">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96" spans="1:23">
      <c r="A696">
        <v>496</v>
      </c>
      <c r="B696" t="s">
        <v>462</v>
      </c>
      <c r="C696" t="s">
        <v>61</v>
      </c>
      <c r="D696" t="s">
        <v>62</v>
      </c>
      <c r="E696">
        <v>1200</v>
      </c>
      <c r="F696" t="s">
        <v>116</v>
      </c>
      <c r="G696" t="s">
        <v>52</v>
      </c>
      <c r="H696" t="s">
        <v>33</v>
      </c>
      <c r="J696" t="s">
        <v>34</v>
      </c>
      <c r="K696">
        <v>1990</v>
      </c>
      <c r="L696" t="s">
        <v>55</v>
      </c>
      <c r="Q69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V696" s="107" t="str">
        <f>IFERROR(_xlfn.XLOOKUP("*"&amp;TRIM(Fusion[[#This Row],[Confinement Type]])&amp;"*", Map_Conf[From], Map_Conf[To], "", 2), "")</f>
        <v>MCF</v>
      </c>
      <c r="W696" s="108" t="str" cm="1">
        <f t="array" ref="W696">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697" spans="1:23" hidden="1">
      <c r="A697">
        <v>583</v>
      </c>
      <c r="B697" t="s">
        <v>514</v>
      </c>
      <c r="C697" t="s">
        <v>61</v>
      </c>
      <c r="D697" t="s">
        <v>107</v>
      </c>
      <c r="E697">
        <v>1000</v>
      </c>
      <c r="F697" t="s">
        <v>493</v>
      </c>
      <c r="G697" t="s">
        <v>57</v>
      </c>
      <c r="H697" t="s">
        <v>76</v>
      </c>
      <c r="I697">
        <v>0.6</v>
      </c>
      <c r="J697" t="s">
        <v>77</v>
      </c>
      <c r="K697">
        <v>2009</v>
      </c>
      <c r="L697" t="s">
        <v>507</v>
      </c>
      <c r="O697" t="s">
        <v>504</v>
      </c>
      <c r="Q697">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0.70227606426863431</v>
      </c>
      <c r="R697"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97" s="107" t="str">
        <f>IFERROR(_xlfn.XLOOKUP("*"&amp;TRIM(Fusion[[#This Row],[Confinement Type]])&amp;"*", Map_Conf[From], Map_Conf[To], "", 2), "")</f>
        <v>MCF</v>
      </c>
      <c r="W697" s="108" t="e" cm="1">
        <f t="array" ref="W697">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98" spans="1:23" hidden="1">
      <c r="A698">
        <v>584</v>
      </c>
      <c r="B698" t="s">
        <v>514</v>
      </c>
      <c r="C698" t="s">
        <v>61</v>
      </c>
      <c r="D698" t="s">
        <v>107</v>
      </c>
      <c r="E698">
        <v>1000</v>
      </c>
      <c r="F698" t="s">
        <v>115</v>
      </c>
      <c r="G698" t="s">
        <v>57</v>
      </c>
      <c r="H698" t="s">
        <v>76</v>
      </c>
      <c r="I698">
        <v>6.18</v>
      </c>
      <c r="J698" t="s">
        <v>77</v>
      </c>
      <c r="K698">
        <v>2010</v>
      </c>
      <c r="L698" t="s">
        <v>507</v>
      </c>
      <c r="O698" t="s">
        <v>504</v>
      </c>
      <c r="Q698">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7.1167097442858704</v>
      </c>
      <c r="R698"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98" s="107" t="str">
        <f>IFERROR(_xlfn.XLOOKUP("*"&amp;TRIM(Fusion[[#This Row],[Confinement Type]])&amp;"*", Map_Conf[From], Map_Conf[To], "", 2), "")</f>
        <v>MCF</v>
      </c>
      <c r="W698" s="108" t="e" cm="1">
        <f t="array" ref="W698">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699" spans="1:23" hidden="1">
      <c r="A699">
        <v>585</v>
      </c>
      <c r="B699" t="s">
        <v>514</v>
      </c>
      <c r="C699" t="s">
        <v>61</v>
      </c>
      <c r="D699" t="s">
        <v>107</v>
      </c>
      <c r="E699">
        <v>1000</v>
      </c>
      <c r="F699" t="s">
        <v>108</v>
      </c>
      <c r="G699" t="s">
        <v>57</v>
      </c>
      <c r="H699" t="s">
        <v>76</v>
      </c>
      <c r="I699">
        <v>104</v>
      </c>
      <c r="J699" t="s">
        <v>77</v>
      </c>
      <c r="K699">
        <v>2011</v>
      </c>
      <c r="L699" t="s">
        <v>507</v>
      </c>
      <c r="O699" t="s">
        <v>504</v>
      </c>
      <c r="Q699">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116.09871120614923</v>
      </c>
      <c r="R699"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699" s="107" t="str">
        <f>IFERROR(_xlfn.XLOOKUP("*"&amp;TRIM(Fusion[[#This Row],[Confinement Type]])&amp;"*", Map_Conf[From], Map_Conf[To], "", 2), "")</f>
        <v>MCF</v>
      </c>
      <c r="W699" s="108" t="e" cm="1">
        <f t="array" ref="W699">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#REF!</v>
      </c>
    </row>
    <row r="700" spans="1:23" hidden="1">
      <c r="A700">
        <v>586</v>
      </c>
      <c r="B700" t="s">
        <v>514</v>
      </c>
      <c r="C700" t="s">
        <v>61</v>
      </c>
      <c r="D700" t="s">
        <v>107</v>
      </c>
      <c r="E700">
        <v>1000</v>
      </c>
      <c r="F700" t="s">
        <v>217</v>
      </c>
      <c r="G700" t="s">
        <v>57</v>
      </c>
      <c r="H700" t="s">
        <v>33</v>
      </c>
      <c r="I700">
        <v>5582000000</v>
      </c>
      <c r="J700" t="s">
        <v>34</v>
      </c>
      <c r="K700">
        <v>2011</v>
      </c>
      <c r="L700" t="s">
        <v>507</v>
      </c>
      <c r="O700" t="s">
        <v>504</v>
      </c>
      <c r="Q700"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00"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c r="V700" s="107" t="str">
        <f>IFERROR(_xlfn.XLOOKUP("*"&amp;TRIM(Fusion[[#This Row],[Confinement Type]])&amp;"*", Map_Conf[From], Map_Conf[To], "", 2), "")</f>
        <v>MCF</v>
      </c>
      <c r="W700" s="108" t="str" cm="1">
        <f t="array" ref="W700">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01" spans="1:23">
      <c r="A701" s="4">
        <v>509</v>
      </c>
      <c r="B701" s="4" t="s">
        <v>469</v>
      </c>
      <c r="C701" s="4" t="s">
        <v>470</v>
      </c>
      <c r="D701" s="4" t="s">
        <v>471</v>
      </c>
      <c r="E701" s="4">
        <v>150</v>
      </c>
      <c r="F701" s="4" t="s">
        <v>116</v>
      </c>
      <c r="G701" s="4" t="s">
        <v>52</v>
      </c>
      <c r="H701" s="4" t="s">
        <v>33</v>
      </c>
      <c r="I701" s="4">
        <v>18000000</v>
      </c>
      <c r="J701" s="4" t="s">
        <v>34</v>
      </c>
      <c r="K701" s="4">
        <v>2016</v>
      </c>
      <c r="L701" s="4" t="s">
        <v>472</v>
      </c>
      <c r="O701" s="4" t="s">
        <v>482</v>
      </c>
      <c r="P701" s="4"/>
      <c r="Q701" s="4"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01">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125.54983812972121</v>
      </c>
      <c r="V701" s="107" t="str">
        <f>IFERROR(_xlfn.XLOOKUP("*"&amp;TRIM(Fusion[[#This Row],[Confinement Type]])&amp;"*", Map_Conf[From], Map_Conf[To], "", 2), "")</f>
        <v>MCF</v>
      </c>
      <c r="W701" s="108" t="str" cm="1">
        <f t="array" ref="W701">_xlfn.LET(
  _xlpm.rt, TRIM(Fusion[[#This Row],[Reactor Type]]),
  _xlpm.ex, IFERROR( _xlfn.XLOOKUP(_xlpm.rt, Map_Reactor[From], Map_Reactor[To], ""), "" ),
  _xlpm.hit, IF(_xlpm.ex&lt;&gt;"", _xlpm.ex,
            IFERROR(
              _xlfn.XLOOKUP(TRUE, ISNUMBER(SEARCH(Map_Reactor[From], _xlpm.rt)), Map_Reactor[To], ""),
              ""
            )
       ),
  IF(_xlpm.hit&lt;&gt;"", _xlpm.hit,
     IF(#REF!="MCF", "Other-MCF",
        IF(#REF!="ICF", "Inertial",
           IF(#REF!="MIF", "Magneto-Inertial",#REF!)
        )
     )
  )
)</f>
        <v>Tokamak</v>
      </c>
    </row>
    <row r="702" spans="1:23">
      <c r="A702">
        <v>510</v>
      </c>
      <c r="B702" t="s">
        <v>483</v>
      </c>
      <c r="C702" t="s">
        <v>470</v>
      </c>
      <c r="D702" t="s">
        <v>471</v>
      </c>
      <c r="E702">
        <v>150</v>
      </c>
      <c r="F702" t="s">
        <v>116</v>
      </c>
      <c r="G702" t="s">
        <v>52</v>
      </c>
      <c r="H702" t="s">
        <v>33</v>
      </c>
      <c r="I702">
        <v>38000000</v>
      </c>
      <c r="J702" t="s">
        <v>34</v>
      </c>
      <c r="K702">
        <v>2016</v>
      </c>
      <c r="L702" t="s">
        <v>472</v>
      </c>
      <c r="O702" t="s">
        <v>482</v>
      </c>
      <c r="P702" t="s">
        <v>504</v>
      </c>
      <c r="Q702"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02">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265.04965827385587</v>
      </c>
    </row>
    <row r="703" spans="1:23" hidden="1">
      <c r="A703">
        <v>589</v>
      </c>
      <c r="B703" t="s">
        <v>515</v>
      </c>
      <c r="C703" t="s">
        <v>61</v>
      </c>
      <c r="D703" t="s">
        <v>278</v>
      </c>
      <c r="E703">
        <v>1000</v>
      </c>
      <c r="F703" t="s">
        <v>493</v>
      </c>
      <c r="G703" t="s">
        <v>57</v>
      </c>
      <c r="H703" t="s">
        <v>76</v>
      </c>
      <c r="I703">
        <v>0.6</v>
      </c>
      <c r="J703" t="s">
        <v>77</v>
      </c>
      <c r="K703">
        <v>2009</v>
      </c>
      <c r="L703" t="s">
        <v>507</v>
      </c>
      <c r="O703" t="s">
        <v>504</v>
      </c>
      <c r="Q703">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0.70227606426863431</v>
      </c>
      <c r="R703"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row>
    <row r="704" spans="1:23" hidden="1">
      <c r="A704">
        <v>590</v>
      </c>
      <c r="B704" t="s">
        <v>515</v>
      </c>
      <c r="C704" t="s">
        <v>61</v>
      </c>
      <c r="D704" t="s">
        <v>278</v>
      </c>
      <c r="E704">
        <v>1000</v>
      </c>
      <c r="F704" t="s">
        <v>115</v>
      </c>
      <c r="G704" t="s">
        <v>57</v>
      </c>
      <c r="H704" t="s">
        <v>76</v>
      </c>
      <c r="I704">
        <v>6.9</v>
      </c>
      <c r="J704" t="s">
        <v>77</v>
      </c>
      <c r="K704">
        <v>2010</v>
      </c>
      <c r="L704" t="s">
        <v>507</v>
      </c>
      <c r="O704" t="s">
        <v>504</v>
      </c>
      <c r="P704" t="s">
        <v>441</v>
      </c>
      <c r="Q704">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7.9458409766298557</v>
      </c>
      <c r="R704"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row>
    <row r="705" spans="1:18" hidden="1">
      <c r="A705">
        <v>591</v>
      </c>
      <c r="B705" t="s">
        <v>515</v>
      </c>
      <c r="C705" t="s">
        <v>61</v>
      </c>
      <c r="D705" t="s">
        <v>278</v>
      </c>
      <c r="E705">
        <v>1000</v>
      </c>
      <c r="F705" t="s">
        <v>108</v>
      </c>
      <c r="G705" t="s">
        <v>57</v>
      </c>
      <c r="H705" t="s">
        <v>76</v>
      </c>
      <c r="I705">
        <v>111</v>
      </c>
      <c r="J705" t="s">
        <v>77</v>
      </c>
      <c r="K705">
        <v>2011</v>
      </c>
      <c r="L705" t="s">
        <v>507</v>
      </c>
      <c r="O705" t="s">
        <v>504</v>
      </c>
      <c r="P705" t="s">
        <v>504</v>
      </c>
      <c r="Q705">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123.91304753733236</v>
      </c>
      <c r="R705"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row>
    <row r="706" spans="1:18" hidden="1">
      <c r="A706">
        <v>593</v>
      </c>
      <c r="B706" t="s">
        <v>515</v>
      </c>
      <c r="C706" t="s">
        <v>61</v>
      </c>
      <c r="D706" t="s">
        <v>278</v>
      </c>
      <c r="E706">
        <v>1000</v>
      </c>
      <c r="F706" t="s">
        <v>217</v>
      </c>
      <c r="G706" t="s">
        <v>57</v>
      </c>
      <c r="H706" t="s">
        <v>33</v>
      </c>
      <c r="I706">
        <v>6239000000</v>
      </c>
      <c r="J706" t="s">
        <v>34</v>
      </c>
      <c r="K706">
        <v>2011</v>
      </c>
      <c r="L706" t="s">
        <v>507</v>
      </c>
      <c r="O706" t="s">
        <v>504</v>
      </c>
      <c r="Q706" t="str">
        <f>IFERROR(
 _xlfn.LET(
  _xlpm.u0,LOWER(TRIM(SUBSTITUTE(SUBSTITUTE(SUBSTITUTE(SUBSTITUTE(SUBSTITUTE(OtherCosts[[#This Row],[Unit]],
       "kwhe","kwh"),"kwh(e)","kwh"),"€","eur")," ",""),"-",""))),
  _xlpm.v,OtherCosts[[#This Row],[Value]],
  _xlpm.y,OtherCosts[[#This Row],[Year]],
  _xlpm.isEUR,OR(ISNUMBER(SEARCH("eur",_xlpm.u0)),ISNUMBER(SEARCH("€/",OtherCosts[[#This Row],[Unit]]))),
  _xlpm.fac,IF(_xlpm.isEUR,
           VLOOKUP(_xlpm.y,Inflation!$A$2:$G$1010,7,FALSE),
           VLOOKUP(_xlpm.y,Inflation!$A$2:$G$1010,6,FALSE)),
  _xlpm.has_mills,OR(ISNUMBER(SEARCH("mills/kwh",_xlpm.u0)),ISNUMBER(SEARCH("mill/kwh",_xlpm.u0))),
  _xlpm.has_mwh,ISNUMBER(SEARCH("/mwh",_xlpm.u0)),
  _xlpm.has_gj,ISNUMBER(SEARCH("/gj",_xlpm.u0)),
  _xlpm.has_kwh,ISNUMBER(SEARCH("/kwh",_xlpm.u0)),
  _xlpm.vMWh,
    IF(_xlpm.has_mills, _xlpm.v,
    IF(_xlpm.has_mwh,   _xlpm.v,
    IF(_xlpm.has_gj,    _xlpm.v/0.27778,
    IF(_xlpm.has_kwh,   _xlpm.v*1000, NA())))),
  _xlpm.vMWh*_xlpm.fac
 ),
"")</f>
        <v/>
      </c>
      <c r="R706" t="str">
        <f>IFERROR(
 _xlfn.LET(
  _xlpm.u0,LOWER(TRIM(SUBSTITUTE(SUBSTITUTE(SUBSTITUTE(SUBSTITUTE(OtherCosts[[#This Row],[Unit]],
       "kwhe","kwh"),"kwh(e)","kwh"),"€","eur")," ",""))),
  _xlpm.v,OtherCosts[[#This Row],[Value]],
  _xlpm.y,OtherCosts[[#This Row],[Year]],
  _xlpm.ct,LOWER(TRIM(OtherCosts[[#This Row],[Cost Type]])),
  _xlpm.ra,LOWER(TRIM(OtherCosts[[#This Row],[Relative/Absolute]])),
  _xlpm.cap,OtherCosts[[#This Row],[Capacity '[MW']]],
  _xlpm.isEUR,IFERROR(ISNUMBER(SEARCH("eur",_xlpm.u0)),FALSE),
  _xlpm.fac,IF(_xlpm.isEUR,
           VLOOKUP(_xlpm.y,Inflation!$A$2:$G$1010,7,FALSE),
           VLOOKUP(_xlpm.y,Inflation!$A$2:$G$1010,6,FALSE)),
  _xlpm.has_mills,OR(ISNUMBER(SEARCH("millskwh",_xlpm.u0)),ISNUMBER(SEARCH("millkwh",_xlpm.u0))),
  _xlpm.has_mwh,OR(ISNUMBER(SEARCH("mwh",_xlpm.u0)),ISNUMBER(SEARCH("per mwh",_xlpm.u0))),
  _xlpm.has_gj,OR(ISNUMBER(SEARCH("gj",_xlpm.u0)),ISNUMBER(SEARCH("pergj",_xlpm.u0))),
  _xlpm.has_kwh,OR(ISNUMBER(SEARCH("kwh",_xlpm.u0)),ISNUMBER(SEARCH("perkwh",_xlpm.u0))),
  _xlpm.has_kw_unit,
    OR(
        ISNUMBER(SEARCH("/kw",_xlpm.u0)),
        ISNUMBER(SEARCH("kw/",_xlpm.u0)),
        ISNUMBER(SEARCH("per kw",_xlpm.u0)),
        ISNUMBER(SEARCH("perkw",_xlpm.u0)),
        AND(ISNUMBER(SEARCH("kw",_xlpm.u0)), NOT(OR(_xlpm.has_kwh,_xlpm.has_mwh,_xlpm.has_mills)))
    ),
  _xlpm.isUSDperkW, AND(ISNUMBER(SEARCH("usd",_xlpm.u0)), _xlpm.has_kw_unit),
  _xlpm.isEURperkW, AND(ISNUMBER(SEARCH("eur",_xlpm.u0)), _xlpm.has_kw_unit),
  _xlpm.p_kW,
    IF(_xlpm.isUSDperkW,
        _xlpm.v*_xlpm.fac,
    IF(_xlpm.isEURperkW,
        _xlpm.v*_xlpm.fac,
    IF(
        AND(
          ISNUMBER(_xlpm.cap),
          NOT(OR(_xlpm.has_mills,_xlpm.has_mwh,_xlpm.has_gj,_xlpm.has_kwh)),
          OR(
            _xlpm.ct="o&amp;m fixed",
            _xlpm.ct="o&amp;m cost",
            _xlpm.ct="decommissioning cost",
            _xlpm.ct="waste disposal cost",
            _xlpm.ct="fuel cost",
            _xlpm.ct="replacement cost"
          )
        ),
        _xlpm.v/(_xlpm.cap*1000)*_xlpm.fac,
        ""
    ))),
  _xlpm.p_kW
 ),
"")</f>
        <v/>
      </c>
    </row>
  </sheetData>
  <phoneticPr fontId="10" type="noConversion"/>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E7BB2-AA21-42B0-8717-6617F3288CF6}">
  <dimension ref="A1"/>
  <sheetViews>
    <sheetView workbookViewId="0">
      <selection activeCell="K38" sqref="K38"/>
    </sheetView>
  </sheetViews>
  <sheetFormatPr baseColWidth="10" defaultRowHeight="12.9"/>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E39B0-C89D-46BA-9ABD-10822545BC77}">
  <dimension ref="A1:E16"/>
  <sheetViews>
    <sheetView topLeftCell="A6" zoomScale="120" zoomScaleNormal="120" workbookViewId="0">
      <selection activeCell="B12" sqref="B12"/>
    </sheetView>
  </sheetViews>
  <sheetFormatPr baseColWidth="10" defaultColWidth="11.41015625" defaultRowHeight="12.9"/>
  <cols>
    <col min="1" max="1" width="37.703125" bestFit="1" customWidth="1"/>
    <col min="2" max="2" width="22" bestFit="1" customWidth="1"/>
    <col min="3" max="3" width="12.703125" bestFit="1" customWidth="1"/>
    <col min="4" max="4" width="30" customWidth="1"/>
    <col min="5" max="5" width="31.41015625" customWidth="1"/>
    <col min="6" max="6" width="11.87890625" customWidth="1"/>
    <col min="7" max="7" width="14.29296875" bestFit="1" customWidth="1"/>
  </cols>
  <sheetData>
    <row r="1" spans="1:5">
      <c r="A1" t="s">
        <v>516</v>
      </c>
      <c r="B1" t="s">
        <v>517</v>
      </c>
      <c r="D1" t="s">
        <v>516</v>
      </c>
      <c r="E1" t="s">
        <v>517</v>
      </c>
    </row>
    <row r="2" spans="1:5">
      <c r="A2" t="s">
        <v>61</v>
      </c>
      <c r="B2" t="s">
        <v>518</v>
      </c>
      <c r="D2" t="s">
        <v>421</v>
      </c>
      <c r="E2" t="s">
        <v>62</v>
      </c>
    </row>
    <row r="3" spans="1:5">
      <c r="A3" t="s">
        <v>30</v>
      </c>
      <c r="B3" t="s">
        <v>519</v>
      </c>
      <c r="D3" t="s">
        <v>247</v>
      </c>
      <c r="E3" t="s">
        <v>388</v>
      </c>
    </row>
    <row r="4" spans="1:5">
      <c r="A4" t="s">
        <v>470</v>
      </c>
      <c r="B4" t="s">
        <v>520</v>
      </c>
      <c r="D4" t="s">
        <v>278</v>
      </c>
      <c r="E4" t="s">
        <v>521</v>
      </c>
    </row>
    <row r="5" spans="1:5">
      <c r="D5" t="s">
        <v>803</v>
      </c>
      <c r="E5" t="s">
        <v>388</v>
      </c>
    </row>
    <row r="6" spans="1:5">
      <c r="D6" t="s">
        <v>796</v>
      </c>
      <c r="E6" t="s">
        <v>388</v>
      </c>
    </row>
    <row r="7" spans="1:5">
      <c r="D7" t="s">
        <v>798</v>
      </c>
      <c r="E7" t="s">
        <v>388</v>
      </c>
    </row>
    <row r="8" spans="1:5">
      <c r="D8" t="s">
        <v>815</v>
      </c>
      <c r="E8" t="s">
        <v>388</v>
      </c>
    </row>
    <row r="9" spans="1:5">
      <c r="D9" t="s">
        <v>91</v>
      </c>
      <c r="E9" t="s">
        <v>522</v>
      </c>
    </row>
    <row r="10" spans="1:5">
      <c r="D10" t="s">
        <v>113</v>
      </c>
      <c r="E10" t="s">
        <v>523</v>
      </c>
    </row>
    <row r="11" spans="1:5">
      <c r="D11" t="s">
        <v>107</v>
      </c>
      <c r="E11" t="s">
        <v>62</v>
      </c>
    </row>
    <row r="12" spans="1:5">
      <c r="D12" t="s">
        <v>297</v>
      </c>
      <c r="E12" t="s">
        <v>297</v>
      </c>
    </row>
    <row r="13" spans="1:5">
      <c r="D13" t="s">
        <v>471</v>
      </c>
      <c r="E13" t="s">
        <v>470</v>
      </c>
    </row>
    <row r="14" spans="1:5">
      <c r="D14" t="s">
        <v>251</v>
      </c>
      <c r="E14" t="s">
        <v>521</v>
      </c>
    </row>
    <row r="15" spans="1:5">
      <c r="D15" t="s">
        <v>326</v>
      </c>
      <c r="E15" t="s">
        <v>522</v>
      </c>
    </row>
    <row r="16" spans="1:5">
      <c r="D16" t="s">
        <v>62</v>
      </c>
      <c r="E16" t="s">
        <v>62</v>
      </c>
    </row>
  </sheetData>
  <pageMargins left="0.7" right="0.7" top="0.78740157499999996" bottom="0.78740157499999996"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29959-5A04-4D7C-8F09-BB3DB7851FFE}">
  <sheetPr>
    <tabColor rgb="FF93B7BB"/>
  </sheetPr>
  <dimension ref="B1:BF100"/>
  <sheetViews>
    <sheetView topLeftCell="A11" zoomScale="80" zoomScaleNormal="80" workbookViewId="0">
      <selection activeCell="C20" sqref="C20:H73"/>
    </sheetView>
  </sheetViews>
  <sheetFormatPr baseColWidth="10" defaultRowHeight="12.9"/>
  <cols>
    <col min="21" max="22" width="12" bestFit="1" customWidth="1"/>
    <col min="34" max="35" width="11.29296875" bestFit="1" customWidth="1"/>
    <col min="48" max="48" width="11.29296875" bestFit="1" customWidth="1"/>
    <col min="50" max="50" width="27.5859375" customWidth="1"/>
    <col min="51" max="51" width="17.29296875" customWidth="1"/>
    <col min="52" max="52" width="22.1171875" customWidth="1"/>
    <col min="53" max="53" width="23" customWidth="1"/>
    <col min="54" max="54" width="14.703125" customWidth="1"/>
  </cols>
  <sheetData>
    <row r="1" spans="21:58">
      <c r="U1" s="118" t="s">
        <v>848</v>
      </c>
      <c r="V1" s="80" t="s">
        <v>652</v>
      </c>
      <c r="W1" s="80"/>
      <c r="X1" s="80"/>
      <c r="Y1" s="80" t="s">
        <v>533</v>
      </c>
      <c r="Z1" s="80" t="s">
        <v>534</v>
      </c>
      <c r="AA1" s="80" t="s">
        <v>535</v>
      </c>
      <c r="AB1" s="80" t="s">
        <v>536</v>
      </c>
      <c r="AC1" s="80" t="s">
        <v>537</v>
      </c>
      <c r="AD1" s="80" t="s">
        <v>1073</v>
      </c>
      <c r="AE1" s="80" t="s">
        <v>540</v>
      </c>
      <c r="AF1" s="80" t="s">
        <v>1072</v>
      </c>
      <c r="AG1" s="80" t="s">
        <v>541</v>
      </c>
      <c r="AH1" s="80" t="s">
        <v>654</v>
      </c>
      <c r="AI1" s="80" t="s">
        <v>527</v>
      </c>
      <c r="AJ1" s="80" t="s">
        <v>629</v>
      </c>
      <c r="AK1" s="80" t="s">
        <v>646</v>
      </c>
      <c r="AL1" s="80" t="s">
        <v>528</v>
      </c>
      <c r="AM1" s="80" t="s">
        <v>647</v>
      </c>
      <c r="AN1" s="80" t="s">
        <v>526</v>
      </c>
      <c r="AO1" s="80" t="s">
        <v>655</v>
      </c>
      <c r="AP1" s="80" t="s">
        <v>917</v>
      </c>
      <c r="AQ1" s="80" t="s">
        <v>916</v>
      </c>
      <c r="AR1" s="80" t="s">
        <v>656</v>
      </c>
      <c r="AS1" s="80" t="s">
        <v>913</v>
      </c>
      <c r="AT1" s="80" t="s">
        <v>914</v>
      </c>
      <c r="AU1" s="80" t="s">
        <v>915</v>
      </c>
      <c r="AV1" s="80" t="s">
        <v>659</v>
      </c>
      <c r="AW1" s="80" t="s">
        <v>660</v>
      </c>
      <c r="AX1" s="80" t="s">
        <v>918</v>
      </c>
      <c r="AY1" s="80" t="s">
        <v>919</v>
      </c>
      <c r="AZ1" s="80" t="s">
        <v>920</v>
      </c>
      <c r="BA1" s="80" t="s">
        <v>921</v>
      </c>
      <c r="BB1" s="80" t="s">
        <v>649</v>
      </c>
      <c r="BC1" s="80" t="s">
        <v>650</v>
      </c>
      <c r="BD1" s="80" t="s">
        <v>651</v>
      </c>
      <c r="BE1" s="80" t="s">
        <v>1092</v>
      </c>
      <c r="BF1" s="80" t="s">
        <v>1096</v>
      </c>
    </row>
    <row r="2" spans="21:58">
      <c r="V2" t="s">
        <v>533</v>
      </c>
      <c r="W2" t="s">
        <v>519</v>
      </c>
      <c r="X2" t="s">
        <v>57</v>
      </c>
      <c r="Y2" cm="1">
        <f t="array" ref="Y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_xlfn._xlws.FILTER(_xlpm.occZ,(_xlpm.cost="OCC")*_xlpm.capOK*_xlpm.unitOK*(_xlpm.ct="ICF")*(_xlpm.rd="NOAK"))
)</f>
        <v>2100.4187138060079</v>
      </c>
      <c r="Z2" cm="1">
        <f t="array" ref="Z2:Z8">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_xlfn._xlws.FILTER(_xlpm.occZ,(_xlpm.cost="OCC")*_xlpm.capOK*_xlpm.unitOK*(_xlpm.ct="ICF")*(_xlpm.rd="10th-OAK"))
)</f>
        <v>1718.16687248996</v>
      </c>
      <c r="AA2" cm="1">
        <f t="array" ref="AA2:AA19">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_xlfn._xlws.FILTER(_xlpm.occZ,(_xlpm.cost="OCC")*_xlpm.capOK*_xlpm.unitOK*(_xlpm.ct="MCF")*(_xlpm.rd="FOAK"))
)</f>
        <v>12441.316506252808</v>
      </c>
      <c r="AB2" cm="1">
        <f t="array" ref="AB2:AB13">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_xlfn._xlws.FILTER(_xlpm.occZ,(_xlpm.cost="OCC")*_xlpm.capOK*_xlpm.unitOK*(_xlpm.ct="MCF")*(_xlpm.rd="NOAK"))
)</f>
        <v>4759.3274294038556</v>
      </c>
      <c r="AC2" cm="1">
        <f t="array" ref="AC2:AC53">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_xlfn._xlws.FILTER(_xlpm.occZ,(_xlpm.cost="OCC")*_xlpm.capOK*_xlpm.unitOK*(_xlpm.ct="MCF")*(_xlpm.rd="10th-OAK"))
)</f>
        <v>9993.2088245484265</v>
      </c>
      <c r="AD2" cm="1">
        <f t="array" ref="AD2:AD5">_xlfn.LET(
  _xlpm.H, Fusion[#Headers],
  _xlpm.iSpec, _xlfn.XMATCH("*Specific*OCC*2018*with*contingency", _xlpm.H, 2),
  _xlpm.iCap, _xlfn.XMATCH("Capacity *MW*", _xlpm.H, 2),
  _xlpm.iCT, _xlfn.XMATCH("Confinement*", _xlpm.H, 2),
  _xlpm.iRD, _xlfn.XMATCH("Readiness*", _xlpm.H, 2),
  _xlpm.iCost, _xlfn.XMATCH("Cost Type*", _xlpm.H, 2),
  _xlpm.iUnit, IFERROR(_xlfn.XMATCH("Capacity Unit*", _xlpm.H, 2), 0),
  _xlpm.occ, INDEX(Fusion[],, _xlpm.iSpec),
  _xlpm.ct_raw, INDEX(Fusion[],, _xlpm.iCT),
  _xlpm.rd_raw, INDEX(Fusion[],, _xlpm.iRD),
  _xlpm.cost, INDEX(Fusion[],, _xlpm.iCost),
  _xlpm.capMW, INDEX(Fusion[],, _xlpm.iCap),
  _xlpm.unit, IF(_xlpm.iUnit &gt; 0, INDEX(Fusion[],, _xlpm.iUnit), "MW"),
  _xlpm.ct, IFERROR(_xlfn.XLOOKUP(_xlpm.ct_raw, Map_Conf[From], Map_Conf[To], _xlpm.ct_raw), _xlpm.ct_raw),
  _xlpm.advRaw, ISNUMBER(SEARCH("ADVAN", UPPER(_xlpm.rd_raw))),
  _xlpm.highAdvRaw, ISNUMBER(SEARCH("HIGHLY ADVAN", UPPER(_xlpm.rd_raw))),
  _xlpm.rd, IFERROR(TRIM(_xlpm.rd_raw), _xlpm.rd_raw),
  _xlpm.capOK, ISNUMBER(_xlpm.capMW) * (_xlpm.capMW &gt; 0),
  _xlpm.unitOK, IF(_xlpm.iUnit &gt; 0, ISNUMBER(SEARCH("MW", _xlpm.unit)) * NOT(ISNUMBER(SEARCH("FUS", _xlpm.unit))), TRUE),
  _xlpm.occZ, IF(ISNUMBER(_xlpm.occ), _xlpm.occ, NA()),
  _xlfn._xlws.FILTER(
    _xlpm.occZ,
    (_xlpm.cost = "OCC") *
    _xlpm.capOK *
    _xlpm.unitOK *
    (_xlpm.ct = "MCF") *
    ((_xlpm.advRaw + _xlpm.highAdvRaw) &gt; 0)
  )
)</f>
        <v>3164.356504065041</v>
      </c>
      <c r="AE2" cm="1">
        <f t="array" ref="AE2:AE4">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_xlfn._xlws.FILTER(_xlpm.occZ,(_xlpm.cost="OCC")*_xlpm.capOK*_xlpm.unitOK*(_xlpm.ct="MIF")*(_xlpm.rd="10th-OAK"))
)</f>
        <v>4889.4686960519202</v>
      </c>
      <c r="AF2" cm="1">
        <f t="array" ref="AF2:AF3">_xlfn.LET(
  _xlpm.H, Fusion[#Headers],
  _xlpm.iSpec, _xlfn.XMATCH("*Specific*OCC*2018*with*contingency", _xlpm.H, 2),
  _xlpm.iCap, _xlfn.XMATCH("Capacity *MW*", _xlpm.H, 2),
  _xlpm.iCT, _xlfn.XMATCH("Confinement*", _xlpm.H, 2),
  _xlpm.iRD, _xlfn.XMATCH("Readiness*", _xlpm.H, 2),
  _xlpm.iCost, _xlfn.XMATCH("Cost Type*", _xlpm.H, 2),
  _xlpm.iUnit, IFERROR(_xlfn.XMATCH("Capacity Unit*", _xlpm.H, 2), 0),
  _xlpm.occ, INDEX(Fusion[],, _xlpm.iSpec),
  _xlpm.ct_raw, INDEX(Fusion[],, _xlpm.iCT),
  _xlpm.rd_raw, INDEX(Fusion[],, _xlpm.iRD),
  _xlpm.cost, INDEX(Fusion[],, _xlpm.iCost),
  _xlpm.capMW, INDEX(Fusion[],, _xlpm.iCap),
  _xlpm.unit, IF(_xlpm.iUnit &gt; 0, INDEX(Fusion[],, _xlpm.iUnit), "MW"),
  _xlpm.ct, IFERROR(_xlfn.XLOOKUP(_xlpm.ct_raw, Map_Conf[From], Map_Conf[To], _xlpm.ct_raw), _xlpm.ct_raw),
  _xlpm.advRaw, ISNUMBER(SEARCH("ADVAN", UPPER(_xlpm.rd_raw))),
  _xlpm.highAdvRaw, ISNUMBER(SEARCH("HIGHLY ADVAN", UPPER(_xlpm.rd_raw))),
  _xlpm.rd, IFERROR(TRIM(_xlpm.rd_raw), _xlpm.rd_raw),
  _xlpm.capOK, ISNUMBER(_xlpm.capMW) * (_xlpm.capMW &gt; 0),
  _xlpm.unitOK, IF(_xlpm.iUnit &gt; 0, ISNUMBER(SEARCH("MW", _xlpm.unit)) * NOT(ISNUMBER(SEARCH("FUS", _xlpm.unit))), TRUE),
  _xlpm.occZ, IF(ISNUMBER(_xlpm.occ), _xlpm.occ, NA()),
  _xlfn._xlws.FILTER(
    _xlpm.occZ,
    (_xlpm.cost = "OCC") *
    _xlpm.capOK *
    _xlpm.unitOK *
    (_xlpm.ct = "MIF") *
    ((_xlpm.advRaw + _xlpm.highAdvRaw) &gt; 0)
  )
)</f>
        <v>1872.7976918232519</v>
      </c>
      <c r="AG2">
        <f>MATCH(V2,$V$2:$V$9,0)</f>
        <v>1</v>
      </c>
      <c r="AH2" s="26" cm="1">
        <f t="array" aca="1" ref="AH2" ca="1">_xlfn.LET(
  _xlpm.r,OFFSET($Y$2,0,ROW(A1)-1,ROWS($Y$2:$Y$1000),1),
  _xlpm.v,_xlfn._xlws.FILTER(_xlpm.r,ISNUMBER(_xlpm.r)),
  IF(COUNT(_xlpm.v)=0,NA(),_xlfn.PERCENTILE.INC(_xlpm.v,0.975))
)</f>
        <v>2100.4187138060079</v>
      </c>
      <c r="AI2" s="26" cm="1">
        <f t="array" ref="AI2">_xlfn.LET(
  _xlpm.hdr, $Y$1:$AI$1,               _xlpm.k,   _xlfn.XMATCH($V2,_xlpm.hdr,0),
  _xlpm.col, INDEX($Y$2:$AI$1000,,_xlpm.k),
  _xlpm.v,   _xlfn._xlws.FILTER(_xlpm.col,ISNUMBER(_xlpm.col)),
  IF(COUNT(_xlpm.v)=0, NA(), AVERAGE(_xlpm.v))
)</f>
        <v>2100.4187138060079</v>
      </c>
      <c r="AJ2" cm="1">
        <f t="array" aca="1" ref="AJ2" ca="1">_xlfn.LET(
  _xlpm.k,ROW(A1)-1,
  _xlpm.r,OFFSET($Y$2,0,_xlpm.k,ROWS($Y$2:$Y$1000),1),
  _xlpm.v,_xlfn._xlws.FILTER(_xlpm.r,ISNUMBER(_xlpm.r)),
  IF(COUNT(_xlpm.v)=0,NA(),MIN(_xlpm.v))
)</f>
        <v>2100.4187138060079</v>
      </c>
      <c r="AK2" cm="1">
        <f t="array" aca="1" ref="AK2" ca="1">_xlfn.LET(
  _xlpm.k,ROW(A1)-1,
  _xlpm.r,OFFSET($Y$2,0,_xlpm.k,ROWS($Y$2:$Y$1000),1),
  _xlpm.v,_xlfn._xlws.FILTER(_xlpm.r,ISNUMBER(_xlpm.r)),
  IF(COUNT(_xlpm.v)=0,NA(),_xlfn.PERCENTILE.INC(_xlpm.v,0.25))
)</f>
        <v>2100.4187138060079</v>
      </c>
      <c r="AL2" cm="1">
        <f t="array" aca="1" ref="AL2" ca="1">_xlfn.LET(
  _xlpm.k,ROW(A1)-1,
  _xlpm.r,OFFSET($Y$2,0,_xlpm.k,ROWS($Y$2:$Y$1000),1),
  _xlpm.v,_xlfn._xlws.FILTER(_xlpm.r,ISNUMBER(_xlpm.r)),
  IF(COUNT(_xlpm.v)=0,NA(),_xlfn.PERCENTILE.INC(_xlpm.v,0.5))
)</f>
        <v>2100.4187138060079</v>
      </c>
      <c r="AM2" cm="1">
        <f t="array" ref="AM2">_xlfn.LET(
  _xlpm.Data, $Y$2:$AF$1000,
  _xlpm.col,  $AG2,
  _xlpm.vec,  INDEX(_xlpm.Data,,_xlpm.col),
  _xlpm.v,    _xlfn._xlws.FILTER(_xlpm.vec, ISNUMBER(_xlpm.vec)),
  IF(COUNT(_xlpm.v)=0, NA(), _xlfn.PERCENTILE.INC(_xlpm.v, 0.75))
)</f>
        <v>2100.4187138060079</v>
      </c>
      <c r="AN2" cm="1">
        <f t="array" aca="1" ref="AN2" ca="1">_xlfn.LET(
  _xlpm.k,ROW(A1)-1,
  _xlpm.r,OFFSET($Y$2,0,_xlpm.k,ROWS($Y$2:$Y$1000),1),
  _xlpm.v,_xlfn._xlws.FILTER(_xlpm.r,ISNUMBER(_xlpm.r)),
  IF(COUNT(_xlpm.v)=0,NA(),MAX(_xlpm.v))
)</f>
        <v>2100.4187138060079</v>
      </c>
      <c r="AO2" cm="1">
        <f t="array" aca="1" ref="AO2" ca="1">_xlfn.LET(_xlpm.r,OFFSET($Y$2,0,ROW(A1)-1,ROWS($Y$2:$Y$1000),1),
    _xlpm.v,_xlfn._xlws.FILTER(_xlpm.r,ISNUMBER(_xlpm.r)),
    _xlfn.PERCENTILE.INC(_xlpm.v,0.25))</f>
        <v>2100.4187138060079</v>
      </c>
      <c r="AP2" cm="1">
        <f t="array" aca="1" ref="AP2" ca="1">_xlfn.LET(
  _xlpm.k, ROW(A1)-1,
  _xlpm.r, OFFSET($Y$2,0,_xlpm.k,ROWS($Y$2:$Y$1000),1),
  _xlpm.v, _xlfn._xlws.FILTER(_xlpm.r, ISNUMBER(_xlpm.r)),
  IF(COUNT(_xlpm.v)=0, NA(), _xlfn.PERCENTILE.INC(_xlpm.v,0.5)-_xlfn.PERCENTILE.INC(_xlpm.v,0.25))
)</f>
        <v>0</v>
      </c>
      <c r="AQ2" cm="1">
        <f t="array" aca="1" ref="AQ2" ca="1">_xlfn.LET(_xlpm.r,OFFSET($Y$2,0,ROW(A1)-1,ROWS($Y$2:$Y$1000),1),
    _xlpm.v,_xlfn._xlws.FILTER(_xlpm.r,ISNUMBER(_xlpm.r)),
    _xlfn.PERCENTILE.INC(_xlpm.v,0.75)-_xlfn.PERCENTILE.INC(_xlpm.v,0.5))</f>
        <v>0</v>
      </c>
      <c r="AR2" cm="1">
        <f t="array" aca="1" ref="AR2" ca="1">_xlfn.LET(_xlpm.r,OFFSET($Y$2,0,ROW(A1)-1,ROWS($Y$2:$Y$1000),1),
    _xlpm.v,_xlfn._xlws.FILTER(_xlpm.r,ISNUMBER(_xlpm.r)),
    MAX(_xlpm.v)-_xlfn.PERCENTILE.INC(_xlpm.v,0.75))</f>
        <v>0</v>
      </c>
      <c r="AS2">
        <f t="shared" ref="AS2:AS9" ca="1" si="0">AM2-AK2</f>
        <v>0</v>
      </c>
      <c r="AT2">
        <f ca="1" xml:space="preserve"> IF(AND(ISNUMBER(AK2), ISNUMBER(AS2)), AK2 - 1.5*AS2, NA())</f>
        <v>2100.4187138060079</v>
      </c>
      <c r="AU2">
        <f ca="1" xml:space="preserve"> IF(AND(ISNUMBER(AM2), ISNUMBER(AS2)), AM2 + 1.5*AS2, NA())</f>
        <v>2100.4187138060079</v>
      </c>
      <c r="AV2" s="13" cm="1">
        <f t="array" aca="1" ref="AV2" ca="1">_xlfn.LET(
  _xlpm.Data, $Y$2:$AF$1000,
  _xlpm.col,  $AG2,
  _xlpm.vec,  INDEX(_xlpm.Data,,_xlpm.col),
  _xlpm.v,    _xlfn._xlws.FILTER(_xlpm.vec, ISNUMBER(_xlpm.vec)),
  _xlpm.f,    AT2,
  IF(OR(COUNT(_xlpm.v)=0, NOT(ISNUMBER(_xlpm.f))),
      NA(),
      IF(COUNT(_xlfn._xlws.FILTER(_xlpm.v, _xlpm.v&gt;=_xlpm.f))=0, MIN(_xlpm.v), MIN(_xlfn._xlws.FILTER(_xlpm.v, _xlpm.v&gt;=_xlpm.f)))
  )
)</f>
        <v>2100.4187138060079</v>
      </c>
      <c r="AW2" cm="1">
        <f t="array" aca="1" ref="AW2" ca="1">_xlfn.LET(
  _xlpm.Data, $Y$2:$AF$1000,
  _xlpm.col,  $AG2,
  _xlpm.vec,  INDEX(_xlpm.Data,,_xlpm.col),
  _xlpm.v,    _xlfn._xlws.FILTER(_xlpm.vec, ISNUMBER(_xlpm.vec)),
  _xlpm.f,    AU2,
  IF(OR(COUNT(_xlpm.v)=0, NOT(ISNUMBER(_xlpm.f))),
      NA(),
      IF(COUNT(_xlfn._xlws.FILTER(_xlpm.v, _xlpm.v&lt;=_xlpm.f))=0, MAX(_xlpm.v), MAX(_xlfn._xlws.FILTER(_xlpm.v, _xlpm.v&lt;=_xlpm.f)))
  )
)</f>
        <v>2100.4187138060079</v>
      </c>
      <c r="AX2">
        <f t="shared" ref="AX2:AX9" ca="1" si="1">MAX(0, AW2 - AL2)</f>
        <v>0</v>
      </c>
      <c r="AY2">
        <f t="shared" ref="AY2:AY9" ca="1" si="2">MAX(0, AL2 - AV2)</f>
        <v>0</v>
      </c>
      <c r="AZ2">
        <f ca="1">AK2-AV2</f>
        <v>0</v>
      </c>
      <c r="BA2">
        <f ca="1">AW2-AM2</f>
        <v>0</v>
      </c>
      <c r="BB2">
        <f t="shared" ref="BB2:BB9" ca="1" si="3">AK2-AJ2</f>
        <v>0</v>
      </c>
      <c r="BC2">
        <v>0</v>
      </c>
      <c r="BD2">
        <f t="shared" ref="BD2:BD9" ca="1" si="4">AN2-AM2</f>
        <v>0</v>
      </c>
      <c r="BE2" cm="1">
        <f t="array" ref="BE2:BE100">_xlfn.LET(
  _xlpm.rng, $Y$2:$AF$1000,
  _xlpm.v,   _xlfn.TOCOL(_xlpm.rng, 3, 1),
  _xlfn._xlws.FILTER(_xlpm.v, ISNUMBER(_xlpm.v))
)</f>
        <v>2100.4187138060079</v>
      </c>
      <c r="BF2" cm="1">
        <f t="array" ref="BF2:BF100">_xlfn.LET(
  _xlpm.rng,   Y$2:AF$1000,
  _xlpm.idx2D, COLUMN(_xlpm.rng)-MIN(COLUMN(_xlpm.rng))+1,
  _xlpm.mask,  ISNUMBER(_xlpm.rng),
  _xlpm.idx2D_masked, IF(_xlpm.mask, _xlpm.idx2D, NA()),
  _xlpm.v,  _xlfn.TOCOL(_xlpm.rng, 3, 1),
  _xlpm.x,  _xlfn.TOCOL(_xlpm.idx2D_masked, 3, 1),
  _xlfn._xlws.FILTER(_xlpm.x, ISNUMBER(_xlpm.v))
)</f>
        <v>1</v>
      </c>
    </row>
    <row r="3" spans="21:58">
      <c r="V3" t="s">
        <v>534</v>
      </c>
      <c r="W3" t="s">
        <v>519</v>
      </c>
      <c r="X3" t="s">
        <v>52</v>
      </c>
      <c r="Z3">
        <v>2196.6495685713148</v>
      </c>
      <c r="AA3">
        <v>15974.702436322583</v>
      </c>
      <c r="AB3">
        <v>4421.9798661567875</v>
      </c>
      <c r="AC3">
        <v>10528.958851803813</v>
      </c>
      <c r="AD3">
        <v>4301.7749709639957</v>
      </c>
      <c r="AE3">
        <v>10235.799303075883</v>
      </c>
      <c r="AF3">
        <v>2025.5610465989603</v>
      </c>
      <c r="AG3">
        <f t="shared" ref="AG3:AG9" si="5">MATCH(V3,$V$2:$V$9,0)</f>
        <v>2</v>
      </c>
      <c r="AH3" s="26" cm="1">
        <f t="array" aca="1" ref="AH3" ca="1">_xlfn.LET(
  _xlpm.r,OFFSET($Y$2,0,ROW(A2)-1,ROWS($Y$2:$Y$1000),1),
  _xlpm.v,_xlfn._xlws.FILTER(_xlpm.r,ISNUMBER(_xlpm.r)),
  IF(COUNT(_xlpm.v)=0,NA(),_xlfn.PERCENTILE.INC(_xlpm.v,0.975))
)</f>
        <v>8999.3494539797648</v>
      </c>
      <c r="AI3" s="26" cm="1">
        <f t="array" ref="AI3">_xlfn.LET(
  _xlpm.hdr, $Y$1:$AI$1,               _xlpm.k,   _xlfn.XMATCH($V3,_xlpm.hdr,0),
  _xlpm.col, INDEX($Y$2:$AI$1000,,_xlpm.k),
  _xlpm.v,   _xlfn._xlws.FILTER(_xlpm.col,ISNUMBER(_xlpm.col)),
  IF(COUNT(_xlpm.v)=0, NA(), AVERAGE(_xlpm.v))
)</f>
        <v>5147.8143343028369</v>
      </c>
      <c r="AJ3" cm="1">
        <f t="array" aca="1" ref="AJ3" ca="1">_xlfn.LET(
  _xlpm.k,ROW(A2)-1,
  _xlpm.r,OFFSET($Y$2,0,_xlpm.k,ROWS($Y$2:$Y$1000),1),
  _xlpm.v,_xlfn._xlws.FILTER(_xlpm.r,ISNUMBER(_xlpm.r)),
  IF(COUNT(_xlpm.v)=0,NA(),MIN(_xlpm.v))
)</f>
        <v>1718.16687248996</v>
      </c>
      <c r="AK3" cm="1">
        <f t="array" aca="1" ref="AK3" ca="1">_xlfn.LET(
  _xlpm.k,ROW(A2)-1,
  _xlpm.r,OFFSET($Y$2,0,_xlpm.k,ROWS($Y$2:$Y$1000),1),
  _xlpm.v,_xlfn._xlws.FILTER(_xlpm.r,ISNUMBER(_xlpm.r)),
  IF(COUNT(_xlpm.v)=0,NA(),_xlfn.PERCENTILE.INC(_xlpm.v,0.25))
)</f>
        <v>3040.1704299398643</v>
      </c>
      <c r="AL3" cm="1">
        <f t="array" aca="1" ref="AL3" ca="1">_xlfn.LET(
  _xlpm.k,ROW(A2)-1,
  _xlpm.r,OFFSET($Y$2,0,_xlpm.k,ROWS($Y$2:$Y$1000),1),
  _xlpm.v,_xlfn._xlws.FILTER(_xlpm.r,ISNUMBER(_xlpm.r)),
  IF(COUNT(_xlpm.v)=0,NA(),_xlfn.PERCENTILE.INC(_xlpm.v,0.5))
)</f>
        <v>5067.7260542340418</v>
      </c>
      <c r="AM3" cm="1">
        <f t="array" ref="AM3">_xlfn.LET(
  _xlpm.Data, $Y$2:$AF$1000,
  _xlpm.col,  $AG3,
  _xlpm.vec,  INDEX(_xlpm.Data,,_xlpm.col),
  _xlpm.v,    _xlfn._xlws.FILTER(_xlpm.vec, ISNUMBER(_xlpm.vec)),
  IF(COUNT(_xlpm.v)=0, NA(), _xlfn.PERCENTILE.INC(_xlpm.v, 0.75))
)</f>
        <v>7022.737069328874</v>
      </c>
      <c r="AN3" cm="1">
        <f t="array" aca="1" ref="AN3" ca="1">_xlfn.LET(
  _xlpm.k,ROW(A2)-1,
  _xlpm.r,OFFSET($Y$2,0,_xlpm.k,ROWS($Y$2:$Y$1000),1),
  _xlpm.v,_xlfn._xlws.FILTER(_xlpm.r,ISNUMBER(_xlpm.r)),
  IF(COUNT(_xlpm.v)=0,NA(),MAX(_xlpm.v))
)</f>
        <v>9122.992414858385</v>
      </c>
      <c r="AO3" cm="1">
        <f t="array" aca="1" ref="AO3" ca="1">_xlfn.LET(_xlpm.r,OFFSET($Y$2,0,ROW(A2)-1,ROWS($Y$2:$Y$1000),1),
    _xlpm.v,_xlfn._xlws.FILTER(_xlpm.r,ISNUMBER(_xlpm.r)),
    _xlfn.PERCENTILE.INC(_xlpm.v,0.25))</f>
        <v>3040.1704299398643</v>
      </c>
      <c r="AP3" cm="1">
        <f t="array" aca="1" ref="AP3" ca="1">_xlfn.LET(
  _xlpm.k, ROW(A2)-1,
  _xlpm.r, OFFSET($Y$2,0,_xlpm.k,ROWS($Y$2:$Y$1000),1),
  _xlpm.v, _xlfn._xlws.FILTER(_xlpm.r, ISNUMBER(_xlpm.r)),
  IF(COUNT(_xlpm.v)=0, NA(), _xlfn.PERCENTILE.INC(_xlpm.v,0.5)-_xlfn.PERCENTILE.INC(_xlpm.v,0.25))
)</f>
        <v>2027.5556242941775</v>
      </c>
      <c r="AQ3" cm="1">
        <f t="array" aca="1" ref="AQ3" ca="1">_xlfn.LET(_xlpm.r,OFFSET($Y$2,0,ROW(A2)-1,ROWS($Y$2:$Y$1000),1),
    _xlpm.v,_xlfn._xlws.FILTER(_xlpm.r,ISNUMBER(_xlpm.r)),
    _xlfn.PERCENTILE.INC(_xlpm.v,0.75)-_xlfn.PERCENTILE.INC(_xlpm.v,0.5))</f>
        <v>1955.0110150948321</v>
      </c>
      <c r="AR3" cm="1">
        <f t="array" aca="1" ref="AR3" ca="1">_xlfn.LET(_xlpm.r,OFFSET($Y$2,0,ROW(A2)-1,ROWS($Y$2:$Y$1000),1),
    _xlpm.v,_xlfn._xlws.FILTER(_xlpm.r,ISNUMBER(_xlpm.r)),
    MAX(_xlpm.v)-_xlfn.PERCENTILE.INC(_xlpm.v,0.75))</f>
        <v>2100.255345529511</v>
      </c>
      <c r="AS3">
        <f t="shared" ca="1" si="0"/>
        <v>3982.5666393890097</v>
      </c>
      <c r="AT3">
        <f t="shared" ref="AT3:AT9" ca="1" si="6" xml:space="preserve"> IF(AND(ISNUMBER(AK3), ISNUMBER(AS3)), AK3 - 1.5*AS3, NA())</f>
        <v>-2933.6795291436501</v>
      </c>
      <c r="AU3">
        <f t="shared" ref="AU3:AU9" ca="1" si="7" xml:space="preserve"> IF(AND(ISNUMBER(AM3), ISNUMBER(AS3)), AM3 + 1.5*AS3, NA())</f>
        <v>12996.587028412388</v>
      </c>
      <c r="AV3" s="13" cm="1">
        <f t="array" aca="1" ref="AV3" ca="1">_xlfn.LET(
  _xlpm.Data, $Y$2:$AF$1000,
  _xlpm.col,  $AG3,
  _xlpm.vec,  INDEX(_xlpm.Data,,_xlpm.col),
  _xlpm.v,    _xlfn._xlws.FILTER(_xlpm.vec, ISNUMBER(_xlpm.vec)),
  _xlpm.f,    AT3,
  IF(OR(COUNT(_xlpm.v)=0, NOT(ISNUMBER(_xlpm.f))),
      NA(),
      IF(COUNT(_xlfn._xlws.FILTER(_xlpm.v, _xlpm.v&gt;=_xlpm.f))=0, MIN(_xlpm.v), MIN(_xlfn._xlws.FILTER(_xlpm.v, _xlpm.v&gt;=_xlpm.f)))
  )
)</f>
        <v>1718.16687248996</v>
      </c>
      <c r="AW3" cm="1">
        <f t="array" aca="1" ref="AW3" ca="1">_xlfn.LET(
  _xlpm.Data, $Y$2:$AF$1000,
  _xlpm.col,  $AG3,
  _xlpm.vec,  INDEX(_xlpm.Data,,_xlpm.col),
  _xlpm.v,    _xlfn._xlws.FILTER(_xlpm.vec, ISNUMBER(_xlpm.vec)),
  _xlpm.f,    AU3,
  IF(OR(COUNT(_xlpm.v)=0, NOT(ISNUMBER(_xlpm.f))),
      NA(),
      IF(COUNT(_xlfn._xlws.FILTER(_xlpm.v, _xlpm.v&lt;=_xlpm.f))=0, MAX(_xlpm.v), MAX(_xlfn._xlws.FILTER(_xlpm.v, _xlpm.v&lt;=_xlpm.f)))
  )
)</f>
        <v>9122.992414858385</v>
      </c>
      <c r="AX3">
        <f t="shared" ca="1" si="1"/>
        <v>4055.2663606243432</v>
      </c>
      <c r="AY3">
        <f t="shared" ca="1" si="2"/>
        <v>3349.5591817440818</v>
      </c>
      <c r="AZ3">
        <f t="shared" ref="AZ3:AZ9" ca="1" si="8">AK3-AV3</f>
        <v>1322.0035574499043</v>
      </c>
      <c r="BA3">
        <f t="shared" ref="BA3:BA9" ca="1" si="9">AW3-AM3</f>
        <v>2100.255345529511</v>
      </c>
      <c r="BB3">
        <f t="shared" ca="1" si="3"/>
        <v>1322.0035574499043</v>
      </c>
      <c r="BC3">
        <v>0</v>
      </c>
      <c r="BD3">
        <f t="shared" ca="1" si="4"/>
        <v>2100.255345529511</v>
      </c>
      <c r="BE3">
        <v>1718.16687248996</v>
      </c>
      <c r="BF3">
        <v>2</v>
      </c>
    </row>
    <row r="4" spans="21:58">
      <c r="V4" t="s">
        <v>535</v>
      </c>
      <c r="W4" t="s">
        <v>518</v>
      </c>
      <c r="X4" t="s">
        <v>32</v>
      </c>
      <c r="Z4">
        <v>3883.6912913084134</v>
      </c>
      <c r="AA4">
        <v>29131.021988792512</v>
      </c>
      <c r="AB4">
        <v>5882.8595673719446</v>
      </c>
      <c r="AC4">
        <v>5392.8326455299357</v>
      </c>
      <c r="AD4">
        <v>4411.9741663617315</v>
      </c>
      <c r="AE4">
        <v>13426.85768887296</v>
      </c>
      <c r="AG4">
        <f t="shared" si="5"/>
        <v>3</v>
      </c>
      <c r="AH4" s="26" cm="1">
        <f t="array" aca="1" ref="AH4" ca="1">_xlfn.LET(
  _xlpm.r,OFFSET($Y$2,0,ROW(A3)-1,ROWS($Y$2:$Y$1000),1),
  _xlpm.v,_xlfn._xlws.FILTER(_xlpm.r,ISNUMBER(_xlpm.r)),
  IF(COUNT(_xlpm.v)=0,NA(),_xlfn.PERCENTILE.INC(_xlpm.v,0.975))
)</f>
        <v>29120.809725499665</v>
      </c>
      <c r="AI4" s="26" cm="1">
        <f t="array" ref="AI4">_xlfn.LET(
  _xlpm.hdr, $Y$1:$AI$1,               _xlpm.k,   _xlfn.XMATCH($V4,_xlpm.hdr,0),
  _xlpm.col, INDEX($Y$2:$AI$1000,,_xlpm.k),
  _xlpm.v,   _xlfn._xlws.FILTER(_xlpm.col,ISNUMBER(_xlpm.col)),
  IF(COUNT(_xlpm.v)=0, NA(), AVERAGE(_xlpm.v))
)</f>
        <v>12592.491302957611</v>
      </c>
      <c r="AJ4" cm="1">
        <f t="array" aca="1" ref="AJ4" ca="1">_xlfn.LET(
  _xlpm.k,ROW(A3)-1,
  _xlpm.r,OFFSET($Y$2,0,_xlpm.k,ROWS($Y$2:$Y$1000),1),
  _xlpm.v,_xlfn._xlws.FILTER(_xlpm.r,ISNUMBER(_xlpm.r)),
  IF(COUNT(_xlpm.v)=0,NA(),MIN(_xlpm.v))
)</f>
        <v>6113.909565217391</v>
      </c>
      <c r="AK4" cm="1">
        <f t="array" aca="1" ref="AK4" ca="1">_xlfn.LET(
  _xlpm.k,ROW(A3)-1,
  _xlpm.r,OFFSET($Y$2,0,_xlpm.k,ROWS($Y$2:$Y$1000),1),
  _xlpm.v,_xlfn._xlws.FILTER(_xlpm.r,ISNUMBER(_xlpm.r)),
  IF(COUNT(_xlpm.v)=0,NA(),_xlfn.PERCENTILE.INC(_xlpm.v,0.25))
)</f>
        <v>8472.4900087569913</v>
      </c>
      <c r="AL4" cm="1">
        <f t="array" aca="1" ref="AL4" ca="1">_xlfn.LET(
  _xlpm.k,ROW(A3)-1,
  _xlpm.r,OFFSET($Y$2,0,_xlpm.k,ROWS($Y$2:$Y$1000),1),
  _xlpm.v,_xlfn._xlws.FILTER(_xlpm.r,ISNUMBER(_xlpm.r)),
  IF(COUNT(_xlpm.v)=0,NA(),_xlfn.PERCENTILE.INC(_xlpm.v,0.5))
)</f>
        <v>11606.754049520958</v>
      </c>
      <c r="AM4" cm="1">
        <f t="array" ref="AM4">_xlfn.LET(
  _xlpm.Data, $Y$2:$AF$1000,
  _xlpm.col,  $AG4,
  _xlpm.vec,  INDEX(_xlpm.Data,,_xlpm.col),
  _xlpm.v,    _xlfn._xlws.FILTER(_xlpm.vec, ISNUMBER(_xlpm.vec)),
  IF(COUNT(_xlpm.v)=0, NA(), _xlfn.PERCENTILE.INC(_xlpm.v, 0.75))
)</f>
        <v>13334.008402701764</v>
      </c>
      <c r="AN4" cm="1">
        <f t="array" aca="1" ref="AN4" ca="1">_xlfn.LET(
  _xlpm.k,ROW(A3)-1,
  _xlpm.r,OFFSET($Y$2,0,_xlpm.k,ROWS($Y$2:$Y$1000),1),
  _xlpm.v,_xlfn._xlws.FILTER(_xlpm.r,ISNUMBER(_xlpm.r)),
  IF(COUNT(_xlpm.v)=0,NA(),MAX(_xlpm.v))
)</f>
        <v>29131.021988792512</v>
      </c>
      <c r="AO4" cm="1">
        <f t="array" aca="1" ref="AO4" ca="1">_xlfn.LET(_xlpm.r,OFFSET($Y$2,0,ROW(A3)-1,ROWS($Y$2:$Y$1000),1),
    _xlpm.v,_xlfn._xlws.FILTER(_xlpm.r,ISNUMBER(_xlpm.r)),
    _xlfn.PERCENTILE.INC(_xlpm.v,0.25))</f>
        <v>8472.4900087569913</v>
      </c>
      <c r="AP4" cm="1">
        <f t="array" aca="1" ref="AP4" ca="1">_xlfn.LET(
  _xlpm.k, ROW(A3)-1,
  _xlpm.r, OFFSET($Y$2,0,_xlpm.k,ROWS($Y$2:$Y$1000),1),
  _xlpm.v, _xlfn._xlws.FILTER(_xlpm.r, ISNUMBER(_xlpm.r)),
  IF(COUNT(_xlpm.v)=0, NA(), _xlfn.PERCENTILE.INC(_xlpm.v,0.5)-_xlfn.PERCENTILE.INC(_xlpm.v,0.25))
)</f>
        <v>3134.2640407639665</v>
      </c>
      <c r="AQ4" cm="1">
        <f t="array" aca="1" ref="AQ4" ca="1">_xlfn.LET(_xlpm.r,OFFSET($Y$2,0,ROW(A3)-1,ROWS($Y$2:$Y$1000),1),
    _xlpm.v,_xlfn._xlws.FILTER(_xlpm.r,ISNUMBER(_xlpm.r)),
    _xlfn.PERCENTILE.INC(_xlpm.v,0.75)-_xlfn.PERCENTILE.INC(_xlpm.v,0.5))</f>
        <v>1727.254353180806</v>
      </c>
      <c r="AR4" cm="1">
        <f t="array" aca="1" ref="AR4" ca="1">_xlfn.LET(_xlpm.r,OFFSET($Y$2,0,ROW(A3)-1,ROWS($Y$2:$Y$1000),1),
    _xlpm.v,_xlfn._xlws.FILTER(_xlpm.r,ISNUMBER(_xlpm.r)),
    MAX(_xlpm.v)-_xlfn.PERCENTILE.INC(_xlpm.v,0.75))</f>
        <v>15797.013586090749</v>
      </c>
      <c r="AS4">
        <f t="shared" ca="1" si="0"/>
        <v>4861.5183939447725</v>
      </c>
      <c r="AT4">
        <f t="shared" ca="1" si="6"/>
        <v>1180.2124178398326</v>
      </c>
      <c r="AU4">
        <f t="shared" ca="1" si="7"/>
        <v>20626.285993618923</v>
      </c>
      <c r="AV4" s="13" cm="1">
        <f t="array" aca="1" ref="AV4" ca="1">_xlfn.LET(
  _xlpm.Data, $Y$2:$AF$1000,
  _xlpm.col,  $AG4,
  _xlpm.vec,  INDEX(_xlpm.Data,,_xlpm.col),
  _xlpm.v,    _xlfn._xlws.FILTER(_xlpm.vec, ISNUMBER(_xlpm.vec)),
  _xlpm.f,    AT4,
  IF(OR(COUNT(_xlpm.v)=0, NOT(ISNUMBER(_xlpm.f))),
      NA(),
      IF(COUNT(_xlfn._xlws.FILTER(_xlpm.v, _xlpm.v&gt;=_xlpm.f))=0, MIN(_xlpm.v), MIN(_xlfn._xlws.FILTER(_xlpm.v, _xlpm.v&gt;=_xlpm.f)))
  )
)</f>
        <v>6113.909565217391</v>
      </c>
      <c r="AW4" cm="1">
        <f t="array" aca="1" ref="AW4" ca="1">_xlfn.LET(
  _xlpm.Data, $Y$2:$AF$1000,
  _xlpm.col,  $AG4,
  _xlpm.vec,  INDEX(_xlpm.Data,,_xlpm.col),
  _xlpm.v,    _xlfn._xlws.FILTER(_xlpm.vec, ISNUMBER(_xlpm.vec)),
  _xlpm.f,    AU4,
  IF(OR(COUNT(_xlpm.v)=0, NOT(ISNUMBER(_xlpm.f))),
      NA(),
      IF(COUNT(_xlfn._xlws.FILTER(_xlpm.v, _xlpm.v&lt;=_xlpm.f))=0, MAX(_xlpm.v), MAX(_xlfn._xlws.FILTER(_xlpm.v, _xlpm.v&lt;=_xlpm.f)))
  )
)</f>
        <v>15974.702436322583</v>
      </c>
      <c r="AX4">
        <f t="shared" ca="1" si="1"/>
        <v>4367.948386801625</v>
      </c>
      <c r="AY4">
        <f t="shared" ca="1" si="2"/>
        <v>5492.8444843035668</v>
      </c>
      <c r="AZ4">
        <f t="shared" ca="1" si="8"/>
        <v>2358.5804435396003</v>
      </c>
      <c r="BA4">
        <f t="shared" ca="1" si="9"/>
        <v>2640.694033620819</v>
      </c>
      <c r="BB4">
        <f t="shared" ca="1" si="3"/>
        <v>2358.5804435396003</v>
      </c>
      <c r="BC4">
        <v>0</v>
      </c>
      <c r="BD4">
        <f t="shared" ca="1" si="4"/>
        <v>15797.013586090749</v>
      </c>
      <c r="BE4">
        <v>2196.6495685713148</v>
      </c>
      <c r="BF4">
        <v>2</v>
      </c>
    </row>
    <row r="5" spans="21:58">
      <c r="V5" t="s">
        <v>536</v>
      </c>
      <c r="W5" t="s">
        <v>518</v>
      </c>
      <c r="X5" t="s">
        <v>57</v>
      </c>
      <c r="Z5">
        <v>5067.7260542340418</v>
      </c>
      <c r="AA5">
        <v>9477.2166713718052</v>
      </c>
      <c r="AB5">
        <v>6326.4153748480385</v>
      </c>
      <c r="AC5">
        <v>4828.7344554960473</v>
      </c>
      <c r="AD5">
        <v>7004.1127811414517</v>
      </c>
      <c r="AG5">
        <f t="shared" si="5"/>
        <v>4</v>
      </c>
      <c r="AH5" s="26" cm="1">
        <f t="array" aca="1" ref="AH5" ca="1">_xlfn.LET(
  _xlpm.r,OFFSET($Y$2,0,ROW(A4)-1,ROWS($Y$2:$Y$1000),1),
  _xlpm.v,_xlfn._xlws.FILTER(_xlpm.r,ISNUMBER(_xlpm.r)),
  IF(COUNT(_xlpm.v)=0,NA(),_xlfn.PERCENTILE.INC(_xlpm.v,0.975))
)</f>
        <v>14585.684050233567</v>
      </c>
      <c r="AI5" s="26" cm="1">
        <f t="array" ref="AI5">_xlfn.LET(
  _xlpm.hdr, $Y$1:$AI$1,               _xlpm.k,   _xlfn.XMATCH($V5,_xlpm.hdr,0),
  _xlpm.col, INDEX($Y$2:$AI$1000,,_xlpm.k),
  _xlpm.v,   _xlfn._xlws.FILTER(_xlpm.col,ISNUMBER(_xlpm.col)),
  IF(COUNT(_xlpm.v)=0, NA(), AVERAGE(_xlpm.v))
)</f>
        <v>6991.3287714527505</v>
      </c>
      <c r="AJ5" cm="1">
        <f t="array" aca="1" ref="AJ5" ca="1">_xlfn.LET(
  _xlpm.k,ROW(A4)-1,
  _xlpm.r,OFFSET($Y$2,0,_xlpm.k,ROWS($Y$2:$Y$1000),1),
  _xlpm.v,_xlfn._xlws.FILTER(_xlpm.r,ISNUMBER(_xlpm.r)),
  IF(COUNT(_xlpm.v)=0,NA(),MIN(_xlpm.v))
)</f>
        <v>2519.3719612638824</v>
      </c>
      <c r="AK5" cm="1">
        <f t="array" aca="1" ref="AK5" ca="1">_xlfn.LET(
  _xlpm.k,ROW(A4)-1,
  _xlpm.r,OFFSET($Y$2,0,_xlpm.k,ROWS($Y$2:$Y$1000),1),
  _xlpm.v,_xlfn._xlws.FILTER(_xlpm.r,ISNUMBER(_xlpm.r)),
  IF(COUNT(_xlpm.v)=0,NA(),_xlfn.PERCENTILE.INC(_xlpm.v,0.25))
)</f>
        <v>4674.9905385920883</v>
      </c>
      <c r="AL5" cm="1">
        <f t="array" aca="1" ref="AL5" ca="1">_xlfn.LET(
  _xlpm.k,ROW(A4)-1,
  _xlpm.r,OFFSET($Y$2,0,_xlpm.k,ROWS($Y$2:$Y$1000),1),
  _xlpm.v,_xlfn._xlws.FILTER(_xlpm.r,ISNUMBER(_xlpm.r)),
  IF(COUNT(_xlpm.v)=0,NA(),_xlfn.PERCENTILE.INC(_xlpm.v,0.5))
)</f>
        <v>6385.9607871230337</v>
      </c>
      <c r="AM5" cm="1">
        <f t="array" ref="AM5">_xlfn.LET(
  _xlpm.Data, $Y$2:$AF$1000,
  _xlpm.col,  $AG5,
  _xlpm.vec,  INDEX(_xlpm.Data,,_xlpm.col),
  _xlpm.v,    _xlfn._xlws.FILTER(_xlpm.vec, ISNUMBER(_xlpm.vec)),
  IF(COUNT(_xlpm.v)=0, NA(), _xlfn.PERCENTILE.INC(_xlpm.v, 0.75))
)</f>
        <v>7862.2128199500348</v>
      </c>
      <c r="AN5" cm="1">
        <f t="array" aca="1" ref="AN5" ca="1">_xlfn.LET(
  _xlpm.k,ROW(A4)-1,
  _xlpm.r,OFFSET($Y$2,0,_xlpm.k,ROWS($Y$2:$Y$1000),1),
  _xlpm.v,_xlfn._xlws.FILTER(_xlpm.r,ISNUMBER(_xlpm.r)),
  IF(COUNT(_xlpm.v)=0,NA(),MAX(_xlpm.v))
)</f>
        <v>15856.519626291001</v>
      </c>
      <c r="AO5" cm="1">
        <f t="array" aca="1" ref="AO5" ca="1">_xlfn.LET(_xlpm.r,OFFSET($Y$2,0,ROW(A4)-1,ROWS($Y$2:$Y$1000),1),
    _xlpm.v,_xlfn._xlws.FILTER(_xlpm.r,ISNUMBER(_xlpm.r)),
    _xlfn.PERCENTILE.INC(_xlpm.v,0.25))</f>
        <v>4674.9905385920883</v>
      </c>
      <c r="AP5" cm="1">
        <f t="array" aca="1" ref="AP5" ca="1">_xlfn.LET(
  _xlpm.k, ROW(A4)-1,
  _xlpm.r, OFFSET($Y$2,0,_xlpm.k,ROWS($Y$2:$Y$1000),1),
  _xlpm.v, _xlfn._xlws.FILTER(_xlpm.r, ISNUMBER(_xlpm.r)),
  IF(COUNT(_xlpm.v)=0, NA(), _xlfn.PERCENTILE.INC(_xlpm.v,0.5)-_xlfn.PERCENTILE.INC(_xlpm.v,0.25))
)</f>
        <v>1710.9702485309454</v>
      </c>
      <c r="AQ5" cm="1">
        <f t="array" aca="1" ref="AQ5" ca="1">_xlfn.LET(_xlpm.r,OFFSET($Y$2,0,ROW(A4)-1,ROWS($Y$2:$Y$1000),1),
    _xlpm.v,_xlfn._xlws.FILTER(_xlpm.r,ISNUMBER(_xlpm.r)),
    _xlfn.PERCENTILE.INC(_xlpm.v,0.75)-_xlfn.PERCENTILE.INC(_xlpm.v,0.5))</f>
        <v>1476.2520328270011</v>
      </c>
      <c r="AR5" cm="1">
        <f t="array" aca="1" ref="AR5" ca="1">_xlfn.LET(_xlpm.r,OFFSET($Y$2,0,ROW(A4)-1,ROWS($Y$2:$Y$1000),1),
    _xlpm.v,_xlfn._xlws.FILTER(_xlpm.r,ISNUMBER(_xlpm.r)),
    MAX(_xlpm.v)-_xlfn.PERCENTILE.INC(_xlpm.v,0.75))</f>
        <v>7994.3068063409664</v>
      </c>
      <c r="AS5">
        <f t="shared" ca="1" si="0"/>
        <v>3187.2222813579465</v>
      </c>
      <c r="AT5">
        <f t="shared" ca="1" si="6"/>
        <v>-105.84288344483139</v>
      </c>
      <c r="AU5">
        <f t="shared" ca="1" si="7"/>
        <v>12643.046241986955</v>
      </c>
      <c r="AV5" s="13" cm="1">
        <f t="array" aca="1" ref="AV5" ca="1">_xlfn.LET(
  _xlpm.Data, $Y$2:$AF$1000,
  _xlpm.col,  $AG5,
  _xlpm.vec,  INDEX(_xlpm.Data,,_xlpm.col),
  _xlpm.v,    _xlfn._xlws.FILTER(_xlpm.vec, ISNUMBER(_xlpm.vec)),
  _xlpm.f,    AT5,
  IF(OR(COUNT(_xlpm.v)=0, NOT(ISNUMBER(_xlpm.f))),
      NA(),
      IF(COUNT(_xlfn._xlws.FILTER(_xlpm.v, _xlpm.v&gt;=_xlpm.f))=0, MIN(_xlpm.v), MIN(_xlfn._xlws.FILTER(_xlpm.v, _xlpm.v&gt;=_xlpm.f)))
  )
)</f>
        <v>2519.3719612638824</v>
      </c>
      <c r="AW5" cm="1">
        <f t="array" aca="1" ref="AW5" ca="1">_xlfn.LET(
  _xlpm.Data, $Y$2:$AF$1000,
  _xlpm.col,  $AG5,
  _xlpm.vec,  INDEX(_xlpm.Data,,_xlpm.col),
  _xlpm.v,    _xlfn._xlws.FILTER(_xlpm.vec, ISNUMBER(_xlpm.vec)),
  _xlpm.f,    AU5,
  IF(OR(COUNT(_xlpm.v)=0, NOT(ISNUMBER(_xlpm.f))),
      NA(),
      IF(COUNT(_xlfn._xlws.FILTER(_xlpm.v, _xlpm.v&lt;=_xlpm.f))=0, MAX(_xlpm.v), MAX(_xlfn._xlws.FILTER(_xlpm.v, _xlpm.v&lt;=_xlpm.f)))
  )
)</f>
        <v>11235.299349718522</v>
      </c>
      <c r="AX5">
        <f t="shared" ca="1" si="1"/>
        <v>4849.3385625954879</v>
      </c>
      <c r="AY5">
        <f t="shared" ca="1" si="2"/>
        <v>3866.5888258591513</v>
      </c>
      <c r="AZ5">
        <f t="shared" ca="1" si="8"/>
        <v>2155.6185773282059</v>
      </c>
      <c r="BA5">
        <f t="shared" ca="1" si="9"/>
        <v>3373.0865297684868</v>
      </c>
      <c r="BB5">
        <f t="shared" ca="1" si="3"/>
        <v>2155.6185773282059</v>
      </c>
      <c r="BC5">
        <v>0</v>
      </c>
      <c r="BD5">
        <f t="shared" ca="1" si="4"/>
        <v>7994.3068063409664</v>
      </c>
      <c r="BE5">
        <v>3883.6912913084134</v>
      </c>
      <c r="BF5">
        <v>2</v>
      </c>
    </row>
    <row r="6" spans="21:58">
      <c r="V6" t="s">
        <v>537</v>
      </c>
      <c r="W6" t="s">
        <v>518</v>
      </c>
      <c r="X6" t="s">
        <v>52</v>
      </c>
      <c r="Z6">
        <v>9122.992414858385</v>
      </c>
      <c r="AA6">
        <v>7837.9776810335725</v>
      </c>
      <c r="AB6">
        <v>6445.5061993980289</v>
      </c>
      <c r="AC6">
        <v>5459.5439301198676</v>
      </c>
      <c r="AG6">
        <f t="shared" si="5"/>
        <v>5</v>
      </c>
      <c r="AH6" s="26" cm="1">
        <f t="array" aca="1" ref="AH6" ca="1">_xlfn.LET(
  _xlpm.r,OFFSET($Y$2,0,ROW(A5)-1,ROWS($Y$2:$Y$1000),1),
  _xlpm.v,_xlfn._xlws.FILTER(_xlpm.r,ISNUMBER(_xlpm.r)),
  IF(COUNT(_xlpm.v)=0,NA(),_xlfn.PERCENTILE.INC(_xlpm.v,0.975))
)</f>
        <v>11403.316498172044</v>
      </c>
      <c r="AI6" s="26" cm="1">
        <f t="array" ref="AI6">_xlfn.LET(
  _xlpm.hdr, $Y$1:$AI$1,               _xlpm.k,   _xlfn.XMATCH($V6,_xlpm.hdr,0),
  _xlpm.col, INDEX($Y$2:$AI$1000,,_xlpm.k),
  _xlpm.v,   _xlfn._xlws.FILTER(_xlpm.col,ISNUMBER(_xlpm.col)),
  IF(COUNT(_xlpm.v)=0, NA(), AVERAGE(_xlpm.v))
)</f>
        <v>6086.3067926271779</v>
      </c>
      <c r="AJ6" cm="1">
        <f t="array" aca="1" ref="AJ6" ca="1">_xlfn.LET(
  _xlpm.k,ROW(A5)-1,
  _xlpm.r,OFFSET($Y$2,0,_xlpm.k,ROWS($Y$2:$Y$1000),1),
  _xlpm.v,_xlfn._xlws.FILTER(_xlpm.r,ISNUMBER(_xlpm.r)),
  IF(COUNT(_xlpm.v)=0,NA(),MIN(_xlpm.v))
)</f>
        <v>3161.366868917275</v>
      </c>
      <c r="AK6" cm="1">
        <f t="array" aca="1" ref="AK6" ca="1">_xlfn.LET(
  _xlpm.k,ROW(A5)-1,
  _xlpm.r,OFFSET($Y$2,0,_xlpm.k,ROWS($Y$2:$Y$1000),1),
  _xlpm.v,_xlfn._xlws.FILTER(_xlpm.r,ISNUMBER(_xlpm.r)),
  IF(COUNT(_xlpm.v)=0,NA(),_xlfn.PERCENTILE.INC(_xlpm.v,0.25))
)</f>
        <v>4356.3171715074841</v>
      </c>
      <c r="AL6" cm="1">
        <f t="array" aca="1" ref="AL6" ca="1">_xlfn.LET(
  _xlpm.k,ROW(A5)-1,
  _xlpm.r,OFFSET($Y$2,0,_xlpm.k,ROWS($Y$2:$Y$1000),1),
  _xlpm.v,_xlfn._xlws.FILTER(_xlpm.r,ISNUMBER(_xlpm.r)),
  IF(COUNT(_xlpm.v)=0,NA(),_xlfn.PERCENTILE.INC(_xlpm.v,0.5))
)</f>
        <v>5808.7839230662448</v>
      </c>
      <c r="AM6" cm="1">
        <f t="array" ref="AM6">_xlfn.LET(
  _xlpm.Data, $Y$2:$AF$1000,
  _xlpm.col,  $AG6,
  _xlpm.vec,  INDEX(_xlpm.Data,,_xlpm.col),
  _xlpm.v,    _xlfn._xlws.FILTER(_xlpm.vec, ISNUMBER(_xlpm.vec)),
  IF(COUNT(_xlpm.v)=0, NA(), _xlfn.PERCENTILE.INC(_xlpm.v, 0.75))
)</f>
        <v>6817.9053582083579</v>
      </c>
      <c r="AN6" cm="1">
        <f t="array" aca="1" ref="AN6" ca="1">_xlfn.LET(
  _xlpm.k,ROW(A5)-1,
  _xlpm.r,OFFSET($Y$2,0,_xlpm.k,ROWS($Y$2:$Y$1000),1),
  _xlpm.v,_xlfn._xlws.FILTER(_xlpm.r,ISNUMBER(_xlpm.r)),
  IF(COUNT(_xlpm.v)=0,NA(),MAX(_xlpm.v))
)</f>
        <v>13440.489466307758</v>
      </c>
      <c r="AO6" cm="1">
        <f t="array" aca="1" ref="AO6" ca="1">_xlfn.LET(_xlpm.r,OFFSET($Y$2,0,ROW(A5)-1,ROWS($Y$2:$Y$1000),1),
    _xlpm.v,_xlfn._xlws.FILTER(_xlpm.r,ISNUMBER(_xlpm.r)),
    _xlfn.PERCENTILE.INC(_xlpm.v,0.25))</f>
        <v>4356.3171715074841</v>
      </c>
      <c r="AP6" cm="1">
        <f t="array" aca="1" ref="AP6" ca="1">_xlfn.LET(
  _xlpm.k, ROW(A5)-1,
  _xlpm.r, OFFSET($Y$2,0,_xlpm.k,ROWS($Y$2:$Y$1000),1),
  _xlpm.v, _xlfn._xlws.FILTER(_xlpm.r, ISNUMBER(_xlpm.r)),
  IF(COUNT(_xlpm.v)=0, NA(), _xlfn.PERCENTILE.INC(_xlpm.v,0.5)-_xlfn.PERCENTILE.INC(_xlpm.v,0.25))
)</f>
        <v>1452.4667515587607</v>
      </c>
      <c r="AQ6" cm="1">
        <f t="array" aca="1" ref="AQ6" ca="1">_xlfn.LET(_xlpm.r,OFFSET($Y$2,0,ROW(A5)-1,ROWS($Y$2:$Y$1000),1),
    _xlpm.v,_xlfn._xlws.FILTER(_xlpm.r,ISNUMBER(_xlpm.r)),
    _xlfn.PERCENTILE.INC(_xlpm.v,0.75)-_xlfn.PERCENTILE.INC(_xlpm.v,0.5))</f>
        <v>1009.1214351421131</v>
      </c>
      <c r="AR6" cm="1">
        <f t="array" aca="1" ref="AR6" ca="1">_xlfn.LET(_xlpm.r,OFFSET($Y$2,0,ROW(A5)-1,ROWS($Y$2:$Y$1000),1),
    _xlpm.v,_xlfn._xlws.FILTER(_xlpm.r,ISNUMBER(_xlpm.r)),
    MAX(_xlpm.v)-_xlfn.PERCENTILE.INC(_xlpm.v,0.75))</f>
        <v>6622.5841080993996</v>
      </c>
      <c r="AS6">
        <f t="shared" ca="1" si="0"/>
        <v>2461.5881867008738</v>
      </c>
      <c r="AT6">
        <f t="shared" ca="1" si="6"/>
        <v>663.93489145617332</v>
      </c>
      <c r="AU6">
        <f t="shared" ca="1" si="7"/>
        <v>10510.28763825967</v>
      </c>
      <c r="AV6" s="13" cm="1">
        <f t="array" aca="1" ref="AV6" ca="1">_xlfn.LET(
  _xlpm.Data, $Y$2:$AF$1000,
  _xlpm.col,  $AG6,
  _xlpm.vec,  INDEX(_xlpm.Data,,_xlpm.col),
  _xlpm.v,    _xlfn._xlws.FILTER(_xlpm.vec, ISNUMBER(_xlpm.vec)),
  _xlpm.f,    AT6,
  IF(OR(COUNT(_xlpm.v)=0, NOT(ISNUMBER(_xlpm.f))),
      NA(),
      IF(COUNT(_xlfn._xlws.FILTER(_xlpm.v, _xlpm.v&gt;=_xlpm.f))=0, MIN(_xlpm.v), MIN(_xlfn._xlws.FILTER(_xlpm.v, _xlpm.v&gt;=_xlpm.f)))
  )
)</f>
        <v>3161.366868917275</v>
      </c>
      <c r="AW6" cm="1">
        <f t="array" aca="1" ref="AW6" ca="1">_xlfn.LET(
  _xlpm.Data, $Y$2:$AF$1000,
  _xlpm.col,  $AG6,
  _xlpm.vec,  INDEX(_xlpm.Data,,_xlpm.col),
  _xlpm.v,    _xlfn._xlws.FILTER(_xlpm.vec, ISNUMBER(_xlpm.vec)),
  _xlpm.f,    AU6,
  IF(OR(COUNT(_xlpm.v)=0, NOT(ISNUMBER(_xlpm.f))),
      NA(),
      IF(COUNT(_xlfn._xlws.FILTER(_xlpm.v, _xlpm.v&lt;=_xlpm.f))=0, MAX(_xlpm.v), MAX(_xlfn._xlws.FILTER(_xlpm.v, _xlpm.v&lt;=_xlpm.f)))
  )
)</f>
        <v>9993.2088245484265</v>
      </c>
      <c r="AX6">
        <f t="shared" ca="1" si="1"/>
        <v>4184.4249014821817</v>
      </c>
      <c r="AY6">
        <f t="shared" ca="1" si="2"/>
        <v>2647.4170541489698</v>
      </c>
      <c r="AZ6">
        <f t="shared" ca="1" si="8"/>
        <v>1194.950302590209</v>
      </c>
      <c r="BA6">
        <f t="shared" ca="1" si="9"/>
        <v>3175.3034663400686</v>
      </c>
      <c r="BB6">
        <f t="shared" ca="1" si="3"/>
        <v>1194.950302590209</v>
      </c>
      <c r="BC6">
        <v>0</v>
      </c>
      <c r="BD6">
        <f t="shared" ca="1" si="4"/>
        <v>6622.5841080993996</v>
      </c>
      <c r="BE6">
        <v>5067.7260542340418</v>
      </c>
      <c r="BF6">
        <v>2</v>
      </c>
    </row>
    <row r="7" spans="21:58" ht="25.8">
      <c r="V7" t="s">
        <v>1073</v>
      </c>
      <c r="W7" t="s">
        <v>518</v>
      </c>
      <c r="X7" s="13" t="s">
        <v>1093</v>
      </c>
      <c r="Z7">
        <v>5746.7681296568235</v>
      </c>
      <c r="AA7">
        <v>10125.764141478647</v>
      </c>
      <c r="AB7">
        <v>6730.1311012027963</v>
      </c>
      <c r="AC7">
        <v>7569.7136954858461</v>
      </c>
      <c r="AG7">
        <f t="shared" si="5"/>
        <v>6</v>
      </c>
      <c r="AH7" s="26" cm="1">
        <f t="array" aca="1" ref="AH7" ca="1">_xlfn.LET(
  _xlpm.r,OFFSET($Y$2,0,ROW(A6)-1,ROWS($Y$2:$Y$1000),1),
  _xlpm.v,_xlfn._xlws.FILTER(_xlpm.r,ISNUMBER(_xlpm.r)),
  IF(COUNT(_xlpm.v)=0,NA(),_xlfn.PERCENTILE.INC(_xlpm.v,0.975))
)</f>
        <v>6809.7023850329724</v>
      </c>
      <c r="AI7" s="26" cm="1">
        <f t="array" ref="AI7">_xlfn.LET(
  _xlpm.hdr, $Y$1:$AI$1,               _xlpm.k,   _xlfn.XMATCH($V7,_xlpm.hdr,0),
  _xlpm.col, INDEX($Y$2:$AI$1000,,_xlpm.k),
  _xlpm.v,   _xlfn._xlws.FILTER(_xlpm.col,ISNUMBER(_xlpm.col)),
  IF(COUNT(_xlpm.v)=0, NA(), AVERAGE(_xlpm.v))
)</f>
        <v>4720.554605633055</v>
      </c>
      <c r="AJ7" cm="1">
        <f t="array" aca="1" ref="AJ7" ca="1">_xlfn.LET(
  _xlpm.k,ROW(A6)-1,
  _xlpm.r,OFFSET($Y$2,0,_xlpm.k,ROWS($Y$2:$Y$1000),1),
  _xlpm.v,_xlfn._xlws.FILTER(_xlpm.r,ISNUMBER(_xlpm.r)),
  IF(COUNT(_xlpm.v)=0,NA(),MIN(_xlpm.v))
)</f>
        <v>3164.356504065041</v>
      </c>
      <c r="AK7" cm="1">
        <f t="array" aca="1" ref="AK7" ca="1">_xlfn.LET(
  _xlpm.k,ROW(A6)-1,
  _xlpm.r,OFFSET($Y$2,0,_xlpm.k,ROWS($Y$2:$Y$1000),1),
  _xlpm.v,_xlfn._xlws.FILTER(_xlpm.r,ISNUMBER(_xlpm.r)),
  IF(COUNT(_xlpm.v)=0,NA(),_xlfn.PERCENTILE.INC(_xlpm.v,0.25))
)</f>
        <v>4017.420354239257</v>
      </c>
      <c r="AL7" cm="1">
        <f t="array" aca="1" ref="AL7" ca="1">_xlfn.LET(
  _xlpm.k,ROW(A6)-1,
  _xlpm.r,OFFSET($Y$2,0,_xlpm.k,ROWS($Y$2:$Y$1000),1),
  _xlpm.v,_xlfn._xlws.FILTER(_xlpm.r,ISNUMBER(_xlpm.r)),
  IF(COUNT(_xlpm.v)=0,NA(),_xlfn.PERCENTILE.INC(_xlpm.v,0.5))
)</f>
        <v>4356.8745686628636</v>
      </c>
      <c r="AM7" cm="1">
        <f t="array" ref="AM7">_xlfn.LET(
  _xlpm.Data, $Y$2:$AF$1000,
  _xlpm.col,  $AG7,
  _xlpm.vec,  INDEX(_xlpm.Data,,_xlpm.col),
  _xlpm.v,    _xlfn._xlws.FILTER(_xlpm.vec, ISNUMBER(_xlpm.vec)),
  IF(COUNT(_xlpm.v)=0, NA(), _xlfn.PERCENTILE.INC(_xlpm.v, 0.75))
)</f>
        <v>5060.0088200566615</v>
      </c>
      <c r="AN7" cm="1">
        <f t="array" aca="1" ref="AN7" ca="1">_xlfn.LET(
  _xlpm.k,ROW(A6)-1,
  _xlpm.r,OFFSET($Y$2,0,_xlpm.k,ROWS($Y$2:$Y$1000),1),
  _xlpm.v,_xlfn._xlws.FILTER(_xlpm.r,ISNUMBER(_xlpm.r)),
  IF(COUNT(_xlpm.v)=0,NA(),MAX(_xlpm.v))
)</f>
        <v>7004.1127811414517</v>
      </c>
      <c r="AO7" cm="1">
        <f t="array" aca="1" ref="AO7" ca="1">_xlfn.LET(_xlpm.r,OFFSET($Y$2,0,ROW(A6)-1,ROWS($Y$2:$Y$1000),1),
    _xlpm.v,_xlfn._xlws.FILTER(_xlpm.r,ISNUMBER(_xlpm.r)),
    _xlfn.PERCENTILE.INC(_xlpm.v,0.25))</f>
        <v>4017.420354239257</v>
      </c>
      <c r="AP7" cm="1">
        <f t="array" aca="1" ref="AP7" ca="1">_xlfn.LET(
  _xlpm.k, ROW(A6)-1,
  _xlpm.r, OFFSET($Y$2,0,_xlpm.k,ROWS($Y$2:$Y$1000),1),
  _xlpm.v, _xlfn._xlws.FILTER(_xlpm.r, ISNUMBER(_xlpm.r)),
  IF(COUNT(_xlpm.v)=0, NA(), _xlfn.PERCENTILE.INC(_xlpm.v,0.5)-_xlfn.PERCENTILE.INC(_xlpm.v,0.25))
)</f>
        <v>339.45421442360657</v>
      </c>
      <c r="AQ7" cm="1">
        <f t="array" aca="1" ref="AQ7" ca="1">_xlfn.LET(_xlpm.r,OFFSET($Y$2,0,ROW(A6)-1,ROWS($Y$2:$Y$1000),1),
    _xlpm.v,_xlfn._xlws.FILTER(_xlpm.r,ISNUMBER(_xlpm.r)),
    _xlfn.PERCENTILE.INC(_xlpm.v,0.75)-_xlfn.PERCENTILE.INC(_xlpm.v,0.5))</f>
        <v>703.13425139379797</v>
      </c>
      <c r="AR7" cm="1">
        <f t="array" aca="1" ref="AR7" ca="1">_xlfn.LET(_xlpm.r,OFFSET($Y$2,0,ROW(A6)-1,ROWS($Y$2:$Y$1000),1),
    _xlpm.v,_xlfn._xlws.FILTER(_xlpm.r,ISNUMBER(_xlpm.r)),
    MAX(_xlpm.v)-_xlfn.PERCENTILE.INC(_xlpm.v,0.75))</f>
        <v>1944.1039610847902</v>
      </c>
      <c r="AS7">
        <f t="shared" ca="1" si="0"/>
        <v>1042.5884658174045</v>
      </c>
      <c r="AT7">
        <f t="shared" ca="1" si="6"/>
        <v>2453.5376555131502</v>
      </c>
      <c r="AU7">
        <f t="shared" ca="1" si="7"/>
        <v>6623.8915187827679</v>
      </c>
      <c r="AV7" s="13" cm="1">
        <f t="array" aca="1" ref="AV7" ca="1">_xlfn.LET(
  _xlpm.Data, $Y$2:$AF$1000,
  _xlpm.col,  $AG7,
  _xlpm.vec,  INDEX(_xlpm.Data,,_xlpm.col),
  _xlpm.v,    _xlfn._xlws.FILTER(_xlpm.vec, ISNUMBER(_xlpm.vec)),
  _xlpm.f,    AT7,
  IF(OR(COUNT(_xlpm.v)=0, NOT(ISNUMBER(_xlpm.f))),
      NA(),
      IF(COUNT(_xlfn._xlws.FILTER(_xlpm.v, _xlpm.v&gt;=_xlpm.f))=0, MIN(_xlpm.v), MIN(_xlfn._xlws.FILTER(_xlpm.v, _xlpm.v&gt;=_xlpm.f)))
  )
)</f>
        <v>3164.356504065041</v>
      </c>
      <c r="AW7" cm="1">
        <f t="array" aca="1" ref="AW7" ca="1">_xlfn.LET(
  _xlpm.Data, $Y$2:$AF$1000,
  _xlpm.col,  $AG7,
  _xlpm.vec,  INDEX(_xlpm.Data,,_xlpm.col),
  _xlpm.v,    _xlfn._xlws.FILTER(_xlpm.vec, ISNUMBER(_xlpm.vec)),
  _xlpm.f,    AU7,
  IF(OR(COUNT(_xlpm.v)=0, NOT(ISNUMBER(_xlpm.f))),
      NA(),
      IF(COUNT(_xlfn._xlws.FILTER(_xlpm.v, _xlpm.v&lt;=_xlpm.f))=0, MAX(_xlpm.v), MAX(_xlfn._xlws.FILTER(_xlpm.v, _xlpm.v&lt;=_xlpm.f)))
  )
)</f>
        <v>4411.9741663617315</v>
      </c>
      <c r="AX7">
        <f t="shared" ca="1" si="1"/>
        <v>55.09959769886791</v>
      </c>
      <c r="AY7">
        <f t="shared" ca="1" si="2"/>
        <v>1192.5180645978226</v>
      </c>
      <c r="AZ7">
        <f t="shared" ca="1" si="8"/>
        <v>853.06385017421599</v>
      </c>
      <c r="BA7">
        <f t="shared" ca="1" si="9"/>
        <v>-648.03465369493006</v>
      </c>
      <c r="BB7">
        <f t="shared" ca="1" si="3"/>
        <v>853.06385017421599</v>
      </c>
      <c r="BC7">
        <v>0</v>
      </c>
      <c r="BD7">
        <f t="shared" ca="1" si="4"/>
        <v>1944.1039610847902</v>
      </c>
      <c r="BE7">
        <v>9122.992414858385</v>
      </c>
      <c r="BF7">
        <v>2</v>
      </c>
    </row>
    <row r="8" spans="21:58">
      <c r="V8" t="s">
        <v>540</v>
      </c>
      <c r="W8" t="s">
        <v>520</v>
      </c>
      <c r="X8" t="s">
        <v>52</v>
      </c>
      <c r="Z8">
        <v>8298.7060090009236</v>
      </c>
      <c r="AA8">
        <v>13453.438306200078</v>
      </c>
      <c r="AB8">
        <v>8940.4134892889124</v>
      </c>
      <c r="AC8">
        <v>3161.366868917275</v>
      </c>
      <c r="AG8">
        <f t="shared" si="5"/>
        <v>7</v>
      </c>
      <c r="AH8" s="26" cm="1">
        <f t="array" aca="1" ref="AH8" ca="1">_xlfn.LET(
  _xlpm.r,OFFSET($Y$2,0,ROW(A7)-1,ROWS($Y$2:$Y$1000),1),
  _xlpm.v,_xlfn._xlws.FILTER(_xlpm.r,ISNUMBER(_xlpm.r)),
  IF(COUNT(_xlpm.v)=0,NA(),_xlfn.PERCENTILE.INC(_xlpm.v,0.975))
)</f>
        <v>13267.304769583106</v>
      </c>
      <c r="AI8" s="26" cm="1">
        <f t="array" ref="AI8">_xlfn.LET(
  _xlpm.hdr, $Y$1:$AI$1,               _xlpm.k,   _xlfn.XMATCH($V8,_xlpm.hdr,0),
  _xlpm.col, INDEX($Y$2:$AI$1000,,_xlpm.k),
  _xlpm.v,   _xlfn._xlws.FILTER(_xlpm.col,ISNUMBER(_xlpm.col)),
  IF(COUNT(_xlpm.v)=0, NA(), AVERAGE(_xlpm.v))
)</f>
        <v>9517.3752293335874</v>
      </c>
      <c r="AJ8" cm="1">
        <f t="array" aca="1" ref="AJ8" ca="1">_xlfn.LET(
  _xlpm.k,ROW(A7)-1,
  _xlpm.r,OFFSET($Y$2,0,_xlpm.k,ROWS($Y$2:$Y$1000),1),
  _xlpm.v,_xlfn._xlws.FILTER(_xlpm.r,ISNUMBER(_xlpm.r)),
  IF(COUNT(_xlpm.v)=0,NA(),MIN(_xlpm.v))
)</f>
        <v>4889.4686960519202</v>
      </c>
      <c r="AK8" cm="1">
        <f t="array" aca="1" ref="AK8" ca="1">_xlfn.LET(
  _xlpm.k,ROW(A7)-1,
  _xlpm.r,OFFSET($Y$2,0,_xlpm.k,ROWS($Y$2:$Y$1000),1),
  _xlpm.v,_xlfn._xlws.FILTER(_xlpm.r,ISNUMBER(_xlpm.r)),
  IF(COUNT(_xlpm.v)=0,NA(),_xlfn.PERCENTILE.INC(_xlpm.v,0.25))
)</f>
        <v>7562.6339995639009</v>
      </c>
      <c r="AL8" cm="1">
        <f t="array" aca="1" ref="AL8" ca="1">_xlfn.LET(
  _xlpm.k,ROW(A7)-1,
  _xlpm.r,OFFSET($Y$2,0,_xlpm.k,ROWS($Y$2:$Y$1000),1),
  _xlpm.v,_xlfn._xlws.FILTER(_xlpm.r,ISNUMBER(_xlpm.r)),
  IF(COUNT(_xlpm.v)=0,NA(),_xlfn.PERCENTILE.INC(_xlpm.v,0.5))
)</f>
        <v>10235.799303075883</v>
      </c>
      <c r="AM8" cm="1">
        <f t="array" ref="AM8">_xlfn.LET(
  _xlpm.Data, $Y$2:$AF$1000,
  _xlpm.col,  $AG8,
  _xlpm.vec,  INDEX(_xlpm.Data,,_xlpm.col),
  _xlpm.v,    _xlfn._xlws.FILTER(_xlpm.vec, ISNUMBER(_xlpm.vec)),
  IF(COUNT(_xlpm.v)=0, NA(), _xlfn.PERCENTILE.INC(_xlpm.v, 0.75))
)</f>
        <v>11831.328495974421</v>
      </c>
      <c r="AN8" cm="1">
        <f t="array" aca="1" ref="AN8" ca="1">_xlfn.LET(
  _xlpm.k,ROW(A7)-1,
  _xlpm.r,OFFSET($Y$2,0,_xlpm.k,ROWS($Y$2:$Y$1000),1),
  _xlpm.v,_xlfn._xlws.FILTER(_xlpm.r,ISNUMBER(_xlpm.r)),
  IF(COUNT(_xlpm.v)=0,NA(),MAX(_xlpm.v))
)</f>
        <v>13426.85768887296</v>
      </c>
      <c r="AO8" cm="1">
        <f t="array" aca="1" ref="AO8" ca="1">_xlfn.LET(_xlpm.r,OFFSET($Y$2,0,ROW(A7)-1,ROWS($Y$2:$Y$1000),1),
    _xlpm.v,_xlfn._xlws.FILTER(_xlpm.r,ISNUMBER(_xlpm.r)),
    _xlfn.PERCENTILE.INC(_xlpm.v,0.25))</f>
        <v>7562.6339995639009</v>
      </c>
      <c r="AP8" cm="1">
        <f t="array" aca="1" ref="AP8" ca="1">_xlfn.LET(
  _xlpm.k, ROW(A7)-1,
  _xlpm.r, OFFSET($Y$2,0,_xlpm.k,ROWS($Y$2:$Y$1000),1),
  _xlpm.v, _xlfn._xlws.FILTER(_xlpm.r, ISNUMBER(_xlpm.r)),
  IF(COUNT(_xlpm.v)=0, NA(), _xlfn.PERCENTILE.INC(_xlpm.v,0.5)-_xlfn.PERCENTILE.INC(_xlpm.v,0.25))
)</f>
        <v>2673.1653035119816</v>
      </c>
      <c r="AQ8" cm="1">
        <f t="array" aca="1" ref="AQ8" ca="1">_xlfn.LET(_xlpm.r,OFFSET($Y$2,0,ROW(A7)-1,ROWS($Y$2:$Y$1000),1),
    _xlpm.v,_xlfn._xlws.FILTER(_xlpm.r,ISNUMBER(_xlpm.r)),
    _xlfn.PERCENTILE.INC(_xlpm.v,0.75)-_xlfn.PERCENTILE.INC(_xlpm.v,0.5))</f>
        <v>1595.5291928985389</v>
      </c>
      <c r="AR8" cm="1">
        <f t="array" aca="1" ref="AR8" ca="1">_xlfn.LET(_xlpm.r,OFFSET($Y$2,0,ROW(A7)-1,ROWS($Y$2:$Y$1000),1),
    _xlpm.v,_xlfn._xlws.FILTER(_xlpm.r,ISNUMBER(_xlpm.r)),
    MAX(_xlpm.v)-_xlfn.PERCENTILE.INC(_xlpm.v,0.75))</f>
        <v>1595.5291928985389</v>
      </c>
      <c r="AS8">
        <f t="shared" ca="1" si="0"/>
        <v>4268.6944964105205</v>
      </c>
      <c r="AT8">
        <f t="shared" ca="1" si="6"/>
        <v>1159.5922549481202</v>
      </c>
      <c r="AU8">
        <f t="shared" ca="1" si="7"/>
        <v>18234.3702405902</v>
      </c>
      <c r="AV8" s="13" cm="1">
        <f t="array" aca="1" ref="AV8" ca="1">_xlfn.LET(
  _xlpm.Data, $Y$2:$AF$1000,
  _xlpm.col,  $AG8,
  _xlpm.vec,  INDEX(_xlpm.Data,,_xlpm.col),
  _xlpm.v,    _xlfn._xlws.FILTER(_xlpm.vec, ISNUMBER(_xlpm.vec)),
  _xlpm.f,    AT8,
  IF(OR(COUNT(_xlpm.v)=0, NOT(ISNUMBER(_xlpm.f))),
      NA(),
      IF(COUNT(_xlfn._xlws.FILTER(_xlpm.v, _xlpm.v&gt;=_xlpm.f))=0, MIN(_xlpm.v), MIN(_xlfn._xlws.FILTER(_xlpm.v, _xlpm.v&gt;=_xlpm.f)))
  )
)</f>
        <v>4889.4686960519202</v>
      </c>
      <c r="AW8" cm="1">
        <f t="array" aca="1" ref="AW8" ca="1">_xlfn.LET(
  _xlpm.Data, $Y$2:$AF$1000,
  _xlpm.col,  $AG8,
  _xlpm.vec,  INDEX(_xlpm.Data,,_xlpm.col),
  _xlpm.v,    _xlfn._xlws.FILTER(_xlpm.vec, ISNUMBER(_xlpm.vec)),
  _xlpm.f,    AU8,
  IF(OR(COUNT(_xlpm.v)=0, NOT(ISNUMBER(_xlpm.f))),
      NA(),
      IF(COUNT(_xlfn._xlws.FILTER(_xlpm.v, _xlpm.v&lt;=_xlpm.f))=0, MAX(_xlpm.v), MAX(_xlfn._xlws.FILTER(_xlpm.v, _xlpm.v&lt;=_xlpm.f)))
  )
)</f>
        <v>13426.85768887296</v>
      </c>
      <c r="AX8">
        <f t="shared" ca="1" si="1"/>
        <v>3191.0583857970778</v>
      </c>
      <c r="AY8">
        <f t="shared" ca="1" si="2"/>
        <v>5346.3306070239623</v>
      </c>
      <c r="AZ8">
        <f t="shared" ca="1" si="8"/>
        <v>2673.1653035119807</v>
      </c>
      <c r="BA8">
        <f t="shared" ca="1" si="9"/>
        <v>1595.5291928985389</v>
      </c>
      <c r="BB8">
        <f t="shared" ca="1" si="3"/>
        <v>2673.1653035119807</v>
      </c>
      <c r="BC8">
        <v>0</v>
      </c>
      <c r="BD8">
        <f t="shared" ca="1" si="4"/>
        <v>1595.5291928985389</v>
      </c>
      <c r="BE8">
        <v>5746.7681296568235</v>
      </c>
      <c r="BF8">
        <v>2</v>
      </c>
    </row>
    <row r="9" spans="21:58" ht="25.8">
      <c r="V9" t="s">
        <v>1072</v>
      </c>
      <c r="W9" t="s">
        <v>520</v>
      </c>
      <c r="X9" s="13" t="s">
        <v>1093</v>
      </c>
      <c r="AA9">
        <v>13540.787173624165</v>
      </c>
      <c r="AB9">
        <v>7502.812596837075</v>
      </c>
      <c r="AC9">
        <v>3438.9745164233582</v>
      </c>
      <c r="AG9">
        <f t="shared" si="5"/>
        <v>8</v>
      </c>
      <c r="AH9" s="26" cm="1">
        <f t="array" aca="1" ref="AH9" ca="1">_xlfn.LET(
  _xlpm.r,OFFSET($Y$2,0,ROW(A8)-1,ROWS($Y$2:$Y$1000),1),
  _xlpm.v,_xlfn._xlws.FILTER(_xlpm.r,ISNUMBER(_xlpm.r)),
  IF(COUNT(_xlpm.v)=0,NA(),_xlfn.PERCENTILE.INC(_xlpm.v,0.975))
)</f>
        <v>2021.7419627295676</v>
      </c>
      <c r="AI9" s="26" cm="1">
        <f t="array" ref="AI9">_xlfn.LET(
  _xlpm.hdr, $Y$1:$AI$1,               _xlpm.k,   _xlfn.XMATCH($V9,_xlpm.hdr,0),
  _xlpm.col, INDEX($Y$2:$AI$1000,,_xlpm.k),
  _xlpm.v,   _xlfn._xlws.FILTER(_xlpm.col,ISNUMBER(_xlpm.col)),
  IF(COUNT(_xlpm.v)=0, NA(), AVERAGE(_xlpm.v))
)</f>
        <v>1949.1793692111059</v>
      </c>
      <c r="AJ9" cm="1">
        <f t="array" aca="1" ref="AJ9" ca="1">_xlfn.LET(
  _xlpm.k,ROW(A8)-1,
  _xlpm.r,OFFSET($Y$2,0,_xlpm.k,ROWS($Y$2:$Y$1000),1),
  _xlpm.v,_xlfn._xlws.FILTER(_xlpm.r,ISNUMBER(_xlpm.r)),
  IF(COUNT(_xlpm.v)=0,NA(),MIN(_xlpm.v))
)</f>
        <v>1872.7976918232519</v>
      </c>
      <c r="AK9" cm="1">
        <f t="array" aca="1" ref="AK9" ca="1">_xlfn.LET(
  _xlpm.k,ROW(A8)-1,
  _xlpm.r,OFFSET($Y$2,0,_xlpm.k,ROWS($Y$2:$Y$1000),1),
  _xlpm.v,_xlfn._xlws.FILTER(_xlpm.r,ISNUMBER(_xlpm.r)),
  IF(COUNT(_xlpm.v)=0,NA(),_xlfn.PERCENTILE.INC(_xlpm.v,0.25))
)</f>
        <v>1910.988530517179</v>
      </c>
      <c r="AL9" cm="1">
        <f t="array" aca="1" ref="AL9" ca="1">_xlfn.LET(
  _xlpm.k,ROW(A8)-1,
  _xlpm.r,OFFSET($Y$2,0,_xlpm.k,ROWS($Y$2:$Y$1000),1),
  _xlpm.v,_xlfn._xlws.FILTER(_xlpm.r,ISNUMBER(_xlpm.r)),
  IF(COUNT(_xlpm.v)=0,NA(),_xlfn.PERCENTILE.INC(_xlpm.v,0.5))
)</f>
        <v>1949.1793692111059</v>
      </c>
      <c r="AM9" cm="1">
        <f t="array" ref="AM9">_xlfn.LET(
  _xlpm.Data, $Y$2:$AF$1000,
  _xlpm.col,  $AG9,
  _xlpm.vec,  INDEX(_xlpm.Data,,_xlpm.col),
  _xlpm.v,    _xlfn._xlws.FILTER(_xlpm.vec, ISNUMBER(_xlpm.vec)),
  IF(COUNT(_xlpm.v)=0, NA(), _xlfn.PERCENTILE.INC(_xlpm.v, 0.75))
)</f>
        <v>1987.3702079050331</v>
      </c>
      <c r="AN9" cm="1">
        <f t="array" aca="1" ref="AN9" ca="1">_xlfn.LET(
  _xlpm.k,ROW(A8)-1,
  _xlpm.r,OFFSET($Y$2,0,_xlpm.k,ROWS($Y$2:$Y$1000),1),
  _xlpm.v,_xlfn._xlws.FILTER(_xlpm.r,ISNUMBER(_xlpm.r)),
  IF(COUNT(_xlpm.v)=0,NA(),MAX(_xlpm.v))
)</f>
        <v>2025.5610465989603</v>
      </c>
      <c r="AO9" cm="1">
        <f t="array" aca="1" ref="AO9" ca="1">_xlfn.LET(_xlpm.r,OFFSET($Y$2,0,ROW(A8)-1,ROWS($Y$2:$Y$1000),1),
    _xlpm.v,_xlfn._xlws.FILTER(_xlpm.r,ISNUMBER(_xlpm.r)),
    _xlfn.PERCENTILE.INC(_xlpm.v,0.25))</f>
        <v>1910.988530517179</v>
      </c>
      <c r="AP9" cm="1">
        <f t="array" aca="1" ref="AP9" ca="1">_xlfn.LET(
  _xlpm.k, ROW(A8)-1,
  _xlpm.r, OFFSET($Y$2,0,_xlpm.k,ROWS($Y$2:$Y$1000),1),
  _xlpm.v, _xlfn._xlws.FILTER(_xlpm.r, ISNUMBER(_xlpm.r)),
  IF(COUNT(_xlpm.v)=0, NA(), _xlfn.PERCENTILE.INC(_xlpm.v,0.5)-_xlfn.PERCENTILE.INC(_xlpm.v,0.25))
)</f>
        <v>38.190838693926935</v>
      </c>
      <c r="AQ9" cm="1">
        <f t="array" aca="1" ref="AQ9" ca="1">_xlfn.LET(_xlpm.r,OFFSET($Y$2,0,ROW(A8)-1,ROWS($Y$2:$Y$1000),1),
    _xlpm.v,_xlfn._xlws.FILTER(_xlpm.r,ISNUMBER(_xlpm.r)),
    _xlfn.PERCENTILE.INC(_xlpm.v,0.75)-_xlfn.PERCENTILE.INC(_xlpm.v,0.5))</f>
        <v>38.190838693927162</v>
      </c>
      <c r="AR9" cm="1">
        <f t="array" aca="1" ref="AR9" ca="1">_xlfn.LET(_xlpm.r,OFFSET($Y$2,0,ROW(A8)-1,ROWS($Y$2:$Y$1000),1),
    _xlpm.v,_xlfn._xlws.FILTER(_xlpm.r,ISNUMBER(_xlpm.r)),
    MAX(_xlpm.v)-_xlfn.PERCENTILE.INC(_xlpm.v,0.75))</f>
        <v>38.190838693927162</v>
      </c>
      <c r="AS9">
        <f t="shared" ca="1" si="0"/>
        <v>76.381677387854097</v>
      </c>
      <c r="AT9">
        <f t="shared" ca="1" si="6"/>
        <v>1796.4160144353978</v>
      </c>
      <c r="AU9">
        <f t="shared" ca="1" si="7"/>
        <v>2101.9427239868141</v>
      </c>
      <c r="AV9" s="13" cm="1">
        <f t="array" aca="1" ref="AV9" ca="1">_xlfn.LET(
  _xlpm.Data, $Y$2:$AF$1000,
  _xlpm.col,  $AG9,
  _xlpm.vec,  INDEX(_xlpm.Data,,_xlpm.col),
  _xlpm.v,    _xlfn._xlws.FILTER(_xlpm.vec, ISNUMBER(_xlpm.vec)),
  _xlpm.f,    AT9,
  IF(OR(COUNT(_xlpm.v)=0, NOT(ISNUMBER(_xlpm.f))),
      NA(),
      IF(COUNT(_xlfn._xlws.FILTER(_xlpm.v, _xlpm.v&gt;=_xlpm.f))=0, MIN(_xlpm.v), MIN(_xlfn._xlws.FILTER(_xlpm.v, _xlpm.v&gt;=_xlpm.f)))
  )
)</f>
        <v>1872.7976918232519</v>
      </c>
      <c r="AW9" cm="1">
        <f t="array" aca="1" ref="AW9" ca="1">_xlfn.LET(
  _xlpm.Data, $Y$2:$AF$1000,
  _xlpm.col,  $AG9,
  _xlpm.vec,  INDEX(_xlpm.Data,,_xlpm.col),
  _xlpm.v,    _xlfn._xlws.FILTER(_xlpm.vec, ISNUMBER(_xlpm.vec)),
  _xlpm.f,    AU9,
  IF(OR(COUNT(_xlpm.v)=0, NOT(ISNUMBER(_xlpm.f))),
      NA(),
      IF(COUNT(_xlfn._xlws.FILTER(_xlpm.v, _xlpm.v&lt;=_xlpm.f))=0, MAX(_xlpm.v), MAX(_xlfn._xlws.FILTER(_xlpm.v, _xlpm.v&lt;=_xlpm.f)))
  )
)</f>
        <v>2025.5610465989603</v>
      </c>
      <c r="AX9">
        <f t="shared" ca="1" si="1"/>
        <v>76.381677387854324</v>
      </c>
      <c r="AY9">
        <f t="shared" ca="1" si="2"/>
        <v>76.381677387854097</v>
      </c>
      <c r="AZ9">
        <f t="shared" ca="1" si="8"/>
        <v>38.190838693927162</v>
      </c>
      <c r="BA9">
        <f t="shared" ca="1" si="9"/>
        <v>38.190838693927162</v>
      </c>
      <c r="BB9">
        <f t="shared" ca="1" si="3"/>
        <v>38.190838693927162</v>
      </c>
      <c r="BC9">
        <v>0</v>
      </c>
      <c r="BD9">
        <f t="shared" ca="1" si="4"/>
        <v>38.190838693927162</v>
      </c>
      <c r="BE9">
        <v>8298.7060090009236</v>
      </c>
      <c r="BF9">
        <v>2</v>
      </c>
    </row>
    <row r="10" spans="21:58">
      <c r="AA10">
        <v>11570.710845447591</v>
      </c>
      <c r="AB10">
        <v>11235.299349718522</v>
      </c>
      <c r="AC10">
        <v>3489.3792062043799</v>
      </c>
      <c r="AH10" s="26"/>
      <c r="AI10" s="26"/>
      <c r="AV10" s="13"/>
      <c r="BE10">
        <v>12441.316506252808</v>
      </c>
      <c r="BF10">
        <v>3</v>
      </c>
    </row>
    <row r="11" spans="21:58">
      <c r="AA11">
        <v>6267.9451091988731</v>
      </c>
      <c r="AB11">
        <v>15856.519626291001</v>
      </c>
      <c r="AC11">
        <v>4289.5536564781023</v>
      </c>
      <c r="AH11" s="26" t="e" cm="1">
        <f t="array" ref="AH11">_xlfn.LOGNORM.DIST(x, μ, σ, FALSE)</f>
        <v>#NAME?</v>
      </c>
      <c r="AI11" s="26"/>
      <c r="AV11" s="13"/>
      <c r="BE11">
        <v>15974.702436322583</v>
      </c>
      <c r="BF11">
        <v>3</v>
      </c>
    </row>
    <row r="12" spans="21:58">
      <c r="AA12">
        <v>6697.3395729776639</v>
      </c>
      <c r="AB12">
        <v>2519.3719612638824</v>
      </c>
      <c r="AC12">
        <v>4991.0189225973236</v>
      </c>
      <c r="AH12" s="26"/>
      <c r="AI12" s="26"/>
      <c r="AV12" s="13"/>
      <c r="BE12">
        <v>29131.021988792512</v>
      </c>
      <c r="BF12">
        <v>3</v>
      </c>
    </row>
    <row r="13" spans="21:58">
      <c r="AA13">
        <v>8197.5598455096588</v>
      </c>
      <c r="AB13">
        <v>3275.3086956521738</v>
      </c>
      <c r="AC13">
        <v>5024.2401954075431</v>
      </c>
      <c r="AH13" s="120"/>
      <c r="AI13" s="120"/>
      <c r="BE13">
        <v>9477.2166713718052</v>
      </c>
      <c r="BF13">
        <v>3</v>
      </c>
    </row>
    <row r="14" spans="21:58">
      <c r="AA14">
        <v>9297.2804984989853</v>
      </c>
      <c r="AC14">
        <v>5873.2919206204388</v>
      </c>
      <c r="AH14" s="120"/>
      <c r="AI14" s="120"/>
      <c r="BE14">
        <v>7837.9776810335725</v>
      </c>
      <c r="BF14">
        <v>3</v>
      </c>
    </row>
    <row r="15" spans="21:58">
      <c r="AA15">
        <v>12812.364031523692</v>
      </c>
      <c r="AC15">
        <v>6384.4031120742102</v>
      </c>
      <c r="AH15" s="120"/>
      <c r="AI15" s="120"/>
      <c r="BE15">
        <v>10125.764141478647</v>
      </c>
      <c r="BF15">
        <v>3</v>
      </c>
    </row>
    <row r="16" spans="21:58" ht="13.2" thickBot="1">
      <c r="AA16">
        <v>12975.718692206821</v>
      </c>
      <c r="AC16">
        <v>6368.8633163265304</v>
      </c>
      <c r="AH16" s="120"/>
      <c r="AI16" s="120"/>
      <c r="BE16">
        <v>13453.438306200078</v>
      </c>
      <c r="BF16">
        <v>3</v>
      </c>
    </row>
    <row r="17" spans="2:58" ht="28.2">
      <c r="B17" s="681" t="s">
        <v>1312</v>
      </c>
      <c r="C17" s="682"/>
      <c r="D17" s="682"/>
      <c r="E17" s="682"/>
      <c r="F17" s="674"/>
      <c r="G17" s="674"/>
      <c r="H17" s="674"/>
      <c r="I17" s="674"/>
      <c r="J17" s="674"/>
      <c r="K17" s="674"/>
      <c r="L17" s="674"/>
      <c r="M17" s="674"/>
      <c r="N17" s="674"/>
      <c r="O17" s="674"/>
      <c r="P17" s="674"/>
      <c r="Q17" s="674"/>
      <c r="R17" s="674"/>
      <c r="S17" s="674"/>
      <c r="T17" s="674"/>
      <c r="U17" s="674"/>
      <c r="V17" s="675"/>
      <c r="AA17">
        <v>6113.909565217391</v>
      </c>
      <c r="AC17">
        <v>7018.938040816327</v>
      </c>
      <c r="AH17" s="120"/>
      <c r="AI17" s="120"/>
      <c r="BE17">
        <v>13540.787173624165</v>
      </c>
      <c r="BF17">
        <v>3</v>
      </c>
    </row>
    <row r="18" spans="2:58">
      <c r="B18" s="676"/>
      <c r="C18" s="671"/>
      <c r="D18" s="671"/>
      <c r="E18" s="671"/>
      <c r="F18" s="671"/>
      <c r="G18" s="671"/>
      <c r="H18" s="671"/>
      <c r="I18" s="671"/>
      <c r="J18" s="671"/>
      <c r="K18" s="671"/>
      <c r="L18" s="671"/>
      <c r="M18" s="671"/>
      <c r="N18" s="671"/>
      <c r="O18" s="671"/>
      <c r="P18" s="671"/>
      <c r="Q18" s="671"/>
      <c r="R18" s="671"/>
      <c r="S18" s="671"/>
      <c r="T18" s="671" t="s">
        <v>1204</v>
      </c>
      <c r="U18" s="671" t="s">
        <v>1205</v>
      </c>
      <c r="V18" s="677"/>
      <c r="AA18">
        <v>11642.797253594323</v>
      </c>
      <c r="AC18">
        <v>4319.7384166072698</v>
      </c>
      <c r="AH18" s="120"/>
      <c r="AI18" s="120"/>
      <c r="BE18">
        <v>11570.710845447591</v>
      </c>
      <c r="BF18">
        <v>3</v>
      </c>
    </row>
    <row r="19" spans="2:58">
      <c r="B19" s="676"/>
      <c r="C19" s="671"/>
      <c r="D19" s="671"/>
      <c r="E19" s="671"/>
      <c r="F19" s="671"/>
      <c r="G19" s="671"/>
      <c r="H19" s="671"/>
      <c r="I19" s="671"/>
      <c r="J19" s="671"/>
      <c r="K19" s="671"/>
      <c r="L19" s="671"/>
      <c r="M19" s="671"/>
      <c r="N19" s="671"/>
      <c r="O19" s="671"/>
      <c r="P19" s="671"/>
      <c r="Q19" s="671"/>
      <c r="R19" s="671"/>
      <c r="S19" s="671"/>
      <c r="T19" s="671">
        <f>12441.3165062528*1.3</f>
        <v>16173.711458128641</v>
      </c>
      <c r="U19" s="671">
        <f>1.5*12441.3165062528</f>
        <v>18661.974759379202</v>
      </c>
      <c r="V19" s="677"/>
      <c r="AA19">
        <v>29106.993133985809</v>
      </c>
      <c r="AC19">
        <v>4112.2052264808362</v>
      </c>
      <c r="AH19" s="120"/>
      <c r="AI19" s="120"/>
      <c r="BE19">
        <v>6267.9451091988731</v>
      </c>
      <c r="BF19">
        <v>3</v>
      </c>
    </row>
    <row r="20" spans="2:58">
      <c r="B20" s="676"/>
      <c r="C20" s="672" t="s">
        <v>1181</v>
      </c>
      <c r="D20" s="671"/>
      <c r="E20" s="671"/>
      <c r="F20" s="671"/>
      <c r="G20" s="671"/>
      <c r="H20" s="671"/>
      <c r="I20" s="671"/>
      <c r="J20" s="671" t="s">
        <v>1182</v>
      </c>
      <c r="K20" s="671" t="s">
        <v>1183</v>
      </c>
      <c r="L20" s="671"/>
      <c r="M20" s="671" t="s">
        <v>1190</v>
      </c>
      <c r="N20" s="671"/>
      <c r="O20" s="671"/>
      <c r="P20" s="671"/>
      <c r="Q20" s="671"/>
      <c r="R20" s="671"/>
      <c r="S20" s="671"/>
      <c r="T20" s="671">
        <f>1.3*15974.7024363226</f>
        <v>20767.113167219381</v>
      </c>
      <c r="U20" s="671">
        <f>1.5*15974.7024363226</f>
        <v>23962.053654483898</v>
      </c>
      <c r="V20" s="677"/>
      <c r="AC20">
        <v>4154.4938617886182</v>
      </c>
      <c r="AH20" s="120"/>
      <c r="AI20" s="120"/>
      <c r="BE20">
        <v>6697.3395729776639</v>
      </c>
      <c r="BF20">
        <v>3</v>
      </c>
    </row>
    <row r="21" spans="2:58">
      <c r="B21" s="676"/>
      <c r="C21" s="672" t="s">
        <v>534</v>
      </c>
      <c r="D21" s="672" t="s">
        <v>535</v>
      </c>
      <c r="E21" s="672" t="s">
        <v>536</v>
      </c>
      <c r="F21" s="672" t="s">
        <v>537</v>
      </c>
      <c r="G21" s="672" t="s">
        <v>1073</v>
      </c>
      <c r="H21" s="672" t="s">
        <v>540</v>
      </c>
      <c r="I21" s="671"/>
      <c r="J21" s="671">
        <f>AVERAGE(C22:C28)</f>
        <v>8.3910987928919969</v>
      </c>
      <c r="K21" s="671">
        <f>_xlfn.STDEV.S(C22:C28)</f>
        <v>0.63350271263306801</v>
      </c>
      <c r="L21" s="671"/>
      <c r="M21" s="671" t="s">
        <v>1196</v>
      </c>
      <c r="N21" s="671" t="s">
        <v>1198</v>
      </c>
      <c r="O21" s="671"/>
      <c r="P21" s="671"/>
      <c r="Q21" s="671"/>
      <c r="R21" s="671"/>
      <c r="S21" s="671"/>
      <c r="T21" s="671">
        <f>1.3*29131.0219887925</f>
        <v>37870.328585430252</v>
      </c>
      <c r="U21" s="671">
        <f>1.5*29131.0219887925</f>
        <v>43696.53298318875</v>
      </c>
      <c r="V21" s="677"/>
      <c r="AC21">
        <v>4182.2002090592341</v>
      </c>
      <c r="AH21" s="13"/>
      <c r="AI21" s="13"/>
      <c r="BE21">
        <v>8197.5598455096588</v>
      </c>
      <c r="BF21">
        <v>3</v>
      </c>
    </row>
    <row r="22" spans="2:58">
      <c r="B22" s="676"/>
      <c r="C22" s="671">
        <f t="shared" ref="C22:H22" si="10">LN(Z2)</f>
        <v>7.4490132296607134</v>
      </c>
      <c r="D22" s="671">
        <f t="shared" ref="D22:H24" si="11">LN(AA2)</f>
        <v>9.4287781891706466</v>
      </c>
      <c r="E22" s="671">
        <f t="shared" si="10"/>
        <v>8.4678616408984695</v>
      </c>
      <c r="F22" s="671">
        <f t="shared" si="10"/>
        <v>9.2096610237262482</v>
      </c>
      <c r="G22" s="671">
        <f t="shared" si="10"/>
        <v>8.0597049976555546</v>
      </c>
      <c r="H22" s="671">
        <f t="shared" si="10"/>
        <v>8.4948389254518304</v>
      </c>
      <c r="I22" s="671"/>
      <c r="J22" s="671">
        <f>AVERAGE(D22:D39)</f>
        <v>9.3389022856049682</v>
      </c>
      <c r="K22" s="671">
        <f>_xlfn.STDEV.S(D22:D39)</f>
        <v>0.44299045810493787</v>
      </c>
      <c r="L22" s="671"/>
      <c r="M22" s="671" t="s">
        <v>1197</v>
      </c>
      <c r="N22" s="671" t="s">
        <v>1199</v>
      </c>
      <c r="O22" s="671"/>
      <c r="P22" s="671"/>
      <c r="Q22" s="671"/>
      <c r="R22" s="671"/>
      <c r="S22" s="671"/>
      <c r="T22" s="671">
        <f>1.3*9477.21667137181</f>
        <v>12320.381672783355</v>
      </c>
      <c r="U22" s="671">
        <f>1.5*9477.21667137181</f>
        <v>14215.825007057716</v>
      </c>
      <c r="V22" s="677"/>
      <c r="AC22">
        <v>5745.4214866434386</v>
      </c>
      <c r="AH22" s="13"/>
      <c r="AI22" s="13"/>
      <c r="BE22">
        <v>9297.2804984989853</v>
      </c>
      <c r="BF22">
        <v>3</v>
      </c>
    </row>
    <row r="23" spans="2:58">
      <c r="B23" s="676"/>
      <c r="C23" s="671">
        <f t="shared" ref="C23:C28" si="12">LN(Z3)</f>
        <v>7.6946885551432107</v>
      </c>
      <c r="D23" s="671">
        <f t="shared" si="11"/>
        <v>9.678761652237986</v>
      </c>
      <c r="E23" s="671">
        <f t="shared" si="11"/>
        <v>8.3943428082991076</v>
      </c>
      <c r="F23" s="671">
        <f t="shared" si="11"/>
        <v>9.2618847257670467</v>
      </c>
      <c r="G23" s="671">
        <f t="shared" si="11"/>
        <v>8.3667830004549142</v>
      </c>
      <c r="H23" s="671">
        <f t="shared" si="11"/>
        <v>9.2336465901194931</v>
      </c>
      <c r="I23" s="671"/>
      <c r="J23" s="671">
        <f>AVERAGE(E22:E33)</f>
        <v>8.7354528882532723</v>
      </c>
      <c r="K23" s="671">
        <f>_xlfn.STDEV.S(E22:E33)</f>
        <v>0.50625225191557799</v>
      </c>
      <c r="L23" s="671"/>
      <c r="M23" s="671" t="s">
        <v>1202</v>
      </c>
      <c r="N23" s="671" t="s">
        <v>1200</v>
      </c>
      <c r="O23" s="671"/>
      <c r="P23" s="671"/>
      <c r="Q23" s="671"/>
      <c r="R23" s="671"/>
      <c r="S23" s="671"/>
      <c r="T23" s="671">
        <f>1.3*7837.97768103357</f>
        <v>10189.370985343641</v>
      </c>
      <c r="U23" s="671">
        <f>1.5*7837.97768103357</f>
        <v>11756.966521550356</v>
      </c>
      <c r="V23" s="677"/>
      <c r="AC23">
        <v>6058.9406794425095</v>
      </c>
      <c r="AH23" s="13"/>
      <c r="AI23" s="13"/>
      <c r="BE23">
        <v>12812.364031523692</v>
      </c>
      <c r="BF23">
        <v>3</v>
      </c>
    </row>
    <row r="24" spans="2:58">
      <c r="B24" s="676"/>
      <c r="C24" s="671">
        <f t="shared" si="12"/>
        <v>8.2645413440969389</v>
      </c>
      <c r="D24" s="671">
        <f t="shared" si="11"/>
        <v>10.279558933059054</v>
      </c>
      <c r="E24" s="671">
        <f t="shared" si="11"/>
        <v>8.6797982436585723</v>
      </c>
      <c r="F24" s="671">
        <f t="shared" si="11"/>
        <v>8.5928260630607998</v>
      </c>
      <c r="G24" s="671">
        <f t="shared" si="11"/>
        <v>8.3920775250438595</v>
      </c>
      <c r="H24" s="671">
        <f t="shared" si="11"/>
        <v>9.5050122851391254</v>
      </c>
      <c r="I24" s="671"/>
      <c r="J24" s="671">
        <f>AVERAGE(F22:F73)</f>
        <v>8.6578256014522843</v>
      </c>
      <c r="K24" s="671">
        <f>_xlfn.STDEV.S(F22:F73)</f>
        <v>0.33347894577450238</v>
      </c>
      <c r="L24" s="671"/>
      <c r="M24" s="671"/>
      <c r="N24" s="671"/>
      <c r="O24" s="671"/>
      <c r="P24" s="671"/>
      <c r="Q24" s="673"/>
      <c r="R24" s="671"/>
      <c r="S24" s="671"/>
      <c r="T24" s="671">
        <f>1.3*10125.7641414786</f>
        <v>13163.493383922179</v>
      </c>
      <c r="U24" s="671">
        <f>1.5*10125.7641414786</f>
        <v>15188.6462122179</v>
      </c>
      <c r="V24" s="677"/>
      <c r="AC24">
        <v>7604.6632113821142</v>
      </c>
      <c r="AH24" s="13"/>
      <c r="AI24" s="13"/>
      <c r="BE24">
        <v>12975.718692206821</v>
      </c>
      <c r="BF24">
        <v>3</v>
      </c>
    </row>
    <row r="25" spans="2:58">
      <c r="B25" s="676"/>
      <c r="C25" s="671">
        <f t="shared" si="12"/>
        <v>8.5306474859615182</v>
      </c>
      <c r="D25" s="671">
        <f>LN(AA5)</f>
        <v>9.1566459520738643</v>
      </c>
      <c r="E25" s="671">
        <f>LN(AB5)</f>
        <v>8.7524890632414341</v>
      </c>
      <c r="F25" s="671">
        <f>LN(AC5)</f>
        <v>8.4823396948183944</v>
      </c>
      <c r="G25" s="671">
        <f>LN(AD5)</f>
        <v>8.8542527956663708</v>
      </c>
      <c r="H25" s="671"/>
      <c r="I25" s="671"/>
      <c r="J25" s="671">
        <f>AVERAGE(G22:G25)</f>
        <v>8.4182045797051739</v>
      </c>
      <c r="K25" s="671">
        <f>_xlfn.STDEV.S(G22:G25)</f>
        <v>0.32761094750255237</v>
      </c>
      <c r="L25" s="671"/>
      <c r="M25" s="671"/>
      <c r="N25" s="671"/>
      <c r="O25" s="671"/>
      <c r="P25" s="671"/>
      <c r="Q25" s="673" t="s">
        <v>1191</v>
      </c>
      <c r="R25" s="673" t="s">
        <v>1192</v>
      </c>
      <c r="S25" s="673"/>
      <c r="T25" s="671">
        <f>1.3*13453.4383062001</f>
        <v>17489.46979806013</v>
      </c>
      <c r="U25" s="671">
        <f>1.5*13453.4383062001</f>
        <v>20180.15745930015</v>
      </c>
      <c r="V25" s="677"/>
      <c r="AC25">
        <v>8202.5370209059238</v>
      </c>
      <c r="AH25" s="13"/>
      <c r="AI25" s="13"/>
      <c r="BE25">
        <v>6113.909565217391</v>
      </c>
      <c r="BF25">
        <v>3</v>
      </c>
    </row>
    <row r="26" spans="2:58" ht="25.8">
      <c r="B26" s="676"/>
      <c r="C26" s="671">
        <f t="shared" si="12"/>
        <v>9.1185531449145003</v>
      </c>
      <c r="D26" s="671">
        <f t="shared" ref="D26:F33" si="13">LN(AA6)</f>
        <v>8.9667361312221683</v>
      </c>
      <c r="E26" s="671">
        <f t="shared" si="13"/>
        <v>8.7711384537007149</v>
      </c>
      <c r="F26" s="671">
        <f t="shared" si="13"/>
        <v>8.6051205359681102</v>
      </c>
      <c r="G26" s="671"/>
      <c r="H26" s="671"/>
      <c r="I26" s="671"/>
      <c r="J26" s="671"/>
      <c r="K26" s="671"/>
      <c r="L26" s="671"/>
      <c r="M26" s="671"/>
      <c r="N26" s="671"/>
      <c r="O26" s="671"/>
      <c r="P26" s="671"/>
      <c r="Q26" s="673" t="s">
        <v>1193</v>
      </c>
      <c r="R26" s="673" t="s">
        <v>1194</v>
      </c>
      <c r="S26" s="673"/>
      <c r="T26" s="671">
        <f>1.3*13540.7871736242</f>
        <v>17603.02332571146</v>
      </c>
      <c r="U26" s="671">
        <f>1.5*13540.7871736242</f>
        <v>20311.180760436298</v>
      </c>
      <c r="V26" s="677"/>
      <c r="AC26">
        <v>6747.7326652507072</v>
      </c>
      <c r="BE26">
        <v>11642.797253594323</v>
      </c>
      <c r="BF26">
        <v>3</v>
      </c>
    </row>
    <row r="27" spans="2:58">
      <c r="B27" s="676"/>
      <c r="C27" s="671">
        <f t="shared" si="12"/>
        <v>8.6563929113664742</v>
      </c>
      <c r="D27" s="671">
        <f t="shared" si="13"/>
        <v>9.2228383598902877</v>
      </c>
      <c r="E27" s="671">
        <f t="shared" si="13"/>
        <v>8.8143499025683241</v>
      </c>
      <c r="F27" s="671">
        <f t="shared" si="13"/>
        <v>8.9319105247764821</v>
      </c>
      <c r="G27" s="671"/>
      <c r="H27" s="671"/>
      <c r="I27" s="671"/>
      <c r="J27" s="671"/>
      <c r="K27" s="671"/>
      <c r="L27" s="671"/>
      <c r="M27" s="671"/>
      <c r="N27" s="671"/>
      <c r="O27" s="671"/>
      <c r="P27" s="671"/>
      <c r="Q27" s="673" t="s">
        <v>1195</v>
      </c>
      <c r="R27" s="673" t="s">
        <v>527</v>
      </c>
      <c r="S27" s="673"/>
      <c r="T27" s="671">
        <f>1.3*11570.7108454476</f>
        <v>15041.92409908188</v>
      </c>
      <c r="U27" s="671">
        <f>1.5*11570.7108454476</f>
        <v>17356.066268171402</v>
      </c>
      <c r="V27" s="677"/>
      <c r="AC27">
        <v>5635.4997213114757</v>
      </c>
      <c r="BE27">
        <v>29106.993133985809</v>
      </c>
      <c r="BF27">
        <v>3</v>
      </c>
    </row>
    <row r="28" spans="2:58">
      <c r="B28" s="676"/>
      <c r="C28" s="671">
        <f t="shared" si="12"/>
        <v>9.0238548791006181</v>
      </c>
      <c r="D28" s="671">
        <f t="shared" si="13"/>
        <v>9.5069899885093374</v>
      </c>
      <c r="E28" s="671">
        <f t="shared" si="13"/>
        <v>9.0983371186962998</v>
      </c>
      <c r="F28" s="671">
        <f t="shared" si="13"/>
        <v>8.058759766511514</v>
      </c>
      <c r="G28" s="671"/>
      <c r="H28" s="671"/>
      <c r="I28" s="671"/>
      <c r="J28" s="671"/>
      <c r="K28" s="671"/>
      <c r="L28" s="671"/>
      <c r="M28" s="671"/>
      <c r="N28" s="671"/>
      <c r="O28" s="671"/>
      <c r="P28" s="671"/>
      <c r="Q28" s="671"/>
      <c r="R28" s="671"/>
      <c r="S28" s="671"/>
      <c r="T28" s="671">
        <f>1.3*6267.94510919887</f>
        <v>8148.328641958532</v>
      </c>
      <c r="U28" s="671">
        <f>1.5*6267.94510919887</f>
        <v>9401.9176637983055</v>
      </c>
      <c r="V28" s="677"/>
      <c r="AC28">
        <v>6402.781053456878</v>
      </c>
      <c r="BE28">
        <v>4759.3274294038556</v>
      </c>
      <c r="BF28">
        <v>4</v>
      </c>
    </row>
    <row r="29" spans="2:58">
      <c r="B29" s="676"/>
      <c r="C29" s="671"/>
      <c r="D29" s="671">
        <f t="shared" si="13"/>
        <v>9.5134616816762456</v>
      </c>
      <c r="E29" s="671">
        <f t="shared" si="13"/>
        <v>8.9230332421362455</v>
      </c>
      <c r="F29" s="671">
        <f t="shared" si="13"/>
        <v>8.1429286002342263</v>
      </c>
      <c r="G29" s="671"/>
      <c r="H29" s="671"/>
      <c r="I29" s="671"/>
      <c r="J29" s="671"/>
      <c r="K29" s="671"/>
      <c r="L29" s="671"/>
      <c r="M29" s="671"/>
      <c r="N29" s="671"/>
      <c r="O29" s="671"/>
      <c r="P29" s="671"/>
      <c r="Q29" s="671"/>
      <c r="R29" s="671"/>
      <c r="S29" s="671"/>
      <c r="T29" s="671">
        <f>1.3*6697.33957297766</f>
        <v>8706.541444870958</v>
      </c>
      <c r="U29" s="671">
        <f>1.5*6697.33957297766</f>
        <v>10046.00935946649</v>
      </c>
      <c r="V29" s="677"/>
      <c r="AC29">
        <v>6515.7165609408394</v>
      </c>
      <c r="BE29">
        <v>4421.9798661567875</v>
      </c>
      <c r="BF29">
        <v>4</v>
      </c>
    </row>
    <row r="30" spans="2:58">
      <c r="B30" s="676"/>
      <c r="C30" s="671"/>
      <c r="D30" s="671">
        <f t="shared" si="13"/>
        <v>9.356232256973529</v>
      </c>
      <c r="E30" s="671">
        <f t="shared" si="13"/>
        <v>9.3268158286541958</v>
      </c>
      <c r="F30" s="671">
        <f t="shared" si="13"/>
        <v>8.1574791214959248</v>
      </c>
      <c r="G30" s="671"/>
      <c r="H30" s="671"/>
      <c r="I30" s="671"/>
      <c r="J30" s="671"/>
      <c r="K30" s="671"/>
      <c r="L30" s="671"/>
      <c r="M30" s="671"/>
      <c r="N30" s="671"/>
      <c r="O30" s="671"/>
      <c r="P30" s="671"/>
      <c r="Q30" s="671"/>
      <c r="R30" s="671"/>
      <c r="S30" s="671"/>
      <c r="T30" s="671">
        <f>1.3*8197.55984550966</f>
        <v>10656.827799162558</v>
      </c>
      <c r="U30" s="671">
        <f>1.5*8197.55984550966</f>
        <v>12296.33976826449</v>
      </c>
      <c r="V30" s="677"/>
      <c r="AC30">
        <v>6750.8944640057016</v>
      </c>
      <c r="BE30">
        <v>5882.8595673719446</v>
      </c>
      <c r="BF30">
        <v>4</v>
      </c>
    </row>
    <row r="31" spans="2:58">
      <c r="B31" s="676"/>
      <c r="C31" s="671"/>
      <c r="D31" s="671">
        <f t="shared" si="13"/>
        <v>8.7432038461304309</v>
      </c>
      <c r="E31" s="671">
        <f t="shared" si="13"/>
        <v>9.6713360276202671</v>
      </c>
      <c r="F31" s="671">
        <f t="shared" si="13"/>
        <v>8.3639379637302405</v>
      </c>
      <c r="G31" s="671"/>
      <c r="H31" s="671"/>
      <c r="I31" s="671"/>
      <c r="J31" s="671"/>
      <c r="K31" s="671"/>
      <c r="L31" s="671"/>
      <c r="M31" s="671"/>
      <c r="N31" s="671"/>
      <c r="O31" s="671"/>
      <c r="P31" s="671"/>
      <c r="Q31" s="671"/>
      <c r="R31" s="671"/>
      <c r="S31" s="671"/>
      <c r="T31" s="671">
        <f>1.3*9297.28049849899</f>
        <v>12086.464648048688</v>
      </c>
      <c r="U31" s="671">
        <f>1.5*9297.28049849899</f>
        <v>13945.920747748485</v>
      </c>
      <c r="V31" s="677"/>
      <c r="AC31">
        <v>8603.6378615167214</v>
      </c>
      <c r="BE31">
        <v>6326.4153748480385</v>
      </c>
      <c r="BF31">
        <v>4</v>
      </c>
    </row>
    <row r="32" spans="2:58">
      <c r="B32" s="676"/>
      <c r="C32" s="671"/>
      <c r="D32" s="671">
        <f t="shared" si="13"/>
        <v>8.8094656478624014</v>
      </c>
      <c r="E32" s="671">
        <f t="shared" si="13"/>
        <v>7.8317649277238939</v>
      </c>
      <c r="F32" s="671">
        <f t="shared" si="13"/>
        <v>8.5153953608063055</v>
      </c>
      <c r="G32" s="671"/>
      <c r="H32" s="671"/>
      <c r="I32" s="671"/>
      <c r="J32" s="671"/>
      <c r="K32" s="671"/>
      <c r="L32" s="671"/>
      <c r="M32" s="671"/>
      <c r="N32" s="671"/>
      <c r="O32" s="671"/>
      <c r="P32" s="671"/>
      <c r="Q32" s="671"/>
      <c r="R32" s="671"/>
      <c r="S32" s="671"/>
      <c r="T32" s="671">
        <f>1.3*12812.3640315237</f>
        <v>16656.073240980812</v>
      </c>
      <c r="U32" s="671">
        <f>1.5*12812.3640315237</f>
        <v>19218.546047285552</v>
      </c>
      <c r="V32" s="677"/>
      <c r="AC32">
        <v>5575.9296513672143</v>
      </c>
      <c r="BE32">
        <v>6445.5061993980289</v>
      </c>
      <c r="BF32">
        <v>4</v>
      </c>
    </row>
    <row r="33" spans="2:58">
      <c r="B33" s="676"/>
      <c r="C33" s="671"/>
      <c r="D33" s="671">
        <f t="shared" si="13"/>
        <v>9.0115918091507901</v>
      </c>
      <c r="E33" s="671">
        <f t="shared" si="13"/>
        <v>8.0941674018417302</v>
      </c>
      <c r="F33" s="671">
        <f t="shared" si="13"/>
        <v>8.522029516600643</v>
      </c>
      <c r="G33" s="671"/>
      <c r="H33" s="671"/>
      <c r="I33" s="671"/>
      <c r="J33" s="671"/>
      <c r="K33" s="671"/>
      <c r="L33" s="671"/>
      <c r="M33" s="671"/>
      <c r="N33" s="671"/>
      <c r="O33" s="671"/>
      <c r="P33" s="671"/>
      <c r="Q33" s="671"/>
      <c r="R33" s="671"/>
      <c r="S33" s="671"/>
      <c r="T33" s="671">
        <f>1.3*12975.7186922068</f>
        <v>16868.434299868841</v>
      </c>
      <c r="U33" s="671">
        <f>1.5*12975.7186922068</f>
        <v>19463.578038310199</v>
      </c>
      <c r="V33" s="677"/>
      <c r="AC33">
        <v>7924.8639972798692</v>
      </c>
      <c r="BE33">
        <v>6730.1311012027963</v>
      </c>
      <c r="BF33">
        <v>4</v>
      </c>
    </row>
    <row r="34" spans="2:58">
      <c r="B34" s="676"/>
      <c r="C34" s="671"/>
      <c r="D34" s="671">
        <f t="shared" ref="D34:D39" si="14">LN(AA14)</f>
        <v>9.1374772168621856</v>
      </c>
      <c r="E34" s="671"/>
      <c r="F34" s="671">
        <f t="shared" ref="F34:F73" si="15">LN(AC14)</f>
        <v>8.6781705598245189</v>
      </c>
      <c r="G34" s="671"/>
      <c r="H34" s="671"/>
      <c r="I34" s="671"/>
      <c r="J34" s="671"/>
      <c r="K34" s="671"/>
      <c r="L34" s="671"/>
      <c r="M34" s="671"/>
      <c r="N34" s="671"/>
      <c r="O34" s="671"/>
      <c r="P34" s="671"/>
      <c r="Q34" s="671"/>
      <c r="R34" s="671"/>
      <c r="S34" s="671"/>
      <c r="T34" s="671">
        <f>1.3*6113.90956521739</f>
        <v>7948.0824347826074</v>
      </c>
      <c r="U34" s="671">
        <f>1.5*6113.90956521739</f>
        <v>9170.8643478260856</v>
      </c>
      <c r="V34" s="677"/>
      <c r="AC34">
        <v>11734.969398518611</v>
      </c>
      <c r="BE34">
        <v>8940.4134892889124</v>
      </c>
      <c r="BF34">
        <v>4</v>
      </c>
    </row>
    <row r="35" spans="2:58">
      <c r="B35" s="676"/>
      <c r="C35" s="671"/>
      <c r="D35" s="671">
        <f t="shared" si="14"/>
        <v>9.458165923650693</v>
      </c>
      <c r="E35" s="671"/>
      <c r="F35" s="671">
        <f t="shared" si="15"/>
        <v>8.7616132812580378</v>
      </c>
      <c r="G35" s="671"/>
      <c r="H35" s="671"/>
      <c r="I35" s="671"/>
      <c r="J35" s="671"/>
      <c r="K35" s="671"/>
      <c r="L35" s="671"/>
      <c r="M35" s="671"/>
      <c r="N35" s="671"/>
      <c r="O35" s="671"/>
      <c r="P35" s="671"/>
      <c r="Q35" s="671"/>
      <c r="R35" s="671"/>
      <c r="S35" s="671"/>
      <c r="T35" s="671">
        <f>1.3*11642.7972535943</f>
        <v>15135.636429672591</v>
      </c>
      <c r="U35" s="671">
        <f>1.5*11642.7972535943</f>
        <v>17464.195880391453</v>
      </c>
      <c r="V35" s="677"/>
      <c r="AC35">
        <v>3438.9745164233582</v>
      </c>
      <c r="BE35">
        <v>7502.812596837075</v>
      </c>
      <c r="BF35">
        <v>4</v>
      </c>
    </row>
    <row r="36" spans="2:58">
      <c r="B36" s="676"/>
      <c r="C36" s="671"/>
      <c r="D36" s="671">
        <f t="shared" si="14"/>
        <v>9.4708350970362609</v>
      </c>
      <c r="E36" s="671"/>
      <c r="F36" s="671">
        <f t="shared" si="15"/>
        <v>8.759176289366474</v>
      </c>
      <c r="G36" s="671"/>
      <c r="H36" s="671"/>
      <c r="I36" s="671"/>
      <c r="J36" s="671"/>
      <c r="K36" s="671"/>
      <c r="L36" s="671"/>
      <c r="M36" s="671"/>
      <c r="N36" s="671"/>
      <c r="O36" s="671"/>
      <c r="P36" s="671"/>
      <c r="Q36" s="671"/>
      <c r="R36" s="671"/>
      <c r="S36" s="671"/>
      <c r="T36" s="671">
        <f>1.3*29106.9931339858</f>
        <v>37839.091074181546</v>
      </c>
      <c r="U36" s="671">
        <f>1.5*29106.9931339858</f>
        <v>43660.489700978702</v>
      </c>
      <c r="V36" s="677"/>
      <c r="AC36">
        <v>3489.3792062043799</v>
      </c>
      <c r="BE36">
        <v>11235.299349718522</v>
      </c>
      <c r="BF36">
        <v>4</v>
      </c>
    </row>
    <row r="37" spans="2:58">
      <c r="B37" s="676"/>
      <c r="C37" s="671"/>
      <c r="D37" s="671">
        <f t="shared" si="14"/>
        <v>8.718321710914724</v>
      </c>
      <c r="E37" s="671"/>
      <c r="F37" s="671">
        <f t="shared" si="15"/>
        <v>8.8563672093394619</v>
      </c>
      <c r="G37" s="671"/>
      <c r="H37" s="671"/>
      <c r="I37" s="671"/>
      <c r="J37" s="671"/>
      <c r="K37" s="671"/>
      <c r="L37" s="671"/>
      <c r="M37" s="671"/>
      <c r="N37" s="671"/>
      <c r="O37" s="671"/>
      <c r="P37" s="671"/>
      <c r="Q37" s="671"/>
      <c r="R37" s="671"/>
      <c r="S37" s="671"/>
      <c r="T37" s="671"/>
      <c r="U37" s="671"/>
      <c r="V37" s="677"/>
      <c r="AC37">
        <v>3161.7487226277376</v>
      </c>
      <c r="BE37">
        <v>15856.519626291001</v>
      </c>
      <c r="BF37">
        <v>4</v>
      </c>
    </row>
    <row r="38" spans="2:58">
      <c r="B38" s="676"/>
      <c r="C38" s="671"/>
      <c r="D38" s="671">
        <f t="shared" si="14"/>
        <v>9.3624430062973474</v>
      </c>
      <c r="E38" s="671"/>
      <c r="F38" s="671">
        <f t="shared" si="15"/>
        <v>8.370950127693547</v>
      </c>
      <c r="G38" s="671"/>
      <c r="H38" s="671"/>
      <c r="I38" s="671"/>
      <c r="J38" s="671"/>
      <c r="K38" s="671"/>
      <c r="L38" s="671"/>
      <c r="M38" s="671"/>
      <c r="N38" s="671"/>
      <c r="O38" s="671"/>
      <c r="P38" s="671"/>
      <c r="Q38" s="671"/>
      <c r="R38" s="671"/>
      <c r="S38" s="671"/>
      <c r="T38" s="671"/>
      <c r="U38" s="671"/>
      <c r="V38" s="677"/>
      <c r="AC38">
        <v>4291.2719981751834</v>
      </c>
      <c r="BE38">
        <v>2519.3719612638824</v>
      </c>
      <c r="BF38">
        <v>4</v>
      </c>
    </row>
    <row r="39" spans="2:58">
      <c r="B39" s="676"/>
      <c r="C39" s="671"/>
      <c r="D39" s="671">
        <f t="shared" si="14"/>
        <v>10.278733738171502</v>
      </c>
      <c r="E39" s="671"/>
      <c r="F39" s="671">
        <f t="shared" si="15"/>
        <v>8.3217147150532078</v>
      </c>
      <c r="G39" s="671"/>
      <c r="H39" s="671"/>
      <c r="I39" s="671"/>
      <c r="J39" s="671"/>
      <c r="K39" s="671"/>
      <c r="L39" s="671"/>
      <c r="M39" s="671"/>
      <c r="N39" s="671"/>
      <c r="O39" s="671"/>
      <c r="P39" s="671"/>
      <c r="Q39" s="671"/>
      <c r="R39" s="671"/>
      <c r="S39" s="671"/>
      <c r="T39" s="671"/>
      <c r="U39" s="671"/>
      <c r="V39" s="677"/>
      <c r="AC39">
        <v>4990.0642883211685</v>
      </c>
      <c r="BE39">
        <v>3275.3086956521738</v>
      </c>
      <c r="BF39">
        <v>4</v>
      </c>
    </row>
    <row r="40" spans="2:58">
      <c r="B40" s="676"/>
      <c r="C40" s="671"/>
      <c r="D40" s="671"/>
      <c r="E40" s="671"/>
      <c r="F40" s="671">
        <f t="shared" si="15"/>
        <v>8.331945885618957</v>
      </c>
      <c r="G40" s="671"/>
      <c r="H40" s="671"/>
      <c r="I40" s="671"/>
      <c r="J40" s="671"/>
      <c r="K40" s="671"/>
      <c r="L40" s="671"/>
      <c r="M40" s="671"/>
      <c r="N40" s="671"/>
      <c r="O40" s="671"/>
      <c r="P40" s="671"/>
      <c r="Q40" s="671"/>
      <c r="R40" s="671"/>
      <c r="S40" s="671"/>
      <c r="T40" s="671"/>
      <c r="U40" s="671"/>
      <c r="V40" s="677"/>
      <c r="AC40">
        <v>5024.4311222627739</v>
      </c>
      <c r="BE40">
        <v>9993.2088245484265</v>
      </c>
      <c r="BF40">
        <v>5</v>
      </c>
    </row>
    <row r="41" spans="2:58">
      <c r="B41" s="676"/>
      <c r="C41" s="671"/>
      <c r="D41" s="671"/>
      <c r="E41" s="671"/>
      <c r="F41" s="671">
        <f t="shared" si="15"/>
        <v>8.3385927528405599</v>
      </c>
      <c r="G41" s="671"/>
      <c r="H41" s="671"/>
      <c r="I41" s="671"/>
      <c r="J41" s="671"/>
      <c r="K41" s="671"/>
      <c r="L41" s="671"/>
      <c r="M41" s="671"/>
      <c r="N41" s="671"/>
      <c r="O41" s="671"/>
      <c r="P41" s="671"/>
      <c r="Q41" s="671"/>
      <c r="R41" s="671"/>
      <c r="S41" s="671"/>
      <c r="T41" s="671"/>
      <c r="U41" s="671"/>
      <c r="V41" s="677"/>
      <c r="AC41">
        <v>5872.146359489052</v>
      </c>
      <c r="BE41">
        <v>10528.958851803813</v>
      </c>
      <c r="BF41">
        <v>5</v>
      </c>
    </row>
    <row r="42" spans="2:58">
      <c r="B42" s="676"/>
      <c r="C42" s="671"/>
      <c r="D42" s="671"/>
      <c r="E42" s="671"/>
      <c r="F42" s="671">
        <f t="shared" si="15"/>
        <v>8.6561585534130288</v>
      </c>
      <c r="G42" s="671"/>
      <c r="H42" s="671"/>
      <c r="I42" s="671"/>
      <c r="J42" s="671"/>
      <c r="K42" s="671"/>
      <c r="L42" s="671"/>
      <c r="M42" s="671"/>
      <c r="N42" s="671"/>
      <c r="O42" s="671"/>
      <c r="P42" s="671"/>
      <c r="Q42" s="671"/>
      <c r="R42" s="671"/>
      <c r="S42" s="671"/>
      <c r="T42" s="671"/>
      <c r="U42" s="671"/>
      <c r="V42" s="677"/>
      <c r="AC42">
        <v>6385.3577463503652</v>
      </c>
      <c r="BE42">
        <v>5392.8326455299357</v>
      </c>
      <c r="BF42">
        <v>5</v>
      </c>
    </row>
    <row r="43" spans="2:58">
      <c r="B43" s="676"/>
      <c r="C43" s="671"/>
      <c r="D43" s="671"/>
      <c r="E43" s="671"/>
      <c r="F43" s="671">
        <f t="shared" si="15"/>
        <v>8.7092902584105971</v>
      </c>
      <c r="G43" s="671"/>
      <c r="H43" s="671"/>
      <c r="I43" s="671"/>
      <c r="J43" s="671"/>
      <c r="K43" s="671"/>
      <c r="L43" s="671"/>
      <c r="M43" s="671"/>
      <c r="N43" s="671"/>
      <c r="O43" s="671"/>
      <c r="P43" s="671"/>
      <c r="Q43" s="671"/>
      <c r="R43" s="671"/>
      <c r="S43" s="671"/>
      <c r="T43" s="671"/>
      <c r="U43" s="671"/>
      <c r="V43" s="677"/>
      <c r="AC43">
        <v>6269.6698036215257</v>
      </c>
      <c r="BE43">
        <v>4828.7344554960473</v>
      </c>
      <c r="BF43">
        <v>5</v>
      </c>
    </row>
    <row r="44" spans="2:58">
      <c r="B44" s="676"/>
      <c r="C44" s="671"/>
      <c r="D44" s="671"/>
      <c r="E44" s="671"/>
      <c r="F44" s="671">
        <f t="shared" si="15"/>
        <v>8.9365169185559221</v>
      </c>
      <c r="G44" s="671"/>
      <c r="H44" s="671"/>
      <c r="I44" s="671"/>
      <c r="J44" s="671"/>
      <c r="K44" s="671"/>
      <c r="L44" s="671"/>
      <c r="M44" s="671"/>
      <c r="N44" s="671"/>
      <c r="O44" s="671"/>
      <c r="P44" s="671"/>
      <c r="Q44" s="671"/>
      <c r="R44" s="671"/>
      <c r="S44" s="671"/>
      <c r="T44" s="671"/>
      <c r="U44" s="671"/>
      <c r="V44" s="677"/>
      <c r="AC44">
        <v>6588.8523981403214</v>
      </c>
      <c r="BE44">
        <v>5459.5439301198676</v>
      </c>
      <c r="BF44">
        <v>5</v>
      </c>
    </row>
    <row r="45" spans="2:58">
      <c r="B45" s="676"/>
      <c r="C45" s="671"/>
      <c r="D45" s="671"/>
      <c r="E45" s="671"/>
      <c r="F45" s="671">
        <f t="shared" si="15"/>
        <v>9.0121987781936692</v>
      </c>
      <c r="G45" s="671"/>
      <c r="H45" s="671"/>
      <c r="I45" s="671"/>
      <c r="J45" s="671"/>
      <c r="K45" s="671"/>
      <c r="L45" s="671"/>
      <c r="M45" s="671"/>
      <c r="N45" s="671"/>
      <c r="O45" s="671"/>
      <c r="P45" s="671"/>
      <c r="Q45" s="671"/>
      <c r="R45" s="671"/>
      <c r="S45" s="671"/>
      <c r="T45" s="671"/>
      <c r="U45" s="671"/>
      <c r="V45" s="677"/>
      <c r="AC45">
        <v>4368.5100898075552</v>
      </c>
      <c r="BE45">
        <v>7569.7136954858461</v>
      </c>
      <c r="BF45">
        <v>5</v>
      </c>
    </row>
    <row r="46" spans="2:58">
      <c r="B46" s="676"/>
      <c r="C46" s="671"/>
      <c r="D46" s="671"/>
      <c r="E46" s="671"/>
      <c r="F46" s="671">
        <f t="shared" si="15"/>
        <v>8.81696182599471</v>
      </c>
      <c r="G46" s="671"/>
      <c r="H46" s="671"/>
      <c r="I46" s="671"/>
      <c r="J46" s="671"/>
      <c r="K46" s="671"/>
      <c r="L46" s="671"/>
      <c r="M46" s="671"/>
      <c r="N46" s="671"/>
      <c r="O46" s="671"/>
      <c r="P46" s="671"/>
      <c r="Q46" s="671"/>
      <c r="R46" s="671"/>
      <c r="S46" s="671"/>
      <c r="T46" s="671"/>
      <c r="U46" s="671"/>
      <c r="V46" s="677"/>
      <c r="AC46">
        <v>4003.0410836087576</v>
      </c>
      <c r="BE46">
        <v>3161.366868917275</v>
      </c>
      <c r="BF46">
        <v>5</v>
      </c>
    </row>
    <row r="47" spans="2:58">
      <c r="B47" s="676"/>
      <c r="C47" s="671"/>
      <c r="D47" s="671"/>
      <c r="E47" s="671"/>
      <c r="F47" s="671">
        <f t="shared" si="15"/>
        <v>8.6368411042298163</v>
      </c>
      <c r="G47" s="671"/>
      <c r="H47" s="671"/>
      <c r="I47" s="671"/>
      <c r="J47" s="671"/>
      <c r="K47" s="671"/>
      <c r="L47" s="671"/>
      <c r="M47" s="671"/>
      <c r="N47" s="671"/>
      <c r="O47" s="671"/>
      <c r="P47" s="671"/>
      <c r="Q47" s="671"/>
      <c r="R47" s="671"/>
      <c r="S47" s="671"/>
      <c r="T47" s="671"/>
      <c r="U47" s="671"/>
      <c r="V47" s="677"/>
      <c r="AC47">
        <v>4930.4048403441639</v>
      </c>
      <c r="BE47">
        <v>3438.9745164233582</v>
      </c>
      <c r="BF47">
        <v>5</v>
      </c>
    </row>
    <row r="48" spans="2:58">
      <c r="B48" s="676"/>
      <c r="C48" s="671"/>
      <c r="D48" s="671"/>
      <c r="E48" s="671"/>
      <c r="F48" s="671">
        <f t="shared" si="15"/>
        <v>8.7644877145654085</v>
      </c>
      <c r="G48" s="671"/>
      <c r="H48" s="671"/>
      <c r="I48" s="671"/>
      <c r="J48" s="671"/>
      <c r="K48" s="671"/>
      <c r="L48" s="671"/>
      <c r="M48" s="671"/>
      <c r="N48" s="671"/>
      <c r="O48" s="671"/>
      <c r="P48" s="671"/>
      <c r="Q48" s="671"/>
      <c r="R48" s="671"/>
      <c r="S48" s="671"/>
      <c r="T48" s="671"/>
      <c r="U48" s="671"/>
      <c r="V48" s="677"/>
      <c r="AC48">
        <v>6226.9853411269696</v>
      </c>
      <c r="BE48">
        <v>3489.3792062043799</v>
      </c>
      <c r="BF48">
        <v>5</v>
      </c>
    </row>
    <row r="49" spans="2:58">
      <c r="B49" s="676"/>
      <c r="C49" s="671"/>
      <c r="D49" s="671"/>
      <c r="E49" s="671"/>
      <c r="F49" s="671">
        <f t="shared" si="15"/>
        <v>8.7819724698410297</v>
      </c>
      <c r="G49" s="671"/>
      <c r="H49" s="671"/>
      <c r="I49" s="671"/>
      <c r="J49" s="671"/>
      <c r="K49" s="671"/>
      <c r="L49" s="671"/>
      <c r="M49" s="671"/>
      <c r="N49" s="671"/>
      <c r="O49" s="671"/>
      <c r="P49" s="671"/>
      <c r="Q49" s="671"/>
      <c r="R49" s="671"/>
      <c r="S49" s="671"/>
      <c r="T49" s="671"/>
      <c r="U49" s="671"/>
      <c r="V49" s="677"/>
      <c r="AC49">
        <v>7781.5816956501385</v>
      </c>
      <c r="BE49">
        <v>4289.5536564781023</v>
      </c>
      <c r="BF49">
        <v>5</v>
      </c>
    </row>
    <row r="50" spans="2:58">
      <c r="B50" s="676"/>
      <c r="C50" s="671"/>
      <c r="D50" s="671"/>
      <c r="E50" s="671"/>
      <c r="F50" s="671">
        <f t="shared" si="15"/>
        <v>8.8174302882735081</v>
      </c>
      <c r="G50" s="671"/>
      <c r="H50" s="671"/>
      <c r="I50" s="671"/>
      <c r="J50" s="671"/>
      <c r="K50" s="671"/>
      <c r="L50" s="671"/>
      <c r="M50" s="671"/>
      <c r="N50" s="671"/>
      <c r="O50" s="671"/>
      <c r="P50" s="671"/>
      <c r="Q50" s="671"/>
      <c r="R50" s="671"/>
      <c r="S50" s="671"/>
      <c r="T50" s="671"/>
      <c r="U50" s="671"/>
      <c r="V50" s="677"/>
      <c r="AC50">
        <v>7985.1155612479279</v>
      </c>
      <c r="BE50">
        <v>4991.0189225973236</v>
      </c>
      <c r="BF50">
        <v>5</v>
      </c>
    </row>
    <row r="51" spans="2:58">
      <c r="B51" s="676"/>
      <c r="C51" s="671"/>
      <c r="D51" s="671"/>
      <c r="E51" s="671"/>
      <c r="F51" s="671">
        <f t="shared" si="15"/>
        <v>9.0599403999524029</v>
      </c>
      <c r="G51" s="671"/>
      <c r="H51" s="671"/>
      <c r="I51" s="671"/>
      <c r="J51" s="671"/>
      <c r="K51" s="671"/>
      <c r="L51" s="671"/>
      <c r="M51" s="671"/>
      <c r="N51" s="671"/>
      <c r="O51" s="671"/>
      <c r="P51" s="671"/>
      <c r="Q51" s="671"/>
      <c r="R51" s="671"/>
      <c r="S51" s="671"/>
      <c r="T51" s="671"/>
      <c r="U51" s="671"/>
      <c r="V51" s="677"/>
      <c r="AC51">
        <v>5422.5833919009383</v>
      </c>
      <c r="BE51">
        <v>5024.2401954075431</v>
      </c>
      <c r="BF51">
        <v>5</v>
      </c>
    </row>
    <row r="52" spans="2:58">
      <c r="B52" s="676"/>
      <c r="C52" s="671"/>
      <c r="D52" s="671"/>
      <c r="E52" s="671"/>
      <c r="F52" s="671">
        <f t="shared" si="15"/>
        <v>8.6262143360349501</v>
      </c>
      <c r="G52" s="671"/>
      <c r="H52" s="671"/>
      <c r="I52" s="671"/>
      <c r="J52" s="671"/>
      <c r="K52" s="671"/>
      <c r="L52" s="671"/>
      <c r="M52" s="671"/>
      <c r="N52" s="671"/>
      <c r="O52" s="671"/>
      <c r="P52" s="671"/>
      <c r="Q52" s="671"/>
      <c r="R52" s="671"/>
      <c r="S52" s="671"/>
      <c r="T52" s="671"/>
      <c r="U52" s="671"/>
      <c r="V52" s="677"/>
      <c r="AC52">
        <v>13440.489466307758</v>
      </c>
      <c r="BE52">
        <v>5873.2919206204388</v>
      </c>
      <c r="BF52">
        <v>5</v>
      </c>
    </row>
    <row r="53" spans="2:58">
      <c r="B53" s="676"/>
      <c r="C53" s="671"/>
      <c r="D53" s="671"/>
      <c r="E53" s="671"/>
      <c r="F53" s="671">
        <f t="shared" si="15"/>
        <v>8.9777604373717104</v>
      </c>
      <c r="G53" s="671"/>
      <c r="H53" s="671"/>
      <c r="I53" s="671"/>
      <c r="J53" s="671"/>
      <c r="K53" s="671"/>
      <c r="L53" s="671"/>
      <c r="M53" s="671"/>
      <c r="N53" s="671"/>
      <c r="O53" s="671"/>
      <c r="P53" s="671"/>
      <c r="Q53" s="671"/>
      <c r="R53" s="671"/>
      <c r="S53" s="671"/>
      <c r="T53" s="671"/>
      <c r="U53" s="671"/>
      <c r="V53" s="677"/>
      <c r="AC53">
        <v>8732.0979401957429</v>
      </c>
      <c r="BE53">
        <v>6384.4031120742102</v>
      </c>
      <c r="BF53">
        <v>5</v>
      </c>
    </row>
    <row r="54" spans="2:58">
      <c r="B54" s="676"/>
      <c r="C54" s="671"/>
      <c r="D54" s="671"/>
      <c r="E54" s="671"/>
      <c r="F54" s="671">
        <f t="shared" si="15"/>
        <v>9.3703285005713379</v>
      </c>
      <c r="G54" s="671"/>
      <c r="H54" s="671"/>
      <c r="I54" s="671"/>
      <c r="J54" s="671"/>
      <c r="K54" s="671"/>
      <c r="L54" s="671"/>
      <c r="M54" s="671"/>
      <c r="N54" s="671"/>
      <c r="O54" s="671"/>
      <c r="P54" s="671"/>
      <c r="Q54" s="671"/>
      <c r="R54" s="671"/>
      <c r="S54" s="671"/>
      <c r="T54" s="671"/>
      <c r="U54" s="671"/>
      <c r="V54" s="677"/>
      <c r="BE54">
        <v>6368.8633163265304</v>
      </c>
      <c r="BF54">
        <v>5</v>
      </c>
    </row>
    <row r="55" spans="2:58">
      <c r="B55" s="676"/>
      <c r="C55" s="671"/>
      <c r="D55" s="671"/>
      <c r="E55" s="671"/>
      <c r="F55" s="671">
        <f t="shared" si="15"/>
        <v>8.1429286002342263</v>
      </c>
      <c r="G55" s="671"/>
      <c r="H55" s="671"/>
      <c r="I55" s="671"/>
      <c r="J55" s="671"/>
      <c r="K55" s="671"/>
      <c r="L55" s="671"/>
      <c r="M55" s="671"/>
      <c r="N55" s="671"/>
      <c r="O55" s="671"/>
      <c r="P55" s="671"/>
      <c r="Q55" s="671"/>
      <c r="R55" s="671"/>
      <c r="S55" s="671"/>
      <c r="T55" s="671"/>
      <c r="U55" s="671"/>
      <c r="V55" s="677"/>
      <c r="BE55">
        <v>7018.938040816327</v>
      </c>
      <c r="BF55">
        <v>5</v>
      </c>
    </row>
    <row r="56" spans="2:58">
      <c r="B56" s="676"/>
      <c r="C56" s="671"/>
      <c r="D56" s="671"/>
      <c r="E56" s="671"/>
      <c r="F56" s="671">
        <f t="shared" si="15"/>
        <v>8.1574791214959248</v>
      </c>
      <c r="G56" s="671"/>
      <c r="H56" s="671"/>
      <c r="I56" s="671"/>
      <c r="J56" s="671"/>
      <c r="K56" s="671"/>
      <c r="L56" s="671"/>
      <c r="M56" s="671"/>
      <c r="N56" s="671"/>
      <c r="O56" s="671"/>
      <c r="P56" s="671"/>
      <c r="Q56" s="671"/>
      <c r="R56" s="671"/>
      <c r="S56" s="671"/>
      <c r="T56" s="671"/>
      <c r="U56" s="671"/>
      <c r="V56" s="677"/>
      <c r="BE56">
        <v>4319.7384166072698</v>
      </c>
      <c r="BF56">
        <v>5</v>
      </c>
    </row>
    <row r="57" spans="2:58">
      <c r="B57" s="676"/>
      <c r="C57" s="671"/>
      <c r="D57" s="671"/>
      <c r="E57" s="671"/>
      <c r="F57" s="671">
        <f t="shared" si="15"/>
        <v>8.0588805467520146</v>
      </c>
      <c r="G57" s="671"/>
      <c r="H57" s="671"/>
      <c r="I57" s="671"/>
      <c r="J57" s="671"/>
      <c r="K57" s="671"/>
      <c r="L57" s="671"/>
      <c r="M57" s="671"/>
      <c r="N57" s="671"/>
      <c r="O57" s="671"/>
      <c r="P57" s="671"/>
      <c r="Q57" s="671"/>
      <c r="R57" s="671"/>
      <c r="S57" s="671"/>
      <c r="T57" s="671"/>
      <c r="U57" s="671"/>
      <c r="V57" s="677"/>
      <c r="BE57">
        <v>4112.2052264808362</v>
      </c>
      <c r="BF57">
        <v>5</v>
      </c>
    </row>
    <row r="58" spans="2:58">
      <c r="B58" s="676"/>
      <c r="C58" s="671"/>
      <c r="D58" s="671"/>
      <c r="E58" s="671"/>
      <c r="F58" s="671">
        <f t="shared" si="15"/>
        <v>8.364338471044853</v>
      </c>
      <c r="G58" s="671"/>
      <c r="H58" s="671"/>
      <c r="I58" s="671"/>
      <c r="J58" s="671"/>
      <c r="K58" s="671"/>
      <c r="L58" s="671"/>
      <c r="M58" s="671"/>
      <c r="N58" s="671"/>
      <c r="O58" s="671"/>
      <c r="P58" s="671"/>
      <c r="Q58" s="671"/>
      <c r="R58" s="671"/>
      <c r="S58" s="671"/>
      <c r="T58" s="671"/>
      <c r="U58" s="671"/>
      <c r="V58" s="677"/>
      <c r="BE58">
        <v>4154.4938617886182</v>
      </c>
      <c r="BF58">
        <v>5</v>
      </c>
    </row>
    <row r="59" spans="2:58">
      <c r="B59" s="676"/>
      <c r="C59" s="671"/>
      <c r="D59" s="671"/>
      <c r="E59" s="671"/>
      <c r="F59" s="671">
        <f t="shared" si="15"/>
        <v>8.5152040720936704</v>
      </c>
      <c r="G59" s="671"/>
      <c r="H59" s="671"/>
      <c r="I59" s="671"/>
      <c r="J59" s="671"/>
      <c r="K59" s="671"/>
      <c r="L59" s="671"/>
      <c r="M59" s="671"/>
      <c r="N59" s="671"/>
      <c r="O59" s="671"/>
      <c r="P59" s="671"/>
      <c r="Q59" s="671"/>
      <c r="R59" s="671"/>
      <c r="S59" s="671"/>
      <c r="T59" s="671"/>
      <c r="U59" s="671"/>
      <c r="V59" s="677"/>
      <c r="BE59">
        <v>4182.2002090592341</v>
      </c>
      <c r="BF59">
        <v>5</v>
      </c>
    </row>
    <row r="60" spans="2:58">
      <c r="B60" s="676"/>
      <c r="C60" s="671"/>
      <c r="D60" s="671"/>
      <c r="E60" s="671"/>
      <c r="F60" s="671">
        <f t="shared" si="15"/>
        <v>8.5220675170186517</v>
      </c>
      <c r="G60" s="671"/>
      <c r="H60" s="671"/>
      <c r="I60" s="671"/>
      <c r="J60" s="671"/>
      <c r="K60" s="671"/>
      <c r="L60" s="671"/>
      <c r="M60" s="671"/>
      <c r="N60" s="671"/>
      <c r="O60" s="671"/>
      <c r="P60" s="671"/>
      <c r="Q60" s="671"/>
      <c r="R60" s="671"/>
      <c r="S60" s="671"/>
      <c r="T60" s="671"/>
      <c r="U60" s="671"/>
      <c r="V60" s="677"/>
      <c r="BE60">
        <v>5745.4214866434386</v>
      </c>
      <c r="BF60">
        <v>5</v>
      </c>
    </row>
    <row r="61" spans="2:58">
      <c r="B61" s="676"/>
      <c r="C61" s="671"/>
      <c r="D61" s="671"/>
      <c r="E61" s="671"/>
      <c r="F61" s="671">
        <f t="shared" si="15"/>
        <v>8.6779754949648353</v>
      </c>
      <c r="G61" s="671"/>
      <c r="H61" s="671"/>
      <c r="I61" s="671"/>
      <c r="J61" s="671"/>
      <c r="K61" s="671"/>
      <c r="L61" s="671"/>
      <c r="M61" s="671"/>
      <c r="N61" s="671"/>
      <c r="O61" s="671"/>
      <c r="P61" s="671"/>
      <c r="Q61" s="671"/>
      <c r="R61" s="671"/>
      <c r="S61" s="671"/>
      <c r="T61" s="671"/>
      <c r="U61" s="671"/>
      <c r="V61" s="677"/>
      <c r="BE61">
        <v>6058.9406794425095</v>
      </c>
      <c r="BF61">
        <v>5</v>
      </c>
    </row>
    <row r="62" spans="2:58">
      <c r="B62" s="676"/>
      <c r="C62" s="671"/>
      <c r="D62" s="671"/>
      <c r="E62" s="671"/>
      <c r="F62" s="671">
        <f t="shared" si="15"/>
        <v>8.7617627960827118</v>
      </c>
      <c r="G62" s="671"/>
      <c r="H62" s="671"/>
      <c r="I62" s="671"/>
      <c r="J62" s="671"/>
      <c r="K62" s="671"/>
      <c r="L62" s="671"/>
      <c r="M62" s="671"/>
      <c r="N62" s="671"/>
      <c r="O62" s="671"/>
      <c r="P62" s="671"/>
      <c r="Q62" s="671"/>
      <c r="R62" s="671"/>
      <c r="S62" s="671"/>
      <c r="T62" s="671"/>
      <c r="U62" s="671"/>
      <c r="V62" s="677"/>
      <c r="BE62">
        <v>7604.6632113821142</v>
      </c>
      <c r="BF62">
        <v>5</v>
      </c>
    </row>
    <row r="63" spans="2:58">
      <c r="B63" s="676"/>
      <c r="C63" s="671"/>
      <c r="D63" s="671"/>
      <c r="E63" s="671"/>
      <c r="F63" s="671">
        <f t="shared" si="15"/>
        <v>8.7434789693409485</v>
      </c>
      <c r="G63" s="671"/>
      <c r="H63" s="671"/>
      <c r="I63" s="671"/>
      <c r="J63" s="671"/>
      <c r="K63" s="671"/>
      <c r="L63" s="671"/>
      <c r="M63" s="671"/>
      <c r="N63" s="671"/>
      <c r="O63" s="671"/>
      <c r="P63" s="671"/>
      <c r="Q63" s="671"/>
      <c r="R63" s="671"/>
      <c r="S63" s="671"/>
      <c r="T63" s="671"/>
      <c r="U63" s="671"/>
      <c r="V63" s="677"/>
      <c r="BE63">
        <v>8202.5370209059238</v>
      </c>
      <c r="BF63">
        <v>5</v>
      </c>
    </row>
    <row r="64" spans="2:58">
      <c r="B64" s="676"/>
      <c r="C64" s="671"/>
      <c r="D64" s="671"/>
      <c r="E64" s="671"/>
      <c r="F64" s="671">
        <f t="shared" si="15"/>
        <v>8.7931344694093525</v>
      </c>
      <c r="G64" s="671"/>
      <c r="H64" s="671"/>
      <c r="I64" s="671"/>
      <c r="J64" s="671"/>
      <c r="K64" s="671"/>
      <c r="L64" s="671"/>
      <c r="M64" s="671"/>
      <c r="N64" s="671"/>
      <c r="O64" s="671"/>
      <c r="P64" s="671"/>
      <c r="Q64" s="671"/>
      <c r="R64" s="671"/>
      <c r="S64" s="671"/>
      <c r="T64" s="671"/>
      <c r="U64" s="671"/>
      <c r="V64" s="677"/>
      <c r="BE64">
        <v>6747.7326652507072</v>
      </c>
      <c r="BF64">
        <v>5</v>
      </c>
    </row>
    <row r="65" spans="2:58">
      <c r="B65" s="676"/>
      <c r="C65" s="671"/>
      <c r="D65" s="671"/>
      <c r="E65" s="671"/>
      <c r="F65" s="671">
        <f t="shared" si="15"/>
        <v>8.3821772894087232</v>
      </c>
      <c r="G65" s="671"/>
      <c r="H65" s="671"/>
      <c r="I65" s="671"/>
      <c r="J65" s="671"/>
      <c r="K65" s="671"/>
      <c r="L65" s="671"/>
      <c r="M65" s="671"/>
      <c r="N65" s="671"/>
      <c r="O65" s="671"/>
      <c r="P65" s="671"/>
      <c r="Q65" s="671"/>
      <c r="R65" s="671"/>
      <c r="S65" s="671"/>
      <c r="T65" s="671"/>
      <c r="U65" s="671"/>
      <c r="V65" s="677"/>
      <c r="BE65">
        <v>5635.4997213114757</v>
      </c>
      <c r="BF65">
        <v>5</v>
      </c>
    </row>
    <row r="66" spans="2:58">
      <c r="B66" s="676"/>
      <c r="C66" s="671"/>
      <c r="D66" s="671"/>
      <c r="E66" s="671"/>
      <c r="F66" s="671">
        <f t="shared" si="15"/>
        <v>8.2948096221446939</v>
      </c>
      <c r="G66" s="671"/>
      <c r="H66" s="671"/>
      <c r="I66" s="671"/>
      <c r="J66" s="671"/>
      <c r="K66" s="671"/>
      <c r="L66" s="671"/>
      <c r="M66" s="671"/>
      <c r="N66" s="671"/>
      <c r="O66" s="671"/>
      <c r="P66" s="671"/>
      <c r="Q66" s="671"/>
      <c r="R66" s="671"/>
      <c r="S66" s="671"/>
      <c r="T66" s="671"/>
      <c r="U66" s="671"/>
      <c r="V66" s="677"/>
      <c r="BE66">
        <v>6402.781053456878</v>
      </c>
      <c r="BF66">
        <v>5</v>
      </c>
    </row>
    <row r="67" spans="2:58">
      <c r="B67" s="676"/>
      <c r="C67" s="671"/>
      <c r="D67" s="671"/>
      <c r="E67" s="671"/>
      <c r="F67" s="671">
        <f t="shared" si="15"/>
        <v>8.5031763813821293</v>
      </c>
      <c r="G67" s="671"/>
      <c r="H67" s="671"/>
      <c r="I67" s="671"/>
      <c r="J67" s="671"/>
      <c r="K67" s="671"/>
      <c r="L67" s="671"/>
      <c r="M67" s="671"/>
      <c r="N67" s="671"/>
      <c r="O67" s="671"/>
      <c r="P67" s="671"/>
      <c r="Q67" s="671"/>
      <c r="R67" s="671"/>
      <c r="S67" s="671"/>
      <c r="T67" s="671"/>
      <c r="U67" s="671"/>
      <c r="V67" s="677"/>
      <c r="BE67">
        <v>6515.7165609408394</v>
      </c>
      <c r="BF67">
        <v>5</v>
      </c>
    </row>
    <row r="68" spans="2:58">
      <c r="B68" s="676"/>
      <c r="C68" s="671"/>
      <c r="D68" s="671"/>
      <c r="E68" s="671"/>
      <c r="F68" s="671">
        <f t="shared" si="15"/>
        <v>8.7366476007869718</v>
      </c>
      <c r="G68" s="671"/>
      <c r="H68" s="671"/>
      <c r="I68" s="671"/>
      <c r="J68" s="671"/>
      <c r="K68" s="671"/>
      <c r="L68" s="671"/>
      <c r="M68" s="671"/>
      <c r="N68" s="671"/>
      <c r="O68" s="671"/>
      <c r="P68" s="671"/>
      <c r="Q68" s="671"/>
      <c r="R68" s="671"/>
      <c r="S68" s="671"/>
      <c r="T68" s="671"/>
      <c r="U68" s="671"/>
      <c r="V68" s="677"/>
      <c r="BE68">
        <v>6750.8944640057016</v>
      </c>
      <c r="BF68">
        <v>5</v>
      </c>
    </row>
    <row r="69" spans="2:58">
      <c r="B69" s="676"/>
      <c r="C69" s="671"/>
      <c r="D69" s="671"/>
      <c r="E69" s="671"/>
      <c r="F69" s="671">
        <f t="shared" si="15"/>
        <v>8.9595148992920208</v>
      </c>
      <c r="G69" s="671"/>
      <c r="H69" s="671"/>
      <c r="I69" s="671"/>
      <c r="J69" s="671"/>
      <c r="K69" s="671"/>
      <c r="L69" s="671"/>
      <c r="M69" s="671"/>
      <c r="N69" s="671"/>
      <c r="O69" s="671"/>
      <c r="P69" s="671"/>
      <c r="Q69" s="671"/>
      <c r="R69" s="671"/>
      <c r="S69" s="671"/>
      <c r="T69" s="671"/>
      <c r="U69" s="671"/>
      <c r="V69" s="677"/>
      <c r="BE69">
        <v>8603.6378615167214</v>
      </c>
      <c r="BF69">
        <v>5</v>
      </c>
    </row>
    <row r="70" spans="2:58">
      <c r="B70" s="676"/>
      <c r="C70" s="671"/>
      <c r="D70" s="671"/>
      <c r="E70" s="671"/>
      <c r="F70" s="671">
        <f t="shared" si="15"/>
        <v>8.9853345328359282</v>
      </c>
      <c r="G70" s="671"/>
      <c r="H70" s="671"/>
      <c r="I70" s="671"/>
      <c r="J70" s="671"/>
      <c r="K70" s="671"/>
      <c r="L70" s="671"/>
      <c r="M70" s="671"/>
      <c r="N70" s="671"/>
      <c r="O70" s="671"/>
      <c r="P70" s="671"/>
      <c r="Q70" s="671"/>
      <c r="R70" s="671"/>
      <c r="S70" s="671"/>
      <c r="T70" s="671"/>
      <c r="U70" s="671"/>
      <c r="V70" s="677"/>
      <c r="BE70">
        <v>5575.9296513672143</v>
      </c>
      <c r="BF70">
        <v>5</v>
      </c>
    </row>
    <row r="71" spans="2:58">
      <c r="B71" s="676"/>
      <c r="C71" s="671"/>
      <c r="D71" s="671"/>
      <c r="E71" s="671"/>
      <c r="F71" s="671">
        <f t="shared" si="15"/>
        <v>8.5983276214487852</v>
      </c>
      <c r="G71" s="671"/>
      <c r="H71" s="671"/>
      <c r="I71" s="671"/>
      <c r="J71" s="671"/>
      <c r="K71" s="671"/>
      <c r="L71" s="671"/>
      <c r="M71" s="671"/>
      <c r="N71" s="671"/>
      <c r="O71" s="671"/>
      <c r="P71" s="671"/>
      <c r="Q71" s="671"/>
      <c r="R71" s="671"/>
      <c r="S71" s="671"/>
      <c r="T71" s="671"/>
      <c r="U71" s="671"/>
      <c r="V71" s="677"/>
      <c r="BE71">
        <v>7924.8639972798692</v>
      </c>
      <c r="BF71">
        <v>5</v>
      </c>
    </row>
    <row r="72" spans="2:58">
      <c r="B72" s="676"/>
      <c r="C72" s="671"/>
      <c r="D72" s="671"/>
      <c r="E72" s="671"/>
      <c r="F72" s="671">
        <f t="shared" si="15"/>
        <v>9.5060270320380873</v>
      </c>
      <c r="G72" s="671"/>
      <c r="H72" s="671"/>
      <c r="I72" s="671"/>
      <c r="J72" s="671"/>
      <c r="K72" s="671"/>
      <c r="L72" s="671"/>
      <c r="M72" s="671"/>
      <c r="N72" s="671"/>
      <c r="O72" s="671"/>
      <c r="P72" s="671"/>
      <c r="Q72" s="671"/>
      <c r="R72" s="671"/>
      <c r="S72" s="671"/>
      <c r="T72" s="671"/>
      <c r="U72" s="671"/>
      <c r="V72" s="677"/>
      <c r="BE72">
        <v>11734.969398518611</v>
      </c>
      <c r="BF72">
        <v>5</v>
      </c>
    </row>
    <row r="73" spans="2:58">
      <c r="B73" s="676"/>
      <c r="C73" s="671"/>
      <c r="D73" s="671"/>
      <c r="E73" s="671"/>
      <c r="F73" s="671">
        <f t="shared" si="15"/>
        <v>9.0747609338455657</v>
      </c>
      <c r="G73" s="671"/>
      <c r="H73" s="671"/>
      <c r="I73" s="671"/>
      <c r="J73" s="671"/>
      <c r="K73" s="671"/>
      <c r="L73" s="671"/>
      <c r="M73" s="671"/>
      <c r="N73" s="671"/>
      <c r="O73" s="671"/>
      <c r="P73" s="671"/>
      <c r="Q73" s="671"/>
      <c r="R73" s="671"/>
      <c r="S73" s="671"/>
      <c r="T73" s="671"/>
      <c r="U73" s="671"/>
      <c r="V73" s="677"/>
      <c r="BE73">
        <v>3438.9745164233582</v>
      </c>
      <c r="BF73">
        <v>5</v>
      </c>
    </row>
    <row r="74" spans="2:58">
      <c r="B74" s="676"/>
      <c r="C74" s="671"/>
      <c r="D74" s="671"/>
      <c r="E74" s="671"/>
      <c r="F74" s="671"/>
      <c r="G74" s="671"/>
      <c r="H74" s="671"/>
      <c r="I74" s="671"/>
      <c r="J74" s="671"/>
      <c r="K74" s="671"/>
      <c r="L74" s="671"/>
      <c r="M74" s="671"/>
      <c r="N74" s="671"/>
      <c r="O74" s="671"/>
      <c r="P74" s="671"/>
      <c r="Q74" s="671"/>
      <c r="R74" s="671"/>
      <c r="S74" s="671"/>
      <c r="T74" s="671"/>
      <c r="U74" s="671"/>
      <c r="V74" s="677"/>
      <c r="BE74">
        <v>3489.3792062043799</v>
      </c>
      <c r="BF74">
        <v>5</v>
      </c>
    </row>
    <row r="75" spans="2:58" ht="13.2" thickBot="1">
      <c r="B75" s="678"/>
      <c r="C75" s="679"/>
      <c r="D75" s="679"/>
      <c r="E75" s="679"/>
      <c r="F75" s="679"/>
      <c r="G75" s="679"/>
      <c r="H75" s="679"/>
      <c r="I75" s="679"/>
      <c r="J75" s="679"/>
      <c r="K75" s="679"/>
      <c r="L75" s="679"/>
      <c r="M75" s="679"/>
      <c r="N75" s="679"/>
      <c r="O75" s="679"/>
      <c r="P75" s="679"/>
      <c r="Q75" s="679"/>
      <c r="R75" s="679"/>
      <c r="S75" s="679"/>
      <c r="T75" s="679"/>
      <c r="U75" s="679"/>
      <c r="V75" s="680"/>
      <c r="BE75">
        <v>3161.7487226277376</v>
      </c>
      <c r="BF75">
        <v>5</v>
      </c>
    </row>
    <row r="76" spans="2:58">
      <c r="BE76">
        <v>4291.2719981751834</v>
      </c>
      <c r="BF76">
        <v>5</v>
      </c>
    </row>
    <row r="77" spans="2:58">
      <c r="BE77">
        <v>4990.0642883211685</v>
      </c>
      <c r="BF77">
        <v>5</v>
      </c>
    </row>
    <row r="78" spans="2:58">
      <c r="BE78">
        <v>5024.4311222627739</v>
      </c>
      <c r="BF78">
        <v>5</v>
      </c>
    </row>
    <row r="79" spans="2:58">
      <c r="BE79">
        <v>5872.146359489052</v>
      </c>
      <c r="BF79">
        <v>5</v>
      </c>
    </row>
    <row r="80" spans="2:58">
      <c r="BE80">
        <v>6385.3577463503652</v>
      </c>
      <c r="BF80">
        <v>5</v>
      </c>
    </row>
    <row r="81" spans="57:58">
      <c r="BE81">
        <v>6269.6698036215257</v>
      </c>
      <c r="BF81">
        <v>5</v>
      </c>
    </row>
    <row r="82" spans="57:58">
      <c r="BE82">
        <v>6588.8523981403214</v>
      </c>
      <c r="BF82">
        <v>5</v>
      </c>
    </row>
    <row r="83" spans="57:58">
      <c r="BE83">
        <v>4368.5100898075552</v>
      </c>
      <c r="BF83">
        <v>5</v>
      </c>
    </row>
    <row r="84" spans="57:58">
      <c r="BE84">
        <v>4003.0410836087576</v>
      </c>
      <c r="BF84">
        <v>5</v>
      </c>
    </row>
    <row r="85" spans="57:58">
      <c r="BE85">
        <v>4930.4048403441639</v>
      </c>
      <c r="BF85">
        <v>5</v>
      </c>
    </row>
    <row r="86" spans="57:58">
      <c r="BE86">
        <v>6226.9853411269696</v>
      </c>
      <c r="BF86">
        <v>5</v>
      </c>
    </row>
    <row r="87" spans="57:58">
      <c r="BE87">
        <v>7781.5816956501385</v>
      </c>
      <c r="BF87">
        <v>5</v>
      </c>
    </row>
    <row r="88" spans="57:58">
      <c r="BE88">
        <v>7985.1155612479279</v>
      </c>
      <c r="BF88">
        <v>5</v>
      </c>
    </row>
    <row r="89" spans="57:58">
      <c r="BE89">
        <v>5422.5833919009383</v>
      </c>
      <c r="BF89">
        <v>5</v>
      </c>
    </row>
    <row r="90" spans="57:58">
      <c r="BE90">
        <v>13440.489466307758</v>
      </c>
      <c r="BF90">
        <v>5</v>
      </c>
    </row>
    <row r="91" spans="57:58">
      <c r="BE91">
        <v>8732.0979401957429</v>
      </c>
      <c r="BF91">
        <v>5</v>
      </c>
    </row>
    <row r="92" spans="57:58">
      <c r="BE92">
        <v>3164.356504065041</v>
      </c>
      <c r="BF92">
        <v>6</v>
      </c>
    </row>
    <row r="93" spans="57:58">
      <c r="BE93">
        <v>4301.7749709639957</v>
      </c>
      <c r="BF93">
        <v>6</v>
      </c>
    </row>
    <row r="94" spans="57:58">
      <c r="BE94">
        <v>4411.9741663617315</v>
      </c>
      <c r="BF94">
        <v>6</v>
      </c>
    </row>
    <row r="95" spans="57:58">
      <c r="BE95">
        <v>7004.1127811414517</v>
      </c>
      <c r="BF95">
        <v>6</v>
      </c>
    </row>
    <row r="96" spans="57:58">
      <c r="BE96">
        <v>4889.4686960519202</v>
      </c>
      <c r="BF96">
        <v>7</v>
      </c>
    </row>
    <row r="97" spans="57:58">
      <c r="BE97">
        <v>10235.799303075883</v>
      </c>
      <c r="BF97">
        <v>7</v>
      </c>
    </row>
    <row r="98" spans="57:58">
      <c r="BE98">
        <v>13426.85768887296</v>
      </c>
      <c r="BF98">
        <v>7</v>
      </c>
    </row>
    <row r="99" spans="57:58">
      <c r="BE99">
        <v>1872.7976918232519</v>
      </c>
      <c r="BF99">
        <v>8</v>
      </c>
    </row>
    <row r="100" spans="57:58">
      <c r="BE100">
        <v>2025.5610465989603</v>
      </c>
      <c r="BF100">
        <v>8</v>
      </c>
    </row>
  </sheetData>
  <mergeCells count="1">
    <mergeCell ref="B17:E17"/>
  </mergeCells>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0B4E-4097-46D6-9298-04FB5C3F7719}">
  <sheetPr>
    <tabColor rgb="FFFFA471"/>
  </sheetPr>
  <dimension ref="A1:CB128"/>
  <sheetViews>
    <sheetView topLeftCell="N70" zoomScale="50" zoomScaleNormal="50" workbookViewId="0">
      <selection activeCell="AE57" sqref="AE57"/>
    </sheetView>
  </sheetViews>
  <sheetFormatPr baseColWidth="10" defaultRowHeight="12.9"/>
  <cols>
    <col min="1" max="1" width="28" customWidth="1"/>
    <col min="2" max="2" width="16.41015625" customWidth="1"/>
    <col min="7" max="7" width="14.29296875" customWidth="1"/>
    <col min="8" max="8" width="17.41015625" customWidth="1"/>
    <col min="44" max="44" width="27.703125" customWidth="1"/>
    <col min="56" max="57" width="11.29296875" bestFit="1" customWidth="1"/>
    <col min="62" max="62" width="10.87890625" customWidth="1"/>
    <col min="70" max="70" width="11.29296875" bestFit="1" customWidth="1"/>
    <col min="71" max="71" width="18.703125" customWidth="1"/>
    <col min="72" max="72" width="21.1171875" customWidth="1"/>
    <col min="74" max="74" width="17.41015625" customWidth="1"/>
    <col min="75" max="75" width="21" customWidth="1"/>
    <col min="76" max="76" width="17.1171875" customWidth="1"/>
  </cols>
  <sheetData>
    <row r="1" spans="1:80">
      <c r="A1" s="118" t="s">
        <v>1095</v>
      </c>
      <c r="B1" s="80" t="s">
        <v>652</v>
      </c>
      <c r="C1" s="80"/>
      <c r="D1" s="80"/>
      <c r="E1" s="80" t="s">
        <v>532</v>
      </c>
      <c r="F1" s="80" t="s">
        <v>533</v>
      </c>
      <c r="G1" s="80" t="s">
        <v>534</v>
      </c>
      <c r="H1" s="80" t="s">
        <v>535</v>
      </c>
      <c r="I1" s="80" t="s">
        <v>536</v>
      </c>
      <c r="J1" s="80" t="s">
        <v>537</v>
      </c>
      <c r="K1" s="80" t="s">
        <v>1073</v>
      </c>
      <c r="L1" s="80" t="s">
        <v>538</v>
      </c>
      <c r="M1" s="80" t="s">
        <v>539</v>
      </c>
      <c r="N1" s="80" t="s">
        <v>540</v>
      </c>
      <c r="O1" s="80" t="s">
        <v>1072</v>
      </c>
      <c r="P1" s="80" t="s">
        <v>541</v>
      </c>
      <c r="Q1" s="80" t="s">
        <v>654</v>
      </c>
      <c r="R1" s="80" t="s">
        <v>527</v>
      </c>
      <c r="S1" s="80" t="s">
        <v>629</v>
      </c>
      <c r="T1" s="80" t="s">
        <v>646</v>
      </c>
      <c r="U1" s="80" t="s">
        <v>528</v>
      </c>
      <c r="V1" s="80" t="s">
        <v>647</v>
      </c>
      <c r="W1" s="80" t="s">
        <v>526</v>
      </c>
      <c r="X1" s="80" t="s">
        <v>655</v>
      </c>
      <c r="Y1" s="80" t="s">
        <v>917</v>
      </c>
      <c r="Z1" s="80" t="s">
        <v>916</v>
      </c>
      <c r="AA1" s="80" t="s">
        <v>656</v>
      </c>
      <c r="AB1" s="80" t="s">
        <v>913</v>
      </c>
      <c r="AC1" s="80" t="s">
        <v>914</v>
      </c>
      <c r="AD1" s="80" t="s">
        <v>915</v>
      </c>
      <c r="AE1" s="80" t="s">
        <v>659</v>
      </c>
      <c r="AF1" s="80" t="s">
        <v>660</v>
      </c>
      <c r="AG1" s="80" t="s">
        <v>918</v>
      </c>
      <c r="AH1" s="80" t="s">
        <v>919</v>
      </c>
      <c r="AI1" s="80" t="s">
        <v>920</v>
      </c>
      <c r="AJ1" s="80" t="s">
        <v>921</v>
      </c>
      <c r="AK1" s="80" t="s">
        <v>649</v>
      </c>
      <c r="AL1" s="80" t="s">
        <v>650</v>
      </c>
      <c r="AM1" s="80" t="s">
        <v>651</v>
      </c>
      <c r="AN1" s="80" t="s">
        <v>1092</v>
      </c>
      <c r="AO1" s="80"/>
      <c r="AR1" s="118" t="s">
        <v>1097</v>
      </c>
      <c r="AS1" s="80" t="s">
        <v>652</v>
      </c>
      <c r="AT1" s="80"/>
      <c r="AU1" s="80"/>
      <c r="AV1" s="80" t="s">
        <v>534</v>
      </c>
      <c r="AW1" s="80" t="s">
        <v>535</v>
      </c>
      <c r="AX1" s="80" t="s">
        <v>536</v>
      </c>
      <c r="AY1" s="80" t="s">
        <v>537</v>
      </c>
      <c r="AZ1" s="80" t="s">
        <v>1073</v>
      </c>
      <c r="BA1" s="80" t="s">
        <v>540</v>
      </c>
      <c r="BB1" s="80" t="s">
        <v>1072</v>
      </c>
      <c r="BC1" s="80" t="s">
        <v>541</v>
      </c>
      <c r="BD1" s="80" t="s">
        <v>654</v>
      </c>
      <c r="BE1" s="80" t="s">
        <v>527</v>
      </c>
      <c r="BF1" s="80" t="s">
        <v>629</v>
      </c>
      <c r="BG1" s="80" t="s">
        <v>646</v>
      </c>
      <c r="BH1" s="80" t="s">
        <v>528</v>
      </c>
      <c r="BI1" s="80" t="s">
        <v>647</v>
      </c>
      <c r="BJ1" s="80" t="s">
        <v>526</v>
      </c>
      <c r="BK1" s="80" t="s">
        <v>655</v>
      </c>
      <c r="BL1" s="80" t="s">
        <v>917</v>
      </c>
      <c r="BM1" s="80" t="s">
        <v>916</v>
      </c>
      <c r="BN1" s="80" t="s">
        <v>656</v>
      </c>
      <c r="BO1" s="80" t="s">
        <v>913</v>
      </c>
      <c r="BP1" s="80" t="s">
        <v>914</v>
      </c>
      <c r="BQ1" s="80" t="s">
        <v>915</v>
      </c>
      <c r="BR1" s="80" t="s">
        <v>659</v>
      </c>
      <c r="BS1" s="80" t="s">
        <v>660</v>
      </c>
      <c r="BT1" s="80" t="s">
        <v>918</v>
      </c>
      <c r="BU1" s="80" t="s">
        <v>919</v>
      </c>
      <c r="BV1" s="80" t="s">
        <v>920</v>
      </c>
      <c r="BW1" s="80" t="s">
        <v>921</v>
      </c>
      <c r="BX1" s="80" t="s">
        <v>649</v>
      </c>
      <c r="BY1" s="80" t="s">
        <v>650</v>
      </c>
      <c r="BZ1" s="80" t="s">
        <v>651</v>
      </c>
      <c r="CA1" s="80" t="s">
        <v>1092</v>
      </c>
      <c r="CB1" s="80"/>
    </row>
    <row r="2" spans="1:80">
      <c r="B2" t="s">
        <v>532</v>
      </c>
      <c r="C2" t="s">
        <v>519</v>
      </c>
      <c r="D2" t="s">
        <v>32</v>
      </c>
      <c r="E2" t="e" cm="1" vm="1">
        <f t="array" ref="E2">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"ICF",
  _xlpm.ReadyWanted,  "FOAK",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#VALUE!</v>
      </c>
      <c r="F2" t="e" cm="1" vm="1">
        <f t="array" ref="F2">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"ICF",
  _xlpm.ReadyWanted,  "NOAK",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#VALUE!</v>
      </c>
      <c r="G2" cm="1">
        <f t="array" ref="G2:G5">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"ICF",
  _xlpm.ReadyWanted,  "10th-OAK",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143.17228088580748</v>
      </c>
      <c r="H2" cm="1">
        <f t="array" ref="H2:H16">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"MCF",
  _xlpm.ReadyWanted,  "FOAK",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56.475983178346219</v>
      </c>
      <c r="I2" cm="1">
        <f t="array" ref="I2:I10">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"MCF",
  _xlpm.ReadyWanted,  "NOAK",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70.602036497086502</v>
      </c>
      <c r="J2" cm="1">
        <f t="array" ref="J2:J28">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"MCF",
  _xlpm.ReadyWanted,  "10th-OAK",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49.29193841019417</v>
      </c>
      <c r="K2" cm="1">
        <f t="array" ref="K2:K3">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_xlpm.rdClean,   TRIM(UPPER(_xlpm.rd_raw)),
  _xlpm.advRaw,    ISNUMBER(SEARCH("ADVAN", _xlpm.rdClean)),
  _xlpm.highAdvRaw,ISNUMBER(SEARCH("HIGHLY ADVAN", _xlpm.rdClean)),
  _xlpm.isMature,  _xlpm.advRaw + _xlpm.highAdvRaw,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"MCF",
  _xlpm.ReadyWanted, "Mature NOAK",
  _xlpm.OMType,      "FIX",
  _xlpm.valueFix, IF(ISNUMBER(_xlpm.ckW),  _xlpm.ckW,  NA()),
  _xlpm.valueVar, IF(ISNUMBER(_xlpm.cMWh), _xlpm.cMWh, NA()),
  _xlpm.isRightType, IF(_xlpm.OMType="FIX", _xlpm.isFix, _xlpm.isVar),
  _xlpm.v,           IF(_xlpm.OMType="FIX", _xlpm.valueFix, _xlpm.valueVar),
  _xlpm.readyMask,
    IF(
      _xlpm.ReadyWanted = "Mature NOAK",
      _xlpm.isMature,
      _xlpm.rdClean = UPPER(_xlpm.ReadyWanted)
    ),
  _xlfn._xlws.FILTER(
    _xlpm.v,
    (_xlpm.ct = _xlpm.ConfWanted) *
    _xlpm.readyMask *
    _xlpm.isRightType
  )
)</f>
        <v>95.222340882694539</v>
      </c>
      <c r="L2" t="e" cm="1" vm="1">
        <f t="array" ref="L2">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"MIF",
  _xlpm.ReadyWanted,  "FOAK",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#VALUE!</v>
      </c>
      <c r="M2" t="e" cm="1" vm="1">
        <f t="array" ref="M2">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"MIF",
  _xlpm.ReadyWanted,  "NOAK",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#VALUE!</v>
      </c>
      <c r="N2" cm="1">
        <f t="array" ref="N2:N3">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"MIF",
  _xlpm.ReadyWanted,  "10th-OAK",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125.54983812972121</v>
      </c>
      <c r="O2" cm="1">
        <f t="array" ref="O2:O3">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_xlpm.rdClean,   TRIM(UPPER(_xlpm.rd_raw)),
  _xlpm.advRaw,    ISNUMBER(SEARCH("ADVAN", _xlpm.rdClean)),
  _xlpm.highAdvRaw,ISNUMBER(SEARCH("HIGHLY ADVAN", _xlpm.rdClean)),
  _xlpm.isMature,  _xlpm.advRaw + _xlpm.highAdvRaw,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"MIF",
  _xlpm.ReadyWanted, "Mature NOAK",
  _xlpm.OMType,      "FIX",
  _xlpm.valueFix, IF(ISNUMBER(_xlpm.ckW),  _xlpm.ckW,  NA()),
  _xlpm.valueVar, IF(ISNUMBER(_xlpm.cMWh), _xlpm.cMWh, NA()),
  _xlpm.isRightType, IF(_xlpm.OMType="FIX", _xlpm.isFix, _xlpm.isVar),
  _xlpm.v,           IF(_xlpm.OMType="FIX", _xlpm.valueFix, _xlpm.valueVar),
  _xlpm.readyMask,
    IF(
      _xlpm.ReadyWanted = "Mature NOAK",
      _xlpm.isMature,
      _xlpm.rdClean = UPPER(_xlpm.ReadyWanted)
    ),
  _xlfn._xlws.FILTER(
    _xlpm.v,
    (_xlpm.ct = _xlpm.ConfWanted) *
    _xlpm.readyMask *
    _xlpm.isRightType
  )
)</f>
        <v>73.029579204049199</v>
      </c>
      <c r="P2">
        <f>MATCH(B2,$B$2:$B$12,0)</f>
        <v>1</v>
      </c>
      <c r="Q2" s="26" t="e" cm="1">
        <f t="array" aca="1" ref="Q2" ca="1">_xlfn.LET(
  _xlpm.r, OFFSET($E$2,0,ROWS($A$1:A1)-1,ROWS($E$2:$E$1000),1),
  _xlpm.v, _xlfn._xlws.FILTER(_xlpm.r, ISNUMBER(_xlpm.r)),
  IF(COUNT(_xlpm.v)=0, NA(), _xlfn.PERCENTILE.INC(_xlpm.v,0.975))
)</f>
        <v>#N/A</v>
      </c>
      <c r="R2" s="26" t="e" cm="1">
        <f t="array" ref="R2">_xlfn.LET(
  _xlpm.hdr, $E$1:$O$1,
  _xlpm.k,   _xlfn.XMATCH($B2, _xlpm.hdr, 0),
  _xlpm.col, INDEX($E$2:$O$1000,, _xlpm.k),
  _xlpm.v,   _xlfn._xlws.FILTER(_xlpm.col, ISNUMBER(_xlpm.col)),
  IF(COUNT(_xlpm.v)=0, NA(), AVERAGE(_xlpm.v))
)</f>
        <v>#N/A</v>
      </c>
      <c r="S2" t="e" cm="1">
        <f t="array" aca="1" ref="S2" ca="1">_xlfn.LET(
  _xlpm.k, ROWS($A$1:A1)-1,
  _xlpm.r, OFFSET($E$2,0,_xlpm.k,ROWS($E$2:$E$1000),1),
  _xlpm.v, _xlfn._xlws.FILTER(_xlpm.r, ISNUMBER(_xlpm.r)),
  IF(COUNT(_xlpm.v)=0, NA(), MIN(_xlpm.v))
)</f>
        <v>#N/A</v>
      </c>
      <c r="T2" t="e" cm="1">
        <f t="array" aca="1" ref="T2" ca="1">_xlfn.LET(
  _xlpm.k, ROWS($A$1:A1)-1,
  _xlpm.r, OFFSET($E$2,0,_xlpm.k,ROWS($E$2:$E$1000),1),
  _xlpm.v, _xlfn._xlws.FILTER(_xlpm.r, ISNUMBER(_xlpm.r)),
  IF(COUNT(_xlpm.v)=0, NA(), _xlfn.PERCENTILE.INC(_xlpm.v,0.25))
)</f>
        <v>#N/A</v>
      </c>
      <c r="U2" t="e" cm="1">
        <f t="array" aca="1" ref="U2" ca="1">_xlfn.LET(
  _xlpm.k, ROWS($A$1:A1)-1,
  _xlpm.r, OFFSET($E$2,0,_xlpm.k,ROWS($E$2:$E$1000),1),
  _xlpm.v, _xlfn._xlws.FILTER(_xlpm.r, ISNUMBER(_xlpm.r)),
  IF(COUNT(_xlpm.v)=0, NA(), _xlfn.PERCENTILE.INC(_xlpm.v,0.5))
)</f>
        <v>#N/A</v>
      </c>
      <c r="V2" t="e" cm="1">
        <f t="array" aca="1" ref="V2" ca="1">_xlfn.LET(
  _xlpm.k, ROWS($A$1:A1)-1,
  _xlpm.r, OFFSET($E$2,0,_xlpm.k,ROWS($E$2:$E$1000),1),
  _xlpm.v, _xlfn._xlws.FILTER(_xlpm.r, ISNUMBER(_xlpm.r)),
  IF(COUNT(_xlpm.v)=0, NA(), _xlfn.PERCENTILE.INC(_xlpm.v,0.75))
)</f>
        <v>#N/A</v>
      </c>
      <c r="W2" t="e" cm="1">
        <f t="array" aca="1" ref="W2" ca="1">_xlfn.LET(
  _xlpm.k, ROWS($A$1:A1)-1,
  _xlpm.r, OFFSET($E$2,0,_xlpm.k,ROWS($E$2:$E$1000),1),
  _xlpm.v, _xlfn._xlws.FILTER(_xlpm.r, ISNUMBER(_xlpm.r)),
  IF(COUNT(_xlpm.v)=0, NA(), MAX(_xlpm.v))
)</f>
        <v>#N/A</v>
      </c>
      <c r="X2" t="e" cm="1">
        <f t="array" aca="1" ref="X2" ca="1">_xlfn.LET(
  _xlpm.k, ROW(A1)-1,
  _xlpm.r, OFFSET($E$2,0,_xlpm.k,ROWS($E$2:$E$1000),1),
  _xlpm.v, _xlfn._xlws.FILTER(_xlpm.r, ISNUMBER(_xlpm.r)),
  IF(COUNT(_xlpm.v)=0, NA(), _xlfn.PERCENTILE.INC(_xlpm.v, 0.25))
)</f>
        <v>#N/A</v>
      </c>
      <c r="Y2" t="e" cm="1">
        <f t="array" aca="1" ref="Y2" ca="1">_xlfn.LET(
  _xlpm.k, ROW(A1)-1,
  _xlpm.r, OFFSET($E$2,0,_xlpm.k,ROWS($E$2:$E$1000),1),
  _xlpm.v, _xlfn._xlws.FILTER(_xlpm.r, ISNUMBER(_xlpm.r)),
  IF(COUNT(_xlpm.v)=0, NA(), _xlfn.PERCENTILE.INC(_xlpm.v,0.5) - _xlfn.PERCENTILE.INC(_xlpm.v,0.25))
)</f>
        <v>#N/A</v>
      </c>
      <c r="Z2" t="e" cm="1">
        <f t="array" aca="1" ref="Z2" ca="1">_xlfn.LET(
  _xlpm.k, ROW(A1)-1,
  _xlpm.r, OFFSET($E$2,0,_xlpm.k,ROWS($E$2:$E$1000),1),
  _xlpm.v, _xlfn._xlws.FILTER(_xlpm.r, ISNUMBER(_xlpm.r)),
  IF(COUNT(_xlpm.v)=0, NA(), _xlfn.PERCENTILE.INC(_xlpm.v,0.75) - _xlfn.PERCENTILE.INC(_xlpm.v,0.5))
)</f>
        <v>#N/A</v>
      </c>
      <c r="AA2" t="e" cm="1">
        <f t="array" aca="1" ref="AA2" ca="1">_xlfn.LET(
  _xlpm.k, ROW(A1)-1,
  _xlpm.r, OFFSET($E$2,0,_xlpm.k,ROWS($E$2:$E$1000),1),
  _xlpm.v, _xlfn._xlws.FILTER(_xlpm.r, ISNUMBER(_xlpm.r)),
  IF(COUNT(_xlpm.v)=0, NA(), _xlfn.PERCENTILE.INC(_xlpm.v, 0.75))
)</f>
        <v>#N/A</v>
      </c>
      <c r="AB2" t="e">
        <f t="shared" ref="AB2:AB12" ca="1" si="0">V2-T2</f>
        <v>#N/A</v>
      </c>
      <c r="AC2" t="e">
        <f ca="1" xml:space="preserve"> IF(AND(ISNUMBER(T2), ISNUMBER(AB2)), T2 - 1.5*AB2, NA())</f>
        <v>#N/A</v>
      </c>
      <c r="AD2" t="e">
        <f ca="1" xml:space="preserve"> IF(AND(ISNUMBER(V2), ISNUMBER(AB2)), V2 + 1.5*AB2, NA())</f>
        <v>#N/A</v>
      </c>
      <c r="AE2" s="13" t="e" cm="1">
        <f t="array" aca="1" ref="AE2" ca="1">_xlfn.LET(
  _xlpm.Data, $Y$2:$AI$1000,
  _xlpm.col,  $AJ2,
  _xlpm.vec,  INDEX(_xlpm.Data,,_xlpm.col),
  _xlpm.v,    _xlfn._xlws.FILTER(_xlpm.vec, ISNUMBER(_xlpm.vec)),
  _xlpm.f,    AC2,
  IF(OR(COUNT(_xlpm.v)=0, NOT(ISNUMBER(_xlpm.f))),
      NA(),
      IF(COUNT(_xlfn._xlws.FILTER(_xlpm.v, _xlpm.v&gt;=_xlpm.f))=0, MIN(_xlpm.v), MIN(_xlfn._xlws.FILTER(_xlpm.v, _xlpm.v&gt;=_xlpm.f)))
  )
)</f>
        <v>#N/A</v>
      </c>
      <c r="AF2" t="e" cm="1">
        <f t="array" aca="1" ref="AF2" ca="1">_xlfn.LET(
  _xlpm.Data, $Y$2:$AI$1000,
  _xlpm.col,  $AJ2,
  _xlpm.vec,  INDEX(_xlpm.Data,,_xlpm.col),
  _xlpm.v,    _xlfn._xlws.FILTER(_xlpm.vec, ISNUMBER(_xlpm.vec)),
  _xlpm.f,    AD2,
  IF(OR(COUNT(_xlpm.v)=0, NOT(ISNUMBER(_xlpm.f))),
      NA(),
      IF(COUNT(_xlfn._xlws.FILTER(_xlpm.v, _xlpm.v&lt;=_xlpm.f))=0, MAX(_xlpm.v), MAX(_xlfn._xlws.FILTER(_xlpm.v, _xlpm.v&lt;=_xlpm.f)))
  )
)</f>
        <v>#N/A</v>
      </c>
      <c r="AG2" t="e">
        <f t="shared" ref="AG2:AG12" ca="1" si="1">MAX(0, AF2 - U2)</f>
        <v>#N/A</v>
      </c>
      <c r="AH2" t="e">
        <f t="shared" ref="AH2:AH12" ca="1" si="2">MAX(0, U2 - AE2)</f>
        <v>#N/A</v>
      </c>
      <c r="AI2" t="e">
        <f ca="1">T2-AE2</f>
        <v>#N/A</v>
      </c>
      <c r="AJ2" cm="1">
        <f t="array" aca="1" ref="AJ2" ca="1">_xlfn.LET(
  _xlpm.Data, $Y$2:$AI$1000,
  _xlpm.col,  $AJ2,
  _xlpm.vec,  INDEX(_xlpm.Data,,_xlpm.col),
  _xlpm.nums, IFERROR(--_xlpm.vec,),
  _xlpm.v,    _xlfn._xlws.FILTER(_xlpm.nums, ISNUMBER(_xlpm.nums)),
  _xlpm.f,    AD2,
  MAX(IFERROR(_xlfn._xlws.FILTER(_xlpm.v, _xlpm.v&lt;=_xlpm.f), _xlpm.v))
)</f>
        <v>0</v>
      </c>
      <c r="AK2" t="e">
        <f t="shared" ref="AK2:AK12" ca="1" si="3">T2-S2</f>
        <v>#N/A</v>
      </c>
      <c r="AL2">
        <v>0</v>
      </c>
      <c r="AM2" t="e">
        <f t="shared" ref="AM2:AM12" ca="1" si="4">W2-V2</f>
        <v>#N/A</v>
      </c>
      <c r="AN2" cm="1">
        <f t="array" ref="AN2:AN61">_xlfn.LET(
  _xlpm.rng, $E$2:$O$1000,
  _xlpm.v,   _xlfn.TOCOL(_xlpm.rng, 3, 1),
  _xlfn._xlws.FILTER(_xlpm.v, ISNUMBER(_xlpm.v))
)</f>
        <v>143.17228088580748</v>
      </c>
      <c r="AO2" cm="1">
        <f t="array" ref="AO2:AO61">_xlfn.LET(
  _xlpm.rng,   E$2:O$1000,
  _xlpm.idx2D, COLUMN(_xlpm.rng)-MIN(COLUMN(_xlpm.rng))+1,
  _xlpm.mask,  ISNUMBER(_xlpm.rng),
  _xlpm.idx2D_masked, IF(_xlpm.mask, _xlpm.idx2D, NA()),
  _xlpm.v,  _xlfn.TOCOL(_xlpm.rng, 3, 1),
  _xlpm.x,  _xlfn.TOCOL(_xlpm.idx2D_masked, 3, 1),
  _xlfn._xlws.FILTER(_xlpm.x, ISNUMBER(_xlpm.v))
)</f>
        <v>3</v>
      </c>
      <c r="AS2" t="s">
        <v>534</v>
      </c>
      <c r="AT2" t="s">
        <v>519</v>
      </c>
      <c r="AU2" t="s">
        <v>52</v>
      </c>
      <c r="AV2" cm="1">
        <f t="array" ref="AV2:AV5">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"ICF",
  _xlpm.ReadyWanted,  "10th-OAK",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143.17228088580748</v>
      </c>
      <c r="AW2" cm="1">
        <f t="array" ref="AW2:AW16">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"MCF",
  _xlpm.ReadyWanted,  "FOAK",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56.475983178346219</v>
      </c>
      <c r="AX2" cm="1">
        <f t="array" ref="AX2:AX10">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"MCF",
  _xlpm.ReadyWanted,  "NOAK",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70.602036497086502</v>
      </c>
      <c r="AY2" cm="1">
        <f t="array" ref="AY2:AY28">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"MCF",
  _xlpm.ReadyWanted,  "10th-OAK",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49.29193841019417</v>
      </c>
      <c r="AZ2" cm="1">
        <f t="array" ref="AZ2:AZ3">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_xlpm.rdClean,   TRIM(UPPER(_xlpm.rd_raw)),
  _xlpm.advRaw,    ISNUMBER(SEARCH("ADVAN", _xlpm.rdClean)),
  _xlpm.highAdvRaw,ISNUMBER(SEARCH("HIGHLY ADVAN", _xlpm.rdClean)),
  _xlpm.isMature,  _xlpm.advRaw + _xlpm.highAdvRaw,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"MCF",
  _xlpm.ReadyWanted, "Mature NOAK",
  _xlpm.OMType,      "FIX",
  _xlpm.valueFix, IF(ISNUMBER(_xlpm.ckW),  _xlpm.ckW,  NA()),
  _xlpm.valueVar, IF(ISNUMBER(_xlpm.cMWh), _xlpm.cMWh, NA()),
  _xlpm.isRightType, IF(_xlpm.OMType="FIX", _xlpm.isFix, _xlpm.isVar),
  _xlpm.v,           IF(_xlpm.OMType="FIX", _xlpm.valueFix, _xlpm.valueVar),
  _xlpm.readyMask,
    IF(
      _xlpm.ReadyWanted = "Mature NOAK",
      _xlpm.isMature,
      _xlpm.rdClean = UPPER(_xlpm.ReadyWanted)
    ),
  _xlfn._xlws.FILTER(
    _xlpm.v,
    (_xlpm.ct = _xlpm.ConfWanted) *
    _xlpm.readyMask *
    _xlpm.isRightType
  )
)</f>
        <v>95.222340882694539</v>
      </c>
      <c r="BA2" cm="1">
        <f t="array" ref="BA2:BA3">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"MIF",
  _xlpm.ReadyWanted,  "10th-OAK",
  _xlpm.OMType,       "FIX",
  _xlpm.valueFix, IF(ISNUMBER(_xlpm.ckW),  _xlpm.ckW,  NA()),
  _xlpm.valueVar, IF(ISNUMBER(_xlpm.cMWh), _xlpm.cMWh, NA()),
  _xlpm.isRightType, IF(_xlpm.OMType="FIX", _xlpm.isFix, _xlpm.isVar),
  _xlpm.v,           IF(_xlpm.OMType="FIX", _xlpm.valueFix, _xlpm.valueVar),
  _xlfn._xlws.FILTER(
    _xlpm.v,
    (_xlpm.ct = _xlpm.ConfWanted) *
    (_xlpm.rd = _xlpm.ReadyWanted) *
    _xlpm.isRightType
  )
)</f>
        <v>125.54983812972121</v>
      </c>
      <c r="BB2" cm="1">
        <f t="array" ref="BB2:BB3">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_xlpm.rdClean,   TRIM(UPPER(_xlpm.rd_raw)),
  _xlpm.advRaw,    ISNUMBER(SEARCH("ADVAN", _xlpm.rdClean)),
  _xlpm.highAdvRaw,ISNUMBER(SEARCH("HIGHLY ADVAN", _xlpm.rdClean)),
  _xlpm.isMature,  _xlpm.advRaw + _xlpm.highAdvRaw,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"MIF",
  _xlpm.ReadyWanted, "Mature NOAK",
  _xlpm.OMType,      "FIX",
  _xlpm.valueFix, IF(ISNUMBER(_xlpm.ckW),  _xlpm.ckW,  NA()),
  _xlpm.valueVar, IF(ISNUMBER(_xlpm.cMWh), _xlpm.cMWh, NA()),
  _xlpm.isRightType, IF(_xlpm.OMType="FIX", _xlpm.isFix, _xlpm.isVar),
  _xlpm.v,           IF(_xlpm.OMType="FIX", _xlpm.valueFix, _xlpm.valueVar),
  _xlpm.readyMask,
    IF(
      _xlpm.ReadyWanted = "Mature NOAK",
      _xlpm.isMature,
      _xlpm.rdClean = UPPER(_xlpm.ReadyWanted)
    ),
  _xlfn._xlws.FILTER(
    _xlpm.v,
    (_xlpm.ct = _xlpm.ConfWanted) *
    _xlpm.readyMask *
    _xlpm.isRightType
  )
)</f>
        <v>73.029579204049199</v>
      </c>
      <c r="BC2">
        <f>MATCH(AS2,$AS$2:$AS$8,0)</f>
        <v>1</v>
      </c>
      <c r="BD2" s="26" cm="1">
        <f t="array" aca="1" ref="BD2" ca="1">_xlfn.LET(
  _xlpm.r,OFFSET($AV$2,0,ROW(A1)-1,ROWS($AV$2:$AV$1000),1),
  _xlpm.v,_xlfn._xlws.FILTER(_xlpm.r,ISNUMBER(_xlpm.r)),
  IF(COUNT(_xlpm.v)=0,NA(),_xlfn.PERCENTILE.INC(_xlpm.v,0.975))
)</f>
        <v>169.65915284968185</v>
      </c>
      <c r="BE2" s="26" cm="1">
        <f t="array" ref="BE2">_xlfn.LET(
  _xlpm.hdr, $AV$1:$BB$1,
  _xlpm.k,   _xlfn.XMATCH($AS2, _xlpm.hdr, 0),
  _xlpm.col, INDEX($AV$2:$BB$1000,, _xlpm.k),
  _xlpm.v,   _xlfn._xlws.FILTER(_xlpm.col, ISNUMBER(_xlpm.col)),
  IF(COUNT(_xlpm.v)=0, NA(), AVERAGE(_xlpm.v))
)</f>
        <v>136.85202264262725</v>
      </c>
      <c r="BF2" cm="1">
        <f t="array" aca="1" ref="BF2" ca="1">_xlfn.LET(
  _xlpm.k,ROW(A1)-1,
  _xlpm.r,OFFSET($AV$2,0,_xlpm.k,ROWS($AV$2:$AV$1000),1),
  _xlpm.v,_xlfn._xlws.FILTER(_xlpm.r,ISNUMBER(_xlpm.r)),
  IF(COUNT(_xlpm.v)=0,NA(),MIN(_xlpm.v))
)</f>
        <v>114.77221957640461</v>
      </c>
      <c r="BG2" cm="1">
        <f t="array" aca="1" ref="BG2" ca="1">_xlfn.LET(
  _xlpm.k,ROW(A1)-1,
  _xlpm.r,OFFSET($AV$2,0,_xlpm.k,ROWS($AV$2:$AV$1000),1),
  _xlpm.v,_xlfn._xlws.FILTER(_xlpm.r,ISNUMBER(_xlpm.r)),
  IF(COUNT(_xlpm.v)=0,NA(),_xlfn.PERCENTILE.INC(_xlpm.v,0.25))
)</f>
        <v>116.93569467809709</v>
      </c>
      <c r="BH2" cm="1">
        <f t="array" aca="1" ref="BH2" ca="1">_xlfn.LET(
  _xlpm.k,ROW(A1)-1,
  _xlpm.r,OFFSET($AV$2,0,_xlpm.k,ROWS($AV$2:$AV$1000),1),
  _xlpm.v,_xlfn._xlws.FILTER(_xlpm.r,ISNUMBER(_xlpm.r)),
  IF(COUNT(_xlpm.v)=0,NA(),_xlfn.PERCENTILE.INC(_xlpm.v,0.5))
)</f>
        <v>130.4145669655677</v>
      </c>
      <c r="BI2" cm="1">
        <f t="array" ref="BI2">_xlfn.LET(
  _xlpm.Data, $AV$2:$BB$1000,
  _xlpm.col,  $BC2,
  _xlpm.vec,  INDEX(_xlpm.Data,,_xlpm.col),
  _xlpm.v,    _xlfn._xlws.FILTER(_xlpm.vec, ISNUMBER(_xlpm.vec)),
  IF(COUNT(_xlpm.v)=0, NA(), _xlfn.PERCENTILE.INC(_xlpm.v, 0.75))
)</f>
        <v>150.33089493009786</v>
      </c>
      <c r="BJ2" cm="1">
        <f t="array" aca="1" ref="BJ2" ca="1">_xlfn.LET(
  _xlpm.k,ROW(A1)-1,
  _xlpm.r,OFFSET($AV$2,0,_xlpm.k,ROWS($AV$2:$AV$1000),1),
  _xlpm.v,_xlfn._xlws.FILTER(_xlpm.r,ISNUMBER(_xlpm.r)),
  IF(COUNT(_xlpm.v)=0,NA(),MAX(_xlpm.v))
)</f>
        <v>171.80673706296898</v>
      </c>
      <c r="BK2" cm="1">
        <f t="array" aca="1" ref="BK2" ca="1">_xlfn.LET(_xlpm.r,OFFSET($AV$2,0,ROW(A1)-1,ROWS($AV$2:$AV$1000),1),
    _xlpm.v,_xlfn._xlws.FILTER(_xlpm.r,ISNUMBER(_xlpm.r)),
    _xlfn.PERCENTILE.INC(_xlpm.v,0.25))</f>
        <v>116.93569467809709</v>
      </c>
      <c r="BL2" cm="1">
        <f t="array" aca="1" ref="BL2" ca="1">_xlfn.LET(
  _xlpm.k, ROW(A1)-1,
  _xlpm.r, OFFSET($AV$2,0,_xlpm.k,ROWS($AV$2:$AV$1000),1),
  _xlpm.v, _xlfn._xlws.FILTER(_xlpm.r, ISNUMBER(_xlpm.r)),
  IF(COUNT(_xlpm.v)=0, NA(), _xlfn.PERCENTILE.INC(_xlpm.v,0.5)-_xlfn.PERCENTILE.INC(_xlpm.v,0.25))
)</f>
        <v>13.478872287470608</v>
      </c>
      <c r="BM2" cm="1">
        <f t="array" aca="1" ref="BM2" ca="1">_xlfn.LET(_xlpm.r,OFFSET($AV$2,0,ROW(A1)-1,ROWS($AV$2:$AV$1000),1),
    _xlpm.v,_xlfn._xlws.FILTER(_xlpm.r,ISNUMBER(_xlpm.r)),
    _xlfn.PERCENTILE.INC(_xlpm.v,0.75)-_xlfn.PERCENTILE.INC(_xlpm.v,0.5))</f>
        <v>19.916327964530154</v>
      </c>
      <c r="BN2" cm="1">
        <f t="array" aca="1" ref="BN2" ca="1">_xlfn.LET(_xlpm.r,OFFSET($AV$2,0,ROW(A1)-1,ROWS($AV$2:$AV$1000),1),
    _xlpm.v,_xlfn._xlws.FILTER(_xlpm.r,ISNUMBER(_xlpm.r)),
    MAX(_xlpm.v)-_xlfn.PERCENTILE.INC(_xlpm.v,0.75))</f>
        <v>21.475842132871122</v>
      </c>
      <c r="BO2">
        <f t="shared" ref="BO2:BO8" ca="1" si="5">BI2-BG2</f>
        <v>33.395200252000762</v>
      </c>
      <c r="BP2">
        <f ca="1" xml:space="preserve"> IF(AND(ISNUMBER(BG2), ISNUMBER(BO2)), BG2 - 1.5*BO2, NA())</f>
        <v>66.842894300095949</v>
      </c>
      <c r="BQ2">
        <f ca="1" xml:space="preserve"> IF(AND(ISNUMBER(BI2), ISNUMBER(BO2)), BI2 + 1.5*BO2, NA())</f>
        <v>200.42369530809901</v>
      </c>
      <c r="BR2" s="13" cm="1">
        <f t="array" aca="1" ref="BR2" ca="1">_xlfn.LET(
  _xlpm.Data, $AV$2:$BB$1000,
  _xlpm.col,  $BC2,
  _xlpm.vec,  INDEX(_xlpm.Data,,_xlpm.col),
  _xlpm.v,    _xlfn._xlws.FILTER(_xlpm.vec, ISNUMBER(_xlpm.vec)),
  _xlpm.f,    BP2,
  IF(OR(COUNT(_xlpm.v)=0, NOT(ISNUMBER(_xlpm.f))),
      NA(),
      IF(COUNT(_xlfn._xlws.FILTER(_xlpm.v, _xlpm.v&gt;=_xlpm.f))=0, MIN(_xlpm.v), MIN(_xlfn._xlws.FILTER(_xlpm.v, _xlpm.v&gt;=_xlpm.f)))
  )
)</f>
        <v>114.77221957640461</v>
      </c>
      <c r="BS2" cm="1">
        <f t="array" aca="1" ref="BS2" ca="1">_xlfn.LET(
  _xlpm.Data, $AV$2:$BB$1000,
  _xlpm.col,  $BC2,
  _xlpm.vec,  INDEX(_xlpm.Data,,_xlpm.col),
  _xlpm.v,    _xlfn._xlws.FILTER(_xlpm.vec, ISNUMBER(_xlpm.vec)),
  _xlpm.f,    BQ2,
  IF(OR(COUNT(_xlpm.v)=0, NOT(ISNUMBER(_xlpm.f))),
      NA(),
      IF(COUNT(_xlfn._xlws.FILTER(_xlpm.v, _xlpm.v&lt;=_xlpm.f))=0, MAX(_xlpm.v), MAX(_xlfn._xlws.FILTER(_xlpm.v, _xlpm.v&lt;=_xlpm.f)))
  )
)</f>
        <v>171.80673706296898</v>
      </c>
      <c r="BT2">
        <f t="shared" ref="BT2:BT8" ca="1" si="6">MAX(0, BS2 - BH2)</f>
        <v>41.392170097401277</v>
      </c>
      <c r="BU2">
        <f t="shared" ref="BU2:BU8" ca="1" si="7">MAX(0, BH2 - BR2)</f>
        <v>15.642347389163092</v>
      </c>
      <c r="BV2">
        <f ca="1">BG2-BR2</f>
        <v>2.1634751016924838</v>
      </c>
      <c r="BW2">
        <f ca="1">BS2-BI2</f>
        <v>21.475842132871122</v>
      </c>
      <c r="BX2">
        <f t="shared" ref="BX2:BX8" ca="1" si="8">BG2-BF2</f>
        <v>2.1634751016924838</v>
      </c>
      <c r="BY2">
        <v>0</v>
      </c>
      <c r="BZ2">
        <f t="shared" ref="BZ2:BZ8" ca="1" si="9">BJ2-BI2</f>
        <v>21.475842132871122</v>
      </c>
      <c r="CA2" cm="1">
        <f t="array" ref="CA2:CA61">_xlfn.LET(
  _xlpm.rng, $E$2:$O$1000,
  _xlpm.v,   _xlfn.TOCOL(_xlpm.rng, 3, 1),
  _xlfn._xlws.FILTER(_xlpm.v, ISNUMBER(_xlpm.v))
)</f>
        <v>143.17228088580748</v>
      </c>
      <c r="CB2" cm="1">
        <f t="array" ref="CB2:CB61">_xlfn.LET(
  _xlpm.rng,   AV$2:BB$1000,
  _xlpm.idx2D, COLUMN(_xlpm.rng)-MIN(COLUMN(_xlpm.rng))+1,
  _xlpm.mask,  ISNUMBER(_xlpm.rng),
  _xlpm.idx2D_masked, IF(_xlpm.mask, _xlpm.idx2D, NA()),
  _xlpm.v,  _xlfn.TOCOL(_xlpm.rng, 3, 1),
  _xlpm.x,  _xlfn.TOCOL(_xlpm.idx2D_masked, 3, 1),
  _xlfn._xlws.FILTER(_xlpm.x, ISNUMBER(_xlpm.v))
)</f>
        <v>1</v>
      </c>
    </row>
    <row r="3" spans="1:80">
      <c r="B3" t="s">
        <v>533</v>
      </c>
      <c r="C3" t="s">
        <v>519</v>
      </c>
      <c r="D3" t="s">
        <v>57</v>
      </c>
      <c r="G3">
        <v>171.80673706296898</v>
      </c>
      <c r="H3">
        <v>60.950009161464997</v>
      </c>
      <c r="I3">
        <v>89.75608878512358</v>
      </c>
      <c r="J3">
        <v>77.325376368613149</v>
      </c>
      <c r="K3" t="e">
        <v>#N/A</v>
      </c>
      <c r="N3">
        <v>265.04965827385587</v>
      </c>
      <c r="O3">
        <v>106.36854708321621</v>
      </c>
      <c r="P3">
        <f t="shared" ref="P3:P12" si="10">MATCH(B3,$B$2:$B$12,0)</f>
        <v>2</v>
      </c>
      <c r="Q3" s="26" t="e" cm="1">
        <f t="array" aca="1" ref="Q3" ca="1">_xlfn.LET(
  _xlpm.r, OFFSET($E$2,0,ROWS($A$1:A2)-1,ROWS($E$2:$E$1000),1),
  _xlpm.v, _xlfn._xlws.FILTER(_xlpm.r, ISNUMBER(_xlpm.r)),
  IF(COUNT(_xlpm.v)=0, NA(), _xlfn.PERCENTILE.INC(_xlpm.v,0.975))
)</f>
        <v>#N/A</v>
      </c>
      <c r="R3" s="26" t="e" cm="1">
        <f t="array" ref="R3">_xlfn.LET(
  _xlpm.hdr, $E$1:$O$1,
  _xlpm.k,   _xlfn.XMATCH($B3, _xlpm.hdr, 0),
  _xlpm.col, INDEX($E$2:$O$1000,, _xlpm.k),
  _xlpm.v,   _xlfn._xlws.FILTER(_xlpm.col, ISNUMBER(_xlpm.col)),
  IF(COUNT(_xlpm.v)=0, NA(), AVERAGE(_xlpm.v))
)</f>
        <v>#N/A</v>
      </c>
      <c r="S3" t="e" cm="1">
        <f t="array" aca="1" ref="S3" ca="1">_xlfn.LET(
  _xlpm.k, ROWS($A$1:A2)-1,
  _xlpm.r, OFFSET($E$2,0,_xlpm.k,ROWS($E$2:$E$1000),1),
  _xlpm.v, _xlfn._xlws.FILTER(_xlpm.r, ISNUMBER(_xlpm.r)),
  IF(COUNT(_xlpm.v)=0, NA(), MIN(_xlpm.v))
)</f>
        <v>#N/A</v>
      </c>
      <c r="T3" t="e" cm="1">
        <f t="array" aca="1" ref="T3" ca="1">_xlfn.LET(
  _xlpm.k, ROWS($A$1:A2)-1,
  _xlpm.r, OFFSET($E$2,0,_xlpm.k,ROWS($E$2:$E$1000),1),
  _xlpm.v, _xlfn._xlws.FILTER(_xlpm.r, ISNUMBER(_xlpm.r)),
  IF(COUNT(_xlpm.v)=0, NA(), _xlfn.PERCENTILE.INC(_xlpm.v,0.25))
)</f>
        <v>#N/A</v>
      </c>
      <c r="U3" t="e" cm="1">
        <f t="array" aca="1" ref="U3" ca="1">_xlfn.LET(
  _xlpm.k, ROWS($A$1:A2)-1,
  _xlpm.r, OFFSET($E$2,0,_xlpm.k,ROWS($E$2:$E$1000),1),
  _xlpm.v, _xlfn._xlws.FILTER(_xlpm.r, ISNUMBER(_xlpm.r)),
  IF(COUNT(_xlpm.v)=0, NA(), _xlfn.PERCENTILE.INC(_xlpm.v,0.5))
)</f>
        <v>#N/A</v>
      </c>
      <c r="V3" t="e" cm="1">
        <f t="array" aca="1" ref="V3" ca="1">_xlfn.LET(
  _xlpm.k, ROWS($A$1:A2)-1,
  _xlpm.r, OFFSET($E$2,0,_xlpm.k,ROWS($E$2:$E$1000),1),
  _xlpm.v, _xlfn._xlws.FILTER(_xlpm.r, ISNUMBER(_xlpm.r)),
  IF(COUNT(_xlpm.v)=0, NA(), _xlfn.PERCENTILE.INC(_xlpm.v,0.75))
)</f>
        <v>#N/A</v>
      </c>
      <c r="W3" t="e" cm="1">
        <f t="array" aca="1" ref="W3" ca="1">_xlfn.LET(
  _xlpm.k, ROWS($A$1:A2)-1,
  _xlpm.r, OFFSET($E$2,0,_xlpm.k,ROWS($E$2:$E$1000),1),
  _xlpm.v, _xlfn._xlws.FILTER(_xlpm.r, ISNUMBER(_xlpm.r)),
  IF(COUNT(_xlpm.v)=0, NA(), MAX(_xlpm.v))
)</f>
        <v>#N/A</v>
      </c>
      <c r="X3" t="e" cm="1">
        <f t="array" aca="1" ref="X3" ca="1">_xlfn.LET(
  _xlpm.k, ROW(A2)-1,
  _xlpm.r, OFFSET($E$2,0,_xlpm.k,ROWS($E$2:$E$1000),1),
  _xlpm.v, _xlfn._xlws.FILTER(_xlpm.r, ISNUMBER(_xlpm.r)),
  IF(COUNT(_xlpm.v)=0, NA(), _xlfn.PERCENTILE.INC(_xlpm.v, 0.25))
)</f>
        <v>#N/A</v>
      </c>
      <c r="Y3" t="e" cm="1">
        <f t="array" aca="1" ref="Y3" ca="1">_xlfn.LET(
  _xlpm.k, ROW(A2)-1,
  _xlpm.r, OFFSET($E$2,0,_xlpm.k,ROWS($E$2:$E$1000),1),
  _xlpm.v, _xlfn._xlws.FILTER(_xlpm.r, ISNUMBER(_xlpm.r)),
  IF(COUNT(_xlpm.v)=0, NA(), _xlfn.PERCENTILE.INC(_xlpm.v,0.5) - _xlfn.PERCENTILE.INC(_xlpm.v,0.25))
)</f>
        <v>#N/A</v>
      </c>
      <c r="Z3" t="e" cm="1">
        <f t="array" aca="1" ref="Z3" ca="1">_xlfn.LET(
  _xlpm.k, ROW(A2)-1,
  _xlpm.r, OFFSET($E$2,0,_xlpm.k,ROWS($E$2:$E$1000),1),
  _xlpm.v, _xlfn._xlws.FILTER(_xlpm.r, ISNUMBER(_xlpm.r)),
  IF(COUNT(_xlpm.v)=0, NA(), _xlfn.PERCENTILE.INC(_xlpm.v,0.75) - _xlfn.PERCENTILE.INC(_xlpm.v,0.5))
)</f>
        <v>#N/A</v>
      </c>
      <c r="AA3" t="e" cm="1">
        <f t="array" aca="1" ref="AA3" ca="1">_xlfn.LET(
  _xlpm.k, ROW(A2)-1,
  _xlpm.r, OFFSET($E$2,0,_xlpm.k,ROWS($E$2:$E$1000),1),
  _xlpm.v, _xlfn._xlws.FILTER(_xlpm.r, ISNUMBER(_xlpm.r)),
  IF(COUNT(_xlpm.v)=0, NA(), _xlfn.PERCENTILE.INC(_xlpm.v, 0.75))
)</f>
        <v>#N/A</v>
      </c>
      <c r="AB3" t="e">
        <f t="shared" ca="1" si="0"/>
        <v>#N/A</v>
      </c>
      <c r="AC3" t="e">
        <f t="shared" ref="AC3:AC12" ca="1" si="11" xml:space="preserve"> IF(AND(ISNUMBER(T3), ISNUMBER(AB3)), T3 - 1.5*AB3, NA())</f>
        <v>#N/A</v>
      </c>
      <c r="AD3" t="e">
        <f t="shared" ref="AD3:AD12" ca="1" si="12" xml:space="preserve"> IF(AND(ISNUMBER(V3), ISNUMBER(AB3)), V3 + 1.5*AB3, NA())</f>
        <v>#N/A</v>
      </c>
      <c r="AE3" s="13" t="e" cm="1">
        <f t="array" aca="1" ref="AE3" ca="1">_xlfn.LET(
  _xlpm.Data, $Y$2:$AI$1000,
  _xlpm.col,  $AJ3,
  _xlpm.vec,  INDEX(_xlpm.Data,,_xlpm.col),
  _xlpm.v,    _xlfn._xlws.FILTER(_xlpm.vec, ISNUMBER(_xlpm.vec)),
  _xlpm.f,    AC3,
  IF(OR(COUNT(_xlpm.v)=0, NOT(ISNUMBER(_xlpm.f))),
      NA(),
      IF(COUNT(_xlfn._xlws.FILTER(_xlpm.v, _xlpm.v&gt;=_xlpm.f))=0, MIN(_xlpm.v), MIN(_xlfn._xlws.FILTER(_xlpm.v, _xlpm.v&gt;=_xlpm.f)))
  )
)</f>
        <v>#N/A</v>
      </c>
      <c r="AF3" t="e" cm="1">
        <f t="array" aca="1" ref="AF3" ca="1">_xlfn.LET(
  _xlpm.Data, $Y$2:$AI$1000,
  _xlpm.col,  $AJ3,
  _xlpm.vec,  INDEX(_xlpm.Data,,_xlpm.col),
  _xlpm.v,    _xlfn._xlws.FILTER(_xlpm.vec, ISNUMBER(_xlpm.vec)),
  _xlpm.f,    AD3,
  IF(OR(COUNT(_xlpm.v)=0, NOT(ISNUMBER(_xlpm.f))),
      NA(),
      IF(COUNT(_xlfn._xlws.FILTER(_xlpm.v, _xlpm.v&lt;=_xlpm.f))=0, MAX(_xlpm.v), MAX(_xlfn._xlws.FILTER(_xlpm.v, _xlpm.v&lt;=_xlpm.f)))
  )
)</f>
        <v>#N/A</v>
      </c>
      <c r="AG3" t="e">
        <f t="shared" ca="1" si="1"/>
        <v>#N/A</v>
      </c>
      <c r="AH3" t="e">
        <f t="shared" ca="1" si="2"/>
        <v>#N/A</v>
      </c>
      <c r="AI3" t="e">
        <f t="shared" ref="AI3:AI12" ca="1" si="13">T3-AE3</f>
        <v>#N/A</v>
      </c>
      <c r="AJ3" cm="1">
        <f t="array" aca="1" ref="AJ3" ca="1">_xlfn.LET(
  _xlpm.Data, $Y$2:$AI$1000,
  _xlpm.col,  $AJ3,
  _xlpm.vec,  INDEX(_xlpm.Data,,_xlpm.col),
  _xlpm.nums, IFERROR(--_xlpm.vec,),
  _xlpm.v,    _xlfn._xlws.FILTER(_xlpm.nums, ISNUMBER(_xlpm.nums)),
  _xlpm.f,    AD3,
  MAX(IFERROR(_xlfn._xlws.FILTER(_xlpm.v, _xlpm.v&lt;=_xlpm.f), _xlpm.v))
)</f>
        <v>0</v>
      </c>
      <c r="AK3" t="e">
        <f t="shared" ca="1" si="3"/>
        <v>#N/A</v>
      </c>
      <c r="AL3">
        <v>0</v>
      </c>
      <c r="AM3" t="e">
        <f t="shared" ca="1" si="4"/>
        <v>#N/A</v>
      </c>
      <c r="AN3">
        <v>171.80673706296898</v>
      </c>
      <c r="AO3">
        <v>3</v>
      </c>
      <c r="AS3" t="s">
        <v>535</v>
      </c>
      <c r="AT3" t="s">
        <v>518</v>
      </c>
      <c r="AU3" t="s">
        <v>32</v>
      </c>
      <c r="AV3">
        <v>171.80673706296898</v>
      </c>
      <c r="AW3">
        <v>60.950009161464997</v>
      </c>
      <c r="AX3">
        <v>89.75608878512358</v>
      </c>
      <c r="AY3">
        <v>77.325376368613149</v>
      </c>
      <c r="AZ3" t="e">
        <v>#N/A</v>
      </c>
      <c r="BA3">
        <v>265.04965827385587</v>
      </c>
      <c r="BB3">
        <v>106.36854708321621</v>
      </c>
      <c r="BC3">
        <f t="shared" ref="BC3:BC8" si="14">MATCH(AS3,$AS$2:$AS$8,0)</f>
        <v>2</v>
      </c>
      <c r="BD3" s="26" cm="1">
        <f t="array" aca="1" ref="BD3" ca="1">_xlfn.LET(
  _xlpm.r,OFFSET($AV$2,0,ROW(A2)-1,ROWS($AV$2:$AV$1000),1),
  _xlpm.v,_xlfn._xlws.FILTER(_xlpm.r,ISNUMBER(_xlpm.r)),
  IF(COUNT(_xlpm.v)=0,NA(),_xlfn.PERCENTILE.INC(_xlpm.v,0.975))
)</f>
        <v>133.93233221071657</v>
      </c>
      <c r="BE3" s="26" cm="1">
        <f t="array" ref="BE3">_xlfn.LET(
  _xlpm.hdr, $AV$1:$BB$1,
  _xlpm.k,   _xlfn.XMATCH($AS3, _xlpm.hdr, 0),
  _xlpm.col, INDEX($AV$2:$BB$1000,, _xlpm.k),
  _xlpm.v,   _xlfn._xlws.FILTER(_xlpm.col, ISNUMBER(_xlpm.col)),
  IF(COUNT(_xlpm.v)=0, NA(), AVERAGE(_xlpm.v))
)</f>
        <v>91.431121716005279</v>
      </c>
      <c r="BF3" cm="1">
        <f t="array" aca="1" ref="BF3" ca="1">_xlfn.LET(
  _xlpm.k,ROW(A2)-1,
  _xlpm.r,OFFSET($AV$2,0,_xlpm.k,ROWS($AV$2:$AV$1000),1),
  _xlpm.v,_xlfn._xlws.FILTER(_xlpm.r,ISNUMBER(_xlpm.r)),
  IF(COUNT(_xlpm.v)=0,NA(),MIN(_xlpm.v))
)</f>
        <v>56.475983178346219</v>
      </c>
      <c r="BG3" cm="1">
        <f t="array" aca="1" ref="BG3" ca="1">_xlfn.LET(
  _xlpm.k,ROW(A2)-1,
  _xlpm.r,OFFSET($AV$2,0,_xlpm.k,ROWS($AV$2:$AV$1000),1),
  _xlpm.v,_xlfn._xlws.FILTER(_xlpm.r,ISNUMBER(_xlpm.r)),
  IF(COUNT(_xlpm.v)=0,NA(),_xlfn.PERCENTILE.INC(_xlpm.v,0.25))
)</f>
        <v>75.064687786811476</v>
      </c>
      <c r="BH3" cm="1">
        <f t="array" aca="1" ref="BH3" ca="1">_xlfn.LET(
  _xlpm.k,ROW(A2)-1,
  _xlpm.r,OFFSET($AV$2,0,_xlpm.k,ROWS($AV$2:$AV$1000),1),
  _xlpm.v,_xlfn._xlws.FILTER(_xlpm.r,ISNUMBER(_xlpm.r)),
  IF(COUNT(_xlpm.v)=0,NA(),_xlfn.PERCENTILE.INC(_xlpm.v,0.5))
)</f>
        <v>78.760561976504277</v>
      </c>
      <c r="BI3" cm="1">
        <f t="array" ref="BI3">_xlfn.LET(
  _xlpm.Data, $AV$2:$BB$1000,
  _xlpm.col,  $BC3,
  _xlpm.vec,  INDEX(_xlpm.Data,,_xlpm.col),
  _xlpm.v,    _xlfn._xlws.FILTER(_xlpm.vec, ISNUMBER(_xlpm.vec)),
  IF(COUNT(_xlpm.v)=0, NA(), _xlfn.PERCENTILE.INC(_xlpm.v, 0.75))
)</f>
        <v>113.65117795704055</v>
      </c>
      <c r="BJ3" cm="1">
        <f t="array" aca="1" ref="BJ3" ca="1">_xlfn.LET(
  _xlpm.k,ROW(A2)-1,
  _xlpm.r,OFFSET($AV$2,0,_xlpm.k,ROWS($AV$2:$AV$1000),1),
  _xlpm.v,_xlfn._xlws.FILTER(_xlpm.r,ISNUMBER(_xlpm.r)),
  IF(COUNT(_xlpm.v)=0,NA(),MAX(_xlpm.v))
)</f>
        <v>137.83965546576292</v>
      </c>
      <c r="BK3" cm="1">
        <f t="array" aca="1" ref="BK3" ca="1">_xlfn.LET(_xlpm.r,OFFSET($AV$2,0,ROW(A2)-1,ROWS($AV$2:$AV$1000),1),
    _xlpm.v,_xlfn._xlws.FILTER(_xlpm.r,ISNUMBER(_xlpm.r)),
    _xlfn.PERCENTILE.INC(_xlpm.v,0.25))</f>
        <v>75.064687786811476</v>
      </c>
      <c r="BL3" cm="1">
        <f t="array" aca="1" ref="BL3" ca="1">_xlfn.LET(
  _xlpm.k, ROW(A2)-1,
  _xlpm.r, OFFSET($AV$2,0,_xlpm.k,ROWS($AV$2:$AV$1000),1),
  _xlpm.v, _xlfn._xlws.FILTER(_xlpm.r, ISNUMBER(_xlpm.r)),
  IF(COUNT(_xlpm.v)=0, NA(), _xlfn.PERCENTILE.INC(_xlpm.v,0.5)-_xlfn.PERCENTILE.INC(_xlpm.v,0.25))
)</f>
        <v>3.6958741896928018</v>
      </c>
      <c r="BM3" cm="1">
        <f t="array" aca="1" ref="BM3" ca="1">_xlfn.LET(_xlpm.r,OFFSET($AV$2,0,ROW(A2)-1,ROWS($AV$2:$AV$1000),1),
    _xlpm.v,_xlfn._xlws.FILTER(_xlpm.r,ISNUMBER(_xlpm.r)),
    _xlfn.PERCENTILE.INC(_xlpm.v,0.75)-_xlfn.PERCENTILE.INC(_xlpm.v,0.5))</f>
        <v>34.890615980536268</v>
      </c>
      <c r="BN3" cm="1">
        <f t="array" aca="1" ref="BN3" ca="1">_xlfn.LET(_xlpm.r,OFFSET($AV$2,0,ROW(A2)-1,ROWS($AV$2:$AV$1000),1),
    _xlpm.v,_xlfn._xlws.FILTER(_xlpm.r,ISNUMBER(_xlpm.r)),
    MAX(_xlpm.v)-_xlfn.PERCENTILE.INC(_xlpm.v,0.75))</f>
        <v>24.188477508722372</v>
      </c>
      <c r="BO3">
        <f t="shared" ca="1" si="5"/>
        <v>38.586490170229069</v>
      </c>
      <c r="BP3">
        <f t="shared" ref="BP3:BP8" ca="1" si="15" xml:space="preserve"> IF(AND(ISNUMBER(BG3), ISNUMBER(BO3)), BG3 - 1.5*BO3, NA())</f>
        <v>17.184952531467871</v>
      </c>
      <c r="BQ3">
        <f t="shared" ref="BQ3:BQ8" ca="1" si="16" xml:space="preserve"> IF(AND(ISNUMBER(BI3), ISNUMBER(BO3)), BI3 + 1.5*BO3, NA())</f>
        <v>171.53091321238415</v>
      </c>
      <c r="BR3" s="13" cm="1">
        <f t="array" aca="1" ref="BR3" ca="1">_xlfn.LET(
  _xlpm.Data, $AV$2:$BB$1000,
  _xlpm.col,  $BC3,
  _xlpm.vec,  INDEX(_xlpm.Data,,_xlpm.col),
  _xlpm.v,    _xlfn._xlws.FILTER(_xlpm.vec, ISNUMBER(_xlpm.vec)),
  _xlpm.f,    BP3,
  IF(OR(COUNT(_xlpm.v)=0, NOT(ISNUMBER(_xlpm.f))),
      NA(),
      IF(COUNT(_xlfn._xlws.FILTER(_xlpm.v, _xlpm.v&gt;=_xlpm.f))=0, MIN(_xlpm.v), MIN(_xlfn._xlws.FILTER(_xlpm.v, _xlpm.v&gt;=_xlpm.f)))
  )
)</f>
        <v>56.475983178346219</v>
      </c>
      <c r="BS3" cm="1">
        <f t="array" aca="1" ref="BS3" ca="1">_xlfn.LET(
  _xlpm.Data, $AV$2:$BB$1000,
  _xlpm.col,  $BC3,
  _xlpm.vec,  INDEX(_xlpm.Data,,_xlpm.col),
  _xlpm.v,    _xlfn._xlws.FILTER(_xlpm.vec, ISNUMBER(_xlpm.vec)),
  _xlpm.f,    BQ3,
  IF(OR(COUNT(_xlpm.v)=0, NOT(ISNUMBER(_xlpm.f))),
      NA(),
      IF(COUNT(_xlfn._xlws.FILTER(_xlpm.v, _xlpm.v&lt;=_xlpm.f))=0, MAX(_xlpm.v), MAX(_xlfn._xlws.FILTER(_xlpm.v, _xlpm.v&lt;=_xlpm.f)))
  )
)</f>
        <v>137.83965546576292</v>
      </c>
      <c r="BT3">
        <f t="shared" ca="1" si="6"/>
        <v>59.079093489258639</v>
      </c>
      <c r="BU3">
        <f t="shared" ca="1" si="7"/>
        <v>22.284578798158059</v>
      </c>
      <c r="BV3">
        <f t="shared" ref="BV3:BV8" ca="1" si="17">BG3-BR3</f>
        <v>18.588704608465257</v>
      </c>
      <c r="BW3">
        <f t="shared" ref="BW3:BW8" ca="1" si="18">BS3-BI3</f>
        <v>24.188477508722372</v>
      </c>
      <c r="BX3">
        <f t="shared" ca="1" si="8"/>
        <v>18.588704608465257</v>
      </c>
      <c r="BY3">
        <v>0</v>
      </c>
      <c r="BZ3">
        <f t="shared" ca="1" si="9"/>
        <v>24.188477508722372</v>
      </c>
      <c r="CA3">
        <v>171.80673706296898</v>
      </c>
      <c r="CB3">
        <v>1</v>
      </c>
    </row>
    <row r="4" spans="1:80">
      <c r="B4" t="s">
        <v>534</v>
      </c>
      <c r="C4" t="s">
        <v>519</v>
      </c>
      <c r="D4" t="s">
        <v>52</v>
      </c>
      <c r="G4">
        <v>114.77221957640461</v>
      </c>
      <c r="H4">
        <v>72.681644233090395</v>
      </c>
      <c r="I4">
        <v>95.275171375163382</v>
      </c>
      <c r="J4">
        <v>110.16479546836985</v>
      </c>
      <c r="P4">
        <f t="shared" si="10"/>
        <v>3</v>
      </c>
      <c r="Q4" s="26" cm="1">
        <f t="array" aca="1" ref="Q4" ca="1">_xlfn.LET(
  _xlpm.r, OFFSET($E$2,0,ROWS($A$1:A3)-1,ROWS($E$2:$E$1000),1),
  _xlpm.v, _xlfn._xlws.FILTER(_xlpm.r, ISNUMBER(_xlpm.r)),
  IF(COUNT(_xlpm.v)=0, NA(), _xlfn.PERCENTILE.INC(_xlpm.v,0.975))
)</f>
        <v>169.65915284968185</v>
      </c>
      <c r="R4" s="26" cm="1">
        <f t="array" ref="R4">_xlfn.LET(
  _xlpm.hdr, $E$1:$O$1,
  _xlpm.k,   _xlfn.XMATCH($B4, _xlpm.hdr, 0),
  _xlpm.col, INDEX($E$2:$O$1000,, _xlpm.k),
  _xlpm.v,   _xlfn._xlws.FILTER(_xlpm.col, ISNUMBER(_xlpm.col)),
  IF(COUNT(_xlpm.v)=0, NA(), AVERAGE(_xlpm.v))
)</f>
        <v>136.85202264262725</v>
      </c>
      <c r="S4" cm="1">
        <f t="array" aca="1" ref="S4" ca="1">_xlfn.LET(
  _xlpm.k, ROWS($A$1:A3)-1,
  _xlpm.r, OFFSET($E$2,0,_xlpm.k,ROWS($E$2:$E$1000),1),
  _xlpm.v, _xlfn._xlws.FILTER(_xlpm.r, ISNUMBER(_xlpm.r)),
  IF(COUNT(_xlpm.v)=0, NA(), MIN(_xlpm.v))
)</f>
        <v>114.77221957640461</v>
      </c>
      <c r="T4" cm="1">
        <f t="array" aca="1" ref="T4" ca="1">_xlfn.LET(
  _xlpm.k, ROWS($A$1:A3)-1,
  _xlpm.r, OFFSET($E$2,0,_xlpm.k,ROWS($E$2:$E$1000),1),
  _xlpm.v, _xlfn._xlws.FILTER(_xlpm.r, ISNUMBER(_xlpm.r)),
  IF(COUNT(_xlpm.v)=0, NA(), _xlfn.PERCENTILE.INC(_xlpm.v,0.25))
)</f>
        <v>116.93569467809709</v>
      </c>
      <c r="U4" cm="1">
        <f t="array" aca="1" ref="U4" ca="1">_xlfn.LET(
  _xlpm.k, ROWS($A$1:A3)-1,
  _xlpm.r, OFFSET($E$2,0,_xlpm.k,ROWS($E$2:$E$1000),1),
  _xlpm.v, _xlfn._xlws.FILTER(_xlpm.r, ISNUMBER(_xlpm.r)),
  IF(COUNT(_xlpm.v)=0, NA(), _xlfn.PERCENTILE.INC(_xlpm.v,0.5))
)</f>
        <v>130.4145669655677</v>
      </c>
      <c r="V4" cm="1">
        <f t="array" aca="1" ref="V4" ca="1">_xlfn.LET(
  _xlpm.k, ROWS($A$1:A3)-1,
  _xlpm.r, OFFSET($E$2,0,_xlpm.k,ROWS($E$2:$E$1000),1),
  _xlpm.v, _xlfn._xlws.FILTER(_xlpm.r, ISNUMBER(_xlpm.r)),
  IF(COUNT(_xlpm.v)=0, NA(), _xlfn.PERCENTILE.INC(_xlpm.v,0.75))
)</f>
        <v>150.33089493009786</v>
      </c>
      <c r="W4" cm="1">
        <f t="array" aca="1" ref="W4" ca="1">_xlfn.LET(
  _xlpm.k, ROWS($A$1:A3)-1,
  _xlpm.r, OFFSET($E$2,0,_xlpm.k,ROWS($E$2:$E$1000),1),
  _xlpm.v, _xlfn._xlws.FILTER(_xlpm.r, ISNUMBER(_xlpm.r)),
  IF(COUNT(_xlpm.v)=0, NA(), MAX(_xlpm.v))
)</f>
        <v>171.80673706296898</v>
      </c>
      <c r="X4" cm="1">
        <f t="array" aca="1" ref="X4" ca="1">_xlfn.LET(
  _xlpm.k, ROW(A3)-1,
  _xlpm.r, OFFSET($E$2,0,_xlpm.k,ROWS($E$2:$E$1000),1),
  _xlpm.v, _xlfn._xlws.FILTER(_xlpm.r, ISNUMBER(_xlpm.r)),
  IF(COUNT(_xlpm.v)=0, NA(), _xlfn.PERCENTILE.INC(_xlpm.v, 0.25))
)</f>
        <v>116.93569467809709</v>
      </c>
      <c r="Y4" cm="1">
        <f t="array" aca="1" ref="Y4" ca="1">_xlfn.LET(
  _xlpm.k, ROW(A3)-1,
  _xlpm.r, OFFSET($E$2,0,_xlpm.k,ROWS($E$2:$E$1000),1),
  _xlpm.v, _xlfn._xlws.FILTER(_xlpm.r, ISNUMBER(_xlpm.r)),
  IF(COUNT(_xlpm.v)=0, NA(), _xlfn.PERCENTILE.INC(_xlpm.v,0.5) - _xlfn.PERCENTILE.INC(_xlpm.v,0.25))
)</f>
        <v>13.478872287470608</v>
      </c>
      <c r="Z4" cm="1">
        <f t="array" aca="1" ref="Z4" ca="1">_xlfn.LET(
  _xlpm.k, ROW(A3)-1,
  _xlpm.r, OFFSET($E$2,0,_xlpm.k,ROWS($E$2:$E$1000),1),
  _xlpm.v, _xlfn._xlws.FILTER(_xlpm.r, ISNUMBER(_xlpm.r)),
  IF(COUNT(_xlpm.v)=0, NA(), _xlfn.PERCENTILE.INC(_xlpm.v,0.75) - _xlfn.PERCENTILE.INC(_xlpm.v,0.5))
)</f>
        <v>19.916327964530154</v>
      </c>
      <c r="AA4" cm="1">
        <f t="array" aca="1" ref="AA4" ca="1">_xlfn.LET(
  _xlpm.k, ROW(A3)-1,
  _xlpm.r, OFFSET($E$2,0,_xlpm.k,ROWS($E$2:$E$1000),1),
  _xlpm.v, _xlfn._xlws.FILTER(_xlpm.r, ISNUMBER(_xlpm.r)),
  IF(COUNT(_xlpm.v)=0, NA(), _xlfn.PERCENTILE.INC(_xlpm.v, 0.75))
)</f>
        <v>150.33089493009786</v>
      </c>
      <c r="AB4">
        <f t="shared" ca="1" si="0"/>
        <v>33.395200252000762</v>
      </c>
      <c r="AC4">
        <f t="shared" ca="1" si="11"/>
        <v>66.842894300095949</v>
      </c>
      <c r="AD4">
        <f t="shared" ca="1" si="12"/>
        <v>200.42369530809901</v>
      </c>
      <c r="AE4" s="13" t="e" cm="1">
        <f t="array" aca="1" ref="AE4" ca="1">_xlfn.LET(
  _xlpm.Data, $Y$2:$AI$1000,
  _xlpm.col,  $AJ4,
  _xlpm.vec,  INDEX(_xlpm.Data,,_xlpm.col),
  _xlpm.v,    _xlfn._xlws.FILTER(_xlpm.vec, ISNUMBER(_xlpm.vec)),
  _xlpm.f,    AC4,
  IF(OR(COUNT(_xlpm.v)=0, NOT(ISNUMBER(_xlpm.f))),
      NA(),
      IF(COUNT(_xlfn._xlws.FILTER(_xlpm.v, _xlpm.v&gt;=_xlpm.f))=0, MIN(_xlpm.v), MIN(_xlfn._xlws.FILTER(_xlpm.v, _xlpm.v&gt;=_xlpm.f)))
  )
)</f>
        <v>#N/A</v>
      </c>
      <c r="AF4" t="e" cm="1">
        <f t="array" aca="1" ref="AF4" ca="1">_xlfn.LET(
  _xlpm.Data, $Y$2:$AI$1000,
  _xlpm.col,  $AJ4,
  _xlpm.vec,  INDEX(_xlpm.Data,,_xlpm.col),
  _xlpm.v,    _xlfn._xlws.FILTER(_xlpm.vec, ISNUMBER(_xlpm.vec)),
  _xlpm.f,    AD4,
  IF(OR(COUNT(_xlpm.v)=0, NOT(ISNUMBER(_xlpm.f))),
      NA(),
      IF(COUNT(_xlfn._xlws.FILTER(_xlpm.v, _xlpm.v&lt;=_xlpm.f))=0, MAX(_xlpm.v), MAX(_xlfn._xlws.FILTER(_xlpm.v, _xlpm.v&lt;=_xlpm.f)))
  )
)</f>
        <v>#N/A</v>
      </c>
      <c r="AG4" t="e">
        <f t="shared" ca="1" si="1"/>
        <v>#N/A</v>
      </c>
      <c r="AH4" t="e">
        <f t="shared" ca="1" si="2"/>
        <v>#N/A</v>
      </c>
      <c r="AI4" t="e">
        <f t="shared" ca="1" si="13"/>
        <v>#N/A</v>
      </c>
      <c r="AJ4" cm="1">
        <f t="array" aca="1" ref="AJ4" ca="1">_xlfn.LET(
  _xlpm.Data, $Y$2:$AI$1000,
  _xlpm.col,  $AJ4,
  _xlpm.vec,  INDEX(_xlpm.Data,,_xlpm.col),
  _xlpm.nums, IFERROR(--_xlpm.vec,),
  _xlpm.v,    _xlfn._xlws.FILTER(_xlpm.nums, ISNUMBER(_xlpm.nums)),
  _xlpm.f,    AD4,
  MAX(IFERROR(_xlfn._xlws.FILTER(_xlpm.v, _xlpm.v&lt;=_xlpm.f), _xlpm.v))
)</f>
        <v>0</v>
      </c>
      <c r="AK4">
        <f t="shared" ca="1" si="3"/>
        <v>2.1634751016924838</v>
      </c>
      <c r="AL4">
        <v>0</v>
      </c>
      <c r="AM4">
        <f t="shared" ca="1" si="4"/>
        <v>21.475842132871122</v>
      </c>
      <c r="AN4">
        <v>114.77221957640461</v>
      </c>
      <c r="AO4">
        <v>3</v>
      </c>
      <c r="AS4" t="s">
        <v>536</v>
      </c>
      <c r="AT4" t="s">
        <v>518</v>
      </c>
      <c r="AU4" t="s">
        <v>57</v>
      </c>
      <c r="AV4">
        <v>114.77221957640461</v>
      </c>
      <c r="AW4">
        <v>72.681644233090395</v>
      </c>
      <c r="AX4">
        <v>95.275171375163382</v>
      </c>
      <c r="AY4">
        <v>110.16479546836985</v>
      </c>
      <c r="BC4">
        <f t="shared" si="14"/>
        <v>3</v>
      </c>
      <c r="BD4" s="26" cm="1">
        <f t="array" aca="1" ref="BD4" ca="1">_xlfn.LET(
  _xlpm.r,OFFSET($AV$2,0,ROW(A3)-1,ROWS($AV$2:$AV$1000),1),
  _xlpm.v,_xlfn._xlws.FILTER(_xlpm.r,ISNUMBER(_xlpm.r)),
  IF(COUNT(_xlpm.v)=0,NA(),_xlfn.PERCENTILE.INC(_xlpm.v,0.975))
)</f>
        <v>175.35670239035738</v>
      </c>
      <c r="BE4" s="26" cm="1">
        <f t="array" ref="BE4">_xlfn.LET(
  _xlpm.hdr, $AV$1:$BB$1,
  _xlpm.k,   _xlfn.XMATCH($AS4, _xlpm.hdr, 0),
  _xlpm.col, INDEX($AV$2:$BB$1000,, _xlpm.k),
  _xlpm.v,   _xlfn._xlws.FILTER(_xlpm.col, ISNUMBER(_xlpm.col)),
  IF(COUNT(_xlpm.v)=0, NA(), AVERAGE(_xlpm.v))
)</f>
        <v>102.91974046566983</v>
      </c>
      <c r="BF4" cm="1">
        <f t="array" aca="1" ref="BF4" ca="1">_xlfn.LET(
  _xlpm.k,ROW(A3)-1,
  _xlpm.r,OFFSET($AV$2,0,_xlpm.k,ROWS($AV$2:$AV$1000),1),
  _xlpm.v,_xlfn._xlws.FILTER(_xlpm.r,ISNUMBER(_xlpm.r)),
  IF(COUNT(_xlpm.v)=0,NA(),MIN(_xlpm.v))
)</f>
        <v>70.602036497086502</v>
      </c>
      <c r="BG4" cm="1">
        <f t="array" aca="1" ref="BG4" ca="1">_xlfn.LET(
  _xlpm.k,ROW(A3)-1,
  _xlpm.r,OFFSET($AV$2,0,_xlpm.k,ROWS($AV$2:$AV$1000),1),
  _xlpm.v,_xlfn._xlws.FILTER(_xlpm.r,ISNUMBER(_xlpm.r)),
  IF(COUNT(_xlpm.v)=0,NA(),_xlfn.PERCENTILE.INC(_xlpm.v,0.25))
)</f>
        <v>76.003696298198619</v>
      </c>
      <c r="BH4" cm="1">
        <f t="array" aca="1" ref="BH4" ca="1">_xlfn.LET(
  _xlpm.k,ROW(A3)-1,
  _xlpm.r,OFFSET($AV$2,0,_xlpm.k,ROWS($AV$2:$AV$1000),1),
  _xlpm.v,_xlfn._xlws.FILTER(_xlpm.r,ISNUMBER(_xlpm.r)),
  IF(COUNT(_xlpm.v)=0,NA(),_xlfn.PERCENTILE.INC(_xlpm.v,0.5))
)</f>
        <v>95.275171375163382</v>
      </c>
      <c r="BI4" cm="1">
        <f t="array" ref="BI4">_xlfn.LET(
  _xlpm.Data, $AV$2:$BB$1000,
  _xlpm.col,  $BC4,
  _xlpm.vec,  INDEX(_xlpm.Data,,_xlpm.col),
  _xlpm.v,    _xlfn._xlws.FILTER(_xlpm.vec, ISNUMBER(_xlpm.vec)),
  IF(COUNT(_xlpm.v)=0, NA(), _xlfn.PERCENTILE.INC(_xlpm.v, 0.75))
)</f>
        <v>112.28361788617887</v>
      </c>
      <c r="BJ4" cm="1">
        <f t="array" aca="1" ref="BJ4" ca="1">_xlfn.LET(
  _xlpm.k,ROW(A3)-1,
  _xlpm.r,OFFSET($AV$2,0,_xlpm.k,ROWS($AV$2:$AV$1000),1),
  _xlpm.v,_xlfn._xlws.FILTER(_xlpm.r,ISNUMBER(_xlpm.r)),
  IF(COUNT(_xlpm.v)=0,NA(),MAX(_xlpm.v))
)</f>
        <v>190.81251054501806</v>
      </c>
      <c r="BK4" cm="1">
        <f t="array" aca="1" ref="BK4" ca="1">_xlfn.LET(_xlpm.r,OFFSET($AV$2,0,ROW(A3)-1,ROWS($AV$2:$AV$1000),1),
    _xlpm.v,_xlfn._xlws.FILTER(_xlpm.r,ISNUMBER(_xlpm.r)),
    _xlfn.PERCENTILE.INC(_xlpm.v,0.25))</f>
        <v>76.003696298198619</v>
      </c>
      <c r="BL4" cm="1">
        <f t="array" aca="1" ref="BL4" ca="1">_xlfn.LET(
  _xlpm.k, ROW(A3)-1,
  _xlpm.r, OFFSET($AV$2,0,_xlpm.k,ROWS($AV$2:$AV$1000),1),
  _xlpm.v, _xlfn._xlws.FILTER(_xlpm.r, ISNUMBER(_xlpm.r)),
  IF(COUNT(_xlpm.v)=0, NA(), _xlfn.PERCENTILE.INC(_xlpm.v,0.5)-_xlfn.PERCENTILE.INC(_xlpm.v,0.25))
)</f>
        <v>19.271475076964762</v>
      </c>
      <c r="BM4" cm="1">
        <f t="array" aca="1" ref="BM4" ca="1">_xlfn.LET(_xlpm.r,OFFSET($AV$2,0,ROW(A3)-1,ROWS($AV$2:$AV$1000),1),
    _xlpm.v,_xlfn._xlws.FILTER(_xlpm.r,ISNUMBER(_xlpm.r)),
    _xlfn.PERCENTILE.INC(_xlpm.v,0.75)-_xlfn.PERCENTILE.INC(_xlpm.v,0.5))</f>
        <v>17.008446511015492</v>
      </c>
      <c r="BN4" cm="1">
        <f t="array" aca="1" ref="BN4" ca="1">_xlfn.LET(_xlpm.r,OFFSET($AV$2,0,ROW(A3)-1,ROWS($AV$2:$AV$1000),1),
    _xlpm.v,_xlfn._xlws.FILTER(_xlpm.r,ISNUMBER(_xlpm.r)),
    MAX(_xlpm.v)-_xlfn.PERCENTILE.INC(_xlpm.v,0.75))</f>
        <v>78.528892658839183</v>
      </c>
      <c r="BO4">
        <f t="shared" ca="1" si="5"/>
        <v>36.279921587980255</v>
      </c>
      <c r="BP4">
        <f t="shared" ca="1" si="15"/>
        <v>21.583813916228237</v>
      </c>
      <c r="BQ4">
        <f t="shared" ca="1" si="16"/>
        <v>166.70350026814924</v>
      </c>
      <c r="BR4" s="13" cm="1">
        <f t="array" aca="1" ref="BR4" ca="1">_xlfn.LET(
  _xlpm.Data, $AV$2:$BB$1000,
  _xlpm.col,  $BC4,
  _xlpm.vec,  INDEX(_xlpm.Data,,_xlpm.col),
  _xlpm.v,    _xlfn._xlws.FILTER(_xlpm.vec, ISNUMBER(_xlpm.vec)),
  _xlpm.f,    BP4,
  IF(OR(COUNT(_xlpm.v)=0, NOT(ISNUMBER(_xlpm.f))),
      NA(),
      IF(COUNT(_xlfn._xlws.FILTER(_xlpm.v, _xlpm.v&gt;=_xlpm.f))=0, MIN(_xlpm.v), MIN(_xlfn._xlws.FILTER(_xlpm.v, _xlpm.v&gt;=_xlpm.f)))
  )
)</f>
        <v>70.602036497086502</v>
      </c>
      <c r="BS4" cm="1">
        <f t="array" aca="1" ref="BS4" ca="1">_xlfn.LET(
  _xlpm.Data, $AV$2:$BB$1000,
  _xlpm.col,  $BC4,
  _xlpm.vec,  INDEX(_xlpm.Data,,_xlpm.col),
  _xlpm.v,    _xlfn._xlws.FILTER(_xlpm.vec, ISNUMBER(_xlpm.vec)),
  _xlpm.f,    BQ4,
  IF(OR(COUNT(_xlpm.v)=0, NOT(ISNUMBER(_xlpm.f))),
      NA(),
      IF(COUNT(_xlfn._xlws.FILTER(_xlpm.v, _xlpm.v&lt;=_xlpm.f))=0, MAX(_xlpm.v), MAX(_xlfn._xlws.FILTER(_xlpm.v, _xlpm.v&lt;=_xlpm.f)))
  )
)</f>
        <v>113.53346977171438</v>
      </c>
      <c r="BT4">
        <f t="shared" ca="1" si="6"/>
        <v>18.258298396550998</v>
      </c>
      <c r="BU4">
        <f t="shared" ca="1" si="7"/>
        <v>24.67313487807688</v>
      </c>
      <c r="BV4">
        <f t="shared" ca="1" si="17"/>
        <v>5.4016598011121175</v>
      </c>
      <c r="BW4">
        <f t="shared" ca="1" si="18"/>
        <v>1.2498518855355059</v>
      </c>
      <c r="BX4">
        <f t="shared" ca="1" si="8"/>
        <v>5.4016598011121175</v>
      </c>
      <c r="BY4">
        <v>0</v>
      </c>
      <c r="BZ4">
        <f t="shared" ca="1" si="9"/>
        <v>78.528892658839183</v>
      </c>
      <c r="CA4">
        <v>114.77221957640461</v>
      </c>
      <c r="CB4">
        <v>1</v>
      </c>
    </row>
    <row r="5" spans="1:80">
      <c r="B5" t="s">
        <v>535</v>
      </c>
      <c r="C5" t="s">
        <v>518</v>
      </c>
      <c r="D5" t="s">
        <v>32</v>
      </c>
      <c r="G5">
        <v>117.65685304532792</v>
      </c>
      <c r="H5">
        <v>74.125679275424346</v>
      </c>
      <c r="I5">
        <v>103.64140404299812</v>
      </c>
      <c r="J5">
        <v>114.07879600060828</v>
      </c>
      <c r="P5">
        <f t="shared" si="10"/>
        <v>4</v>
      </c>
      <c r="Q5" s="26" cm="1">
        <f t="array" aca="1" ref="Q5" ca="1">_xlfn.LET(
  _xlpm.r, OFFSET($E$2,0,ROWS($A$1:A4)-1,ROWS($E$2:$E$1000),1),
  _xlpm.v, _xlfn._xlws.FILTER(_xlpm.r, ISNUMBER(_xlpm.r)),
  IF(COUNT(_xlpm.v)=0, NA(), _xlfn.PERCENTILE.INC(_xlpm.v,0.975))
)</f>
        <v>133.93233221071657</v>
      </c>
      <c r="R5" s="26" cm="1">
        <f t="array" ref="R5">_xlfn.LET(
  _xlpm.hdr, $E$1:$O$1,
  _xlpm.k,   _xlfn.XMATCH($B5, _xlpm.hdr, 0),
  _xlpm.col, INDEX($E$2:$O$1000,, _xlpm.k),
  _xlpm.v,   _xlfn._xlws.FILTER(_xlpm.col, ISNUMBER(_xlpm.col)),
  IF(COUNT(_xlpm.v)=0, NA(), AVERAGE(_xlpm.v))
)</f>
        <v>91.431121716005279</v>
      </c>
      <c r="S5" cm="1">
        <f t="array" aca="1" ref="S5" ca="1">_xlfn.LET(
  _xlpm.k, ROWS($A$1:A4)-1,
  _xlpm.r, OFFSET($E$2,0,_xlpm.k,ROWS($E$2:$E$1000),1),
  _xlpm.v, _xlfn._xlws.FILTER(_xlpm.r, ISNUMBER(_xlpm.r)),
  IF(COUNT(_xlpm.v)=0, NA(), MIN(_xlpm.v))
)</f>
        <v>56.475983178346219</v>
      </c>
      <c r="T5" cm="1">
        <f t="array" aca="1" ref="T5" ca="1">_xlfn.LET(
  _xlpm.k, ROWS($A$1:A4)-1,
  _xlpm.r, OFFSET($E$2,0,_xlpm.k,ROWS($E$2:$E$1000),1),
  _xlpm.v, _xlfn._xlws.FILTER(_xlpm.r, ISNUMBER(_xlpm.r)),
  IF(COUNT(_xlpm.v)=0, NA(), _xlfn.PERCENTILE.INC(_xlpm.v,0.25))
)</f>
        <v>75.064687786811476</v>
      </c>
      <c r="U5" cm="1">
        <f t="array" aca="1" ref="U5" ca="1">_xlfn.LET(
  _xlpm.k, ROWS($A$1:A4)-1,
  _xlpm.r, OFFSET($E$2,0,_xlpm.k,ROWS($E$2:$E$1000),1),
  _xlpm.v, _xlfn._xlws.FILTER(_xlpm.r, ISNUMBER(_xlpm.r)),
  IF(COUNT(_xlpm.v)=0, NA(), _xlfn.PERCENTILE.INC(_xlpm.v,0.5))
)</f>
        <v>78.760561976504277</v>
      </c>
      <c r="V5" cm="1">
        <f t="array" aca="1" ref="V5" ca="1">_xlfn.LET(
  _xlpm.k, ROWS($A$1:A4)-1,
  _xlpm.r, OFFSET($E$2,0,_xlpm.k,ROWS($E$2:$E$1000),1),
  _xlpm.v, _xlfn._xlws.FILTER(_xlpm.r, ISNUMBER(_xlpm.r)),
  IF(COUNT(_xlpm.v)=0, NA(), _xlfn.PERCENTILE.INC(_xlpm.v,0.75))
)</f>
        <v>113.65117795704055</v>
      </c>
      <c r="W5" cm="1">
        <f t="array" aca="1" ref="W5" ca="1">_xlfn.LET(
  _xlpm.k, ROWS($A$1:A4)-1,
  _xlpm.r, OFFSET($E$2,0,_xlpm.k,ROWS($E$2:$E$1000),1),
  _xlpm.v, _xlfn._xlws.FILTER(_xlpm.r, ISNUMBER(_xlpm.r)),
  IF(COUNT(_xlpm.v)=0, NA(), MAX(_xlpm.v))
)</f>
        <v>137.83965546576292</v>
      </c>
      <c r="X5" cm="1">
        <f t="array" aca="1" ref="X5" ca="1">_xlfn.LET(
  _xlpm.k, ROW(A4)-1,
  _xlpm.r, OFFSET($E$2,0,_xlpm.k,ROWS($E$2:$E$1000),1),
  _xlpm.v, _xlfn._xlws.FILTER(_xlpm.r, ISNUMBER(_xlpm.r)),
  IF(COUNT(_xlpm.v)=0, NA(), _xlfn.PERCENTILE.INC(_xlpm.v, 0.25))
)</f>
        <v>75.064687786811476</v>
      </c>
      <c r="Y5" cm="1">
        <f t="array" aca="1" ref="Y5" ca="1">_xlfn.LET(
  _xlpm.k, ROW(A4)-1,
  _xlpm.r, OFFSET($E$2,0,_xlpm.k,ROWS($E$2:$E$1000),1),
  _xlpm.v, _xlfn._xlws.FILTER(_xlpm.r, ISNUMBER(_xlpm.r)),
  IF(COUNT(_xlpm.v)=0, NA(), _xlfn.PERCENTILE.INC(_xlpm.v,0.5) - _xlfn.PERCENTILE.INC(_xlpm.v,0.25))
)</f>
        <v>3.6958741896928018</v>
      </c>
      <c r="Z5" cm="1">
        <f t="array" aca="1" ref="Z5" ca="1">_xlfn.LET(
  _xlpm.k, ROW(A4)-1,
  _xlpm.r, OFFSET($E$2,0,_xlpm.k,ROWS($E$2:$E$1000),1),
  _xlpm.v, _xlfn._xlws.FILTER(_xlpm.r, ISNUMBER(_xlpm.r)),
  IF(COUNT(_xlpm.v)=0, NA(), _xlfn.PERCENTILE.INC(_xlpm.v,0.75) - _xlfn.PERCENTILE.INC(_xlpm.v,0.5))
)</f>
        <v>34.890615980536268</v>
      </c>
      <c r="AA5" cm="1">
        <f t="array" aca="1" ref="AA5" ca="1">_xlfn.LET(
  _xlpm.k, ROW(A4)-1,
  _xlpm.r, OFFSET($E$2,0,_xlpm.k,ROWS($E$2:$E$1000),1),
  _xlpm.v, _xlfn._xlws.FILTER(_xlpm.r, ISNUMBER(_xlpm.r)),
  IF(COUNT(_xlpm.v)=0, NA(), _xlfn.PERCENTILE.INC(_xlpm.v, 0.75))
)</f>
        <v>113.65117795704055</v>
      </c>
      <c r="AB5">
        <f t="shared" ca="1" si="0"/>
        <v>38.586490170229069</v>
      </c>
      <c r="AC5">
        <f t="shared" ca="1" si="11"/>
        <v>17.184952531467871</v>
      </c>
      <c r="AD5">
        <f t="shared" ca="1" si="12"/>
        <v>171.53091321238415</v>
      </c>
      <c r="AE5" s="13" t="e" cm="1">
        <f t="array" aca="1" ref="AE5" ca="1">_xlfn.LET(
  _xlpm.Data, $Y$2:$AI$1000,
  _xlpm.col,  $AJ5,
  _xlpm.vec,  INDEX(_xlpm.Data,,_xlpm.col),
  _xlpm.v,    _xlfn._xlws.FILTER(_xlpm.vec, ISNUMBER(_xlpm.vec)),
  _xlpm.f,    AC5,
  IF(OR(COUNT(_xlpm.v)=0, NOT(ISNUMBER(_xlpm.f))),
      NA(),
      IF(COUNT(_xlfn._xlws.FILTER(_xlpm.v, _xlpm.v&gt;=_xlpm.f))=0, MIN(_xlpm.v), MIN(_xlfn._xlws.FILTER(_xlpm.v, _xlpm.v&gt;=_xlpm.f)))
  )
)</f>
        <v>#N/A</v>
      </c>
      <c r="AF5" t="e" cm="1">
        <f t="array" aca="1" ref="AF5" ca="1">_xlfn.LET(
  _xlpm.Data, $Y$2:$AI$1000,
  _xlpm.col,  $AJ5,
  _xlpm.vec,  INDEX(_xlpm.Data,,_xlpm.col),
  _xlpm.v,    _xlfn._xlws.FILTER(_xlpm.vec, ISNUMBER(_xlpm.vec)),
  _xlpm.f,    AD5,
  IF(OR(COUNT(_xlpm.v)=0, NOT(ISNUMBER(_xlpm.f))),
      NA(),
      IF(COUNT(_xlfn._xlws.FILTER(_xlpm.v, _xlpm.v&lt;=_xlpm.f))=0, MAX(_xlpm.v), MAX(_xlfn._xlws.FILTER(_xlpm.v, _xlpm.v&lt;=_xlpm.f)))
  )
)</f>
        <v>#N/A</v>
      </c>
      <c r="AG5" t="e">
        <f t="shared" ca="1" si="1"/>
        <v>#N/A</v>
      </c>
      <c r="AH5" t="e">
        <f t="shared" ca="1" si="2"/>
        <v>#N/A</v>
      </c>
      <c r="AI5" t="e">
        <f t="shared" ca="1" si="13"/>
        <v>#N/A</v>
      </c>
      <c r="AJ5" cm="1">
        <f t="array" aca="1" ref="AJ5" ca="1">_xlfn.LET(
  _xlpm.Data, $Y$2:$AI$1000,
  _xlpm.col,  $AJ5,
  _xlpm.vec,  INDEX(_xlpm.Data,,_xlpm.col),
  _xlpm.nums, IFERROR(--_xlpm.vec,),
  _xlpm.v,    _xlfn._xlws.FILTER(_xlpm.nums, ISNUMBER(_xlpm.nums)),
  _xlpm.f,    AD5,
  MAX(IFERROR(_xlfn._xlws.FILTER(_xlpm.v, _xlpm.v&lt;=_xlpm.f), _xlpm.v))
)</f>
        <v>0</v>
      </c>
      <c r="AK5">
        <f t="shared" ca="1" si="3"/>
        <v>18.588704608465257</v>
      </c>
      <c r="AL5">
        <v>0</v>
      </c>
      <c r="AM5">
        <f t="shared" ca="1" si="4"/>
        <v>24.188477508722372</v>
      </c>
      <c r="AN5">
        <v>117.65685304532792</v>
      </c>
      <c r="AO5">
        <v>3</v>
      </c>
      <c r="AS5" t="s">
        <v>537</v>
      </c>
      <c r="AT5" t="s">
        <v>518</v>
      </c>
      <c r="AU5" t="s">
        <v>52</v>
      </c>
      <c r="AV5">
        <v>117.65685304532792</v>
      </c>
      <c r="AW5">
        <v>74.125679275424346</v>
      </c>
      <c r="AX5">
        <v>103.64140404299812</v>
      </c>
      <c r="AY5">
        <v>114.07879600060828</v>
      </c>
      <c r="BC5">
        <f t="shared" si="14"/>
        <v>4</v>
      </c>
      <c r="BD5" s="26" cm="1">
        <f t="array" aca="1" ref="BD5" ca="1">_xlfn.LET(
  _xlpm.r,OFFSET($AV$2,0,ROW(A4)-1,ROWS($AV$2:$AV$1000),1),
  _xlpm.v,_xlfn._xlws.FILTER(_xlpm.r,ISNUMBER(_xlpm.r)),
  IF(COUNT(_xlpm.v)=0,NA(),_xlfn.PERCENTILE.INC(_xlpm.v,0.975))
)</f>
        <v>142.23666207998781</v>
      </c>
      <c r="BE5" s="26" cm="1">
        <f t="array" ref="BE5">_xlfn.LET(
  _xlpm.hdr, $AV$1:$BB$1,
  _xlpm.k,   _xlfn.XMATCH($AS5, _xlpm.hdr, 0),
  _xlpm.col, INDEX($AV$2:$BB$1000,, _xlpm.k),
  _xlpm.v,   _xlfn._xlws.FILTER(_xlpm.col, ISNUMBER(_xlpm.col)),
  IF(COUNT(_xlpm.v)=0, NA(), AVERAGE(_xlpm.v))
)</f>
        <v>100.59381176189871</v>
      </c>
      <c r="BF5" cm="1">
        <f t="array" aca="1" ref="BF5" ca="1">_xlfn.LET(
  _xlpm.k,ROW(A4)-1,
  _xlpm.r,OFFSET($AV$2,0,_xlpm.k,ROWS($AV$2:$AV$1000),1),
  _xlpm.v,_xlfn._xlws.FILTER(_xlpm.r,ISNUMBER(_xlpm.r)),
  IF(COUNT(_xlpm.v)=0,NA(),MIN(_xlpm.v))
)</f>
        <v>20.47142642984074</v>
      </c>
      <c r="BG5" cm="1">
        <f t="array" aca="1" ref="BG5" ca="1">_xlfn.LET(
  _xlpm.k,ROW(A4)-1,
  _xlpm.r,OFFSET($AV$2,0,_xlpm.k,ROWS($AV$2:$AV$1000),1),
  _xlpm.v,_xlfn._xlws.FILTER(_xlpm.r,ISNUMBER(_xlpm.r)),
  IF(COUNT(_xlpm.v)=0,NA(),_xlfn.PERCENTILE.INC(_xlpm.v,0.25))
)</f>
        <v>90.434693877551027</v>
      </c>
      <c r="BH5" cm="1">
        <f t="array" aca="1" ref="BH5" ca="1">_xlfn.LET(
  _xlpm.k,ROW(A4)-1,
  _xlpm.r,OFFSET($AV$2,0,_xlpm.k,ROWS($AV$2:$AV$1000),1),
  _xlpm.v,_xlfn._xlws.FILTER(_xlpm.r,ISNUMBER(_xlpm.r)),
  IF(COUNT(_xlpm.v)=0,NA(),_xlfn.PERCENTILE.INC(_xlpm.v,0.5))
)</f>
        <v>106.47110276338515</v>
      </c>
      <c r="BI5" cm="1">
        <f t="array" ref="BI5">_xlfn.LET(
  _xlpm.Data, $AV$2:$BB$1000,
  _xlpm.col,  $BC5,
  _xlpm.vec,  INDEX(_xlpm.Data,,_xlpm.col),
  _xlpm.v,    _xlfn._xlws.FILTER(_xlpm.vec, ISNUMBER(_xlpm.vec)),
  IF(COUNT(_xlpm.v)=0, NA(), _xlfn.PERCENTILE.INC(_xlpm.v, 0.75))
)</f>
        <v>114.85204976429441</v>
      </c>
      <c r="BJ5" cm="1">
        <f t="array" aca="1" ref="BJ5" ca="1">_xlfn.LET(
  _xlpm.k,ROW(A4)-1,
  _xlpm.r,OFFSET($AV$2,0,_xlpm.k,ROWS($AV$2:$AV$1000),1),
  _xlpm.v,_xlfn._xlws.FILTER(_xlpm.r,ISNUMBER(_xlpm.r)),
  IF(COUNT(_xlpm.v)=0,NA(),MAX(_xlpm.v))
)</f>
        <v>172.68780970325011</v>
      </c>
      <c r="BK5" cm="1">
        <f t="array" aca="1" ref="BK5" ca="1">_xlfn.LET(_xlpm.r,OFFSET($AV$2,0,ROW(A4)-1,ROWS($AV$2:$AV$1000),1),
    _xlpm.v,_xlfn._xlws.FILTER(_xlpm.r,ISNUMBER(_xlpm.r)),
    _xlfn.PERCENTILE.INC(_xlpm.v,0.25))</f>
        <v>90.434693877551027</v>
      </c>
      <c r="BL5" cm="1">
        <f t="array" aca="1" ref="BL5" ca="1">_xlfn.LET(
  _xlpm.k, ROW(A4)-1,
  _xlpm.r, OFFSET($AV$2,0,_xlpm.k,ROWS($AV$2:$AV$1000),1),
  _xlpm.v, _xlfn._xlws.FILTER(_xlpm.r, ISNUMBER(_xlpm.r)),
  IF(COUNT(_xlpm.v)=0, NA(), _xlfn.PERCENTILE.INC(_xlpm.v,0.5)-_xlfn.PERCENTILE.INC(_xlpm.v,0.25))
)</f>
        <v>16.03640888583412</v>
      </c>
      <c r="BM5" cm="1">
        <f t="array" aca="1" ref="BM5" ca="1">_xlfn.LET(_xlpm.r,OFFSET($AV$2,0,ROW(A4)-1,ROWS($AV$2:$AV$1000),1),
    _xlpm.v,_xlfn._xlws.FILTER(_xlpm.r,ISNUMBER(_xlpm.r)),
    _xlfn.PERCENTILE.INC(_xlpm.v,0.75)-_xlfn.PERCENTILE.INC(_xlpm.v,0.5))</f>
        <v>8.3809470009092593</v>
      </c>
      <c r="BN5" cm="1">
        <f t="array" aca="1" ref="BN5" ca="1">_xlfn.LET(_xlpm.r,OFFSET($AV$2,0,ROW(A4)-1,ROWS($AV$2:$AV$1000),1),
    _xlpm.v,_xlfn._xlws.FILTER(_xlpm.r,ISNUMBER(_xlpm.r)),
    MAX(_xlpm.v)-_xlfn.PERCENTILE.INC(_xlpm.v,0.75))</f>
        <v>57.835759938955704</v>
      </c>
      <c r="BO5">
        <f t="shared" ca="1" si="5"/>
        <v>24.41735588674338</v>
      </c>
      <c r="BP5">
        <f t="shared" ca="1" si="15"/>
        <v>53.808660047435957</v>
      </c>
      <c r="BQ5">
        <f t="shared" ca="1" si="16"/>
        <v>151.47808359440947</v>
      </c>
      <c r="BR5" s="13" cm="1">
        <f t="array" aca="1" ref="BR5" ca="1">_xlfn.LET(
  _xlpm.Data, $AV$2:$BB$1000,
  _xlpm.col,  $BC5,
  _xlpm.vec,  INDEX(_xlpm.Data,,_xlpm.col),
  _xlpm.v,    _xlfn._xlws.FILTER(_xlpm.vec, ISNUMBER(_xlpm.vec)),
  _xlpm.f,    BP5,
  IF(OR(COUNT(_xlpm.v)=0, NOT(ISNUMBER(_xlpm.f))),
      NA(),
      IF(COUNT(_xlfn._xlws.FILTER(_xlpm.v, _xlpm.v&gt;=_xlpm.f))=0, MIN(_xlpm.v), MIN(_xlfn._xlws.FILTER(_xlpm.v, _xlpm.v&gt;=_xlpm.f)))
  )
)</f>
        <v>65.639555893898802</v>
      </c>
      <c r="BS5" cm="1">
        <f t="array" aca="1" ref="BS5" ca="1">_xlfn.LET(
  _xlpm.Data, $AV$2:$BB$1000,
  _xlpm.col,  $BC5,
  _xlpm.vec,  INDEX(_xlpm.Data,,_xlpm.col),
  _xlpm.v,    _xlfn._xlws.FILTER(_xlpm.vec, ISNUMBER(_xlpm.vec)),
  _xlpm.f,    BQ5,
  IF(OR(COUNT(_xlpm.v)=0, NOT(ISNUMBER(_xlpm.f))),
      NA(),
      IF(COUNT(_xlfn._xlws.FILTER(_xlpm.v, _xlpm.v&lt;=_xlpm.f))=0, MAX(_xlpm.v), MAX(_xlfn._xlws.FILTER(_xlpm.v, _xlpm.v&lt;=_xlpm.f)))
  )
)</f>
        <v>125.83989028284672</v>
      </c>
      <c r="BT5">
        <f t="shared" ca="1" si="6"/>
        <v>19.368787519461577</v>
      </c>
      <c r="BU5">
        <f t="shared" ca="1" si="7"/>
        <v>40.831546869486345</v>
      </c>
      <c r="BV5">
        <f t="shared" ca="1" si="17"/>
        <v>24.795137983652225</v>
      </c>
      <c r="BW5">
        <f t="shared" ca="1" si="18"/>
        <v>10.987840518552318</v>
      </c>
      <c r="BX5">
        <f t="shared" ca="1" si="8"/>
        <v>69.96326744771028</v>
      </c>
      <c r="BY5">
        <v>0</v>
      </c>
      <c r="BZ5">
        <f t="shared" ca="1" si="9"/>
        <v>57.835759938955704</v>
      </c>
      <c r="CA5">
        <v>117.65685304532792</v>
      </c>
      <c r="CB5">
        <v>1</v>
      </c>
    </row>
    <row r="6" spans="1:80" ht="25.8">
      <c r="B6" t="s">
        <v>536</v>
      </c>
      <c r="C6" t="s">
        <v>518</v>
      </c>
      <c r="D6" t="s">
        <v>57</v>
      </c>
      <c r="H6">
        <v>77.893154078040325</v>
      </c>
      <c r="I6">
        <v>113.53346977171438</v>
      </c>
      <c r="J6">
        <v>115.62530352798053</v>
      </c>
      <c r="P6">
        <f t="shared" si="10"/>
        <v>5</v>
      </c>
      <c r="Q6" s="26" cm="1">
        <f t="array" aca="1" ref="Q6" ca="1">_xlfn.LET(
  _xlpm.r, OFFSET($E$2,0,ROWS($A$1:A5)-1,ROWS($E$2:$E$1000),1),
  _xlpm.v, _xlfn._xlws.FILTER(_xlpm.r, ISNUMBER(_xlpm.r)),
  IF(COUNT(_xlpm.v)=0, NA(), _xlfn.PERCENTILE.INC(_xlpm.v,0.975))
)</f>
        <v>175.35670239035738</v>
      </c>
      <c r="R6" s="26" cm="1">
        <f t="array" ref="R6">_xlfn.LET(
  _xlpm.hdr, $E$1:$O$1,
  _xlpm.k,   _xlfn.XMATCH($B6, _xlpm.hdr, 0),
  _xlpm.col, INDEX($E$2:$O$1000,, _xlpm.k),
  _xlpm.v,   _xlfn._xlws.FILTER(_xlpm.col, ISNUMBER(_xlpm.col)),
  IF(COUNT(_xlpm.v)=0, NA(), AVERAGE(_xlpm.v))
)</f>
        <v>102.91974046566983</v>
      </c>
      <c r="S6" cm="1">
        <f t="array" aca="1" ref="S6" ca="1">_xlfn.LET(
  _xlpm.k, ROWS($A$1:A5)-1,
  _xlpm.r, OFFSET($E$2,0,_xlpm.k,ROWS($E$2:$E$1000),1),
  _xlpm.v, _xlfn._xlws.FILTER(_xlpm.r, ISNUMBER(_xlpm.r)),
  IF(COUNT(_xlpm.v)=0, NA(), MIN(_xlpm.v))
)</f>
        <v>70.602036497086502</v>
      </c>
      <c r="T6" cm="1">
        <f t="array" aca="1" ref="T6" ca="1">_xlfn.LET(
  _xlpm.k, ROWS($A$1:A5)-1,
  _xlpm.r, OFFSET($E$2,0,_xlpm.k,ROWS($E$2:$E$1000),1),
  _xlpm.v, _xlfn._xlws.FILTER(_xlpm.r, ISNUMBER(_xlpm.r)),
  IF(COUNT(_xlpm.v)=0, NA(), _xlfn.PERCENTILE.INC(_xlpm.v,0.25))
)</f>
        <v>76.003696298198619</v>
      </c>
      <c r="U6" cm="1">
        <f t="array" aca="1" ref="U6" ca="1">_xlfn.LET(
  _xlpm.k, ROWS($A$1:A5)-1,
  _xlpm.r, OFFSET($E$2,0,_xlpm.k,ROWS($E$2:$E$1000),1),
  _xlpm.v, _xlfn._xlws.FILTER(_xlpm.r, ISNUMBER(_xlpm.r)),
  IF(COUNT(_xlpm.v)=0, NA(), _xlfn.PERCENTILE.INC(_xlpm.v,0.5))
)</f>
        <v>95.275171375163382</v>
      </c>
      <c r="V6" cm="1">
        <f t="array" aca="1" ref="V6" ca="1">_xlfn.LET(
  _xlpm.k, ROWS($A$1:A5)-1,
  _xlpm.r, OFFSET($E$2,0,_xlpm.k,ROWS($E$2:$E$1000),1),
  _xlpm.v, _xlfn._xlws.FILTER(_xlpm.r, ISNUMBER(_xlpm.r)),
  IF(COUNT(_xlpm.v)=0, NA(), _xlfn.PERCENTILE.INC(_xlpm.v,0.75))
)</f>
        <v>112.28361788617887</v>
      </c>
      <c r="W6" cm="1">
        <f t="array" aca="1" ref="W6" ca="1">_xlfn.LET(
  _xlpm.k, ROWS($A$1:A5)-1,
  _xlpm.r, OFFSET($E$2,0,_xlpm.k,ROWS($E$2:$E$1000),1),
  _xlpm.v, _xlfn._xlws.FILTER(_xlpm.r, ISNUMBER(_xlpm.r)),
  IF(COUNT(_xlpm.v)=0, NA(), MAX(_xlpm.v))
)</f>
        <v>190.81251054501806</v>
      </c>
      <c r="X6" cm="1">
        <f t="array" aca="1" ref="X6" ca="1">_xlfn.LET(
  _xlpm.k, ROW(A5)-1,
  _xlpm.r, OFFSET($E$2,0,_xlpm.k,ROWS($E$2:$E$1000),1),
  _xlpm.v, _xlfn._xlws.FILTER(_xlpm.r, ISNUMBER(_xlpm.r)),
  IF(COUNT(_xlpm.v)=0, NA(), _xlfn.PERCENTILE.INC(_xlpm.v, 0.25))
)</f>
        <v>76.003696298198619</v>
      </c>
      <c r="Y6" cm="1">
        <f t="array" aca="1" ref="Y6" ca="1">_xlfn.LET(
  _xlpm.k, ROW(A5)-1,
  _xlpm.r, OFFSET($E$2,0,_xlpm.k,ROWS($E$2:$E$1000),1),
  _xlpm.v, _xlfn._xlws.FILTER(_xlpm.r, ISNUMBER(_xlpm.r)),
  IF(COUNT(_xlpm.v)=0, NA(), _xlfn.PERCENTILE.INC(_xlpm.v,0.5) - _xlfn.PERCENTILE.INC(_xlpm.v,0.25))
)</f>
        <v>19.271475076964762</v>
      </c>
      <c r="Z6" cm="1">
        <f t="array" aca="1" ref="Z6" ca="1">_xlfn.LET(
  _xlpm.k, ROW(A5)-1,
  _xlpm.r, OFFSET($E$2,0,_xlpm.k,ROWS($E$2:$E$1000),1),
  _xlpm.v, _xlfn._xlws.FILTER(_xlpm.r, ISNUMBER(_xlpm.r)),
  IF(COUNT(_xlpm.v)=0, NA(), _xlfn.PERCENTILE.INC(_xlpm.v,0.75) - _xlfn.PERCENTILE.INC(_xlpm.v,0.5))
)</f>
        <v>17.008446511015492</v>
      </c>
      <c r="AA6" cm="1">
        <f t="array" aca="1" ref="AA6" ca="1">_xlfn.LET(
  _xlpm.k, ROW(A5)-1,
  _xlpm.r, OFFSET($E$2,0,_xlpm.k,ROWS($E$2:$E$1000),1),
  _xlpm.v, _xlfn._xlws.FILTER(_xlpm.r, ISNUMBER(_xlpm.r)),
  IF(COUNT(_xlpm.v)=0, NA(), _xlfn.PERCENTILE.INC(_xlpm.v, 0.75))
)</f>
        <v>112.28361788617887</v>
      </c>
      <c r="AB6">
        <f t="shared" ca="1" si="0"/>
        <v>36.279921587980255</v>
      </c>
      <c r="AC6">
        <f t="shared" ca="1" si="11"/>
        <v>21.583813916228237</v>
      </c>
      <c r="AD6">
        <f t="shared" ca="1" si="12"/>
        <v>166.70350026814924</v>
      </c>
      <c r="AE6" s="13" t="e" cm="1">
        <f t="array" aca="1" ref="AE6" ca="1">_xlfn.LET(
  _xlpm.Data, $Y$2:$AI$1000,
  _xlpm.col,  $AJ6,
  _xlpm.vec,  INDEX(_xlpm.Data,,_xlpm.col),
  _xlpm.v,    _xlfn._xlws.FILTER(_xlpm.vec, ISNUMBER(_xlpm.vec)),
  _xlpm.f,    AC6,
  IF(OR(COUNT(_xlpm.v)=0, NOT(ISNUMBER(_xlpm.f))),
      NA(),
      IF(COUNT(_xlfn._xlws.FILTER(_xlpm.v, _xlpm.v&gt;=_xlpm.f))=0, MIN(_xlpm.v), MIN(_xlfn._xlws.FILTER(_xlpm.v, _xlpm.v&gt;=_xlpm.f)))
  )
)</f>
        <v>#N/A</v>
      </c>
      <c r="AF6" t="e" cm="1">
        <f t="array" aca="1" ref="AF6" ca="1">_xlfn.LET(
  _xlpm.Data, $Y$2:$AI$1000,
  _xlpm.col,  $AJ6,
  _xlpm.vec,  INDEX(_xlpm.Data,,_xlpm.col),
  _xlpm.v,    _xlfn._xlws.FILTER(_xlpm.vec, ISNUMBER(_xlpm.vec)),
  _xlpm.f,    AD6,
  IF(OR(COUNT(_xlpm.v)=0, NOT(ISNUMBER(_xlpm.f))),
      NA(),
      IF(COUNT(_xlfn._xlws.FILTER(_xlpm.v, _xlpm.v&lt;=_xlpm.f))=0, MAX(_xlpm.v), MAX(_xlfn._xlws.FILTER(_xlpm.v, _xlpm.v&lt;=_xlpm.f)))
  )
)</f>
        <v>#N/A</v>
      </c>
      <c r="AG6" t="e">
        <f t="shared" ca="1" si="1"/>
        <v>#N/A</v>
      </c>
      <c r="AH6" t="e">
        <f t="shared" ca="1" si="2"/>
        <v>#N/A</v>
      </c>
      <c r="AI6" t="e">
        <f t="shared" ca="1" si="13"/>
        <v>#N/A</v>
      </c>
      <c r="AJ6" cm="1">
        <f t="array" aca="1" ref="AJ6" ca="1">_xlfn.LET(
  _xlpm.Data, $Y$2:$AI$1000,
  _xlpm.col,  $AJ6,
  _xlpm.vec,  INDEX(_xlpm.Data,,_xlpm.col),
  _xlpm.nums, IFERROR(--_xlpm.vec,),
  _xlpm.v,    _xlfn._xlws.FILTER(_xlpm.nums, ISNUMBER(_xlpm.nums)),
  _xlpm.f,    AD6,
  MAX(IFERROR(_xlfn._xlws.FILTER(_xlpm.v, _xlpm.v&lt;=_xlpm.f), _xlpm.v))
)</f>
        <v>0</v>
      </c>
      <c r="AK6">
        <f t="shared" ca="1" si="3"/>
        <v>5.4016598011121175</v>
      </c>
      <c r="AL6">
        <v>0</v>
      </c>
      <c r="AM6">
        <f t="shared" ca="1" si="4"/>
        <v>78.528892658839183</v>
      </c>
      <c r="AN6">
        <v>56.475983178346219</v>
      </c>
      <c r="AO6">
        <v>4</v>
      </c>
      <c r="AS6" t="s">
        <v>1073</v>
      </c>
      <c r="AT6" t="s">
        <v>518</v>
      </c>
      <c r="AU6" s="13" t="s">
        <v>1093</v>
      </c>
      <c r="AW6">
        <v>77.893154078040325</v>
      </c>
      <c r="AX6">
        <v>113.53346977171438</v>
      </c>
      <c r="AY6">
        <v>115.62530352798053</v>
      </c>
      <c r="BC6">
        <f t="shared" si="14"/>
        <v>5</v>
      </c>
      <c r="BD6" s="26" cm="1">
        <f t="array" aca="1" ref="BD6" ca="1">_xlfn.LET(
  _xlpm.r,OFFSET($AV$2,0,ROW(A5)-1,ROWS($AV$2:$AV$1000),1),
  _xlpm.v,_xlfn._xlws.FILTER(_xlpm.r,ISNUMBER(_xlpm.r)),
  IF(COUNT(_xlpm.v)=0,NA(),_xlfn.PERCENTILE.INC(_xlpm.v,0.975))
)</f>
        <v>95.222340882694539</v>
      </c>
      <c r="BE6" s="26" cm="1">
        <f t="array" ref="BE6">_xlfn.LET(
  _xlpm.hdr, $AV$1:$BB$1,
  _xlpm.k,   _xlfn.XMATCH($AS6, _xlpm.hdr, 0),
  _xlpm.col, INDEX($AV$2:$BB$1000,, _xlpm.k),
  _xlpm.v,   _xlfn._xlws.FILTER(_xlpm.col, ISNUMBER(_xlpm.col)),
  IF(COUNT(_xlpm.v)=0, NA(), AVERAGE(_xlpm.v))
)</f>
        <v>95.222340882694539</v>
      </c>
      <c r="BF6" cm="1">
        <f t="array" aca="1" ref="BF6" ca="1">_xlfn.LET(
  _xlpm.k,ROW(A5)-1,
  _xlpm.r,OFFSET($AV$2,0,_xlpm.k,ROWS($AV$2:$AV$1000),1),
  _xlpm.v,_xlfn._xlws.FILTER(_xlpm.r,ISNUMBER(_xlpm.r)),
  IF(COUNT(_xlpm.v)=0,NA(),MIN(_xlpm.v))
)</f>
        <v>95.222340882694539</v>
      </c>
      <c r="BG6" cm="1">
        <f t="array" aca="1" ref="BG6" ca="1">_xlfn.LET(
  _xlpm.k,ROW(A5)-1,
  _xlpm.r,OFFSET($AV$2,0,_xlpm.k,ROWS($AV$2:$AV$1000),1),
  _xlpm.v,_xlfn._xlws.FILTER(_xlpm.r,ISNUMBER(_xlpm.r)),
  IF(COUNT(_xlpm.v)=0,NA(),_xlfn.PERCENTILE.INC(_xlpm.v,0.25))
)</f>
        <v>95.222340882694539</v>
      </c>
      <c r="BH6" cm="1">
        <f t="array" aca="1" ref="BH6" ca="1">_xlfn.LET(
  _xlpm.k,ROW(A5)-1,
  _xlpm.r,OFFSET($AV$2,0,_xlpm.k,ROWS($AV$2:$AV$1000),1),
  _xlpm.v,_xlfn._xlws.FILTER(_xlpm.r,ISNUMBER(_xlpm.r)),
  IF(COUNT(_xlpm.v)=0,NA(),_xlfn.PERCENTILE.INC(_xlpm.v,0.5))
)</f>
        <v>95.222340882694539</v>
      </c>
      <c r="BI6" cm="1">
        <f t="array" ref="BI6">_xlfn.LET(
  _xlpm.Data, $AV$2:$BB$1000,
  _xlpm.col,  $BC6,
  _xlpm.vec,  INDEX(_xlpm.Data,,_xlpm.col),
  _xlpm.v,    _xlfn._xlws.FILTER(_xlpm.vec, ISNUMBER(_xlpm.vec)),
  IF(COUNT(_xlpm.v)=0, NA(), _xlfn.PERCENTILE.INC(_xlpm.v, 0.75))
)</f>
        <v>95.222340882694539</v>
      </c>
      <c r="BJ6" cm="1">
        <f t="array" aca="1" ref="BJ6" ca="1">_xlfn.LET(
  _xlpm.k,ROW(A5)-1,
  _xlpm.r,OFFSET($AV$2,0,_xlpm.k,ROWS($AV$2:$AV$1000),1),
  _xlpm.v,_xlfn._xlws.FILTER(_xlpm.r,ISNUMBER(_xlpm.r)),
  IF(COUNT(_xlpm.v)=0,NA(),MAX(_xlpm.v))
)</f>
        <v>95.222340882694539</v>
      </c>
      <c r="BK6" cm="1">
        <f t="array" aca="1" ref="BK6" ca="1">_xlfn.LET(_xlpm.r,OFFSET($AV$2,0,ROW(A5)-1,ROWS($AV$2:$AV$1000),1),
    _xlpm.v,_xlfn._xlws.FILTER(_xlpm.r,ISNUMBER(_xlpm.r)),
    _xlfn.PERCENTILE.INC(_xlpm.v,0.25))</f>
        <v>95.222340882694539</v>
      </c>
      <c r="BL6" cm="1">
        <f t="array" aca="1" ref="BL6" ca="1">_xlfn.LET(
  _xlpm.k, ROW(A5)-1,
  _xlpm.r, OFFSET($AV$2,0,_xlpm.k,ROWS($AV$2:$AV$1000),1),
  _xlpm.v, _xlfn._xlws.FILTER(_xlpm.r, ISNUMBER(_xlpm.r)),
  IF(COUNT(_xlpm.v)=0, NA(), _xlfn.PERCENTILE.INC(_xlpm.v,0.5)-_xlfn.PERCENTILE.INC(_xlpm.v,0.25))
)</f>
        <v>0</v>
      </c>
      <c r="BM6" cm="1">
        <f t="array" aca="1" ref="BM6" ca="1">_xlfn.LET(_xlpm.r,OFFSET($AV$2,0,ROW(A5)-1,ROWS($AV$2:$AV$1000),1),
    _xlpm.v,_xlfn._xlws.FILTER(_xlpm.r,ISNUMBER(_xlpm.r)),
    _xlfn.PERCENTILE.INC(_xlpm.v,0.75)-_xlfn.PERCENTILE.INC(_xlpm.v,0.5))</f>
        <v>0</v>
      </c>
      <c r="BN6" cm="1">
        <f t="array" aca="1" ref="BN6" ca="1">_xlfn.LET(_xlpm.r,OFFSET($AV$2,0,ROW(A5)-1,ROWS($AV$2:$AV$1000),1),
    _xlpm.v,_xlfn._xlws.FILTER(_xlpm.r,ISNUMBER(_xlpm.r)),
    MAX(_xlpm.v)-_xlfn.PERCENTILE.INC(_xlpm.v,0.75))</f>
        <v>0</v>
      </c>
      <c r="BO6">
        <f t="shared" ca="1" si="5"/>
        <v>0</v>
      </c>
      <c r="BP6">
        <f t="shared" ca="1" si="15"/>
        <v>95.222340882694539</v>
      </c>
      <c r="BQ6">
        <f t="shared" ca="1" si="16"/>
        <v>95.222340882694539</v>
      </c>
      <c r="BR6" s="13" cm="1">
        <f t="array" aca="1" ref="BR6" ca="1">_xlfn.LET(
  _xlpm.Data, $AV$2:$BB$1000,
  _xlpm.col,  $BC6,
  _xlpm.vec,  INDEX(_xlpm.Data,,_xlpm.col),
  _xlpm.v,    _xlfn._xlws.FILTER(_xlpm.vec, ISNUMBER(_xlpm.vec)),
  _xlpm.f,    BP6,
  IF(OR(COUNT(_xlpm.v)=0, NOT(ISNUMBER(_xlpm.f))),
      NA(),
      IF(COUNT(_xlfn._xlws.FILTER(_xlpm.v, _xlpm.v&gt;=_xlpm.f))=0, MIN(_xlpm.v), MIN(_xlfn._xlws.FILTER(_xlpm.v, _xlpm.v&gt;=_xlpm.f)))
  )
)</f>
        <v>95.222340882694539</v>
      </c>
      <c r="BS6" cm="1">
        <f t="array" aca="1" ref="BS6" ca="1">_xlfn.LET(
  _xlpm.Data, $AV$2:$BB$1000,
  _xlpm.col,  $BC6,
  _xlpm.vec,  INDEX(_xlpm.Data,,_xlpm.col),
  _xlpm.v,    _xlfn._xlws.FILTER(_xlpm.vec, ISNUMBER(_xlpm.vec)),
  _xlpm.f,    BQ6,
  IF(OR(COUNT(_xlpm.v)=0, NOT(ISNUMBER(_xlpm.f))),
      NA(),
      IF(COUNT(_xlfn._xlws.FILTER(_xlpm.v, _xlpm.v&lt;=_xlpm.f))=0, MAX(_xlpm.v), MAX(_xlfn._xlws.FILTER(_xlpm.v, _xlpm.v&lt;=_xlpm.f)))
  )
)</f>
        <v>95.222340882694539</v>
      </c>
      <c r="BT6">
        <f t="shared" ca="1" si="6"/>
        <v>0</v>
      </c>
      <c r="BU6">
        <f t="shared" ca="1" si="7"/>
        <v>0</v>
      </c>
      <c r="BV6">
        <f t="shared" ca="1" si="17"/>
        <v>0</v>
      </c>
      <c r="BW6">
        <f t="shared" ca="1" si="18"/>
        <v>0</v>
      </c>
      <c r="BX6">
        <f t="shared" ca="1" si="8"/>
        <v>0</v>
      </c>
      <c r="BY6">
        <v>0</v>
      </c>
      <c r="BZ6">
        <f t="shared" ca="1" si="9"/>
        <v>0</v>
      </c>
      <c r="CA6">
        <v>56.475983178346219</v>
      </c>
      <c r="CB6">
        <v>2</v>
      </c>
    </row>
    <row r="7" spans="1:80">
      <c r="B7" t="s">
        <v>537</v>
      </c>
      <c r="C7" t="s">
        <v>518</v>
      </c>
      <c r="D7" t="s">
        <v>52</v>
      </c>
      <c r="H7">
        <v>78.760561976504277</v>
      </c>
      <c r="I7">
        <v>76.003696298198619</v>
      </c>
      <c r="J7">
        <v>115.89260112530415</v>
      </c>
      <c r="P7">
        <f t="shared" si="10"/>
        <v>6</v>
      </c>
      <c r="Q7" s="26" cm="1">
        <f t="array" aca="1" ref="Q7" ca="1">_xlfn.LET(
  _xlpm.r, OFFSET($E$2,0,ROWS($A$1:A6)-1,ROWS($E$2:$E$1000),1),
  _xlpm.v, _xlfn._xlws.FILTER(_xlpm.r, ISNUMBER(_xlpm.r)),
  IF(COUNT(_xlpm.v)=0, NA(), _xlfn.PERCENTILE.INC(_xlpm.v,0.975))
)</f>
        <v>142.23666207998781</v>
      </c>
      <c r="R7" s="26" cm="1">
        <f t="array" ref="R7">_xlfn.LET(
  _xlpm.hdr, $E$1:$O$1,
  _xlpm.k,   _xlfn.XMATCH($B7, _xlpm.hdr, 0),
  _xlpm.col, INDEX($E$2:$O$1000,, _xlpm.k),
  _xlpm.v,   _xlfn._xlws.FILTER(_xlpm.col, ISNUMBER(_xlpm.col)),
  IF(COUNT(_xlpm.v)=0, NA(), AVERAGE(_xlpm.v))
)</f>
        <v>100.59381176189871</v>
      </c>
      <c r="S7" cm="1">
        <f t="array" aca="1" ref="S7" ca="1">_xlfn.LET(
  _xlpm.k, ROWS($A$1:A6)-1,
  _xlpm.r, OFFSET($E$2,0,_xlpm.k,ROWS($E$2:$E$1000),1),
  _xlpm.v, _xlfn._xlws.FILTER(_xlpm.r, ISNUMBER(_xlpm.r)),
  IF(COUNT(_xlpm.v)=0, NA(), MIN(_xlpm.v))
)</f>
        <v>20.47142642984074</v>
      </c>
      <c r="T7" cm="1">
        <f t="array" aca="1" ref="T7" ca="1">_xlfn.LET(
  _xlpm.k, ROWS($A$1:A6)-1,
  _xlpm.r, OFFSET($E$2,0,_xlpm.k,ROWS($E$2:$E$1000),1),
  _xlpm.v, _xlfn._xlws.FILTER(_xlpm.r, ISNUMBER(_xlpm.r)),
  IF(COUNT(_xlpm.v)=0, NA(), _xlfn.PERCENTILE.INC(_xlpm.v,0.25))
)</f>
        <v>90.434693877551027</v>
      </c>
      <c r="U7" cm="1">
        <f t="array" aca="1" ref="U7" ca="1">_xlfn.LET(
  _xlpm.k, ROWS($A$1:A6)-1,
  _xlpm.r, OFFSET($E$2,0,_xlpm.k,ROWS($E$2:$E$1000),1),
  _xlpm.v, _xlfn._xlws.FILTER(_xlpm.r, ISNUMBER(_xlpm.r)),
  IF(COUNT(_xlpm.v)=0, NA(), _xlfn.PERCENTILE.INC(_xlpm.v,0.5))
)</f>
        <v>106.47110276338515</v>
      </c>
      <c r="V7" cm="1">
        <f t="array" aca="1" ref="V7" ca="1">_xlfn.LET(
  _xlpm.k, ROWS($A$1:A6)-1,
  _xlpm.r, OFFSET($E$2,0,_xlpm.k,ROWS($E$2:$E$1000),1),
  _xlpm.v, _xlfn._xlws.FILTER(_xlpm.r, ISNUMBER(_xlpm.r)),
  IF(COUNT(_xlpm.v)=0, NA(), _xlfn.PERCENTILE.INC(_xlpm.v,0.75))
)</f>
        <v>114.85204976429441</v>
      </c>
      <c r="W7" cm="1">
        <f t="array" aca="1" ref="W7" ca="1">_xlfn.LET(
  _xlpm.k, ROWS($A$1:A6)-1,
  _xlpm.r, OFFSET($E$2,0,_xlpm.k,ROWS($E$2:$E$1000),1),
  _xlpm.v, _xlfn._xlws.FILTER(_xlpm.r, ISNUMBER(_xlpm.r)),
  IF(COUNT(_xlpm.v)=0, NA(), MAX(_xlpm.v))
)</f>
        <v>172.68780970325011</v>
      </c>
      <c r="X7" cm="1">
        <f t="array" aca="1" ref="X7" ca="1">_xlfn.LET(
  _xlpm.k, ROW(A6)-1,
  _xlpm.r, OFFSET($E$2,0,_xlpm.k,ROWS($E$2:$E$1000),1),
  _xlpm.v, _xlfn._xlws.FILTER(_xlpm.r, ISNUMBER(_xlpm.r)),
  IF(COUNT(_xlpm.v)=0, NA(), _xlfn.PERCENTILE.INC(_xlpm.v, 0.25))
)</f>
        <v>90.434693877551027</v>
      </c>
      <c r="Y7" cm="1">
        <f t="array" aca="1" ref="Y7" ca="1">_xlfn.LET(
  _xlpm.k, ROW(A6)-1,
  _xlpm.r, OFFSET($E$2,0,_xlpm.k,ROWS($E$2:$E$1000),1),
  _xlpm.v, _xlfn._xlws.FILTER(_xlpm.r, ISNUMBER(_xlpm.r)),
  IF(COUNT(_xlpm.v)=0, NA(), _xlfn.PERCENTILE.INC(_xlpm.v,0.5) - _xlfn.PERCENTILE.INC(_xlpm.v,0.25))
)</f>
        <v>16.03640888583412</v>
      </c>
      <c r="Z7" cm="1">
        <f t="array" aca="1" ref="Z7" ca="1">_xlfn.LET(
  _xlpm.k, ROW(A6)-1,
  _xlpm.r, OFFSET($E$2,0,_xlpm.k,ROWS($E$2:$E$1000),1),
  _xlpm.v, _xlfn._xlws.FILTER(_xlpm.r, ISNUMBER(_xlpm.r)),
  IF(COUNT(_xlpm.v)=0, NA(), _xlfn.PERCENTILE.INC(_xlpm.v,0.75) - _xlfn.PERCENTILE.INC(_xlpm.v,0.5))
)</f>
        <v>8.3809470009092593</v>
      </c>
      <c r="AA7" cm="1">
        <f t="array" aca="1" ref="AA7" ca="1">_xlfn.LET(
  _xlpm.k, ROW(A6)-1,
  _xlpm.r, OFFSET($E$2,0,_xlpm.k,ROWS($E$2:$E$1000),1),
  _xlpm.v, _xlfn._xlws.FILTER(_xlpm.r, ISNUMBER(_xlpm.r)),
  IF(COUNT(_xlpm.v)=0, NA(), _xlfn.PERCENTILE.INC(_xlpm.v, 0.75))
)</f>
        <v>114.85204976429441</v>
      </c>
      <c r="AB7">
        <f t="shared" ca="1" si="0"/>
        <v>24.41735588674338</v>
      </c>
      <c r="AC7">
        <f t="shared" ca="1" si="11"/>
        <v>53.808660047435957</v>
      </c>
      <c r="AD7">
        <f t="shared" ca="1" si="12"/>
        <v>151.47808359440947</v>
      </c>
      <c r="AE7" s="13" t="e" cm="1">
        <f t="array" aca="1" ref="AE7" ca="1">_xlfn.LET(
  _xlpm.Data, $Y$2:$AI$1000,
  _xlpm.col,  $AJ7,
  _xlpm.vec,  INDEX(_xlpm.Data,,_xlpm.col),
  _xlpm.v,    _xlfn._xlws.FILTER(_xlpm.vec, ISNUMBER(_xlpm.vec)),
  _xlpm.f,    AC7,
  IF(OR(COUNT(_xlpm.v)=0, NOT(ISNUMBER(_xlpm.f))),
      NA(),
      IF(COUNT(_xlfn._xlws.FILTER(_xlpm.v, _xlpm.v&gt;=_xlpm.f))=0, MIN(_xlpm.v), MIN(_xlfn._xlws.FILTER(_xlpm.v, _xlpm.v&gt;=_xlpm.f)))
  )
)</f>
        <v>#N/A</v>
      </c>
      <c r="AF7" t="e" cm="1">
        <f t="array" aca="1" ref="AF7" ca="1">_xlfn.LET(
  _xlpm.Data, $Y$2:$AI$1000,
  _xlpm.col,  $AJ7,
  _xlpm.vec,  INDEX(_xlpm.Data,,_xlpm.col),
  _xlpm.v,    _xlfn._xlws.FILTER(_xlpm.vec, ISNUMBER(_xlpm.vec)),
  _xlpm.f,    AD7,
  IF(OR(COUNT(_xlpm.v)=0, NOT(ISNUMBER(_xlpm.f))),
      NA(),
      IF(COUNT(_xlfn._xlws.FILTER(_xlpm.v, _xlpm.v&lt;=_xlpm.f))=0, MAX(_xlpm.v), MAX(_xlfn._xlws.FILTER(_xlpm.v, _xlpm.v&lt;=_xlpm.f)))
  )
)</f>
        <v>#N/A</v>
      </c>
      <c r="AG7" t="e">
        <f t="shared" ca="1" si="1"/>
        <v>#N/A</v>
      </c>
      <c r="AH7" t="e">
        <f t="shared" ca="1" si="2"/>
        <v>#N/A</v>
      </c>
      <c r="AI7" t="e">
        <f t="shared" ca="1" si="13"/>
        <v>#N/A</v>
      </c>
      <c r="AJ7" cm="1">
        <f t="array" aca="1" ref="AJ7" ca="1">_xlfn.LET(
  _xlpm.Data, $Y$2:$AI$1000,
  _xlpm.col,  $AJ7,
  _xlpm.vec,  INDEX(_xlpm.Data,,_xlpm.col),
  _xlpm.nums, IFERROR(--_xlpm.vec,),
  _xlpm.v,    _xlfn._xlws.FILTER(_xlpm.nums, ISNUMBER(_xlpm.nums)),
  _xlpm.f,    AD7,
  MAX(IFERROR(_xlfn._xlws.FILTER(_xlpm.v, _xlpm.v&lt;=_xlpm.f), _xlpm.v))
)</f>
        <v>0</v>
      </c>
      <c r="AK7">
        <f t="shared" ca="1" si="3"/>
        <v>69.96326744771028</v>
      </c>
      <c r="AL7">
        <v>0</v>
      </c>
      <c r="AM7">
        <f t="shared" ca="1" si="4"/>
        <v>57.835759938955704</v>
      </c>
      <c r="AN7">
        <v>60.950009161464997</v>
      </c>
      <c r="AO7">
        <v>4</v>
      </c>
      <c r="AS7" t="s">
        <v>540</v>
      </c>
      <c r="AT7" t="s">
        <v>520</v>
      </c>
      <c r="AU7" t="s">
        <v>52</v>
      </c>
      <c r="AW7">
        <v>78.760561976504277</v>
      </c>
      <c r="AX7">
        <v>76.003696298198619</v>
      </c>
      <c r="AY7">
        <v>115.89260112530415</v>
      </c>
      <c r="BC7">
        <f t="shared" si="14"/>
        <v>6</v>
      </c>
      <c r="BD7" s="26" cm="1">
        <f t="array" aca="1" ref="BD7" ca="1">_xlfn.LET(
  _xlpm.r,OFFSET($AV$2,0,ROW(A6)-1,ROWS($AV$2:$AV$1000),1),
  _xlpm.v,_xlfn._xlws.FILTER(_xlpm.r,ISNUMBER(_xlpm.r)),
  IF(COUNT(_xlpm.v)=0,NA(),_xlfn.PERCENTILE.INC(_xlpm.v,0.975))
)</f>
        <v>261.56216277025254</v>
      </c>
      <c r="BE7" s="26" cm="1">
        <f t="array" ref="BE7">_xlfn.LET(
  _xlpm.hdr, $AV$1:$BB$1,
  _xlpm.k,   _xlfn.XMATCH($AS7, _xlpm.hdr, 0),
  _xlpm.col, INDEX($AV$2:$BB$1000,, _xlpm.k),
  _xlpm.v,   _xlfn._xlws.FILTER(_xlpm.col, ISNUMBER(_xlpm.col)),
  IF(COUNT(_xlpm.v)=0, NA(), AVERAGE(_xlpm.v))
)</f>
        <v>195.29974820178853</v>
      </c>
      <c r="BF7" cm="1">
        <f t="array" aca="1" ref="BF7" ca="1">_xlfn.LET(
  _xlpm.k,ROW(A6)-1,
  _xlpm.r,OFFSET($AV$2,0,_xlpm.k,ROWS($AV$2:$AV$1000),1),
  _xlpm.v,_xlfn._xlws.FILTER(_xlpm.r,ISNUMBER(_xlpm.r)),
  IF(COUNT(_xlpm.v)=0,NA(),MIN(_xlpm.v))
)</f>
        <v>125.54983812972121</v>
      </c>
      <c r="BG7" cm="1">
        <f t="array" aca="1" ref="BG7" ca="1">_xlfn.LET(
  _xlpm.k,ROW(A6)-1,
  _xlpm.r,OFFSET($AV$2,0,_xlpm.k,ROWS($AV$2:$AV$1000),1),
  _xlpm.v,_xlfn._xlws.FILTER(_xlpm.r,ISNUMBER(_xlpm.r)),
  IF(COUNT(_xlpm.v)=0,NA(),_xlfn.PERCENTILE.INC(_xlpm.v,0.25))
)</f>
        <v>160.42479316575486</v>
      </c>
      <c r="BH7" cm="1">
        <f t="array" aca="1" ref="BH7" ca="1">_xlfn.LET(
  _xlpm.k,ROW(A6)-1,
  _xlpm.r,OFFSET($AV$2,0,_xlpm.k,ROWS($AV$2:$AV$1000),1),
  _xlpm.v,_xlfn._xlws.FILTER(_xlpm.r,ISNUMBER(_xlpm.r)),
  IF(COUNT(_xlpm.v)=0,NA(),_xlfn.PERCENTILE.INC(_xlpm.v,0.5))
)</f>
        <v>195.29974820178853</v>
      </c>
      <c r="BI7" cm="1">
        <f t="array" ref="BI7">_xlfn.LET(
  _xlpm.Data, $AV$2:$BB$1000,
  _xlpm.col,  $BC7,
  _xlpm.vec,  INDEX(_xlpm.Data,,_xlpm.col),
  _xlpm.v,    _xlfn._xlws.FILTER(_xlpm.vec, ISNUMBER(_xlpm.vec)),
  IF(COUNT(_xlpm.v)=0, NA(), _xlfn.PERCENTILE.INC(_xlpm.v, 0.75))
)</f>
        <v>230.1747032378222</v>
      </c>
      <c r="BJ7" cm="1">
        <f t="array" aca="1" ref="BJ7" ca="1">_xlfn.LET(
  _xlpm.k,ROW(A6)-1,
  _xlpm.r,OFFSET($AV$2,0,_xlpm.k,ROWS($AV$2:$AV$1000),1),
  _xlpm.v,_xlfn._xlws.FILTER(_xlpm.r,ISNUMBER(_xlpm.r)),
  IF(COUNT(_xlpm.v)=0,NA(),MAX(_xlpm.v))
)</f>
        <v>265.04965827385587</v>
      </c>
      <c r="BK7" cm="1">
        <f t="array" aca="1" ref="BK7" ca="1">_xlfn.LET(_xlpm.r,OFFSET($AV$2,0,ROW(A6)-1,ROWS($AV$2:$AV$1000),1),
    _xlpm.v,_xlfn._xlws.FILTER(_xlpm.r,ISNUMBER(_xlpm.r)),
    _xlfn.PERCENTILE.INC(_xlpm.v,0.25))</f>
        <v>160.42479316575486</v>
      </c>
      <c r="BL7" cm="1">
        <f t="array" aca="1" ref="BL7" ca="1">_xlfn.LET(
  _xlpm.k, ROW(A6)-1,
  _xlpm.r, OFFSET($AV$2,0,_xlpm.k,ROWS($AV$2:$AV$1000),1),
  _xlpm.v, _xlfn._xlws.FILTER(_xlpm.r, ISNUMBER(_xlpm.r)),
  IF(COUNT(_xlpm.v)=0, NA(), _xlfn.PERCENTILE.INC(_xlpm.v,0.5)-_xlfn.PERCENTILE.INC(_xlpm.v,0.25))
)</f>
        <v>34.874955036033668</v>
      </c>
      <c r="BM7" cm="1">
        <f t="array" aca="1" ref="BM7" ca="1">_xlfn.LET(_xlpm.r,OFFSET($AV$2,0,ROW(A6)-1,ROWS($AV$2:$AV$1000),1),
    _xlpm.v,_xlfn._xlws.FILTER(_xlpm.r,ISNUMBER(_xlpm.r)),
    _xlfn.PERCENTILE.INC(_xlpm.v,0.75)-_xlfn.PERCENTILE.INC(_xlpm.v,0.5))</f>
        <v>34.874955036033668</v>
      </c>
      <c r="BN7" cm="1">
        <f t="array" aca="1" ref="BN7" ca="1">_xlfn.LET(_xlpm.r,OFFSET($AV$2,0,ROW(A6)-1,ROWS($AV$2:$AV$1000),1),
    _xlpm.v,_xlfn._xlws.FILTER(_xlpm.r,ISNUMBER(_xlpm.r)),
    MAX(_xlpm.v)-_xlfn.PERCENTILE.INC(_xlpm.v,0.75))</f>
        <v>34.874955036033668</v>
      </c>
      <c r="BO7">
        <f t="shared" ca="1" si="5"/>
        <v>69.749910072067337</v>
      </c>
      <c r="BP7">
        <f t="shared" ca="1" si="15"/>
        <v>55.799928057653858</v>
      </c>
      <c r="BQ7">
        <f t="shared" ca="1" si="16"/>
        <v>334.79956834592321</v>
      </c>
      <c r="BR7" s="13" cm="1">
        <f t="array" aca="1" ref="BR7" ca="1">_xlfn.LET(
  _xlpm.Data, $AV$2:$BB$1000,
  _xlpm.col,  $BC7,
  _xlpm.vec,  INDEX(_xlpm.Data,,_xlpm.col),
  _xlpm.v,    _xlfn._xlws.FILTER(_xlpm.vec, ISNUMBER(_xlpm.vec)),
  _xlpm.f,    BP7,
  IF(OR(COUNT(_xlpm.v)=0, NOT(ISNUMBER(_xlpm.f))),
      NA(),
      IF(COUNT(_xlfn._xlws.FILTER(_xlpm.v, _xlpm.v&gt;=_xlpm.f))=0, MIN(_xlpm.v), MIN(_xlfn._xlws.FILTER(_xlpm.v, _xlpm.v&gt;=_xlpm.f)))
  )
)</f>
        <v>125.54983812972121</v>
      </c>
      <c r="BS7" cm="1">
        <f t="array" aca="1" ref="BS7" ca="1">_xlfn.LET(
  _xlpm.Data, $AV$2:$BB$1000,
  _xlpm.col,  $BC7,
  _xlpm.vec,  INDEX(_xlpm.Data,,_xlpm.col),
  _xlpm.v,    _xlfn._xlws.FILTER(_xlpm.vec, ISNUMBER(_xlpm.vec)),
  _xlpm.f,    BQ7,
  IF(OR(COUNT(_xlpm.v)=0, NOT(ISNUMBER(_xlpm.f))),
      NA(),
      IF(COUNT(_xlfn._xlws.FILTER(_xlpm.v, _xlpm.v&lt;=_xlpm.f))=0, MAX(_xlpm.v), MAX(_xlfn._xlws.FILTER(_xlpm.v, _xlpm.v&lt;=_xlpm.f)))
  )
)</f>
        <v>265.04965827385587</v>
      </c>
      <c r="BT7">
        <f t="shared" ca="1" si="6"/>
        <v>69.749910072067337</v>
      </c>
      <c r="BU7">
        <f t="shared" ca="1" si="7"/>
        <v>69.749910072067323</v>
      </c>
      <c r="BV7">
        <f t="shared" ca="1" si="17"/>
        <v>34.874955036033654</v>
      </c>
      <c r="BW7">
        <f t="shared" ca="1" si="18"/>
        <v>34.874955036033668</v>
      </c>
      <c r="BX7">
        <f t="shared" ca="1" si="8"/>
        <v>34.874955036033654</v>
      </c>
      <c r="BY7">
        <v>0</v>
      </c>
      <c r="BZ7">
        <f t="shared" ca="1" si="9"/>
        <v>34.874955036033668</v>
      </c>
      <c r="CA7">
        <v>60.950009161464997</v>
      </c>
      <c r="CB7">
        <v>2</v>
      </c>
    </row>
    <row r="8" spans="1:80" ht="25.8">
      <c r="B8" t="s">
        <v>1073</v>
      </c>
      <c r="C8" t="s">
        <v>518</v>
      </c>
      <c r="D8" s="13" t="s">
        <v>1093</v>
      </c>
      <c r="H8">
        <v>88.911569724392777</v>
      </c>
      <c r="I8">
        <v>190.81251054501806</v>
      </c>
      <c r="J8">
        <v>121.50585066909977</v>
      </c>
      <c r="P8">
        <f t="shared" si="10"/>
        <v>7</v>
      </c>
      <c r="Q8" s="26" cm="1">
        <f t="array" aca="1" ref="Q8" ca="1">_xlfn.LET(
  _xlpm.r, OFFSET($E$2,0,ROWS($A$1:A7)-1,ROWS($E$2:$E$1000),1),
  _xlpm.v, _xlfn._xlws.FILTER(_xlpm.r, ISNUMBER(_xlpm.r)),
  IF(COUNT(_xlpm.v)=0, NA(), _xlfn.PERCENTILE.INC(_xlpm.v,0.975))
)</f>
        <v>95.222340882694539</v>
      </c>
      <c r="R8" s="26" cm="1">
        <f t="array" ref="R8">_xlfn.LET(
  _xlpm.hdr, $E$1:$O$1,
  _xlpm.k,   _xlfn.XMATCH($B8, _xlpm.hdr, 0),
  _xlpm.col, INDEX($E$2:$O$1000,, _xlpm.k),
  _xlpm.v,   _xlfn._xlws.FILTER(_xlpm.col, ISNUMBER(_xlpm.col)),
  IF(COUNT(_xlpm.v)=0, NA(), AVERAGE(_xlpm.v))
)</f>
        <v>95.222340882694539</v>
      </c>
      <c r="S8" cm="1">
        <f t="array" aca="1" ref="S8" ca="1">_xlfn.LET(
  _xlpm.k, ROWS($A$1:A7)-1,
  _xlpm.r, OFFSET($E$2,0,_xlpm.k,ROWS($E$2:$E$1000),1),
  _xlpm.v, _xlfn._xlws.FILTER(_xlpm.r, ISNUMBER(_xlpm.r)),
  IF(COUNT(_xlpm.v)=0, NA(), MIN(_xlpm.v))
)</f>
        <v>95.222340882694539</v>
      </c>
      <c r="T8" cm="1">
        <f t="array" aca="1" ref="T8" ca="1">_xlfn.LET(
  _xlpm.k, ROWS($A$1:A7)-1,
  _xlpm.r, OFFSET($E$2,0,_xlpm.k,ROWS($E$2:$E$1000),1),
  _xlpm.v, _xlfn._xlws.FILTER(_xlpm.r, ISNUMBER(_xlpm.r)),
  IF(COUNT(_xlpm.v)=0, NA(), _xlfn.PERCENTILE.INC(_xlpm.v,0.25))
)</f>
        <v>95.222340882694539</v>
      </c>
      <c r="U8" cm="1">
        <f t="array" aca="1" ref="U8" ca="1">_xlfn.LET(
  _xlpm.k, ROWS($A$1:A7)-1,
  _xlpm.r, OFFSET($E$2,0,_xlpm.k,ROWS($E$2:$E$1000),1),
  _xlpm.v, _xlfn._xlws.FILTER(_xlpm.r, ISNUMBER(_xlpm.r)),
  IF(COUNT(_xlpm.v)=0, NA(), _xlfn.PERCENTILE.INC(_xlpm.v,0.5))
)</f>
        <v>95.222340882694539</v>
      </c>
      <c r="V8" cm="1">
        <f t="array" aca="1" ref="V8" ca="1">_xlfn.LET(
  _xlpm.k, ROWS($A$1:A7)-1,
  _xlpm.r, OFFSET($E$2,0,_xlpm.k,ROWS($E$2:$E$1000),1),
  _xlpm.v, _xlfn._xlws.FILTER(_xlpm.r, ISNUMBER(_xlpm.r)),
  IF(COUNT(_xlpm.v)=0, NA(), _xlfn.PERCENTILE.INC(_xlpm.v,0.75))
)</f>
        <v>95.222340882694539</v>
      </c>
      <c r="W8" cm="1">
        <f t="array" aca="1" ref="W8" ca="1">_xlfn.LET(
  _xlpm.k, ROWS($A$1:A7)-1,
  _xlpm.r, OFFSET($E$2,0,_xlpm.k,ROWS($E$2:$E$1000),1),
  _xlpm.v, _xlfn._xlws.FILTER(_xlpm.r, ISNUMBER(_xlpm.r)),
  IF(COUNT(_xlpm.v)=0, NA(), MAX(_xlpm.v))
)</f>
        <v>95.222340882694539</v>
      </c>
      <c r="X8" cm="1">
        <f t="array" aca="1" ref="X8" ca="1">_xlfn.LET(
  _xlpm.k, ROW(A7)-1,
  _xlpm.r, OFFSET($E$2,0,_xlpm.k,ROWS($E$2:$E$1000),1),
  _xlpm.v, _xlfn._xlws.FILTER(_xlpm.r, ISNUMBER(_xlpm.r)),
  IF(COUNT(_xlpm.v)=0, NA(), _xlfn.PERCENTILE.INC(_xlpm.v, 0.25))
)</f>
        <v>95.222340882694539</v>
      </c>
      <c r="Y8" cm="1">
        <f t="array" aca="1" ref="Y8" ca="1">_xlfn.LET(
  _xlpm.k, ROW(A7)-1,
  _xlpm.r, OFFSET($E$2,0,_xlpm.k,ROWS($E$2:$E$1000),1),
  _xlpm.v, _xlfn._xlws.FILTER(_xlpm.r, ISNUMBER(_xlpm.r)),
  IF(COUNT(_xlpm.v)=0, NA(), _xlfn.PERCENTILE.INC(_xlpm.v,0.5) - _xlfn.PERCENTILE.INC(_xlpm.v,0.25))
)</f>
        <v>0</v>
      </c>
      <c r="Z8" cm="1">
        <f t="array" aca="1" ref="Z8" ca="1">_xlfn.LET(
  _xlpm.k, ROW(A7)-1,
  _xlpm.r, OFFSET($E$2,0,_xlpm.k,ROWS($E$2:$E$1000),1),
  _xlpm.v, _xlfn._xlws.FILTER(_xlpm.r, ISNUMBER(_xlpm.r)),
  IF(COUNT(_xlpm.v)=0, NA(), _xlfn.PERCENTILE.INC(_xlpm.v,0.75) - _xlfn.PERCENTILE.INC(_xlpm.v,0.5))
)</f>
        <v>0</v>
      </c>
      <c r="AA8" cm="1">
        <f t="array" aca="1" ref="AA8" ca="1">_xlfn.LET(
  _xlpm.k, ROW(A7)-1,
  _xlpm.r, OFFSET($E$2,0,_xlpm.k,ROWS($E$2:$E$1000),1),
  _xlpm.v, _xlfn._xlws.FILTER(_xlpm.r, ISNUMBER(_xlpm.r)),
  IF(COUNT(_xlpm.v)=0, NA(), _xlfn.PERCENTILE.INC(_xlpm.v, 0.75))
)</f>
        <v>95.222340882694539</v>
      </c>
      <c r="AB8">
        <f t="shared" ca="1" si="0"/>
        <v>0</v>
      </c>
      <c r="AC8">
        <f t="shared" ca="1" si="11"/>
        <v>95.222340882694539</v>
      </c>
      <c r="AD8">
        <f t="shared" ca="1" si="12"/>
        <v>95.222340882694539</v>
      </c>
      <c r="AE8" s="13" t="e" cm="1">
        <f t="array" aca="1" ref="AE8" ca="1">_xlfn.LET(
  _xlpm.Data, $Y$2:$AI$1000,
  _xlpm.col,  $AJ8,
  _xlpm.vec,  INDEX(_xlpm.Data,,_xlpm.col),
  _xlpm.v,    _xlfn._xlws.FILTER(_xlpm.vec, ISNUMBER(_xlpm.vec)),
  _xlpm.f,    AC8,
  IF(OR(COUNT(_xlpm.v)=0, NOT(ISNUMBER(_xlpm.f))),
      NA(),
      IF(COUNT(_xlfn._xlws.FILTER(_xlpm.v, _xlpm.v&gt;=_xlpm.f))=0, MIN(_xlpm.v), MIN(_xlfn._xlws.FILTER(_xlpm.v, _xlpm.v&gt;=_xlpm.f)))
  )
)</f>
        <v>#N/A</v>
      </c>
      <c r="AF8" t="e" cm="1">
        <f t="array" aca="1" ref="AF8" ca="1">_xlfn.LET(
  _xlpm.Data, $Y$2:$AI$1000,
  _xlpm.col,  $AJ8,
  _xlpm.vec,  INDEX(_xlpm.Data,,_xlpm.col),
  _xlpm.v,    _xlfn._xlws.FILTER(_xlpm.vec, ISNUMBER(_xlpm.vec)),
  _xlpm.f,    AD8,
  IF(OR(COUNT(_xlpm.v)=0, NOT(ISNUMBER(_xlpm.f))),
      NA(),
      IF(COUNT(_xlfn._xlws.FILTER(_xlpm.v, _xlpm.v&lt;=_xlpm.f))=0, MAX(_xlpm.v), MAX(_xlfn._xlws.FILTER(_xlpm.v, _xlpm.v&lt;=_xlpm.f)))
  )
)</f>
        <v>#N/A</v>
      </c>
      <c r="AG8" t="e">
        <f t="shared" ca="1" si="1"/>
        <v>#N/A</v>
      </c>
      <c r="AH8" t="e">
        <f t="shared" ca="1" si="2"/>
        <v>#N/A</v>
      </c>
      <c r="AI8" t="e">
        <f t="shared" ca="1" si="13"/>
        <v>#N/A</v>
      </c>
      <c r="AJ8" cm="1">
        <f t="array" aca="1" ref="AJ8" ca="1">_xlfn.LET(
  _xlpm.Data, $Y$2:$AI$1000,
  _xlpm.col,  $AJ8,
  _xlpm.vec,  INDEX(_xlpm.Data,,_xlpm.col),
  _xlpm.nums, IFERROR(--_xlpm.vec,),
  _xlpm.v,    _xlfn._xlws.FILTER(_xlpm.nums, ISNUMBER(_xlpm.nums)),
  _xlpm.f,    AD8,
  MAX(IFERROR(_xlfn._xlws.FILTER(_xlpm.v, _xlpm.v&lt;=_xlpm.f), _xlpm.v))
)</f>
        <v>0</v>
      </c>
      <c r="AK8">
        <f t="shared" ca="1" si="3"/>
        <v>0</v>
      </c>
      <c r="AL8">
        <v>0</v>
      </c>
      <c r="AM8">
        <f t="shared" ca="1" si="4"/>
        <v>0</v>
      </c>
      <c r="AN8">
        <v>72.681644233090395</v>
      </c>
      <c r="AO8">
        <v>4</v>
      </c>
      <c r="AS8" t="s">
        <v>1072</v>
      </c>
      <c r="AT8" t="s">
        <v>520</v>
      </c>
      <c r="AU8" s="13" t="s">
        <v>1093</v>
      </c>
      <c r="AW8">
        <v>88.911569724392777</v>
      </c>
      <c r="AX8">
        <v>190.81251054501806</v>
      </c>
      <c r="AY8">
        <v>121.50585066909977</v>
      </c>
      <c r="BC8">
        <f t="shared" si="14"/>
        <v>7</v>
      </c>
      <c r="BD8" s="26" cm="1">
        <f t="array" aca="1" ref="BD8" ca="1">_xlfn.LET(
  _xlpm.r,OFFSET($AV$2,0,ROW(A7)-1,ROWS($AV$2:$AV$1000),1),
  _xlpm.v,_xlfn._xlws.FILTER(_xlpm.r,ISNUMBER(_xlpm.r)),
  IF(COUNT(_xlpm.v)=0,NA(),_xlfn.PERCENTILE.INC(_xlpm.v,0.975))
)</f>
        <v>105.53507288623703</v>
      </c>
      <c r="BE8" s="26" cm="1">
        <f t="array" ref="BE8">_xlfn.LET(
  _xlpm.hdr, $AV$1:$BB$1,
  _xlpm.k,   _xlfn.XMATCH($AS8, _xlpm.hdr, 0),
  _xlpm.col, INDEX($AV$2:$BB$1000,, _xlpm.k),
  _xlpm.v,   _xlfn._xlws.FILTER(_xlpm.col, ISNUMBER(_xlpm.col)),
  IF(COUNT(_xlpm.v)=0, NA(), AVERAGE(_xlpm.v))
)</f>
        <v>89.699063143632713</v>
      </c>
      <c r="BF8" cm="1">
        <f t="array" aca="1" ref="BF8" ca="1">_xlfn.LET(
  _xlpm.k,ROW(A7)-1,
  _xlpm.r,OFFSET($AV$2,0,_xlpm.k,ROWS($AV$2:$AV$1000),1),
  _xlpm.v,_xlfn._xlws.FILTER(_xlpm.r,ISNUMBER(_xlpm.r)),
  IF(COUNT(_xlpm.v)=0,NA(),MIN(_xlpm.v))
)</f>
        <v>73.029579204049199</v>
      </c>
      <c r="BG8" cm="1">
        <f t="array" aca="1" ref="BG8" ca="1">_xlfn.LET(
  _xlpm.k,ROW(A7)-1,
  _xlpm.r,OFFSET($AV$2,0,_xlpm.k,ROWS($AV$2:$AV$1000),1),
  _xlpm.v,_xlfn._xlws.FILTER(_xlpm.r,ISNUMBER(_xlpm.r)),
  IF(COUNT(_xlpm.v)=0,NA(),_xlfn.PERCENTILE.INC(_xlpm.v,0.25))
)</f>
        <v>81.364321173840949</v>
      </c>
      <c r="BH8" cm="1">
        <f t="array" aca="1" ref="BH8" ca="1">_xlfn.LET(
  _xlpm.k,ROW(A7)-1,
  _xlpm.r,OFFSET($AV$2,0,_xlpm.k,ROWS($AV$2:$AV$1000),1),
  _xlpm.v,_xlfn._xlws.FILTER(_xlpm.r,ISNUMBER(_xlpm.r)),
  IF(COUNT(_xlpm.v)=0,NA(),_xlfn.PERCENTILE.INC(_xlpm.v,0.5))
)</f>
        <v>89.699063143632713</v>
      </c>
      <c r="BI8" cm="1">
        <f t="array" ref="BI8">_xlfn.LET(
  _xlpm.Data, $AV$2:$BB$1000,
  _xlpm.col,  $BC8,
  _xlpm.vec,  INDEX(_xlpm.Data,,_xlpm.col),
  _xlpm.v,    _xlfn._xlws.FILTER(_xlpm.vec, ISNUMBER(_xlpm.vec)),
  IF(COUNT(_xlpm.v)=0, NA(), _xlfn.PERCENTILE.INC(_xlpm.v, 0.75))
)</f>
        <v>98.033805113424464</v>
      </c>
      <c r="BJ8" cm="1">
        <f t="array" aca="1" ref="BJ8" ca="1">_xlfn.LET(
  _xlpm.k,ROW(A7)-1,
  _xlpm.r,OFFSET($AV$2,0,_xlpm.k,ROWS($AV$2:$AV$1000),1),
  _xlpm.v,_xlfn._xlws.FILTER(_xlpm.r,ISNUMBER(_xlpm.r)),
  IF(COUNT(_xlpm.v)=0,NA(),MAX(_xlpm.v))
)</f>
        <v>106.36854708321621</v>
      </c>
      <c r="BK8" cm="1">
        <f t="array" aca="1" ref="BK8" ca="1">_xlfn.LET(_xlpm.r,OFFSET($AV$2,0,ROW(A7)-1,ROWS($AV$2:$AV$1000),1),
    _xlpm.v,_xlfn._xlws.FILTER(_xlpm.r,ISNUMBER(_xlpm.r)),
    _xlfn.PERCENTILE.INC(_xlpm.v,0.25))</f>
        <v>81.364321173840949</v>
      </c>
      <c r="BL8" cm="1">
        <f t="array" aca="1" ref="BL8" ca="1">_xlfn.LET(
  _xlpm.k, ROW(A7)-1,
  _xlpm.r, OFFSET($AV$2,0,_xlpm.k,ROWS($AV$2:$AV$1000),1),
  _xlpm.v, _xlfn._xlws.FILTER(_xlpm.r, ISNUMBER(_xlpm.r)),
  IF(COUNT(_xlpm.v)=0, NA(), _xlfn.PERCENTILE.INC(_xlpm.v,0.5)-_xlfn.PERCENTILE.INC(_xlpm.v,0.25))
)</f>
        <v>8.3347419697917644</v>
      </c>
      <c r="BM8" cm="1">
        <f t="array" aca="1" ref="BM8" ca="1">_xlfn.LET(_xlpm.r,OFFSET($AV$2,0,ROW(A7)-1,ROWS($AV$2:$AV$1000),1),
    _xlpm.v,_xlfn._xlws.FILTER(_xlpm.r,ISNUMBER(_xlpm.r)),
    _xlfn.PERCENTILE.INC(_xlpm.v,0.75)-_xlfn.PERCENTILE.INC(_xlpm.v,0.5))</f>
        <v>8.3347419697917502</v>
      </c>
      <c r="BN8" cm="1">
        <f t="array" aca="1" ref="BN8" ca="1">_xlfn.LET(_xlpm.r,OFFSET($AV$2,0,ROW(A7)-1,ROWS($AV$2:$AV$1000),1),
    _xlpm.v,_xlfn._xlws.FILTER(_xlpm.r,ISNUMBER(_xlpm.r)),
    MAX(_xlpm.v)-_xlfn.PERCENTILE.INC(_xlpm.v,0.75))</f>
        <v>8.3347419697917502</v>
      </c>
      <c r="BO8">
        <f t="shared" ca="1" si="5"/>
        <v>16.669483939583515</v>
      </c>
      <c r="BP8">
        <f t="shared" ca="1" si="15"/>
        <v>56.360095264465677</v>
      </c>
      <c r="BQ8">
        <f t="shared" ca="1" si="16"/>
        <v>123.03803102279974</v>
      </c>
      <c r="BR8" s="13" cm="1">
        <f t="array" aca="1" ref="BR8" ca="1">_xlfn.LET(
  _xlpm.Data, $AV$2:$BB$1000,
  _xlpm.col,  $BC8,
  _xlpm.vec,  INDEX(_xlpm.Data,,_xlpm.col),
  _xlpm.v,    _xlfn._xlws.FILTER(_xlpm.vec, ISNUMBER(_xlpm.vec)),
  _xlpm.f,    BP8,
  IF(OR(COUNT(_xlpm.v)=0, NOT(ISNUMBER(_xlpm.f))),
      NA(),
      IF(COUNT(_xlfn._xlws.FILTER(_xlpm.v, _xlpm.v&gt;=_xlpm.f))=0, MIN(_xlpm.v), MIN(_xlfn._xlws.FILTER(_xlpm.v, _xlpm.v&gt;=_xlpm.f)))
  )
)</f>
        <v>73.029579204049199</v>
      </c>
      <c r="BS8" cm="1">
        <f t="array" aca="1" ref="BS8" ca="1">_xlfn.LET(
  _xlpm.Data, $AV$2:$BB$1000,
  _xlpm.col,  $BC8,
  _xlpm.vec,  INDEX(_xlpm.Data,,_xlpm.col),
  _xlpm.v,    _xlfn._xlws.FILTER(_xlpm.vec, ISNUMBER(_xlpm.vec)),
  _xlpm.f,    BQ8,
  IF(OR(COUNT(_xlpm.v)=0, NOT(ISNUMBER(_xlpm.f))),
      NA(),
      IF(COUNT(_xlfn._xlws.FILTER(_xlpm.v, _xlpm.v&lt;=_xlpm.f))=0, MAX(_xlpm.v), MAX(_xlfn._xlws.FILTER(_xlpm.v, _xlpm.v&lt;=_xlpm.f)))
  )
)</f>
        <v>106.36854708321621</v>
      </c>
      <c r="BT8">
        <f t="shared" ca="1" si="6"/>
        <v>16.6694839395835</v>
      </c>
      <c r="BU8">
        <f t="shared" ca="1" si="7"/>
        <v>16.669483939583515</v>
      </c>
      <c r="BV8">
        <f t="shared" ca="1" si="17"/>
        <v>8.3347419697917502</v>
      </c>
      <c r="BW8">
        <f t="shared" ca="1" si="18"/>
        <v>8.3347419697917502</v>
      </c>
      <c r="BX8">
        <f t="shared" ca="1" si="8"/>
        <v>8.3347419697917502</v>
      </c>
      <c r="BY8">
        <v>0</v>
      </c>
      <c r="BZ8">
        <f t="shared" ca="1" si="9"/>
        <v>8.3347419697917502</v>
      </c>
      <c r="CA8">
        <v>72.681644233090395</v>
      </c>
      <c r="CB8">
        <v>2</v>
      </c>
    </row>
    <row r="9" spans="1:80">
      <c r="B9" t="s">
        <v>538</v>
      </c>
      <c r="C9" t="s">
        <v>520</v>
      </c>
      <c r="D9" t="s">
        <v>32</v>
      </c>
      <c r="H9">
        <v>96.624928974956291</v>
      </c>
      <c r="I9">
        <v>74.369668989547037</v>
      </c>
      <c r="J9">
        <v>124.59886572384431</v>
      </c>
      <c r="P9">
        <f t="shared" si="10"/>
        <v>8</v>
      </c>
      <c r="Q9" s="26" t="e" cm="1">
        <f t="array" aca="1" ref="Q9" ca="1">_xlfn.LET(
  _xlpm.r, OFFSET($E$2,0,ROWS($A$1:A8)-1,ROWS($E$2:$E$1000),1),
  _xlpm.v, _xlfn._xlws.FILTER(_xlpm.r, ISNUMBER(_xlpm.r)),
  IF(COUNT(_xlpm.v)=0, NA(), _xlfn.PERCENTILE.INC(_xlpm.v,0.975))
)</f>
        <v>#N/A</v>
      </c>
      <c r="R9" s="26" t="e" cm="1">
        <f t="array" ref="R9">_xlfn.LET(
  _xlpm.hdr, $E$1:$O$1,
  _xlpm.k,   _xlfn.XMATCH($B9, _xlpm.hdr, 0),
  _xlpm.col, INDEX($E$2:$O$1000,, _xlpm.k),
  _xlpm.v,   _xlfn._xlws.FILTER(_xlpm.col, ISNUMBER(_xlpm.col)),
  IF(COUNT(_xlpm.v)=0, NA(), AVERAGE(_xlpm.v))
)</f>
        <v>#N/A</v>
      </c>
      <c r="S9" t="e" cm="1">
        <f t="array" aca="1" ref="S9" ca="1">_xlfn.LET(
  _xlpm.k, ROWS($A$1:A8)-1,
  _xlpm.r, OFFSET($E$2,0,_xlpm.k,ROWS($E$2:$E$1000),1),
  _xlpm.v, _xlfn._xlws.FILTER(_xlpm.r, ISNUMBER(_xlpm.r)),
  IF(COUNT(_xlpm.v)=0, NA(), MIN(_xlpm.v))
)</f>
        <v>#N/A</v>
      </c>
      <c r="T9" t="e" cm="1">
        <f t="array" aca="1" ref="T9" ca="1">_xlfn.LET(
  _xlpm.k, ROWS($A$1:A8)-1,
  _xlpm.r, OFFSET($E$2,0,_xlpm.k,ROWS($E$2:$E$1000),1),
  _xlpm.v, _xlfn._xlws.FILTER(_xlpm.r, ISNUMBER(_xlpm.r)),
  IF(COUNT(_xlpm.v)=0, NA(), _xlfn.PERCENTILE.INC(_xlpm.v,0.25))
)</f>
        <v>#N/A</v>
      </c>
      <c r="U9" t="e" cm="1">
        <f t="array" aca="1" ref="U9" ca="1">_xlfn.LET(
  _xlpm.k, ROWS($A$1:A8)-1,
  _xlpm.r, OFFSET($E$2,0,_xlpm.k,ROWS($E$2:$E$1000),1),
  _xlpm.v, _xlfn._xlws.FILTER(_xlpm.r, ISNUMBER(_xlpm.r)),
  IF(COUNT(_xlpm.v)=0, NA(), _xlfn.PERCENTILE.INC(_xlpm.v,0.5))
)</f>
        <v>#N/A</v>
      </c>
      <c r="V9" t="e" cm="1">
        <f t="array" aca="1" ref="V9" ca="1">_xlfn.LET(
  _xlpm.k, ROWS($A$1:A8)-1,
  _xlpm.r, OFFSET($E$2,0,_xlpm.k,ROWS($E$2:$E$1000),1),
  _xlpm.v, _xlfn._xlws.FILTER(_xlpm.r, ISNUMBER(_xlpm.r)),
  IF(COUNT(_xlpm.v)=0, NA(), _xlfn.PERCENTILE.INC(_xlpm.v,0.75))
)</f>
        <v>#N/A</v>
      </c>
      <c r="W9" t="e" cm="1">
        <f t="array" aca="1" ref="W9" ca="1">_xlfn.LET(
  _xlpm.k, ROWS($A$1:A8)-1,
  _xlpm.r, OFFSET($E$2,0,_xlpm.k,ROWS($E$2:$E$1000),1),
  _xlpm.v, _xlfn._xlws.FILTER(_xlpm.r, ISNUMBER(_xlpm.r)),
  IF(COUNT(_xlpm.v)=0, NA(), MAX(_xlpm.v))
)</f>
        <v>#N/A</v>
      </c>
      <c r="X9" t="e" cm="1">
        <f t="array" aca="1" ref="X9" ca="1">_xlfn.LET(
  _xlpm.k, ROW(A8)-1,
  _xlpm.r, OFFSET($E$2,0,_xlpm.k,ROWS($E$2:$E$1000),1),
  _xlpm.v, _xlfn._xlws.FILTER(_xlpm.r, ISNUMBER(_xlpm.r)),
  IF(COUNT(_xlpm.v)=0, NA(), _xlfn.PERCENTILE.INC(_xlpm.v, 0.25))
)</f>
        <v>#N/A</v>
      </c>
      <c r="Y9" t="e" cm="1">
        <f t="array" aca="1" ref="Y9" ca="1">_xlfn.LET(
  _xlpm.k, ROW(A8)-1,
  _xlpm.r, OFFSET($E$2,0,_xlpm.k,ROWS($E$2:$E$1000),1),
  _xlpm.v, _xlfn._xlws.FILTER(_xlpm.r, ISNUMBER(_xlpm.r)),
  IF(COUNT(_xlpm.v)=0, NA(), _xlfn.PERCENTILE.INC(_xlpm.v,0.5) - _xlfn.PERCENTILE.INC(_xlpm.v,0.25))
)</f>
        <v>#N/A</v>
      </c>
      <c r="Z9" t="e" cm="1">
        <f t="array" aca="1" ref="Z9" ca="1">_xlfn.LET(
  _xlpm.k, ROW(A8)-1,
  _xlpm.r, OFFSET($E$2,0,_xlpm.k,ROWS($E$2:$E$1000),1),
  _xlpm.v, _xlfn._xlws.FILTER(_xlpm.r, ISNUMBER(_xlpm.r)),
  IF(COUNT(_xlpm.v)=0, NA(), _xlfn.PERCENTILE.INC(_xlpm.v,0.75) - _xlfn.PERCENTILE.INC(_xlpm.v,0.5))
)</f>
        <v>#N/A</v>
      </c>
      <c r="AA9" t="e" cm="1">
        <f t="array" aca="1" ref="AA9" ca="1">_xlfn.LET(
  _xlpm.k, ROW(A8)-1,
  _xlpm.r, OFFSET($E$2,0,_xlpm.k,ROWS($E$2:$E$1000),1),
  _xlpm.v, _xlfn._xlws.FILTER(_xlpm.r, ISNUMBER(_xlpm.r)),
  IF(COUNT(_xlpm.v)=0, NA(), _xlfn.PERCENTILE.INC(_xlpm.v, 0.75))
)</f>
        <v>#N/A</v>
      </c>
      <c r="AB9" t="e">
        <f t="shared" ca="1" si="0"/>
        <v>#N/A</v>
      </c>
      <c r="AC9" t="e">
        <f t="shared" ca="1" si="11"/>
        <v>#N/A</v>
      </c>
      <c r="AD9" t="e">
        <f t="shared" ca="1" si="12"/>
        <v>#N/A</v>
      </c>
      <c r="AE9" s="13" t="e" cm="1">
        <f t="array" aca="1" ref="AE9" ca="1">_xlfn.LET(
  _xlpm.Data, $Y$2:$AI$1000,
  _xlpm.col,  $AJ9,
  _xlpm.vec,  INDEX(_xlpm.Data,,_xlpm.col),
  _xlpm.v,    _xlfn._xlws.FILTER(_xlpm.vec, ISNUMBER(_xlpm.vec)),
  _xlpm.f,    AC9,
  IF(OR(COUNT(_xlpm.v)=0, NOT(ISNUMBER(_xlpm.f))),
      NA(),
      IF(COUNT(_xlfn._xlws.FILTER(_xlpm.v, _xlpm.v&gt;=_xlpm.f))=0, MIN(_xlpm.v), MIN(_xlfn._xlws.FILTER(_xlpm.v, _xlpm.v&gt;=_xlpm.f)))
  )
)</f>
        <v>#N/A</v>
      </c>
      <c r="AF9" t="e" cm="1">
        <f t="array" aca="1" ref="AF9" ca="1">_xlfn.LET(
  _xlpm.Data, $Y$2:$AI$1000,
  _xlpm.col,  $AJ9,
  _xlpm.vec,  INDEX(_xlpm.Data,,_xlpm.col),
  _xlpm.v,    _xlfn._xlws.FILTER(_xlpm.vec, ISNUMBER(_xlpm.vec)),
  _xlpm.f,    AD9,
  IF(OR(COUNT(_xlpm.v)=0, NOT(ISNUMBER(_xlpm.f))),
      NA(),
      IF(COUNT(_xlfn._xlws.FILTER(_xlpm.v, _xlpm.v&lt;=_xlpm.f))=0, MAX(_xlpm.v), MAX(_xlfn._xlws.FILTER(_xlpm.v, _xlpm.v&lt;=_xlpm.f)))
  )
)</f>
        <v>#N/A</v>
      </c>
      <c r="AG9" t="e">
        <f t="shared" ca="1" si="1"/>
        <v>#N/A</v>
      </c>
      <c r="AH9" t="e">
        <f t="shared" ca="1" si="2"/>
        <v>#N/A</v>
      </c>
      <c r="AI9" t="e">
        <f t="shared" ca="1" si="13"/>
        <v>#N/A</v>
      </c>
      <c r="AJ9" cm="1">
        <f t="array" aca="1" ref="AJ9" ca="1">_xlfn.LET(
  _xlpm.Data, $Y$2:$AI$1000,
  _xlpm.col,  $AJ9,
  _xlpm.vec,  INDEX(_xlpm.Data,,_xlpm.col),
  _xlpm.nums, IFERROR(--_xlpm.vec,),
  _xlpm.v,    _xlfn._xlws.FILTER(_xlpm.nums, ISNUMBER(_xlpm.nums)),
  _xlpm.f,    AD9,
  MAX(IFERROR(_xlfn._xlws.FILTER(_xlpm.v, _xlpm.v&lt;=_xlpm.f), _xlpm.v))
)</f>
        <v>0</v>
      </c>
      <c r="AK9" t="e">
        <f t="shared" ca="1" si="3"/>
        <v>#N/A</v>
      </c>
      <c r="AL9">
        <v>0</v>
      </c>
      <c r="AM9" t="e">
        <f t="shared" ca="1" si="4"/>
        <v>#N/A</v>
      </c>
      <c r="AN9">
        <v>74.125679275424346</v>
      </c>
      <c r="AO9">
        <v>4</v>
      </c>
      <c r="AW9">
        <v>96.624928974956291</v>
      </c>
      <c r="AX9">
        <v>74.369668989547037</v>
      </c>
      <c r="AY9">
        <v>124.59886572384431</v>
      </c>
      <c r="BD9" s="26"/>
      <c r="BE9" s="26"/>
      <c r="BR9" s="13"/>
      <c r="CA9">
        <v>74.125679275424346</v>
      </c>
      <c r="CB9">
        <v>2</v>
      </c>
    </row>
    <row r="10" spans="1:80">
      <c r="B10" t="s">
        <v>539</v>
      </c>
      <c r="C10" t="s">
        <v>520</v>
      </c>
      <c r="D10" t="s">
        <v>57</v>
      </c>
      <c r="H10">
        <v>76.003696298198619</v>
      </c>
      <c r="I10">
        <v>112.28361788617887</v>
      </c>
      <c r="J10">
        <v>125.43894388686132</v>
      </c>
      <c r="P10">
        <f t="shared" si="10"/>
        <v>9</v>
      </c>
      <c r="Q10" s="26" t="e" cm="1">
        <f t="array" aca="1" ref="Q10" ca="1">_xlfn.LET(
  _xlpm.r, OFFSET($E$2,0,ROWS($A$1:A9)-1,ROWS($E$2:$E$1000),1),
  _xlpm.v, _xlfn._xlws.FILTER(_xlpm.r, ISNUMBER(_xlpm.r)),
  IF(COUNT(_xlpm.v)=0, NA(), _xlfn.PERCENTILE.INC(_xlpm.v,0.975))
)</f>
        <v>#N/A</v>
      </c>
      <c r="R10" s="26" t="e" cm="1">
        <f t="array" ref="R10">_xlfn.LET(
  _xlpm.hdr, $E$1:$O$1,
  _xlpm.k,   _xlfn.XMATCH($B10, _xlpm.hdr, 0),
  _xlpm.col, INDEX($E$2:$O$1000,, _xlpm.k),
  _xlpm.v,   _xlfn._xlws.FILTER(_xlpm.col, ISNUMBER(_xlpm.col)),
  IF(COUNT(_xlpm.v)=0, NA(), AVERAGE(_xlpm.v))
)</f>
        <v>#N/A</v>
      </c>
      <c r="S10" t="e" cm="1">
        <f t="array" aca="1" ref="S10" ca="1">_xlfn.LET(
  _xlpm.k, ROWS($A$1:A9)-1,
  _xlpm.r, OFFSET($E$2,0,_xlpm.k,ROWS($E$2:$E$1000),1),
  _xlpm.v, _xlfn._xlws.FILTER(_xlpm.r, ISNUMBER(_xlpm.r)),
  IF(COUNT(_xlpm.v)=0, NA(), MIN(_xlpm.v))
)</f>
        <v>#N/A</v>
      </c>
      <c r="T10" t="e" cm="1">
        <f t="array" aca="1" ref="T10" ca="1">_xlfn.LET(
  _xlpm.k, ROWS($A$1:A9)-1,
  _xlpm.r, OFFSET($E$2,0,_xlpm.k,ROWS($E$2:$E$1000),1),
  _xlpm.v, _xlfn._xlws.FILTER(_xlpm.r, ISNUMBER(_xlpm.r)),
  IF(COUNT(_xlpm.v)=0, NA(), _xlfn.PERCENTILE.INC(_xlpm.v,0.25))
)</f>
        <v>#N/A</v>
      </c>
      <c r="U10" t="e" cm="1">
        <f t="array" aca="1" ref="U10" ca="1">_xlfn.LET(
  _xlpm.k, ROWS($A$1:A9)-1,
  _xlpm.r, OFFSET($E$2,0,_xlpm.k,ROWS($E$2:$E$1000),1),
  _xlpm.v, _xlfn._xlws.FILTER(_xlpm.r, ISNUMBER(_xlpm.r)),
  IF(COUNT(_xlpm.v)=0, NA(), _xlfn.PERCENTILE.INC(_xlpm.v,0.5))
)</f>
        <v>#N/A</v>
      </c>
      <c r="V10" t="e" cm="1">
        <f t="array" aca="1" ref="V10" ca="1">_xlfn.LET(
  _xlpm.k, ROWS($A$1:A9)-1,
  _xlpm.r, OFFSET($E$2,0,_xlpm.k,ROWS($E$2:$E$1000),1),
  _xlpm.v, _xlfn._xlws.FILTER(_xlpm.r, ISNUMBER(_xlpm.r)),
  IF(COUNT(_xlpm.v)=0, NA(), _xlfn.PERCENTILE.INC(_xlpm.v,0.75))
)</f>
        <v>#N/A</v>
      </c>
      <c r="W10" t="e" cm="1">
        <f t="array" aca="1" ref="W10" ca="1">_xlfn.LET(
  _xlpm.k, ROWS($A$1:A9)-1,
  _xlpm.r, OFFSET($E$2,0,_xlpm.k,ROWS($E$2:$E$1000),1),
  _xlpm.v, _xlfn._xlws.FILTER(_xlpm.r, ISNUMBER(_xlpm.r)),
  IF(COUNT(_xlpm.v)=0, NA(), MAX(_xlpm.v))
)</f>
        <v>#N/A</v>
      </c>
      <c r="X10" t="e" cm="1">
        <f t="array" aca="1" ref="X10" ca="1">_xlfn.LET(
  _xlpm.k, ROW(A9)-1,
  _xlpm.r, OFFSET($E$2,0,_xlpm.k,ROWS($E$2:$E$1000),1),
  _xlpm.v, _xlfn._xlws.FILTER(_xlpm.r, ISNUMBER(_xlpm.r)),
  IF(COUNT(_xlpm.v)=0, NA(), _xlfn.PERCENTILE.INC(_xlpm.v, 0.25))
)</f>
        <v>#N/A</v>
      </c>
      <c r="Y10" t="e" cm="1">
        <f t="array" aca="1" ref="Y10" ca="1">_xlfn.LET(
  _xlpm.k, ROW(A9)-1,
  _xlpm.r, OFFSET($E$2,0,_xlpm.k,ROWS($E$2:$E$1000),1),
  _xlpm.v, _xlfn._xlws.FILTER(_xlpm.r, ISNUMBER(_xlpm.r)),
  IF(COUNT(_xlpm.v)=0, NA(), _xlfn.PERCENTILE.INC(_xlpm.v,0.5) - _xlfn.PERCENTILE.INC(_xlpm.v,0.25))
)</f>
        <v>#N/A</v>
      </c>
      <c r="Z10" t="e" cm="1">
        <f t="array" aca="1" ref="Z10" ca="1">_xlfn.LET(
  _xlpm.k, ROW(A9)-1,
  _xlpm.r, OFFSET($E$2,0,_xlpm.k,ROWS($E$2:$E$1000),1),
  _xlpm.v, _xlfn._xlws.FILTER(_xlpm.r, ISNUMBER(_xlpm.r)),
  IF(COUNT(_xlpm.v)=0, NA(), _xlfn.PERCENTILE.INC(_xlpm.v,0.75) - _xlfn.PERCENTILE.INC(_xlpm.v,0.5))
)</f>
        <v>#N/A</v>
      </c>
      <c r="AA10" t="e" cm="1">
        <f t="array" aca="1" ref="AA10" ca="1">_xlfn.LET(
  _xlpm.k, ROW(A9)-1,
  _xlpm.r, OFFSET($E$2,0,_xlpm.k,ROWS($E$2:$E$1000),1),
  _xlpm.v, _xlfn._xlws.FILTER(_xlpm.r, ISNUMBER(_xlpm.r)),
  IF(COUNT(_xlpm.v)=0, NA(), _xlfn.PERCENTILE.INC(_xlpm.v, 0.75))
)</f>
        <v>#N/A</v>
      </c>
      <c r="AB10" t="e">
        <f t="shared" ca="1" si="0"/>
        <v>#N/A</v>
      </c>
      <c r="AC10" t="e">
        <f t="shared" ca="1" si="11"/>
        <v>#N/A</v>
      </c>
      <c r="AD10" t="e">
        <f t="shared" ca="1" si="12"/>
        <v>#N/A</v>
      </c>
      <c r="AE10" s="13" t="e" cm="1">
        <f t="array" aca="1" ref="AE10" ca="1">_xlfn.LET(
  _xlpm.Data, $Y$2:$AI$1000,
  _xlpm.col,  $AJ10,
  _xlpm.vec,  INDEX(_xlpm.Data,,_xlpm.col),
  _xlpm.v,    _xlfn._xlws.FILTER(_xlpm.vec, ISNUMBER(_xlpm.vec)),
  _xlpm.f,    AC10,
  IF(OR(COUNT(_xlpm.v)=0, NOT(ISNUMBER(_xlpm.f))),
      NA(),
      IF(COUNT(_xlfn._xlws.FILTER(_xlpm.v, _xlpm.v&gt;=_xlpm.f))=0, MIN(_xlpm.v), MIN(_xlfn._xlws.FILTER(_xlpm.v, _xlpm.v&gt;=_xlpm.f)))
  )
)</f>
        <v>#N/A</v>
      </c>
      <c r="AF10" t="e" cm="1">
        <f t="array" aca="1" ref="AF10" ca="1">_xlfn.LET(
  _xlpm.Data, $Y$2:$AI$1000,
  _xlpm.col,  $AJ10,
  _xlpm.vec,  INDEX(_xlpm.Data,,_xlpm.col),
  _xlpm.v,    _xlfn._xlws.FILTER(_xlpm.vec, ISNUMBER(_xlpm.vec)),
  _xlpm.f,    AD10,
  IF(OR(COUNT(_xlpm.v)=0, NOT(ISNUMBER(_xlpm.f))),
      NA(),
      IF(COUNT(_xlfn._xlws.FILTER(_xlpm.v, _xlpm.v&lt;=_xlpm.f))=0, MAX(_xlpm.v), MAX(_xlfn._xlws.FILTER(_xlpm.v, _xlpm.v&lt;=_xlpm.f)))
  )
)</f>
        <v>#N/A</v>
      </c>
      <c r="AG10" t="e">
        <f t="shared" ca="1" si="1"/>
        <v>#N/A</v>
      </c>
      <c r="AH10" t="e">
        <f t="shared" ca="1" si="2"/>
        <v>#N/A</v>
      </c>
      <c r="AI10" t="e">
        <f t="shared" ca="1" si="13"/>
        <v>#N/A</v>
      </c>
      <c r="AJ10" cm="1">
        <f t="array" aca="1" ref="AJ10" ca="1">_xlfn.LET(
  _xlpm.Data, $Y$2:$AI$1000,
  _xlpm.col,  $AJ10,
  _xlpm.vec,  INDEX(_xlpm.Data,,_xlpm.col),
  _xlpm.nums, IFERROR(--_xlpm.vec,),
  _xlpm.v,    _xlfn._xlws.FILTER(_xlpm.nums, ISNUMBER(_xlpm.nums)),
  _xlpm.f,    AD10,
  MAX(IFERROR(_xlfn._xlws.FILTER(_xlpm.v, _xlpm.v&lt;=_xlpm.f), _xlpm.v))
)</f>
        <v>0</v>
      </c>
      <c r="AK10" t="e">
        <f t="shared" ca="1" si="3"/>
        <v>#N/A</v>
      </c>
      <c r="AL10">
        <v>0</v>
      </c>
      <c r="AM10" t="e">
        <f t="shared" ca="1" si="4"/>
        <v>#N/A</v>
      </c>
      <c r="AN10">
        <v>77.893154078040325</v>
      </c>
      <c r="AO10">
        <v>4</v>
      </c>
      <c r="AW10">
        <v>76.003696298198619</v>
      </c>
      <c r="AX10">
        <v>112.28361788617887</v>
      </c>
      <c r="AY10">
        <v>125.43894388686132</v>
      </c>
      <c r="BD10" s="26"/>
      <c r="BE10" s="26"/>
      <c r="BR10" s="13"/>
      <c r="CA10">
        <v>77.893154078040325</v>
      </c>
      <c r="CB10">
        <v>2</v>
      </c>
    </row>
    <row r="11" spans="1:80">
      <c r="B11" t="s">
        <v>540</v>
      </c>
      <c r="C11" t="s">
        <v>520</v>
      </c>
      <c r="D11" t="s">
        <v>52</v>
      </c>
      <c r="H11">
        <v>76.003696298198619</v>
      </c>
      <c r="J11">
        <v>125.83989028284672</v>
      </c>
      <c r="P11">
        <f t="shared" si="10"/>
        <v>10</v>
      </c>
      <c r="Q11" s="26" cm="1">
        <f t="array" aca="1" ref="Q11" ca="1">_xlfn.LET(
  _xlpm.r, OFFSET($E$2,0,ROWS($A$1:A10)-1,ROWS($E$2:$E$1000),1),
  _xlpm.v, _xlfn._xlws.FILTER(_xlpm.r, ISNUMBER(_xlpm.r)),
  IF(COUNT(_xlpm.v)=0, NA(), _xlfn.PERCENTILE.INC(_xlpm.v,0.975))
)</f>
        <v>261.56216277025254</v>
      </c>
      <c r="R11" s="26" cm="1">
        <f t="array" ref="R11">_xlfn.LET(
  _xlpm.hdr, $E$1:$O$1,
  _xlpm.k,   _xlfn.XMATCH($B11, _xlpm.hdr, 0),
  _xlpm.col, INDEX($E$2:$O$1000,, _xlpm.k),
  _xlpm.v,   _xlfn._xlws.FILTER(_xlpm.col, ISNUMBER(_xlpm.col)),
  IF(COUNT(_xlpm.v)=0, NA(), AVERAGE(_xlpm.v))
)</f>
        <v>195.29974820178853</v>
      </c>
      <c r="S11" cm="1">
        <f t="array" aca="1" ref="S11" ca="1">_xlfn.LET(
  _xlpm.k, ROWS($A$1:A10)-1,
  _xlpm.r, OFFSET($E$2,0,_xlpm.k,ROWS($E$2:$E$1000),1),
  _xlpm.v, _xlfn._xlws.FILTER(_xlpm.r, ISNUMBER(_xlpm.r)),
  IF(COUNT(_xlpm.v)=0, NA(), MIN(_xlpm.v))
)</f>
        <v>125.54983812972121</v>
      </c>
      <c r="T11" cm="1">
        <f t="array" aca="1" ref="T11" ca="1">_xlfn.LET(
  _xlpm.k, ROWS($A$1:A10)-1,
  _xlpm.r, OFFSET($E$2,0,_xlpm.k,ROWS($E$2:$E$1000),1),
  _xlpm.v, _xlfn._xlws.FILTER(_xlpm.r, ISNUMBER(_xlpm.r)),
  IF(COUNT(_xlpm.v)=0, NA(), _xlfn.PERCENTILE.INC(_xlpm.v,0.25))
)</f>
        <v>160.42479316575486</v>
      </c>
      <c r="U11" cm="1">
        <f t="array" aca="1" ref="U11" ca="1">_xlfn.LET(
  _xlpm.k, ROWS($A$1:A10)-1,
  _xlpm.r, OFFSET($E$2,0,_xlpm.k,ROWS($E$2:$E$1000),1),
  _xlpm.v, _xlfn._xlws.FILTER(_xlpm.r, ISNUMBER(_xlpm.r)),
  IF(COUNT(_xlpm.v)=0, NA(), _xlfn.PERCENTILE.INC(_xlpm.v,0.5))
)</f>
        <v>195.29974820178853</v>
      </c>
      <c r="V11" cm="1">
        <f t="array" aca="1" ref="V11" ca="1">_xlfn.LET(
  _xlpm.k, ROWS($A$1:A10)-1,
  _xlpm.r, OFFSET($E$2,0,_xlpm.k,ROWS($E$2:$E$1000),1),
  _xlpm.v, _xlfn._xlws.FILTER(_xlpm.r, ISNUMBER(_xlpm.r)),
  IF(COUNT(_xlpm.v)=0, NA(), _xlfn.PERCENTILE.INC(_xlpm.v,0.75))
)</f>
        <v>230.1747032378222</v>
      </c>
      <c r="W11" cm="1">
        <f t="array" aca="1" ref="W11" ca="1">_xlfn.LET(
  _xlpm.k, ROWS($A$1:A10)-1,
  _xlpm.r, OFFSET($E$2,0,_xlpm.k,ROWS($E$2:$E$1000),1),
  _xlpm.v, _xlfn._xlws.FILTER(_xlpm.r, ISNUMBER(_xlpm.r)),
  IF(COUNT(_xlpm.v)=0, NA(), MAX(_xlpm.v))
)</f>
        <v>265.04965827385587</v>
      </c>
      <c r="X11" cm="1">
        <f t="array" aca="1" ref="X11" ca="1">_xlfn.LET(
  _xlpm.k, ROW(A10)-1,
  _xlpm.r, OFFSET($E$2,0,_xlpm.k,ROWS($E$2:$E$1000),1),
  _xlpm.v, _xlfn._xlws.FILTER(_xlpm.r, ISNUMBER(_xlpm.r)),
  IF(COUNT(_xlpm.v)=0, NA(), _xlfn.PERCENTILE.INC(_xlpm.v, 0.25))
)</f>
        <v>160.42479316575486</v>
      </c>
      <c r="Y11" cm="1">
        <f t="array" aca="1" ref="Y11" ca="1">_xlfn.LET(
  _xlpm.k, ROW(A10)-1,
  _xlpm.r, OFFSET($E$2,0,_xlpm.k,ROWS($E$2:$E$1000),1),
  _xlpm.v, _xlfn._xlws.FILTER(_xlpm.r, ISNUMBER(_xlpm.r)),
  IF(COUNT(_xlpm.v)=0, NA(), _xlfn.PERCENTILE.INC(_xlpm.v,0.5) - _xlfn.PERCENTILE.INC(_xlpm.v,0.25))
)</f>
        <v>34.874955036033668</v>
      </c>
      <c r="Z11" cm="1">
        <f t="array" aca="1" ref="Z11" ca="1">_xlfn.LET(
  _xlpm.k, ROW(A10)-1,
  _xlpm.r, OFFSET($E$2,0,_xlpm.k,ROWS($E$2:$E$1000),1),
  _xlpm.v, _xlfn._xlws.FILTER(_xlpm.r, ISNUMBER(_xlpm.r)),
  IF(COUNT(_xlpm.v)=0, NA(), _xlfn.PERCENTILE.INC(_xlpm.v,0.75) - _xlfn.PERCENTILE.INC(_xlpm.v,0.5))
)</f>
        <v>34.874955036033668</v>
      </c>
      <c r="AA11" cm="1">
        <f t="array" aca="1" ref="AA11" ca="1">_xlfn.LET(
  _xlpm.k, ROW(A10)-1,
  _xlpm.r, OFFSET($E$2,0,_xlpm.k,ROWS($E$2:$E$1000),1),
  _xlpm.v, _xlfn._xlws.FILTER(_xlpm.r, ISNUMBER(_xlpm.r)),
  IF(COUNT(_xlpm.v)=0, NA(), _xlfn.PERCENTILE.INC(_xlpm.v, 0.75))
)</f>
        <v>230.1747032378222</v>
      </c>
      <c r="AB11">
        <f t="shared" ca="1" si="0"/>
        <v>69.749910072067337</v>
      </c>
      <c r="AC11">
        <f t="shared" ca="1" si="11"/>
        <v>55.799928057653858</v>
      </c>
      <c r="AD11">
        <f t="shared" ca="1" si="12"/>
        <v>334.79956834592321</v>
      </c>
      <c r="AE11" s="13" t="e" cm="1">
        <f t="array" aca="1" ref="AE11" ca="1">_xlfn.LET(
  _xlpm.Data, $Y$2:$AI$1000,
  _xlpm.col,  $AJ11,
  _xlpm.vec,  INDEX(_xlpm.Data,,_xlpm.col),
  _xlpm.v,    _xlfn._xlws.FILTER(_xlpm.vec, ISNUMBER(_xlpm.vec)),
  _xlpm.f,    AC11,
  IF(OR(COUNT(_xlpm.v)=0, NOT(ISNUMBER(_xlpm.f))),
      NA(),
      IF(COUNT(_xlfn._xlws.FILTER(_xlpm.v, _xlpm.v&gt;=_xlpm.f))=0, MIN(_xlpm.v), MIN(_xlfn._xlws.FILTER(_xlpm.v, _xlpm.v&gt;=_xlpm.f)))
  )
)</f>
        <v>#N/A</v>
      </c>
      <c r="AF11" t="e" cm="1">
        <f t="array" aca="1" ref="AF11" ca="1">_xlfn.LET(
  _xlpm.Data, $Y$2:$AI$1000,
  _xlpm.col,  $AJ11,
  _xlpm.vec,  INDEX(_xlpm.Data,,_xlpm.col),
  _xlpm.v,    _xlfn._xlws.FILTER(_xlpm.vec, ISNUMBER(_xlpm.vec)),
  _xlpm.f,    AD11,
  IF(OR(COUNT(_xlpm.v)=0, NOT(ISNUMBER(_xlpm.f))),
      NA(),
      IF(COUNT(_xlfn._xlws.FILTER(_xlpm.v, _xlpm.v&lt;=_xlpm.f))=0, MAX(_xlpm.v), MAX(_xlfn._xlws.FILTER(_xlpm.v, _xlpm.v&lt;=_xlpm.f)))
  )
)</f>
        <v>#N/A</v>
      </c>
      <c r="AG11" t="e">
        <f t="shared" ca="1" si="1"/>
        <v>#N/A</v>
      </c>
      <c r="AH11" t="e">
        <f t="shared" ca="1" si="2"/>
        <v>#N/A</v>
      </c>
      <c r="AI11" t="e">
        <f t="shared" ca="1" si="13"/>
        <v>#N/A</v>
      </c>
      <c r="AJ11" cm="1">
        <f t="array" aca="1" ref="AJ11" ca="1">_xlfn.LET(
  _xlpm.Data, $Y$2:$AI$1000,
  _xlpm.col,  $AJ11,
  _xlpm.vec,  INDEX(_xlpm.Data,,_xlpm.col),
  _xlpm.nums, IFERROR(--_xlpm.vec,),
  _xlpm.v,    _xlfn._xlws.FILTER(_xlpm.nums, ISNUMBER(_xlpm.nums)),
  _xlpm.f,    AD11,
  MAX(IFERROR(_xlfn._xlws.FILTER(_xlpm.v, _xlpm.v&lt;=_xlpm.f), _xlpm.v))
)</f>
        <v>0</v>
      </c>
      <c r="AK11">
        <f t="shared" ca="1" si="3"/>
        <v>34.874955036033654</v>
      </c>
      <c r="AL11">
        <v>0</v>
      </c>
      <c r="AM11">
        <f t="shared" ca="1" si="4"/>
        <v>34.874955036033668</v>
      </c>
      <c r="AN11">
        <v>78.760561976504277</v>
      </c>
      <c r="AO11">
        <v>4</v>
      </c>
      <c r="AW11">
        <v>76.003696298198619</v>
      </c>
      <c r="AY11">
        <v>125.83989028284672</v>
      </c>
      <c r="BD11" s="26"/>
      <c r="BE11" s="26"/>
      <c r="BR11" s="13"/>
      <c r="CA11">
        <v>78.760561976504277</v>
      </c>
      <c r="CB11">
        <v>2</v>
      </c>
    </row>
    <row r="12" spans="1:80" ht="25.8">
      <c r="B12" t="s">
        <v>1072</v>
      </c>
      <c r="C12" t="s">
        <v>520</v>
      </c>
      <c r="D12" s="13" t="s">
        <v>1093</v>
      </c>
      <c r="H12">
        <v>121.2180164245592</v>
      </c>
      <c r="J12">
        <v>90.434693877551027</v>
      </c>
      <c r="P12">
        <f t="shared" si="10"/>
        <v>11</v>
      </c>
      <c r="Q12" s="26" cm="1">
        <f t="array" aca="1" ref="Q12" ca="1">_xlfn.LET(
  _xlpm.r, OFFSET($E$2,0,ROWS($A$1:A11)-1,ROWS($E$2:$E$1000),1),
  _xlpm.v, _xlfn._xlws.FILTER(_xlpm.r, ISNUMBER(_xlpm.r)),
  IF(COUNT(_xlpm.v)=0, NA(), _xlfn.PERCENTILE.INC(_xlpm.v,0.975))
)</f>
        <v>105.53507288623703</v>
      </c>
      <c r="R12" s="26" cm="1">
        <f t="array" ref="R12">_xlfn.LET(
  _xlpm.hdr, $E$1:$O$1,
  _xlpm.k,   _xlfn.XMATCH($B12, _xlpm.hdr, 0),
  _xlpm.col, INDEX($E$2:$O$1000,, _xlpm.k),
  _xlpm.v,   _xlfn._xlws.FILTER(_xlpm.col, ISNUMBER(_xlpm.col)),
  IF(COUNT(_xlpm.v)=0, NA(), AVERAGE(_xlpm.v))
)</f>
        <v>89.699063143632713</v>
      </c>
      <c r="S12" cm="1">
        <f t="array" aca="1" ref="S12" ca="1">_xlfn.LET(
  _xlpm.k, ROWS($A$1:A11)-1,
  _xlpm.r, OFFSET($E$2,0,_xlpm.k,ROWS($E$2:$E$1000),1),
  _xlpm.v, _xlfn._xlws.FILTER(_xlpm.r, ISNUMBER(_xlpm.r)),
  IF(COUNT(_xlpm.v)=0, NA(), MIN(_xlpm.v))
)</f>
        <v>73.029579204049199</v>
      </c>
      <c r="T12" cm="1">
        <f t="array" aca="1" ref="T12" ca="1">_xlfn.LET(
  _xlpm.k, ROWS($A$1:A11)-1,
  _xlpm.r, OFFSET($E$2,0,_xlpm.k,ROWS($E$2:$E$1000),1),
  _xlpm.v, _xlfn._xlws.FILTER(_xlpm.r, ISNUMBER(_xlpm.r)),
  IF(COUNT(_xlpm.v)=0, NA(), _xlfn.PERCENTILE.INC(_xlpm.v,0.25))
)</f>
        <v>81.364321173840949</v>
      </c>
      <c r="U12" cm="1">
        <f t="array" aca="1" ref="U12" ca="1">_xlfn.LET(
  _xlpm.k, ROWS($A$1:A11)-1,
  _xlpm.r, OFFSET($E$2,0,_xlpm.k,ROWS($E$2:$E$1000),1),
  _xlpm.v, _xlfn._xlws.FILTER(_xlpm.r, ISNUMBER(_xlpm.r)),
  IF(COUNT(_xlpm.v)=0, NA(), _xlfn.PERCENTILE.INC(_xlpm.v,0.5))
)</f>
        <v>89.699063143632713</v>
      </c>
      <c r="V12" cm="1">
        <f t="array" aca="1" ref="V12" ca="1">_xlfn.LET(
  _xlpm.k, ROWS($A$1:A11)-1,
  _xlpm.r, OFFSET($E$2,0,_xlpm.k,ROWS($E$2:$E$1000),1),
  _xlpm.v, _xlfn._xlws.FILTER(_xlpm.r, ISNUMBER(_xlpm.r)),
  IF(COUNT(_xlpm.v)=0, NA(), _xlfn.PERCENTILE.INC(_xlpm.v,0.75))
)</f>
        <v>98.033805113424464</v>
      </c>
      <c r="W12" cm="1">
        <f t="array" aca="1" ref="W12" ca="1">_xlfn.LET(
  _xlpm.k, ROWS($A$1:A11)-1,
  _xlpm.r, OFFSET($E$2,0,_xlpm.k,ROWS($E$2:$E$1000),1),
  _xlpm.v, _xlfn._xlws.FILTER(_xlpm.r, ISNUMBER(_xlpm.r)),
  IF(COUNT(_xlpm.v)=0, NA(), MAX(_xlpm.v))
)</f>
        <v>106.36854708321621</v>
      </c>
      <c r="X12" cm="1">
        <f t="array" aca="1" ref="X12" ca="1">_xlfn.LET(
  _xlpm.k, ROW(A11)-1,
  _xlpm.r, OFFSET($E$2,0,_xlpm.k,ROWS($E$2:$E$1000),1),
  _xlpm.v, _xlfn._xlws.FILTER(_xlpm.r, ISNUMBER(_xlpm.r)),
  IF(COUNT(_xlpm.v)=0, NA(), _xlfn.PERCENTILE.INC(_xlpm.v, 0.25))
)</f>
        <v>81.364321173840949</v>
      </c>
      <c r="Y12" cm="1">
        <f t="array" aca="1" ref="Y12" ca="1">_xlfn.LET(
  _xlpm.k, ROW(A11)-1,
  _xlpm.r, OFFSET($E$2,0,_xlpm.k,ROWS($E$2:$E$1000),1),
  _xlpm.v, _xlfn._xlws.FILTER(_xlpm.r, ISNUMBER(_xlpm.r)),
  IF(COUNT(_xlpm.v)=0, NA(), _xlfn.PERCENTILE.INC(_xlpm.v,0.5) - _xlfn.PERCENTILE.INC(_xlpm.v,0.25))
)</f>
        <v>8.3347419697917644</v>
      </c>
      <c r="Z12" cm="1">
        <f t="array" aca="1" ref="Z12" ca="1">_xlfn.LET(
  _xlpm.k, ROW(A11)-1,
  _xlpm.r, OFFSET($E$2,0,_xlpm.k,ROWS($E$2:$E$1000),1),
  _xlpm.v, _xlfn._xlws.FILTER(_xlpm.r, ISNUMBER(_xlpm.r)),
  IF(COUNT(_xlpm.v)=0, NA(), _xlfn.PERCENTILE.INC(_xlpm.v,0.75) - _xlfn.PERCENTILE.INC(_xlpm.v,0.5))
)</f>
        <v>8.3347419697917502</v>
      </c>
      <c r="AA12" cm="1">
        <f t="array" aca="1" ref="AA12" ca="1">_xlfn.LET(
  _xlpm.k, ROW(A11)-1,
  _xlpm.r, OFFSET($E$2,0,_xlpm.k,ROWS($E$2:$E$1000),1),
  _xlpm.v, _xlfn._xlws.FILTER(_xlpm.r, ISNUMBER(_xlpm.r)),
  IF(COUNT(_xlpm.v)=0, NA(), _xlfn.PERCENTILE.INC(_xlpm.v, 0.75))
)</f>
        <v>98.033805113424464</v>
      </c>
      <c r="AB12">
        <f t="shared" ca="1" si="0"/>
        <v>16.669483939583515</v>
      </c>
      <c r="AC12">
        <f t="shared" ca="1" si="11"/>
        <v>56.360095264465677</v>
      </c>
      <c r="AD12">
        <f t="shared" ca="1" si="12"/>
        <v>123.03803102279974</v>
      </c>
      <c r="AE12" s="13" t="e" cm="1">
        <f t="array" aca="1" ref="AE12" ca="1">_xlfn.LET(
  _xlpm.Data, $Y$2:$AI$1000,
  _xlpm.col,  $AJ12,
  _xlpm.vec,  INDEX(_xlpm.Data,,_xlpm.col),
  _xlpm.v,    _xlfn._xlws.FILTER(_xlpm.vec, ISNUMBER(_xlpm.vec)),
  _xlpm.f,    AC12,
  IF(OR(COUNT(_xlpm.v)=0, NOT(ISNUMBER(_xlpm.f))),
      NA(),
      IF(COUNT(_xlfn._xlws.FILTER(_xlpm.v, _xlpm.v&gt;=_xlpm.f))=0, MIN(_xlpm.v), MIN(_xlfn._xlws.FILTER(_xlpm.v, _xlpm.v&gt;=_xlpm.f)))
  )
)</f>
        <v>#N/A</v>
      </c>
      <c r="AF12" t="e" cm="1">
        <f t="array" aca="1" ref="AF12" ca="1">_xlfn.LET(
  _xlpm.Data, $Y$2:$AI$1000,
  _xlpm.col,  $AJ12,
  _xlpm.vec,  INDEX(_xlpm.Data,,_xlpm.col),
  _xlpm.v,    _xlfn._xlws.FILTER(_xlpm.vec, ISNUMBER(_xlpm.vec)),
  _xlpm.f,    AD12,
  IF(OR(COUNT(_xlpm.v)=0, NOT(ISNUMBER(_xlpm.f))),
      NA(),
      IF(COUNT(_xlfn._xlws.FILTER(_xlpm.v, _xlpm.v&lt;=_xlpm.f))=0, MAX(_xlpm.v), MAX(_xlfn._xlws.FILTER(_xlpm.v, _xlpm.v&lt;=_xlpm.f)))
  )
)</f>
        <v>#N/A</v>
      </c>
      <c r="AG12" t="e">
        <f t="shared" ca="1" si="1"/>
        <v>#N/A</v>
      </c>
      <c r="AH12" t="e">
        <f t="shared" ca="1" si="2"/>
        <v>#N/A</v>
      </c>
      <c r="AI12" t="e">
        <f t="shared" ca="1" si="13"/>
        <v>#N/A</v>
      </c>
      <c r="AJ12" cm="1">
        <f t="array" aca="1" ref="AJ12" ca="1">_xlfn.LET(
  _xlpm.Data, $Y$2:$AI$1000,
  _xlpm.col,  $AJ12,
  _xlpm.vec,  INDEX(_xlpm.Data,,_xlpm.col),
  _xlpm.nums, IFERROR(--_xlpm.vec,),
  _xlpm.v,    _xlfn._xlws.FILTER(_xlpm.nums, ISNUMBER(_xlpm.nums)),
  _xlpm.f,    AD12,
  MAX(IFERROR(_xlfn._xlws.FILTER(_xlpm.v, _xlpm.v&lt;=_xlpm.f), _xlpm.v))
)</f>
        <v>0</v>
      </c>
      <c r="AK12">
        <f t="shared" ca="1" si="3"/>
        <v>8.3347419697917502</v>
      </c>
      <c r="AL12">
        <v>0</v>
      </c>
      <c r="AM12">
        <f t="shared" ca="1" si="4"/>
        <v>8.3347419697917502</v>
      </c>
      <c r="AN12">
        <v>88.911569724392777</v>
      </c>
      <c r="AO12">
        <v>4</v>
      </c>
      <c r="AW12">
        <v>121.2180164245592</v>
      </c>
      <c r="AY12">
        <v>90.434693877551027</v>
      </c>
      <c r="BD12" s="26"/>
      <c r="BE12" s="26"/>
      <c r="BR12" s="13"/>
      <c r="CA12">
        <v>88.911569724392777</v>
      </c>
      <c r="CB12">
        <v>2</v>
      </c>
    </row>
    <row r="13" spans="1:80">
      <c r="H13">
        <v>113.36353743190816</v>
      </c>
      <c r="J13">
        <v>90.434693877551027</v>
      </c>
      <c r="AN13">
        <v>96.624928974956291</v>
      </c>
      <c r="AO13">
        <v>4</v>
      </c>
      <c r="AW13">
        <v>113.36353743190816</v>
      </c>
      <c r="AY13">
        <v>90.434693877551027</v>
      </c>
      <c r="CA13">
        <v>96.624928974956291</v>
      </c>
      <c r="CB13">
        <v>2</v>
      </c>
    </row>
    <row r="14" spans="1:80">
      <c r="H14">
        <v>113.93881848217292</v>
      </c>
      <c r="J14">
        <v>95.222340882694539</v>
      </c>
      <c r="AN14">
        <v>76.003696298198619</v>
      </c>
      <c r="AO14">
        <v>4</v>
      </c>
      <c r="AW14">
        <v>113.93881848217292</v>
      </c>
      <c r="AY14">
        <v>95.222340882694539</v>
      </c>
      <c r="CA14">
        <v>76.003696298198619</v>
      </c>
      <c r="CB14">
        <v>2</v>
      </c>
    </row>
    <row r="15" spans="1:80">
      <c r="H15">
        <v>126.67587473705902</v>
      </c>
      <c r="J15">
        <v>95.95145528455285</v>
      </c>
      <c r="AN15">
        <v>76.003696298198619</v>
      </c>
      <c r="AO15">
        <v>4</v>
      </c>
      <c r="AW15">
        <v>126.67587473705902</v>
      </c>
      <c r="AY15">
        <v>95.95145528455285</v>
      </c>
      <c r="CA15">
        <v>76.003696298198619</v>
      </c>
      <c r="CB15">
        <v>2</v>
      </c>
    </row>
    <row r="16" spans="1:80">
      <c r="H16">
        <v>137.83965546576292</v>
      </c>
      <c r="J16">
        <v>172.68780970325011</v>
      </c>
      <c r="AN16">
        <v>121.2180164245592</v>
      </c>
      <c r="AO16">
        <v>4</v>
      </c>
      <c r="AW16">
        <v>137.83965546576292</v>
      </c>
      <c r="AY16">
        <v>172.68780970325011</v>
      </c>
      <c r="CA16">
        <v>121.2180164245592</v>
      </c>
      <c r="CB16">
        <v>2</v>
      </c>
    </row>
    <row r="17" spans="10:80">
      <c r="J17">
        <v>106.47110276338515</v>
      </c>
      <c r="AN17">
        <v>113.36353743190816</v>
      </c>
      <c r="AO17">
        <v>4</v>
      </c>
      <c r="AY17">
        <v>106.47110276338515</v>
      </c>
      <c r="CA17">
        <v>113.36353743190816</v>
      </c>
      <c r="CB17">
        <v>2</v>
      </c>
    </row>
    <row r="18" spans="10:80">
      <c r="J18">
        <v>65.639555893898802</v>
      </c>
      <c r="AN18">
        <v>113.93881848217292</v>
      </c>
      <c r="AO18">
        <v>4</v>
      </c>
      <c r="AY18">
        <v>65.639555893898802</v>
      </c>
      <c r="CA18">
        <v>113.93881848217292</v>
      </c>
      <c r="CB18">
        <v>2</v>
      </c>
    </row>
    <row r="19" spans="10:80">
      <c r="J19">
        <v>71.858040136478692</v>
      </c>
      <c r="AN19">
        <v>126.67587473705902</v>
      </c>
      <c r="AO19">
        <v>4</v>
      </c>
      <c r="AY19">
        <v>71.858040136478692</v>
      </c>
      <c r="CA19">
        <v>126.67587473705902</v>
      </c>
      <c r="CB19">
        <v>2</v>
      </c>
    </row>
    <row r="20" spans="10:80">
      <c r="J20">
        <v>80.034195344315208</v>
      </c>
      <c r="AN20">
        <v>137.83965546576292</v>
      </c>
      <c r="AO20">
        <v>4</v>
      </c>
      <c r="AY20">
        <v>80.034195344315208</v>
      </c>
      <c r="CA20">
        <v>137.83965546576292</v>
      </c>
      <c r="CB20">
        <v>2</v>
      </c>
    </row>
    <row r="21" spans="10:80">
      <c r="J21">
        <v>92.893406586687206</v>
      </c>
      <c r="AN21">
        <v>70.602036497086502</v>
      </c>
      <c r="AO21">
        <v>5</v>
      </c>
      <c r="AY21">
        <v>92.893406586687206</v>
      </c>
      <c r="CA21">
        <v>70.602036497086502</v>
      </c>
      <c r="CB21">
        <v>3</v>
      </c>
    </row>
    <row r="22" spans="10:80">
      <c r="J22">
        <v>94.508253495147713</v>
      </c>
      <c r="AN22">
        <v>89.75608878512358</v>
      </c>
      <c r="AO22">
        <v>5</v>
      </c>
      <c r="AY22">
        <v>94.508253495147713</v>
      </c>
      <c r="CA22">
        <v>89.75608878512358</v>
      </c>
      <c r="CB22">
        <v>3</v>
      </c>
    </row>
    <row r="23" spans="10:80">
      <c r="J23">
        <v>103.64140404299812</v>
      </c>
      <c r="AN23">
        <v>95.275171375163382</v>
      </c>
      <c r="AO23">
        <v>5</v>
      </c>
      <c r="AY23">
        <v>103.64140404299812</v>
      </c>
      <c r="CA23">
        <v>95.275171375163382</v>
      </c>
      <c r="CB23">
        <v>3</v>
      </c>
    </row>
    <row r="24" spans="10:80">
      <c r="J24">
        <v>114.00554444729792</v>
      </c>
      <c r="AN24">
        <v>103.64140404299812</v>
      </c>
      <c r="AO24">
        <v>5</v>
      </c>
      <c r="AY24">
        <v>114.00554444729792</v>
      </c>
      <c r="CA24">
        <v>103.64140404299812</v>
      </c>
      <c r="CB24">
        <v>3</v>
      </c>
    </row>
    <row r="25" spans="10:80">
      <c r="J25">
        <v>114.00554444729792</v>
      </c>
      <c r="AN25">
        <v>113.53346977171438</v>
      </c>
      <c r="AO25">
        <v>5</v>
      </c>
      <c r="AY25">
        <v>114.00554444729792</v>
      </c>
      <c r="CA25">
        <v>113.53346977171438</v>
      </c>
      <c r="CB25">
        <v>3</v>
      </c>
    </row>
    <row r="26" spans="10:80">
      <c r="J26">
        <v>114.00554444729792</v>
      </c>
      <c r="AN26">
        <v>76.003696298198619</v>
      </c>
      <c r="AO26">
        <v>5</v>
      </c>
      <c r="AY26">
        <v>114.00554444729792</v>
      </c>
      <c r="CA26">
        <v>76.003696298198619</v>
      </c>
      <c r="CB26">
        <v>3</v>
      </c>
    </row>
    <row r="27" spans="10:80">
      <c r="J27">
        <v>114.00554444729792</v>
      </c>
      <c r="AN27">
        <v>190.81251054501806</v>
      </c>
      <c r="AO27">
        <v>5</v>
      </c>
      <c r="AY27">
        <v>114.00554444729792</v>
      </c>
      <c r="CA27">
        <v>190.81251054501806</v>
      </c>
      <c r="CB27">
        <v>3</v>
      </c>
    </row>
    <row r="28" spans="10:80">
      <c r="J28">
        <v>20.47142642984074</v>
      </c>
      <c r="AN28">
        <v>74.369668989547037</v>
      </c>
      <c r="AO28">
        <v>5</v>
      </c>
      <c r="AY28">
        <v>20.47142642984074</v>
      </c>
      <c r="CA28">
        <v>74.369668989547037</v>
      </c>
      <c r="CB28">
        <v>3</v>
      </c>
    </row>
    <row r="29" spans="10:80">
      <c r="AN29">
        <v>112.28361788617887</v>
      </c>
      <c r="AO29">
        <v>5</v>
      </c>
      <c r="CA29">
        <v>112.28361788617887</v>
      </c>
      <c r="CB29">
        <v>3</v>
      </c>
    </row>
    <row r="30" spans="10:80">
      <c r="AN30">
        <v>49.29193841019417</v>
      </c>
      <c r="AO30">
        <v>6</v>
      </c>
      <c r="CA30">
        <v>49.29193841019417</v>
      </c>
      <c r="CB30">
        <v>4</v>
      </c>
    </row>
    <row r="31" spans="10:80">
      <c r="AN31">
        <v>77.325376368613149</v>
      </c>
      <c r="AO31">
        <v>6</v>
      </c>
      <c r="CA31">
        <v>77.325376368613149</v>
      </c>
      <c r="CB31">
        <v>4</v>
      </c>
    </row>
    <row r="32" spans="10:80">
      <c r="AN32">
        <v>110.16479546836985</v>
      </c>
      <c r="AO32">
        <v>6</v>
      </c>
      <c r="CA32">
        <v>110.16479546836985</v>
      </c>
      <c r="CB32">
        <v>4</v>
      </c>
    </row>
    <row r="33" spans="40:80">
      <c r="AN33">
        <v>114.07879600060828</v>
      </c>
      <c r="AO33">
        <v>6</v>
      </c>
      <c r="CA33">
        <v>114.07879600060828</v>
      </c>
      <c r="CB33">
        <v>4</v>
      </c>
    </row>
    <row r="34" spans="40:80">
      <c r="AN34">
        <v>115.62530352798053</v>
      </c>
      <c r="AO34">
        <v>6</v>
      </c>
      <c r="CA34">
        <v>115.62530352798053</v>
      </c>
      <c r="CB34">
        <v>4</v>
      </c>
    </row>
    <row r="35" spans="40:80">
      <c r="AN35">
        <v>115.89260112530415</v>
      </c>
      <c r="AO35">
        <v>6</v>
      </c>
      <c r="CA35">
        <v>115.89260112530415</v>
      </c>
      <c r="CB35">
        <v>4</v>
      </c>
    </row>
    <row r="36" spans="40:80">
      <c r="AN36">
        <v>121.50585066909977</v>
      </c>
      <c r="AO36">
        <v>6</v>
      </c>
      <c r="CA36">
        <v>121.50585066909977</v>
      </c>
      <c r="CB36">
        <v>4</v>
      </c>
    </row>
    <row r="37" spans="40:80">
      <c r="AN37">
        <v>124.59886572384431</v>
      </c>
      <c r="AO37">
        <v>6</v>
      </c>
      <c r="CA37">
        <v>124.59886572384431</v>
      </c>
      <c r="CB37">
        <v>4</v>
      </c>
    </row>
    <row r="38" spans="40:80">
      <c r="AN38">
        <v>125.43894388686132</v>
      </c>
      <c r="AO38">
        <v>6</v>
      </c>
      <c r="CA38">
        <v>125.43894388686132</v>
      </c>
      <c r="CB38">
        <v>4</v>
      </c>
    </row>
    <row r="39" spans="40:80">
      <c r="AN39">
        <v>125.83989028284672</v>
      </c>
      <c r="AO39">
        <v>6</v>
      </c>
      <c r="CA39">
        <v>125.83989028284672</v>
      </c>
      <c r="CB39">
        <v>4</v>
      </c>
    </row>
    <row r="40" spans="40:80">
      <c r="AN40">
        <v>90.434693877551027</v>
      </c>
      <c r="AO40">
        <v>6</v>
      </c>
      <c r="CA40">
        <v>90.434693877551027</v>
      </c>
      <c r="CB40">
        <v>4</v>
      </c>
    </row>
    <row r="41" spans="40:80">
      <c r="AN41">
        <v>90.434693877551027</v>
      </c>
      <c r="AO41">
        <v>6</v>
      </c>
      <c r="CA41">
        <v>90.434693877551027</v>
      </c>
      <c r="CB41">
        <v>4</v>
      </c>
    </row>
    <row r="42" spans="40:80">
      <c r="AN42">
        <v>95.222340882694539</v>
      </c>
      <c r="AO42">
        <v>6</v>
      </c>
      <c r="CA42">
        <v>95.222340882694539</v>
      </c>
      <c r="CB42">
        <v>4</v>
      </c>
    </row>
    <row r="43" spans="40:80">
      <c r="AN43">
        <v>95.95145528455285</v>
      </c>
      <c r="AO43">
        <v>6</v>
      </c>
      <c r="CA43">
        <v>95.95145528455285</v>
      </c>
      <c r="CB43">
        <v>4</v>
      </c>
    </row>
    <row r="44" spans="40:80">
      <c r="AN44">
        <v>172.68780970325011</v>
      </c>
      <c r="AO44">
        <v>6</v>
      </c>
      <c r="CA44">
        <v>172.68780970325011</v>
      </c>
      <c r="CB44">
        <v>4</v>
      </c>
    </row>
    <row r="45" spans="40:80">
      <c r="AN45">
        <v>106.47110276338515</v>
      </c>
      <c r="AO45">
        <v>6</v>
      </c>
      <c r="CA45">
        <v>106.47110276338515</v>
      </c>
      <c r="CB45">
        <v>4</v>
      </c>
    </row>
    <row r="46" spans="40:80">
      <c r="AN46">
        <v>65.639555893898802</v>
      </c>
      <c r="AO46">
        <v>6</v>
      </c>
      <c r="CA46">
        <v>65.639555893898802</v>
      </c>
      <c r="CB46">
        <v>4</v>
      </c>
    </row>
    <row r="47" spans="40:80">
      <c r="AN47">
        <v>71.858040136478692</v>
      </c>
      <c r="AO47">
        <v>6</v>
      </c>
      <c r="CA47">
        <v>71.858040136478692</v>
      </c>
      <c r="CB47">
        <v>4</v>
      </c>
    </row>
    <row r="48" spans="40:80" ht="13.2" thickBot="1">
      <c r="AN48">
        <v>80.034195344315208</v>
      </c>
      <c r="AO48">
        <v>6</v>
      </c>
      <c r="CA48">
        <v>80.034195344315208</v>
      </c>
      <c r="CB48">
        <v>4</v>
      </c>
    </row>
    <row r="49" spans="40:80" ht="39" thickBot="1">
      <c r="AN49">
        <v>92.893406586687206</v>
      </c>
      <c r="AO49">
        <v>6</v>
      </c>
      <c r="AR49" s="244" t="s">
        <v>1184</v>
      </c>
      <c r="CA49">
        <v>92.893406586687206</v>
      </c>
      <c r="CB49">
        <v>4</v>
      </c>
    </row>
    <row r="50" spans="40:80" ht="13.2" thickBot="1">
      <c r="AN50">
        <v>94.508253495147713</v>
      </c>
      <c r="AO50">
        <v>6</v>
      </c>
      <c r="AR50" s="243" t="s">
        <v>1185</v>
      </c>
      <c r="CA50">
        <v>94.508253495147713</v>
      </c>
      <c r="CB50">
        <v>4</v>
      </c>
    </row>
    <row r="51" spans="40:80" ht="26.1" thickBot="1">
      <c r="AN51">
        <v>103.64140404299812</v>
      </c>
      <c r="AO51">
        <v>6</v>
      </c>
      <c r="AR51" s="244" t="s">
        <v>1118</v>
      </c>
      <c r="CA51">
        <v>103.64140404299812</v>
      </c>
      <c r="CB51">
        <v>4</v>
      </c>
    </row>
    <row r="52" spans="40:80">
      <c r="AN52">
        <v>114.00554444729792</v>
      </c>
      <c r="AO52">
        <v>6</v>
      </c>
      <c r="CA52">
        <v>114.00554444729792</v>
      </c>
      <c r="CB52">
        <v>4</v>
      </c>
    </row>
    <row r="53" spans="40:80">
      <c r="AN53">
        <v>114.00554444729792</v>
      </c>
      <c r="AO53">
        <v>6</v>
      </c>
      <c r="CA53">
        <v>114.00554444729792</v>
      </c>
      <c r="CB53">
        <v>4</v>
      </c>
    </row>
    <row r="54" spans="40:80">
      <c r="AN54">
        <v>114.00554444729792</v>
      </c>
      <c r="AO54">
        <v>6</v>
      </c>
      <c r="CA54">
        <v>114.00554444729792</v>
      </c>
      <c r="CB54">
        <v>4</v>
      </c>
    </row>
    <row r="55" spans="40:80">
      <c r="AN55">
        <v>114.00554444729792</v>
      </c>
      <c r="AO55">
        <v>6</v>
      </c>
      <c r="CA55">
        <v>114.00554444729792</v>
      </c>
      <c r="CB55">
        <v>4</v>
      </c>
    </row>
    <row r="56" spans="40:80">
      <c r="AN56">
        <v>20.47142642984074</v>
      </c>
      <c r="AO56">
        <v>6</v>
      </c>
      <c r="CA56">
        <v>20.47142642984074</v>
      </c>
      <c r="CB56">
        <v>4</v>
      </c>
    </row>
    <row r="57" spans="40:80">
      <c r="AN57">
        <v>95.222340882694539</v>
      </c>
      <c r="AO57">
        <v>7</v>
      </c>
      <c r="CA57">
        <v>95.222340882694539</v>
      </c>
      <c r="CB57">
        <v>5</v>
      </c>
    </row>
    <row r="58" spans="40:80">
      <c r="AN58">
        <v>125.54983812972121</v>
      </c>
      <c r="AO58">
        <v>10</v>
      </c>
      <c r="CA58">
        <v>125.54983812972121</v>
      </c>
      <c r="CB58">
        <v>6</v>
      </c>
    </row>
    <row r="59" spans="40:80">
      <c r="AN59">
        <v>265.04965827385587</v>
      </c>
      <c r="AO59">
        <v>10</v>
      </c>
      <c r="CA59">
        <v>265.04965827385587</v>
      </c>
      <c r="CB59">
        <v>6</v>
      </c>
    </row>
    <row r="60" spans="40:80">
      <c r="AN60">
        <v>73.029579204049199</v>
      </c>
      <c r="AO60">
        <v>11</v>
      </c>
      <c r="CA60">
        <v>73.029579204049199</v>
      </c>
      <c r="CB60">
        <v>7</v>
      </c>
    </row>
    <row r="61" spans="40:80">
      <c r="AN61">
        <v>106.36854708321621</v>
      </c>
      <c r="AO61">
        <v>11</v>
      </c>
      <c r="CA61">
        <v>106.36854708321621</v>
      </c>
      <c r="CB61">
        <v>7</v>
      </c>
    </row>
    <row r="65" spans="29:44" ht="13.2" thickBot="1"/>
    <row r="66" spans="29:44" ht="23.1">
      <c r="AC66" s="683" t="s">
        <v>1312</v>
      </c>
      <c r="AD66" s="684"/>
      <c r="AE66" s="684"/>
      <c r="AF66" s="674"/>
      <c r="AG66" s="674"/>
      <c r="AH66" s="674"/>
      <c r="AI66" s="674"/>
      <c r="AJ66" s="674"/>
      <c r="AK66" s="674"/>
      <c r="AL66" s="674"/>
      <c r="AM66" s="674"/>
      <c r="AN66" s="674"/>
      <c r="AO66" s="674"/>
      <c r="AP66" s="674"/>
      <c r="AQ66" s="674"/>
      <c r="AR66" s="675"/>
    </row>
    <row r="67" spans="29:44">
      <c r="AC67" s="676"/>
      <c r="AD67" s="671"/>
      <c r="AE67" s="671"/>
      <c r="AF67" s="671"/>
      <c r="AG67" s="671"/>
      <c r="AH67" s="671"/>
      <c r="AI67" s="671"/>
      <c r="AJ67" s="671"/>
      <c r="AK67" s="671"/>
      <c r="AL67" s="671"/>
      <c r="AM67" s="671"/>
      <c r="AN67" s="671"/>
      <c r="AO67" s="671"/>
      <c r="AP67" s="671"/>
      <c r="AQ67" s="671"/>
      <c r="AR67" s="677"/>
    </row>
    <row r="68" spans="29:44">
      <c r="AC68" s="676"/>
      <c r="AD68" s="671"/>
      <c r="AE68" s="671"/>
      <c r="AF68" s="671"/>
      <c r="AG68" s="671"/>
      <c r="AH68" s="671"/>
      <c r="AI68" s="671"/>
      <c r="AJ68" s="671"/>
      <c r="AK68" s="671"/>
      <c r="AL68" s="671"/>
      <c r="AM68" s="671"/>
      <c r="AN68" s="671"/>
      <c r="AO68" s="671"/>
      <c r="AP68" s="671"/>
      <c r="AQ68" s="671"/>
      <c r="AR68" s="677"/>
    </row>
    <row r="69" spans="29:44" ht="13.2" thickBot="1">
      <c r="AC69" s="676"/>
      <c r="AD69" s="671"/>
      <c r="AE69" s="671"/>
      <c r="AF69" s="671"/>
      <c r="AG69" s="671"/>
      <c r="AH69" s="671"/>
      <c r="AI69" s="671"/>
      <c r="AJ69" s="671"/>
      <c r="AK69" s="671"/>
      <c r="AL69" s="671"/>
      <c r="AM69" s="671"/>
      <c r="AN69" s="671"/>
      <c r="AO69" s="671"/>
      <c r="AP69" s="671"/>
      <c r="AQ69" s="671"/>
      <c r="AR69" s="677"/>
    </row>
    <row r="70" spans="29:44">
      <c r="AC70" s="676"/>
      <c r="AD70" s="671"/>
      <c r="AE70" s="256" t="s">
        <v>1181</v>
      </c>
      <c r="AF70" s="257"/>
      <c r="AG70" s="257"/>
      <c r="AH70" s="257"/>
      <c r="AI70" s="257"/>
      <c r="AJ70" s="258"/>
      <c r="AK70" s="671"/>
      <c r="AL70" s="671" t="s">
        <v>1182</v>
      </c>
      <c r="AM70" s="671" t="s">
        <v>1183</v>
      </c>
      <c r="AN70" s="671"/>
      <c r="AO70" s="671"/>
      <c r="AP70" s="671"/>
      <c r="AQ70" s="671"/>
      <c r="AR70" s="677"/>
    </row>
    <row r="71" spans="29:44">
      <c r="AC71" s="676"/>
      <c r="AD71" s="671"/>
      <c r="AE71" s="259" t="s">
        <v>534</v>
      </c>
      <c r="AF71" s="672" t="s">
        <v>535</v>
      </c>
      <c r="AG71" s="672" t="s">
        <v>536</v>
      </c>
      <c r="AH71" s="672"/>
      <c r="AI71" s="672"/>
      <c r="AJ71" s="260" t="s">
        <v>540</v>
      </c>
      <c r="AK71" s="671"/>
      <c r="AL71" s="671">
        <f>AVERAGE(AE72:AE75)</f>
        <v>4.9052851794153565</v>
      </c>
      <c r="AM71" s="671">
        <f>_xlfn.STDEV.S(AE72:AE78)</f>
        <v>0.18871301382288297</v>
      </c>
      <c r="AN71" s="671"/>
      <c r="AO71" s="671"/>
      <c r="AP71" s="671"/>
      <c r="AQ71" s="671"/>
      <c r="AR71" s="677"/>
    </row>
    <row r="72" spans="29:44">
      <c r="AC72" s="676"/>
      <c r="AD72" s="671"/>
      <c r="AE72" s="261">
        <f>LN(AV2)</f>
        <v>4.9640486665564154</v>
      </c>
      <c r="AF72" s="261">
        <f>LN(AW2)</f>
        <v>4.0338154712923266</v>
      </c>
      <c r="AG72" s="261">
        <f t="shared" ref="AG72:AJ80" si="19">LN(AX2)</f>
        <v>4.2570589896509681</v>
      </c>
      <c r="AH72" s="261"/>
      <c r="AI72" s="261"/>
      <c r="AJ72" s="261">
        <f t="shared" si="19"/>
        <v>4.8327027963134057</v>
      </c>
      <c r="AK72" s="671"/>
      <c r="AL72" s="671">
        <f>AVERAGE(AF72:AF86)</f>
        <v>4.480605913813732</v>
      </c>
      <c r="AM72" s="671">
        <f>_xlfn.STDEV.S(AF72:AF89)</f>
        <v>0.2730753134595541</v>
      </c>
      <c r="AN72" s="671"/>
      <c r="AO72" s="671"/>
      <c r="AP72" s="671"/>
      <c r="AQ72" s="671"/>
      <c r="AR72" s="677"/>
    </row>
    <row r="73" spans="29:44">
      <c r="AC73" s="676"/>
      <c r="AD73" s="671"/>
      <c r="AE73" s="261">
        <f t="shared" ref="AE73:AE75" si="20">LN(AV3)</f>
        <v>5.1463702233503703</v>
      </c>
      <c r="AF73" s="261">
        <f t="shared" ref="AF73:AF86" si="21">LN(AW3)</f>
        <v>4.1100540062384257</v>
      </c>
      <c r="AG73" s="261">
        <f t="shared" si="19"/>
        <v>4.4970958666842256</v>
      </c>
      <c r="AH73" s="261"/>
      <c r="AI73" s="261"/>
      <c r="AJ73" s="261">
        <f t="shared" si="19"/>
        <v>5.5799171981436269</v>
      </c>
      <c r="AK73" s="671"/>
      <c r="AL73" s="671">
        <f>AVERAGE(AG72:AG80)</f>
        <v>4.5884564603597955</v>
      </c>
      <c r="AM73" s="671">
        <f>_xlfn.STDEV.S(AG72:AG83)</f>
        <v>0.30494928037272062</v>
      </c>
      <c r="AN73" s="671"/>
      <c r="AO73" s="671"/>
      <c r="AP73" s="671"/>
      <c r="AQ73" s="671"/>
      <c r="AR73" s="677"/>
    </row>
    <row r="74" spans="29:44">
      <c r="AC74" s="676"/>
      <c r="AD74" s="671"/>
      <c r="AE74" s="261">
        <f t="shared" si="20"/>
        <v>4.7429494648486488</v>
      </c>
      <c r="AF74" s="261">
        <f t="shared" si="21"/>
        <v>4.2860888661819603</v>
      </c>
      <c r="AG74" s="261">
        <f t="shared" si="19"/>
        <v>4.5567692455005089</v>
      </c>
      <c r="AH74" s="261"/>
      <c r="AI74" s="261"/>
      <c r="AJ74" s="261"/>
      <c r="AK74" s="671"/>
      <c r="AL74" s="671"/>
      <c r="AM74" s="671"/>
      <c r="AN74" s="671"/>
      <c r="AO74" s="671"/>
      <c r="AP74" s="671"/>
      <c r="AQ74" s="671"/>
      <c r="AR74" s="677"/>
    </row>
    <row r="75" spans="29:44">
      <c r="AC75" s="676"/>
      <c r="AD75" s="671"/>
      <c r="AE75" s="261">
        <f t="shared" si="20"/>
        <v>4.7677723629059914</v>
      </c>
      <c r="AF75" s="261">
        <f t="shared" si="21"/>
        <v>4.305762021193936</v>
      </c>
      <c r="AG75" s="261">
        <f t="shared" si="19"/>
        <v>4.6409369029101164</v>
      </c>
      <c r="AH75" s="261"/>
      <c r="AI75" s="261"/>
      <c r="AJ75" s="261"/>
      <c r="AK75" s="671"/>
      <c r="AL75" s="671">
        <f>AVERAGE(AJ72:AJ73)</f>
        <v>5.2063099972285158</v>
      </c>
      <c r="AM75" s="671">
        <f>AVERAGE(AJ72:AJ72)</f>
        <v>4.8327027963134057</v>
      </c>
      <c r="AN75" s="671"/>
      <c r="AO75" s="671"/>
      <c r="AP75" s="671"/>
      <c r="AQ75" s="671"/>
      <c r="AR75" s="677"/>
    </row>
    <row r="76" spans="29:44">
      <c r="AC76" s="676"/>
      <c r="AD76" s="671"/>
      <c r="AE76" s="261"/>
      <c r="AF76" s="261">
        <f t="shared" si="21"/>
        <v>4.3553380681168798</v>
      </c>
      <c r="AG76" s="261">
        <f t="shared" si="19"/>
        <v>4.7320976813070939</v>
      </c>
      <c r="AH76" s="261"/>
      <c r="AI76" s="261"/>
      <c r="AJ76" s="261"/>
      <c r="AK76" s="671"/>
      <c r="AL76" s="671" t="s">
        <v>1201</v>
      </c>
      <c r="AM76" s="671"/>
      <c r="AN76" s="671"/>
      <c r="AO76" s="671"/>
      <c r="AP76" s="671"/>
      <c r="AQ76" s="671"/>
      <c r="AR76" s="677"/>
    </row>
    <row r="77" spans="29:44">
      <c r="AC77" s="676"/>
      <c r="AD77" s="671"/>
      <c r="AE77" s="261"/>
      <c r="AF77" s="261">
        <f t="shared" si="21"/>
        <v>4.3664123890489766</v>
      </c>
      <c r="AG77" s="261">
        <f t="shared" si="19"/>
        <v>4.3307819746062766</v>
      </c>
      <c r="AH77" s="261"/>
      <c r="AI77" s="261"/>
      <c r="AJ77" s="261"/>
      <c r="AK77" s="671"/>
      <c r="AL77" s="671"/>
      <c r="AM77" s="671"/>
      <c r="AN77" s="671"/>
      <c r="AO77" s="671"/>
      <c r="AP77" s="671"/>
      <c r="AQ77" s="671"/>
      <c r="AR77" s="677"/>
    </row>
    <row r="78" spans="29:44">
      <c r="AC78" s="676"/>
      <c r="AD78" s="671"/>
      <c r="AE78" s="261"/>
      <c r="AF78" s="261">
        <f t="shared" si="21"/>
        <v>4.4876422771835038</v>
      </c>
      <c r="AG78" s="261">
        <f t="shared" si="19"/>
        <v>5.2512913257588645</v>
      </c>
      <c r="AH78" s="261"/>
      <c r="AI78" s="671"/>
      <c r="AJ78" s="262"/>
      <c r="AK78" s="671"/>
      <c r="AL78" s="671">
        <f>AVERAGE(_xlfn.ANCHORARRAY(AY2))</f>
        <v>100.59381176189871</v>
      </c>
      <c r="AM78" s="671">
        <f>_xlfn.STDEV.S(_xlfn.ANCHORARRAY(AY2))</f>
        <v>28.675111563117721</v>
      </c>
      <c r="AN78" s="671" t="s">
        <v>1203</v>
      </c>
      <c r="AO78" s="671"/>
      <c r="AP78" s="671"/>
      <c r="AQ78" s="671"/>
      <c r="AR78" s="677"/>
    </row>
    <row r="79" spans="29:44">
      <c r="AC79" s="676"/>
      <c r="AD79" s="671"/>
      <c r="AE79" s="261"/>
      <c r="AF79" s="261">
        <f t="shared" si="21"/>
        <v>4.5708367718486489</v>
      </c>
      <c r="AG79" s="261">
        <f t="shared" si="19"/>
        <v>4.3090481838453742</v>
      </c>
      <c r="AH79" s="261"/>
      <c r="AI79" s="671"/>
      <c r="AJ79" s="262"/>
      <c r="AK79" s="671"/>
      <c r="AL79" s="671"/>
      <c r="AM79" s="671"/>
      <c r="AN79" s="671"/>
      <c r="AO79" s="671"/>
      <c r="AP79" s="671"/>
      <c r="AQ79" s="671"/>
      <c r="AR79" s="677"/>
    </row>
    <row r="80" spans="29:44">
      <c r="AC80" s="676"/>
      <c r="AD80" s="671"/>
      <c r="AE80" s="261"/>
      <c r="AF80" s="261">
        <f t="shared" si="21"/>
        <v>4.3307819746062766</v>
      </c>
      <c r="AG80" s="261">
        <f t="shared" si="19"/>
        <v>4.7210279729747322</v>
      </c>
      <c r="AH80" s="261"/>
      <c r="AI80" s="671"/>
      <c r="AJ80" s="262"/>
      <c r="AK80" s="671"/>
      <c r="AL80" s="671"/>
      <c r="AM80" s="671"/>
      <c r="AN80" s="671"/>
      <c r="AO80" s="671"/>
      <c r="AP80" s="671"/>
      <c r="AQ80" s="671"/>
      <c r="AR80" s="677"/>
    </row>
    <row r="81" spans="29:44">
      <c r="AC81" s="676"/>
      <c r="AD81" s="671"/>
      <c r="AE81" s="261"/>
      <c r="AF81" s="261">
        <f t="shared" si="21"/>
        <v>4.3307819746062766</v>
      </c>
      <c r="AG81" s="261"/>
      <c r="AH81" s="261"/>
      <c r="AI81" s="671"/>
      <c r="AJ81" s="262"/>
      <c r="AK81" s="671"/>
      <c r="AL81" s="671"/>
      <c r="AM81" s="671"/>
      <c r="AN81" s="671"/>
      <c r="AO81" s="671"/>
      <c r="AP81" s="671"/>
      <c r="AQ81" s="671"/>
      <c r="AR81" s="677"/>
    </row>
    <row r="82" spans="29:44">
      <c r="AC82" s="676"/>
      <c r="AD82" s="671"/>
      <c r="AE82" s="261"/>
      <c r="AF82" s="261">
        <f t="shared" si="21"/>
        <v>4.7975907129554933</v>
      </c>
      <c r="AG82" s="261"/>
      <c r="AH82" s="261"/>
      <c r="AI82" s="671"/>
      <c r="AJ82" s="262"/>
      <c r="AK82" s="671"/>
      <c r="AL82" s="671"/>
      <c r="AM82" s="671"/>
      <c r="AN82" s="671"/>
      <c r="AO82" s="671"/>
      <c r="AP82" s="671"/>
      <c r="AQ82" s="671"/>
      <c r="AR82" s="677"/>
    </row>
    <row r="83" spans="29:44">
      <c r="AC83" s="676"/>
      <c r="AD83" s="671"/>
      <c r="AE83" s="261"/>
      <c r="AF83" s="261">
        <f t="shared" si="21"/>
        <v>4.7305998001876119</v>
      </c>
      <c r="AG83" s="261"/>
      <c r="AH83" s="261"/>
      <c r="AI83" s="671"/>
      <c r="AJ83" s="262"/>
      <c r="AK83" s="671"/>
      <c r="AL83" s="671"/>
      <c r="AM83" s="671"/>
      <c r="AN83" s="671"/>
      <c r="AO83" s="671"/>
      <c r="AP83" s="671"/>
      <c r="AQ83" s="671"/>
      <c r="AR83" s="677"/>
    </row>
    <row r="84" spans="29:44">
      <c r="AC84" s="676"/>
      <c r="AD84" s="671"/>
      <c r="AE84" s="261"/>
      <c r="AF84" s="261">
        <f t="shared" si="21"/>
        <v>4.7356616243493086</v>
      </c>
      <c r="AG84" s="261"/>
      <c r="AH84" s="261"/>
      <c r="AI84" s="671"/>
      <c r="AJ84" s="262"/>
      <c r="AK84" s="671"/>
      <c r="AL84" s="671"/>
      <c r="AM84" s="671"/>
      <c r="AN84" s="671"/>
      <c r="AO84" s="671"/>
      <c r="AP84" s="671"/>
      <c r="AQ84" s="671"/>
      <c r="AR84" s="677"/>
    </row>
    <row r="85" spans="29:44">
      <c r="AC85" s="676"/>
      <c r="AD85" s="671"/>
      <c r="AE85" s="261"/>
      <c r="AF85" s="261">
        <f t="shared" si="21"/>
        <v>4.8416316567027184</v>
      </c>
      <c r="AG85" s="261"/>
      <c r="AH85" s="261"/>
      <c r="AI85" s="671"/>
      <c r="AJ85" s="262"/>
      <c r="AK85" s="671"/>
      <c r="AL85" s="671"/>
      <c r="AM85" s="671"/>
      <c r="AN85" s="671"/>
      <c r="AO85" s="671"/>
      <c r="AP85" s="671"/>
      <c r="AQ85" s="671"/>
      <c r="AR85" s="677"/>
    </row>
    <row r="86" spans="29:44">
      <c r="AC86" s="676"/>
      <c r="AD86" s="671"/>
      <c r="AE86" s="261"/>
      <c r="AF86" s="261">
        <f t="shared" si="21"/>
        <v>4.9260910926936461</v>
      </c>
      <c r="AG86" s="261"/>
      <c r="AH86" s="261"/>
      <c r="AI86" s="671"/>
      <c r="AJ86" s="262"/>
      <c r="AK86" s="671"/>
      <c r="AL86" s="671"/>
      <c r="AM86" s="671"/>
      <c r="AN86" s="671"/>
      <c r="AO86" s="671"/>
      <c r="AP86" s="671"/>
      <c r="AQ86" s="671"/>
      <c r="AR86" s="677"/>
    </row>
    <row r="87" spans="29:44">
      <c r="AC87" s="676"/>
      <c r="AD87" s="671"/>
      <c r="AE87" s="261"/>
      <c r="AF87" s="261"/>
      <c r="AG87" s="261"/>
      <c r="AH87" s="261"/>
      <c r="AI87" s="671"/>
      <c r="AJ87" s="262"/>
      <c r="AK87" s="671"/>
      <c r="AL87" s="671"/>
      <c r="AM87" s="671"/>
      <c r="AN87" s="671"/>
      <c r="AO87" s="671"/>
      <c r="AP87" s="671"/>
      <c r="AQ87" s="671"/>
      <c r="AR87" s="677"/>
    </row>
    <row r="88" spans="29:44">
      <c r="AC88" s="676"/>
      <c r="AD88" s="671"/>
      <c r="AE88" s="261"/>
      <c r="AF88" s="261"/>
      <c r="AG88" s="261"/>
      <c r="AH88" s="261"/>
      <c r="AI88" s="671"/>
      <c r="AJ88" s="262"/>
      <c r="AK88" s="671"/>
      <c r="AL88" s="671"/>
      <c r="AM88" s="671"/>
      <c r="AN88" s="671"/>
      <c r="AO88" s="671"/>
      <c r="AP88" s="671"/>
      <c r="AQ88" s="671"/>
      <c r="AR88" s="677"/>
    </row>
    <row r="89" spans="29:44">
      <c r="AC89" s="676"/>
      <c r="AD89" s="671"/>
      <c r="AE89" s="261"/>
      <c r="AF89" s="261"/>
      <c r="AG89" s="261"/>
      <c r="AH89" s="261"/>
      <c r="AI89" s="671"/>
      <c r="AJ89" s="262"/>
      <c r="AK89" s="671"/>
      <c r="AL89" s="671"/>
      <c r="AM89" s="671"/>
      <c r="AN89" s="671"/>
      <c r="AO89" s="671"/>
      <c r="AP89" s="671"/>
      <c r="AQ89" s="671"/>
      <c r="AR89" s="677"/>
    </row>
    <row r="90" spans="29:44">
      <c r="AC90" s="676"/>
      <c r="AD90" s="671"/>
      <c r="AE90" s="261"/>
      <c r="AF90" s="261"/>
      <c r="AG90" s="261"/>
      <c r="AH90" s="261"/>
      <c r="AI90" s="671"/>
      <c r="AJ90" s="262"/>
      <c r="AK90" s="671"/>
      <c r="AL90" s="671"/>
      <c r="AM90" s="671"/>
      <c r="AN90" s="671"/>
      <c r="AO90" s="671"/>
      <c r="AP90" s="671"/>
      <c r="AQ90" s="671"/>
      <c r="AR90" s="677"/>
    </row>
    <row r="91" spans="29:44">
      <c r="AC91" s="676"/>
      <c r="AD91" s="671"/>
      <c r="AE91" s="261"/>
      <c r="AF91" s="261"/>
      <c r="AG91" s="261"/>
      <c r="AH91" s="261"/>
      <c r="AI91" s="671"/>
      <c r="AJ91" s="262"/>
      <c r="AK91" s="671"/>
      <c r="AL91" s="671"/>
      <c r="AM91" s="671"/>
      <c r="AN91" s="671"/>
      <c r="AO91" s="671"/>
      <c r="AP91" s="671"/>
      <c r="AQ91" s="671"/>
      <c r="AR91" s="677"/>
    </row>
    <row r="92" spans="29:44">
      <c r="AC92" s="676"/>
      <c r="AD92" s="671"/>
      <c r="AE92" s="261"/>
      <c r="AF92" s="261"/>
      <c r="AG92" s="671"/>
      <c r="AH92" s="261"/>
      <c r="AI92" s="671"/>
      <c r="AJ92" s="262"/>
      <c r="AK92" s="671"/>
      <c r="AL92" s="671"/>
      <c r="AM92" s="671"/>
      <c r="AN92" s="671"/>
      <c r="AO92" s="671"/>
      <c r="AP92" s="671"/>
      <c r="AQ92" s="671"/>
      <c r="AR92" s="677"/>
    </row>
    <row r="93" spans="29:44">
      <c r="AC93" s="676"/>
      <c r="AD93" s="671"/>
      <c r="AE93" s="261"/>
      <c r="AF93" s="671"/>
      <c r="AG93" s="671"/>
      <c r="AH93" s="261"/>
      <c r="AI93" s="671"/>
      <c r="AJ93" s="262"/>
      <c r="AK93" s="671"/>
      <c r="AL93" s="671"/>
      <c r="AM93" s="671"/>
      <c r="AN93" s="671"/>
      <c r="AO93" s="671"/>
      <c r="AP93" s="671"/>
      <c r="AQ93" s="671"/>
      <c r="AR93" s="677"/>
    </row>
    <row r="94" spans="29:44">
      <c r="AC94" s="676"/>
      <c r="AD94" s="671"/>
      <c r="AE94" s="261"/>
      <c r="AF94" s="671"/>
      <c r="AG94" s="671"/>
      <c r="AH94" s="261"/>
      <c r="AI94" s="671"/>
      <c r="AJ94" s="262"/>
      <c r="AK94" s="671"/>
      <c r="AL94" s="671"/>
      <c r="AM94" s="671"/>
      <c r="AN94" s="671"/>
      <c r="AO94" s="671"/>
      <c r="AP94" s="671"/>
      <c r="AQ94" s="671"/>
      <c r="AR94" s="677"/>
    </row>
    <row r="95" spans="29:44">
      <c r="AC95" s="676"/>
      <c r="AD95" s="671"/>
      <c r="AE95" s="261"/>
      <c r="AF95" s="671"/>
      <c r="AG95" s="671"/>
      <c r="AH95" s="261"/>
      <c r="AI95" s="671"/>
      <c r="AJ95" s="262"/>
      <c r="AK95" s="671"/>
      <c r="AL95" s="671"/>
      <c r="AM95" s="671"/>
      <c r="AN95" s="671"/>
      <c r="AO95" s="671"/>
      <c r="AP95" s="671"/>
      <c r="AQ95" s="671"/>
      <c r="AR95" s="677"/>
    </row>
    <row r="96" spans="29:44">
      <c r="AC96" s="676"/>
      <c r="AD96" s="671"/>
      <c r="AE96" s="261"/>
      <c r="AF96" s="671"/>
      <c r="AG96" s="671"/>
      <c r="AH96" s="261"/>
      <c r="AI96" s="671"/>
      <c r="AJ96" s="262"/>
      <c r="AK96" s="671"/>
      <c r="AL96" s="671"/>
      <c r="AM96" s="671"/>
      <c r="AN96" s="671"/>
      <c r="AO96" s="671"/>
      <c r="AP96" s="671"/>
      <c r="AQ96" s="671"/>
      <c r="AR96" s="677"/>
    </row>
    <row r="97" spans="29:44">
      <c r="AC97" s="676"/>
      <c r="AD97" s="671"/>
      <c r="AE97" s="261"/>
      <c r="AF97" s="671"/>
      <c r="AG97" s="671"/>
      <c r="AH97" s="261"/>
      <c r="AI97" s="671"/>
      <c r="AJ97" s="262"/>
      <c r="AK97" s="671"/>
      <c r="AL97" s="671"/>
      <c r="AM97" s="671"/>
      <c r="AN97" s="671"/>
      <c r="AO97" s="671"/>
      <c r="AP97" s="671"/>
      <c r="AQ97" s="671"/>
      <c r="AR97" s="677"/>
    </row>
    <row r="98" spans="29:44">
      <c r="AC98" s="676"/>
      <c r="AD98" s="671"/>
      <c r="AE98" s="261"/>
      <c r="AF98" s="671"/>
      <c r="AG98" s="671"/>
      <c r="AH98" s="261"/>
      <c r="AI98" s="671"/>
      <c r="AJ98" s="262"/>
      <c r="AK98" s="671"/>
      <c r="AL98" s="671"/>
      <c r="AM98" s="671"/>
      <c r="AN98" s="671"/>
      <c r="AO98" s="671"/>
      <c r="AP98" s="671"/>
      <c r="AQ98" s="671"/>
      <c r="AR98" s="677"/>
    </row>
    <row r="99" spans="29:44">
      <c r="AC99" s="676"/>
      <c r="AD99" s="671"/>
      <c r="AE99" s="261"/>
      <c r="AF99" s="671"/>
      <c r="AG99" s="671"/>
      <c r="AH99" s="261"/>
      <c r="AI99" s="671"/>
      <c r="AJ99" s="262"/>
      <c r="AK99" s="671"/>
      <c r="AL99" s="671"/>
      <c r="AM99" s="671"/>
      <c r="AN99" s="671"/>
      <c r="AO99" s="671"/>
      <c r="AP99" s="671"/>
      <c r="AQ99" s="671"/>
      <c r="AR99" s="677"/>
    </row>
    <row r="100" spans="29:44">
      <c r="AC100" s="676"/>
      <c r="AD100" s="671"/>
      <c r="AE100" s="261"/>
      <c r="AF100" s="671"/>
      <c r="AG100" s="671"/>
      <c r="AH100" s="261"/>
      <c r="AI100" s="671"/>
      <c r="AJ100" s="262"/>
      <c r="AK100" s="671"/>
      <c r="AL100" s="671"/>
      <c r="AM100" s="671"/>
      <c r="AN100" s="671"/>
      <c r="AO100" s="671"/>
      <c r="AP100" s="671"/>
      <c r="AQ100" s="671"/>
      <c r="AR100" s="677"/>
    </row>
    <row r="101" spans="29:44">
      <c r="AC101" s="676"/>
      <c r="AD101" s="671"/>
      <c r="AE101" s="261"/>
      <c r="AF101" s="671"/>
      <c r="AG101" s="671"/>
      <c r="AH101" s="261"/>
      <c r="AI101" s="671"/>
      <c r="AJ101" s="262"/>
      <c r="AK101" s="671"/>
      <c r="AL101" s="671"/>
      <c r="AM101" s="671"/>
      <c r="AN101" s="671"/>
      <c r="AO101" s="671"/>
      <c r="AP101" s="671"/>
      <c r="AQ101" s="671"/>
      <c r="AR101" s="677"/>
    </row>
    <row r="102" spans="29:44">
      <c r="AC102" s="676"/>
      <c r="AD102" s="671"/>
      <c r="AE102" s="261"/>
      <c r="AF102" s="671"/>
      <c r="AG102" s="671"/>
      <c r="AH102" s="261"/>
      <c r="AI102" s="671"/>
      <c r="AJ102" s="262"/>
      <c r="AK102" s="671"/>
      <c r="AL102" s="671"/>
      <c r="AM102" s="671"/>
      <c r="AN102" s="671"/>
      <c r="AO102" s="671"/>
      <c r="AP102" s="671"/>
      <c r="AQ102" s="671"/>
      <c r="AR102" s="677"/>
    </row>
    <row r="103" spans="29:44">
      <c r="AC103" s="676"/>
      <c r="AD103" s="671"/>
      <c r="AE103" s="261"/>
      <c r="AF103" s="671"/>
      <c r="AG103" s="671"/>
      <c r="AH103" s="261"/>
      <c r="AI103" s="671"/>
      <c r="AJ103" s="262"/>
      <c r="AK103" s="671"/>
      <c r="AL103" s="671"/>
      <c r="AM103" s="671"/>
      <c r="AN103" s="671"/>
      <c r="AO103" s="671"/>
      <c r="AP103" s="671"/>
      <c r="AQ103" s="671"/>
      <c r="AR103" s="677"/>
    </row>
    <row r="104" spans="29:44">
      <c r="AC104" s="676"/>
      <c r="AD104" s="671"/>
      <c r="AE104" s="261"/>
      <c r="AF104" s="671"/>
      <c r="AG104" s="671"/>
      <c r="AH104" s="261"/>
      <c r="AI104" s="671"/>
      <c r="AJ104" s="262"/>
      <c r="AK104" s="671"/>
      <c r="AL104" s="671"/>
      <c r="AM104" s="671"/>
      <c r="AN104" s="671"/>
      <c r="AO104" s="671"/>
      <c r="AP104" s="671"/>
      <c r="AQ104" s="671"/>
      <c r="AR104" s="677"/>
    </row>
    <row r="105" spans="29:44">
      <c r="AC105" s="676"/>
      <c r="AD105" s="671"/>
      <c r="AE105" s="261"/>
      <c r="AF105" s="671"/>
      <c r="AG105" s="671"/>
      <c r="AH105" s="261"/>
      <c r="AI105" s="671"/>
      <c r="AJ105" s="262"/>
      <c r="AK105" s="671"/>
      <c r="AL105" s="671"/>
      <c r="AM105" s="671"/>
      <c r="AN105" s="671"/>
      <c r="AO105" s="671"/>
      <c r="AP105" s="671"/>
      <c r="AQ105" s="671"/>
      <c r="AR105" s="677"/>
    </row>
    <row r="106" spans="29:44">
      <c r="AC106" s="676"/>
      <c r="AD106" s="671"/>
      <c r="AE106" s="261"/>
      <c r="AF106" s="671"/>
      <c r="AG106" s="671"/>
      <c r="AH106" s="261"/>
      <c r="AI106" s="671"/>
      <c r="AJ106" s="262"/>
      <c r="AK106" s="671"/>
      <c r="AL106" s="671"/>
      <c r="AM106" s="671"/>
      <c r="AN106" s="671"/>
      <c r="AO106" s="671"/>
      <c r="AP106" s="671"/>
      <c r="AQ106" s="671"/>
      <c r="AR106" s="677"/>
    </row>
    <row r="107" spans="29:44">
      <c r="AC107" s="676"/>
      <c r="AD107" s="671"/>
      <c r="AE107" s="261"/>
      <c r="AF107" s="671"/>
      <c r="AG107" s="671"/>
      <c r="AH107" s="671"/>
      <c r="AI107" s="671"/>
      <c r="AJ107" s="262"/>
      <c r="AK107" s="671"/>
      <c r="AL107" s="671"/>
      <c r="AM107" s="671"/>
      <c r="AN107" s="671"/>
      <c r="AO107" s="671"/>
      <c r="AP107" s="671"/>
      <c r="AQ107" s="671"/>
      <c r="AR107" s="677"/>
    </row>
    <row r="108" spans="29:44">
      <c r="AC108" s="676"/>
      <c r="AD108" s="671"/>
      <c r="AE108" s="261"/>
      <c r="AF108" s="671"/>
      <c r="AG108" s="671"/>
      <c r="AH108" s="671"/>
      <c r="AI108" s="671"/>
      <c r="AJ108" s="262"/>
      <c r="AK108" s="671"/>
      <c r="AL108" s="671"/>
      <c r="AM108" s="671"/>
      <c r="AN108" s="671"/>
      <c r="AO108" s="671"/>
      <c r="AP108" s="671"/>
      <c r="AQ108" s="671"/>
      <c r="AR108" s="677"/>
    </row>
    <row r="109" spans="29:44">
      <c r="AC109" s="676"/>
      <c r="AD109" s="671"/>
      <c r="AE109" s="261"/>
      <c r="AF109" s="671"/>
      <c r="AG109" s="671"/>
      <c r="AH109" s="671"/>
      <c r="AI109" s="671"/>
      <c r="AJ109" s="262"/>
      <c r="AK109" s="671"/>
      <c r="AL109" s="671"/>
      <c r="AM109" s="671"/>
      <c r="AN109" s="671"/>
      <c r="AO109" s="671"/>
      <c r="AP109" s="671"/>
      <c r="AQ109" s="671"/>
      <c r="AR109" s="677"/>
    </row>
    <row r="110" spans="29:44">
      <c r="AC110" s="676"/>
      <c r="AD110" s="671"/>
      <c r="AE110" s="261"/>
      <c r="AF110" s="671"/>
      <c r="AG110" s="671"/>
      <c r="AH110" s="671"/>
      <c r="AI110" s="671"/>
      <c r="AJ110" s="262"/>
      <c r="AK110" s="671"/>
      <c r="AL110" s="671"/>
      <c r="AM110" s="671"/>
      <c r="AN110" s="671"/>
      <c r="AO110" s="671"/>
      <c r="AP110" s="671"/>
      <c r="AQ110" s="671"/>
      <c r="AR110" s="677"/>
    </row>
    <row r="111" spans="29:44">
      <c r="AC111" s="676"/>
      <c r="AD111" s="671"/>
      <c r="AE111" s="261"/>
      <c r="AF111" s="671"/>
      <c r="AG111" s="671"/>
      <c r="AH111" s="671"/>
      <c r="AI111" s="671"/>
      <c r="AJ111" s="262"/>
      <c r="AK111" s="671"/>
      <c r="AL111" s="671"/>
      <c r="AM111" s="671"/>
      <c r="AN111" s="671"/>
      <c r="AO111" s="671"/>
      <c r="AP111" s="671"/>
      <c r="AQ111" s="671"/>
      <c r="AR111" s="677"/>
    </row>
    <row r="112" spans="29:44">
      <c r="AC112" s="676"/>
      <c r="AD112" s="671"/>
      <c r="AE112" s="261"/>
      <c r="AF112" s="671"/>
      <c r="AG112" s="671"/>
      <c r="AH112" s="671"/>
      <c r="AI112" s="671"/>
      <c r="AJ112" s="262"/>
      <c r="AK112" s="671"/>
      <c r="AL112" s="671"/>
      <c r="AM112" s="671"/>
      <c r="AN112" s="671"/>
      <c r="AO112" s="671"/>
      <c r="AP112" s="671"/>
      <c r="AQ112" s="671"/>
      <c r="AR112" s="677"/>
    </row>
    <row r="113" spans="29:44">
      <c r="AC113" s="676"/>
      <c r="AD113" s="671"/>
      <c r="AE113" s="261"/>
      <c r="AF113" s="671"/>
      <c r="AG113" s="671"/>
      <c r="AH113" s="671"/>
      <c r="AI113" s="671"/>
      <c r="AJ113" s="262"/>
      <c r="AK113" s="671"/>
      <c r="AL113" s="671"/>
      <c r="AM113" s="671"/>
      <c r="AN113" s="671"/>
      <c r="AO113" s="671"/>
      <c r="AP113" s="671"/>
      <c r="AQ113" s="671"/>
      <c r="AR113" s="677"/>
    </row>
    <row r="114" spans="29:44">
      <c r="AC114" s="676"/>
      <c r="AD114" s="671"/>
      <c r="AE114" s="261"/>
      <c r="AF114" s="671"/>
      <c r="AG114" s="671"/>
      <c r="AH114" s="671"/>
      <c r="AI114" s="671"/>
      <c r="AJ114" s="262"/>
      <c r="AK114" s="671"/>
      <c r="AL114" s="671"/>
      <c r="AM114" s="671"/>
      <c r="AN114" s="671"/>
      <c r="AO114" s="671"/>
      <c r="AP114" s="671"/>
      <c r="AQ114" s="671"/>
      <c r="AR114" s="677"/>
    </row>
    <row r="115" spans="29:44">
      <c r="AC115" s="676"/>
      <c r="AD115" s="671"/>
      <c r="AE115" s="261"/>
      <c r="AF115" s="671"/>
      <c r="AG115" s="671"/>
      <c r="AH115" s="671"/>
      <c r="AI115" s="671"/>
      <c r="AJ115" s="262"/>
      <c r="AK115" s="671"/>
      <c r="AL115" s="671"/>
      <c r="AM115" s="671"/>
      <c r="AN115" s="671"/>
      <c r="AO115" s="671"/>
      <c r="AP115" s="671"/>
      <c r="AQ115" s="671"/>
      <c r="AR115" s="677"/>
    </row>
    <row r="116" spans="29:44">
      <c r="AC116" s="676"/>
      <c r="AD116" s="671"/>
      <c r="AE116" s="261"/>
      <c r="AF116" s="671"/>
      <c r="AG116" s="671"/>
      <c r="AH116" s="671"/>
      <c r="AI116" s="671"/>
      <c r="AJ116" s="262"/>
      <c r="AK116" s="671"/>
      <c r="AL116" s="671"/>
      <c r="AM116" s="671"/>
      <c r="AN116" s="671"/>
      <c r="AO116" s="671"/>
      <c r="AP116" s="671"/>
      <c r="AQ116" s="671"/>
      <c r="AR116" s="677"/>
    </row>
    <row r="117" spans="29:44">
      <c r="AC117" s="676"/>
      <c r="AD117" s="671"/>
      <c r="AE117" s="261"/>
      <c r="AF117" s="671"/>
      <c r="AG117" s="671"/>
      <c r="AH117" s="671"/>
      <c r="AI117" s="671"/>
      <c r="AJ117" s="262"/>
      <c r="AK117" s="671"/>
      <c r="AL117" s="671"/>
      <c r="AM117" s="671"/>
      <c r="AN117" s="671"/>
      <c r="AO117" s="671"/>
      <c r="AP117" s="671"/>
      <c r="AQ117" s="671"/>
      <c r="AR117" s="677"/>
    </row>
    <row r="118" spans="29:44">
      <c r="AC118" s="676"/>
      <c r="AD118" s="671"/>
      <c r="AE118" s="261"/>
      <c r="AF118" s="671"/>
      <c r="AG118" s="671"/>
      <c r="AH118" s="671"/>
      <c r="AI118" s="671"/>
      <c r="AJ118" s="262"/>
      <c r="AK118" s="671"/>
      <c r="AL118" s="671"/>
      <c r="AM118" s="671"/>
      <c r="AN118" s="671"/>
      <c r="AO118" s="671"/>
      <c r="AP118" s="671"/>
      <c r="AQ118" s="671"/>
      <c r="AR118" s="677"/>
    </row>
    <row r="119" spans="29:44">
      <c r="AC119" s="676"/>
      <c r="AD119" s="671"/>
      <c r="AE119" s="261"/>
      <c r="AF119" s="671"/>
      <c r="AG119" s="671"/>
      <c r="AH119" s="671"/>
      <c r="AI119" s="671"/>
      <c r="AJ119" s="262"/>
      <c r="AK119" s="671"/>
      <c r="AL119" s="671"/>
      <c r="AM119" s="671"/>
      <c r="AN119" s="671"/>
      <c r="AO119" s="671"/>
      <c r="AP119" s="671"/>
      <c r="AQ119" s="671"/>
      <c r="AR119" s="677"/>
    </row>
    <row r="120" spans="29:44">
      <c r="AC120" s="676"/>
      <c r="AD120" s="671"/>
      <c r="AE120" s="261"/>
      <c r="AF120" s="671"/>
      <c r="AG120" s="671"/>
      <c r="AH120" s="671"/>
      <c r="AI120" s="671"/>
      <c r="AJ120" s="262"/>
      <c r="AK120" s="671"/>
      <c r="AL120" s="671"/>
      <c r="AM120" s="671"/>
      <c r="AN120" s="671"/>
      <c r="AO120" s="671"/>
      <c r="AP120" s="671"/>
      <c r="AQ120" s="671"/>
      <c r="AR120" s="677"/>
    </row>
    <row r="121" spans="29:44">
      <c r="AC121" s="676"/>
      <c r="AD121" s="671"/>
      <c r="AE121" s="261"/>
      <c r="AF121" s="671"/>
      <c r="AG121" s="671"/>
      <c r="AH121" s="671"/>
      <c r="AI121" s="671"/>
      <c r="AJ121" s="262"/>
      <c r="AK121" s="671"/>
      <c r="AL121" s="671"/>
      <c r="AM121" s="671"/>
      <c r="AN121" s="671"/>
      <c r="AO121" s="671"/>
      <c r="AP121" s="671"/>
      <c r="AQ121" s="671"/>
      <c r="AR121" s="677"/>
    </row>
    <row r="122" spans="29:44">
      <c r="AC122" s="676"/>
      <c r="AD122" s="671"/>
      <c r="AE122" s="261"/>
      <c r="AF122" s="671"/>
      <c r="AG122" s="671"/>
      <c r="AH122" s="671"/>
      <c r="AI122" s="671"/>
      <c r="AJ122" s="262"/>
      <c r="AK122" s="671"/>
      <c r="AL122" s="671"/>
      <c r="AM122" s="671"/>
      <c r="AN122" s="671"/>
      <c r="AO122" s="671"/>
      <c r="AP122" s="671"/>
      <c r="AQ122" s="671"/>
      <c r="AR122" s="677"/>
    </row>
    <row r="123" spans="29:44" ht="13.2" thickBot="1">
      <c r="AC123" s="676"/>
      <c r="AD123" s="671"/>
      <c r="AE123" s="263"/>
      <c r="AF123" s="264"/>
      <c r="AG123" s="264"/>
      <c r="AH123" s="264"/>
      <c r="AI123" s="264"/>
      <c r="AJ123" s="265"/>
      <c r="AK123" s="671"/>
      <c r="AL123" s="671"/>
      <c r="AM123" s="671"/>
      <c r="AN123" s="671"/>
      <c r="AO123" s="671"/>
      <c r="AP123" s="671"/>
      <c r="AQ123" s="671"/>
      <c r="AR123" s="677"/>
    </row>
    <row r="124" spans="29:44">
      <c r="AC124" s="676"/>
      <c r="AD124" s="671"/>
      <c r="AE124" s="671"/>
      <c r="AF124" s="671"/>
      <c r="AG124" s="671"/>
      <c r="AH124" s="671"/>
      <c r="AI124" s="671"/>
      <c r="AJ124" s="671"/>
      <c r="AK124" s="671"/>
      <c r="AL124" s="671"/>
      <c r="AM124" s="671"/>
      <c r="AN124" s="671"/>
      <c r="AO124" s="671"/>
      <c r="AP124" s="671"/>
      <c r="AQ124" s="671"/>
      <c r="AR124" s="677"/>
    </row>
    <row r="125" spans="29:44">
      <c r="AC125" s="676"/>
      <c r="AD125" s="671"/>
      <c r="AE125" s="671"/>
      <c r="AF125" s="671"/>
      <c r="AG125" s="671"/>
      <c r="AH125" s="671"/>
      <c r="AI125" s="671"/>
      <c r="AJ125" s="671"/>
      <c r="AK125" s="671"/>
      <c r="AL125" s="671"/>
      <c r="AM125" s="671"/>
      <c r="AN125" s="671"/>
      <c r="AO125" s="671"/>
      <c r="AP125" s="671"/>
      <c r="AQ125" s="671"/>
      <c r="AR125" s="677"/>
    </row>
    <row r="126" spans="29:44">
      <c r="AC126" s="676"/>
      <c r="AD126" s="671"/>
      <c r="AE126" s="671"/>
      <c r="AF126" s="671"/>
      <c r="AG126" s="671"/>
      <c r="AH126" s="671"/>
      <c r="AI126" s="671"/>
      <c r="AJ126" s="671"/>
      <c r="AK126" s="671"/>
      <c r="AL126" s="671"/>
      <c r="AM126" s="671"/>
      <c r="AN126" s="671"/>
      <c r="AO126" s="671"/>
      <c r="AP126" s="671"/>
      <c r="AQ126" s="671"/>
      <c r="AR126" s="677"/>
    </row>
    <row r="127" spans="29:44">
      <c r="AC127" s="676"/>
      <c r="AD127" s="671"/>
      <c r="AE127" s="671"/>
      <c r="AF127" s="671"/>
      <c r="AG127" s="671"/>
      <c r="AH127" s="671"/>
      <c r="AI127" s="671"/>
      <c r="AJ127" s="671"/>
      <c r="AK127" s="671"/>
      <c r="AL127" s="671"/>
      <c r="AM127" s="671"/>
      <c r="AN127" s="671"/>
      <c r="AO127" s="671"/>
      <c r="AP127" s="671"/>
      <c r="AQ127" s="671"/>
      <c r="AR127" s="677"/>
    </row>
    <row r="128" spans="29:44" ht="13.2" thickBot="1">
      <c r="AC128" s="678"/>
      <c r="AD128" s="679"/>
      <c r="AE128" s="679"/>
      <c r="AF128" s="679"/>
      <c r="AG128" s="679"/>
      <c r="AH128" s="679"/>
      <c r="AI128" s="679"/>
      <c r="AJ128" s="679"/>
      <c r="AK128" s="679"/>
      <c r="AL128" s="679"/>
      <c r="AM128" s="679"/>
      <c r="AN128" s="679"/>
      <c r="AO128" s="679"/>
      <c r="AP128" s="679"/>
      <c r="AQ128" s="679"/>
      <c r="AR128" s="680"/>
    </row>
  </sheetData>
  <mergeCells count="1">
    <mergeCell ref="AC66:AE66"/>
  </mergeCells>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7BD7B-7267-413C-B9E9-23B9C5913C32}">
  <sheetPr>
    <tabColor theme="7"/>
  </sheetPr>
  <dimension ref="AR1:BZ64"/>
  <sheetViews>
    <sheetView zoomScale="30" zoomScaleNormal="30" workbookViewId="0">
      <selection activeCell="BK20" sqref="BK20"/>
    </sheetView>
  </sheetViews>
  <sheetFormatPr baseColWidth="10" defaultRowHeight="12.9"/>
  <cols>
    <col min="70" max="70" width="21" customWidth="1"/>
  </cols>
  <sheetData>
    <row r="1" spans="44:78">
      <c r="AR1" s="118" t="s">
        <v>1119</v>
      </c>
      <c r="AS1" s="80" t="s">
        <v>652</v>
      </c>
      <c r="AT1" s="80"/>
      <c r="AU1" s="80"/>
      <c r="AV1" s="80" t="s">
        <v>534</v>
      </c>
      <c r="AW1" s="80" t="s">
        <v>535</v>
      </c>
      <c r="AX1" s="80" t="s">
        <v>536</v>
      </c>
      <c r="AY1" s="80" t="s">
        <v>537</v>
      </c>
      <c r="AZ1" s="80" t="s">
        <v>1073</v>
      </c>
      <c r="BA1" s="80" t="s">
        <v>541</v>
      </c>
      <c r="BB1" s="80" t="s">
        <v>654</v>
      </c>
      <c r="BC1" s="80" t="s">
        <v>527</v>
      </c>
      <c r="BD1" s="80" t="s">
        <v>629</v>
      </c>
      <c r="BE1" s="80" t="s">
        <v>646</v>
      </c>
      <c r="BF1" s="80" t="s">
        <v>528</v>
      </c>
      <c r="BG1" s="80" t="s">
        <v>647</v>
      </c>
      <c r="BH1" s="80" t="s">
        <v>526</v>
      </c>
      <c r="BI1" s="80" t="s">
        <v>655</v>
      </c>
      <c r="BJ1" s="80" t="s">
        <v>917</v>
      </c>
      <c r="BK1" s="80" t="s">
        <v>916</v>
      </c>
      <c r="BL1" s="80" t="s">
        <v>656</v>
      </c>
      <c r="BM1" s="80" t="s">
        <v>913</v>
      </c>
      <c r="BN1" s="80" t="s">
        <v>914</v>
      </c>
      <c r="BO1" s="80" t="s">
        <v>915</v>
      </c>
      <c r="BP1" s="80" t="s">
        <v>659</v>
      </c>
      <c r="BQ1" s="80" t="s">
        <v>660</v>
      </c>
      <c r="BR1" s="80" t="s">
        <v>918</v>
      </c>
      <c r="BS1" s="80" t="s">
        <v>919</v>
      </c>
      <c r="BT1" s="80" t="s">
        <v>920</v>
      </c>
      <c r="BU1" s="80" t="s">
        <v>921</v>
      </c>
      <c r="BV1" s="80" t="s">
        <v>649</v>
      </c>
      <c r="BW1" s="80" t="s">
        <v>650</v>
      </c>
      <c r="BX1" s="80" t="s">
        <v>651</v>
      </c>
      <c r="BY1" s="80" t="s">
        <v>1092</v>
      </c>
      <c r="BZ1" s="80"/>
    </row>
    <row r="2" spans="44:78">
      <c r="AS2" t="s">
        <v>534</v>
      </c>
      <c r="AT2" t="s">
        <v>519</v>
      </c>
      <c r="AU2" t="s">
        <v>52</v>
      </c>
      <c r="AV2" cm="1">
        <f t="array" ref="AV2:AV8">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_xlpm.isVar, _xlpm.isOM * _xlpm.hasMWh * NOT(_xlpm.hasKW),
  _xlpm.ConfWanted,  $AT2,
  _xlpm.ReadyWanted, $AU2,
  _xlpm.valueVar, IF(_xlpm.hasMWh, _xlpm.cMWh, NA()),
  _xlfn._xlws.FILTER(
    _xlpm.valueVar,
    (_xlpm.ct = _xlpm.ConfWanted) *
    (_xlpm.rd = _xlpm.ReadyWanted) *
    _xlpm.isVar
  )
)</f>
        <v>0.23337081784386618</v>
      </c>
      <c r="AW2" cm="1">
        <f t="array" ref="AW2:AW6">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_xlpm.isVar, _xlpm.isOM * _xlpm.hasMWh * NOT(_xlpm.hasKW),
  _xlpm.ConfWanted,  $AT3,
  _xlpm.ReadyWanted, $AU3,
  _xlpm.valueVar, IF(_xlpm.hasMWh, _xlpm.cMWh, NA()),
  _xlfn._xlws.FILTER(
    _xlpm.valueVar,
    (_xlpm.ct = _xlpm.ConfWanted) *
    (_xlpm.rd = _xlpm.ReadyWanted) *
    _xlpm.isVar
  )
)</f>
        <v>8.8278294133140616</v>
      </c>
      <c r="AX2" cm="1">
        <f t="array" ref="AX2:AX18">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_xlpm.isVar, _xlpm.isOM * _xlpm.hasMWh * NOT(_xlpm.hasKW),
  _xlpm.ConfWanted,  $AT4,
  _xlpm.ReadyWanted, $AU4,
  _xlpm.valueVar, IF(_xlpm.hasMWh, _xlpm.cMWh, NA()),
  _xlfn._xlws.FILTER(
    _xlpm.valueVar,
    (_xlpm.ct = _xlpm.ConfWanted) *
    (_xlpm.rd = _xlpm.ReadyWanted) *
    _xlpm.isVar
  )
)</f>
        <v>0.52495816967262177</v>
      </c>
      <c r="AY2" cm="1">
        <f t="array" ref="AY2:AY33">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 IFERROR(TRIM(_xlpm.rd_raw), _xlpm.rd_raw),
  _xlpm.costUp, UPPER(TRIM(_xlpm.costType)),
  _xlpm.isOM, ISNUMBER(SEARCH("O&amp;M", _xlpm.costUp)),
  _xlpm.hasMWh, ISNUMBER(_xlpm.cMWh),
  _xlpm.hasKW,  ISNUMBER(_xlpm.ckW),
  _xlpm.isVar, _xlpm.isOM * _xlpm.hasMWh * NOT(_xlpm.hasKW),
  _xlpm.ConfWanted,  $AT5,
  _xlpm.ReadyWanted, $AU5,
  _xlpm.valueVar, IF(_xlpm.hasMWh, _xlpm.cMWh, NA()),
  _xlfn._xlws.FILTER(
    _xlpm.valueVar,
    (_xlpm.ct = _xlpm.ConfWanted) *
    (_xlpm.rd = _xlpm.ReadyWanted) *
    _xlpm.isVar
  )
)</f>
        <v>0.6028979591836735</v>
      </c>
      <c r="AZ2" cm="1">
        <f t="array" ref="AZ2:AZ3">_xlfn.LET(
  _xlpm.T,  OtherCosts[],
  _xlpm.H,  OtherCosts[#Headers],
  _xlpm.iCT,   _xlfn.XMATCH("Confinement*", _xlpm.H, 2),
  _xlpm.iRD,   _xlfn.XMATCH("Readiness*",   _xlpm.H, 2),
  _xlpm.iCost, _xlfn.XMATCH("Cost Type*",   _xlpm.H, 2),
  _xlpm.iMWh,  _xlfn.XMATCH("Cost [USD/MWh, 2018]*", _xlpm.H, 2),
  _xlpm.iKW,   _xlfn.XMATCH("Cost [USD/kW, 2018]*",  _xlpm.H, 2),
  _xlpm.ct_raw,   INDEX(_xlpm.T,, _xlpm.iCT),
  _xlpm.rd_raw,   INDEX(_xlpm.T,, _xlpm.iRD),
  _xlpm.costType, INDEX(_xlpm.T,, _xlpm.iCost),
  _xlpm.cMWh,     INDEX(_xlpm.T,, _xlpm.iMWh),
  _xlpm.ckW,      INDEX(_xlpm.T,, _xlpm.iKW),
  _xlpm.ct, IFERROR(
        _xlfn.XLOOKUP(_xlpm.ct_raw, Map_Conf[From], Map_Conf[To], _xlpm.ct_raw),
        _xlpm.ct_raw
      ),
  _xlpm.rdClean,    TRIM(UPPER(_xlpm.rd_raw)),
  _xlpm.advRaw,     ISNUMBER(SEARCH("ADVAN", _xlpm.rdClean)),
  _xlpm.highAdvRaw, ISNUMBER(SEARCH("HIGHLY ADVAN", _xlpm.rdClean)),
  _xlpm.isMature,   _xlpm.advRaw + _xlpm.highAdvRaw,
  _xlpm.costUp,   UPPER(TRIM(_xlpm.costType)),
  _xlpm.isOM,     ISNUMBER(SEARCH("O&amp;M", _xlpm.costUp)),
  _xlpm.hasMWh,   ISNUMBER(_xlpm.cMWh),
  _xlpm.hasKW,    ISNUMBER(_xlpm.ckW),
  _xlpm.isFixLabel, ISNUMBER(SEARCH("FIX", _xlpm.costUp)),
  _xlpm.isVarLabel, ISNUMBER(SEARCH("VAR", _xlpm.costUp)),
  _xlpm.isFix, _xlpm.isOM * ( _xlpm.isFixLabel + (_xlpm.hasKW * NOT(_xlpm.hasMWh)) ),
  _xlpm.isVar, _xlpm.isOM * ( _xlpm.isVarLabel + (_xlpm.hasMWh * NOT(_xlpm.hasKW)) ),
  _xlpm.ConfWanted,  "MCF",
  _xlpm.ReadyWanted, "Mature NOAK",
  _xlpm.OMType,      "VAR",
  _xlpm.valueFix, IF(ISNUMBER(_xlpm.ckW),  _xlpm.ckW,  NA()),
  _xlpm.valueVar, IF(ISNUMBER(_xlpm.cMWh), _xlpm.cMWh, NA()),
  _xlpm.isRightType, IF(_xlpm.OMType="FIX", _xlpm.isFix, _xlpm.isVar),
  _xlpm.v,           IF(_xlpm.OMType="FIX", _xlpm.valueFix, _xlpm.valueVar),
  _xlpm.readyMask,
    IF(
      _xlpm.ReadyWanted = "Mature NOAK",
      _xlpm.isMature,
      _xlpm.rdClean = UPPER(_xlpm.ReadyWanted)
    ),
  IFERROR(
    _xlfn._xlws.FILTER(
      _xlpm.v,
      (_xlpm.ct = _xlpm.ConfWanted) *
      _xlpm.readyMask *
      _xlpm.isRightType
    ),
    ""
  )
)</f>
        <v>8.6035499419279926</v>
      </c>
      <c r="BA2">
        <f>MATCH(AS2,$AS$2:$AS$6,0)</f>
        <v>1</v>
      </c>
      <c r="BB2" s="26" cm="1">
        <f t="array" aca="1" ref="BB2" ca="1">_xlfn.LET(
  _xlpm.r,OFFSET($AV$2,0,ROW(A1)-1,ROWS($AV$2:$AV$1000),1),
  _xlpm.v,_xlfn._xlws.FILTER(_xlpm.r,ISNUMBER(_xlpm.r)),
  IF(COUNT(_xlpm.v)=0,NA(),_xlfn.PERCENTILE.INC(_xlpm.v,0.975))
)</f>
        <v>26.598181224899598</v>
      </c>
      <c r="BC2" s="26" cm="1">
        <f t="array" ref="BC2">_xlfn.LET(
  _xlpm.hdr, $AV$1:$AZ$1,
  _xlpm.k,   _xlfn.XMATCH($AS2, _xlpm.hdr, 0),
  _xlpm.col, INDEX($AV$2:$AZ$1000,, _xlpm.k),
  _xlpm.v,   _xlfn._xlws.FILTER(_xlpm.col, ISNUMBER(_xlpm.col)),
  IF(COUNT(_xlpm.v)=0, NA(), AVERAGE(_xlpm.v))
)</f>
        <v>11.834310411116572</v>
      </c>
      <c r="BD2" cm="1">
        <f t="array" aca="1" ref="BD2" ca="1">_xlfn.LET(
  _xlpm.k,ROW(A1)-1,
  _xlpm.r,OFFSET($AV$2,0,_xlpm.k,ROWS($AV$2:$AV$1000),1),
  _xlpm.v,_xlfn._xlws.FILTER(_xlpm.r,ISNUMBER(_xlpm.r)),
  IF(COUNT(_xlpm.v)=0,NA(),MIN(_xlpm.v))
)</f>
        <v>0.23337081784386618</v>
      </c>
      <c r="BE2" cm="1">
        <f t="array" aca="1" ref="BE2" ca="1">_xlfn.LET(
  _xlpm.k,ROW(A1)-1,
  _xlpm.r,OFFSET($AV$2,0,_xlpm.k,ROWS($AV$2:$AV$1000),1),
  _xlpm.v,_xlfn._xlws.FILTER(_xlpm.r,ISNUMBER(_xlpm.r)),
  IF(COUNT(_xlpm.v)=0,NA(),_xlfn.PERCENTILE.INC(_xlpm.v,0.25))
)</f>
        <v>2.4940297876201583</v>
      </c>
      <c r="BF2" cm="1">
        <f t="array" aca="1" ref="BF2" ca="1">_xlfn.LET(
  _xlpm.k,ROW(A1)-1,
  _xlpm.r,OFFSET($AV$2,0,_xlpm.k,ROWS($AV$2:$AV$1000),1),
  _xlpm.v,_xlfn._xlws.FILTER(_xlpm.r,ISNUMBER(_xlpm.r)),
  IF(COUNT(_xlpm.v)=0,NA(),_xlfn.PERCENTILE.INC(_xlpm.v,0.5))
)</f>
        <v>14.858402366863904</v>
      </c>
      <c r="BG2" cm="1">
        <f t="array" ref="BG2">_xlfn.LET(
  _xlpm.Data, $AV$2:$AZ$1000,
  _xlpm.col,  $BA2,
  _xlpm.vec,  INDEX(_xlpm.Data,,_xlpm.col),
  _xlpm.v,    _xlfn._xlws.FILTER(_xlpm.vec, ISNUMBER(_xlpm.vec)),
  IF(COUNT(_xlpm.v)=0, NA(), _xlfn.PERCENTILE.INC(_xlpm.v, 0.75))
)</f>
        <v>17.513819657327534</v>
      </c>
      <c r="BH2" cm="1">
        <f t="array" aca="1" ref="BH2" ca="1">_xlfn.LET(
  _xlpm.k,ROW(A1)-1,
  _xlpm.r,OFFSET($AV$2,0,_xlpm.k,ROWS($AV$2:$AV$1000),1),
  _xlpm.v,_xlfn._xlws.FILTER(_xlpm.r,ISNUMBER(_xlpm.r)),
  IF(COUNT(_xlpm.v)=0,NA(),MAX(_xlpm.v))
)</f>
        <v>27.732700803212854</v>
      </c>
      <c r="BI2" cm="1">
        <f t="array" aca="1" ref="BI2" ca="1">_xlfn.LET(_xlpm.r,OFFSET($AV$2,0,ROW(A1)-1,ROWS($AV$2:$AV$1000),1),
    _xlpm.v,_xlfn._xlws.FILTER(_xlpm.r,ISNUMBER(_xlpm.r)),
    _xlfn.PERCENTILE.INC(_xlpm.v,0.25))</f>
        <v>2.4940297876201583</v>
      </c>
      <c r="BJ2" cm="1">
        <f t="array" aca="1" ref="BJ2" ca="1">_xlfn.LET(
  _xlpm.k, ROW(A1)-1,
  _xlpm.r, OFFSET($AV$2,0,_xlpm.k,ROWS($AV$2:$AV$1000),1),
  _xlpm.v, _xlfn._xlws.FILTER(_xlpm.r, ISNUMBER(_xlpm.r)),
  IF(COUNT(_xlpm.v)=0, NA(), _xlfn.PERCENTILE.INC(_xlpm.v,0.5)-_xlfn.PERCENTILE.INC(_xlpm.v,0.25))
)</f>
        <v>12.364372579243746</v>
      </c>
      <c r="BK2" cm="1">
        <f t="array" aca="1" ref="BK2" ca="1">_xlfn.LET(_xlpm.r,OFFSET($AV$2,0,ROW(A1)-1,ROWS($AV$2:$AV$1000),1),
    _xlpm.v,_xlfn._xlws.FILTER(_xlpm.r,ISNUMBER(_xlpm.r)),
    _xlfn.PERCENTILE.INC(_xlpm.v,0.75)-_xlfn.PERCENTILE.INC(_xlpm.v,0.5))</f>
        <v>2.65541729046363</v>
      </c>
      <c r="BL2" cm="1">
        <f t="array" aca="1" ref="BL2" ca="1">_xlfn.LET(_xlpm.r,OFFSET($AV$2,0,ROW(A1)-1,ROWS($AV$2:$AV$1000),1),
    _xlpm.v,_xlfn._xlws.FILTER(_xlpm.r,ISNUMBER(_xlpm.r)),
    MAX(_xlpm.v)-_xlfn.PERCENTILE.INC(_xlpm.v,0.75))</f>
        <v>10.218881145885319</v>
      </c>
      <c r="BM2">
        <f t="shared" ref="BM2:BM6" ca="1" si="0">BG2-BE2</f>
        <v>15.019789869707376</v>
      </c>
      <c r="BN2">
        <f ca="1" xml:space="preserve"> IF(AND(ISNUMBER(BE2), ISNUMBER(BM2)), BE2 - 1.5*BM2, NA())</f>
        <v>-20.035655016940908</v>
      </c>
      <c r="BO2">
        <f ca="1" xml:space="preserve"> IF(AND(ISNUMBER(BG2), ISNUMBER(BM2)), BG2 + 1.5*BM2, NA())</f>
        <v>40.043504461888602</v>
      </c>
      <c r="BP2" s="13" cm="1">
        <f t="array" aca="1" ref="BP2" ca="1">_xlfn.LET(
  _xlpm.Data, $AV$2:$AZ$1000,
  _xlpm.col,  $BA2,
  _xlpm.vec,  INDEX(_xlpm.Data,,_xlpm.col),
  _xlpm.v,    _xlfn._xlws.FILTER(_xlpm.vec, ISNUMBER(_xlpm.vec)),
  _xlpm.f,    BN2,
  IF(OR(COUNT(_xlpm.v)=0, NOT(ISNUMBER(_xlpm.f))),
      NA(),
      IF(COUNT(_xlfn._xlws.FILTER(_xlpm.v, _xlpm.v&gt;=_xlpm.f))=0, MIN(_xlpm.v), MIN(_xlfn._xlws.FILTER(_xlpm.v, _xlpm.v&gt;=_xlpm.f)))
  )
)</f>
        <v>0.23337081784386618</v>
      </c>
      <c r="BQ2" cm="1">
        <f t="array" aca="1" ref="BQ2" ca="1">_xlfn.LET(
  _xlpm.Data, $AV$2:$AZ$1000,
  _xlpm.col,  $BA2,
  _xlpm.vec,  INDEX(_xlpm.Data,,_xlpm.col),
  _xlpm.v,    _xlfn._xlws.FILTER(_xlpm.vec, ISNUMBER(_xlpm.vec)),
  _xlpm.f,    BO2,
  IF(OR(COUNT(_xlpm.v)=0, NOT(ISNUMBER(_xlpm.f))),
      NA(),
      IF(COUNT(_xlfn._xlws.FILTER(_xlpm.v, _xlpm.v&lt;=_xlpm.f))=0, MAX(_xlpm.v), MAX(_xlfn._xlws.FILTER(_xlpm.v, _xlpm.v&lt;=_xlpm.f)))
  )
)</f>
        <v>27.732700803212854</v>
      </c>
      <c r="BR2">
        <f t="shared" ref="BR2:BR6" ca="1" si="1">MAX(0, BQ2 - BF2)</f>
        <v>12.874298436348949</v>
      </c>
      <c r="BS2">
        <f t="shared" ref="BS2:BS6" ca="1" si="2">MAX(0, BF2 - BP2)</f>
        <v>14.625031549020038</v>
      </c>
      <c r="BT2">
        <f ca="1">BE2-BP2</f>
        <v>2.260658969776292</v>
      </c>
      <c r="BU2">
        <f ca="1">BQ2-BG2</f>
        <v>10.218881145885319</v>
      </c>
      <c r="BV2">
        <f t="shared" ref="BV2:BV6" ca="1" si="3">BE2-BD2</f>
        <v>2.260658969776292</v>
      </c>
      <c r="BW2">
        <v>0</v>
      </c>
      <c r="BX2">
        <f t="shared" ref="BX2:BX6" ca="1" si="4">BH2-BG2</f>
        <v>10.218881145885319</v>
      </c>
      <c r="BY2" cm="1">
        <f t="array" ref="BY2:BY64">_xlfn.LET(
  _xlpm.rng, $AV$2:$AZ$1000,
  _xlpm.v,   _xlfn.TOCOL(_xlpm.rng, 3, 1),
  _xlfn._xlws.FILTER(_xlpm.v, ISNUMBER(_xlpm.v))
)</f>
        <v>0.23337081784386618</v>
      </c>
      <c r="BZ2" cm="1">
        <f t="array" ref="BZ2:BZ64">_xlfn.LET(
  _xlpm.rng,   AV$2:AZ$1000,
  _xlpm.idx2D, COLUMN(_xlpm.rng)-MIN(COLUMN(_xlpm.rng))+1,
  _xlpm.mask,  ISNUMBER(_xlpm.rng),
  _xlpm.idx2D_masked, IF(_xlpm.mask, _xlpm.idx2D, NA()),
  _xlpm.v,  _xlfn.TOCOL(_xlpm.rng, 3, 1),
  _xlpm.x,  _xlfn.TOCOL(_xlpm.idx2D_masked, 3, 1),
  _xlfn._xlws.FILTER(_xlpm.x, ISNUMBER(_xlpm.v))
)</f>
        <v>1</v>
      </c>
    </row>
    <row r="3" spans="44:78">
      <c r="AS3" t="s">
        <v>535</v>
      </c>
      <c r="AT3" t="s">
        <v>518</v>
      </c>
      <c r="AU3" t="s">
        <v>32</v>
      </c>
      <c r="AV3">
        <v>0.23337081784386618</v>
      </c>
      <c r="AW3">
        <v>8.8278294133140616</v>
      </c>
      <c r="AX3">
        <v>1.8898494108214381</v>
      </c>
      <c r="AY3">
        <v>0.6028979591836735</v>
      </c>
      <c r="AZ3">
        <v>8.6035499419279926</v>
      </c>
      <c r="BA3">
        <f>MATCH(AS3,$AS$2:$AS$6,0)</f>
        <v>2</v>
      </c>
      <c r="BB3" s="26" cm="1">
        <f t="array" aca="1" ref="BB3" ca="1">_xlfn.LET(
  _xlpm.r,OFFSET($AV$2,0,ROW(A2)-1,ROWS($AV$2:$AV$1000),1),
  _xlpm.v,_xlfn._xlws.FILTER(_xlpm.r,ISNUMBER(_xlpm.r)),
  IF(COUNT(_xlpm.v)=0,NA(),_xlfn.PERCENTILE.INC(_xlpm.v,0.975))
)</f>
        <v>47.71246662865039</v>
      </c>
      <c r="BC3" s="26" cm="1">
        <f t="array" ref="BC3">_xlfn.LET(
  _xlpm.hdr, $AV$1:$AZ$1,
  _xlpm.k,   _xlfn.XMATCH($AS3, _xlpm.hdr, 0),
  _xlpm.col, INDEX($AV$2:$AZ$1000,, _xlpm.k),
  _xlpm.v,   _xlfn._xlws.FILTER(_xlpm.col, ISNUMBER(_xlpm.col)),
  IF(COUNT(_xlpm.v)=0, NA(), AVERAGE(_xlpm.v))
)</f>
        <v>17.979675082171969</v>
      </c>
      <c r="BD3" cm="1">
        <f t="array" aca="1" ref="BD3" ca="1">_xlfn.LET(
  _xlpm.k,ROW(A2)-1,
  _xlpm.r,OFFSET($AV$2,0,_xlpm.k,ROWS($AV$2:$AV$1000),1),
  _xlpm.v,_xlfn._xlws.FILTER(_xlpm.r,ISNUMBER(_xlpm.r)),
  IF(COUNT(_xlpm.v)=0,NA(),MIN(_xlpm.v))
)</f>
        <v>8.8278294133140616</v>
      </c>
      <c r="BE3" cm="1">
        <f t="array" aca="1" ref="BE3" ca="1">_xlfn.LET(
  _xlpm.k,ROW(A2)-1,
  _xlpm.r,OFFSET($AV$2,0,_xlpm.k,ROWS($AV$2:$AV$1000),1),
  _xlpm.v,_xlfn._xlws.FILTER(_xlpm.r,ISNUMBER(_xlpm.r)),
  IF(COUNT(_xlpm.v)=0,NA(),_xlfn.PERCENTILE.INC(_xlpm.v,0.25))
)</f>
        <v>8.8278294133140616</v>
      </c>
      <c r="BF3" cm="1">
        <f t="array" aca="1" ref="BF3" ca="1">_xlfn.LET(
  _xlpm.k,ROW(A2)-1,
  _xlpm.r,OFFSET($AV$2,0,_xlpm.k,ROWS($AV$2:$AV$1000),1),
  _xlpm.v,_xlfn._xlws.FILTER(_xlpm.r,ISNUMBER(_xlpm.r)),
  IF(COUNT(_xlpm.v)=0,NA(),_xlfn.PERCENTILE.INC(_xlpm.v,0.5))
)</f>
        <v>9.9904850803366507</v>
      </c>
      <c r="BG3" cm="1">
        <f t="array" ref="BG3">_xlfn.LET(
  _xlpm.Data, $AV$2:$AZ$1000,
  _xlpm.col,  $BA3,
  _xlpm.vec,  INDEX(_xlpm.Data,,_xlpm.col),
  _xlpm.v,    _xlfn._xlws.FILTER(_xlpm.vec, ISNUMBER(_xlpm.vec)),
  IF(COUNT(_xlpm.v)=0, NA(), _xlfn.PERCENTILE.INC(_xlpm.v, 0.75))
)</f>
        <v>10.393177156068974</v>
      </c>
      <c r="BH3" cm="1">
        <f t="array" aca="1" ref="BH3" ca="1">_xlfn.LET(
  _xlpm.k,ROW(A2)-1,
  _xlpm.r,OFFSET($AV$2,0,_xlpm.k,ROWS($AV$2:$AV$1000),1),
  _xlpm.v,_xlfn._xlws.FILTER(_xlpm.r,ISNUMBER(_xlpm.r)),
  IF(COUNT(_xlpm.v)=0,NA(),MAX(_xlpm.v))
)</f>
        <v>51.859054347826088</v>
      </c>
      <c r="BI3" cm="1">
        <f t="array" aca="1" ref="BI3" ca="1">_xlfn.LET(_xlpm.r,OFFSET($AV$2,0,ROW(A2)-1,ROWS($AV$2:$AV$1000),1),
    _xlpm.v,_xlfn._xlws.FILTER(_xlpm.r,ISNUMBER(_xlpm.r)),
    _xlfn.PERCENTILE.INC(_xlpm.v,0.25))</f>
        <v>8.8278294133140616</v>
      </c>
      <c r="BJ3" cm="1">
        <f t="array" aca="1" ref="BJ3" ca="1">_xlfn.LET(
  _xlpm.k, ROW(A2)-1,
  _xlpm.r, OFFSET($AV$2,0,_xlpm.k,ROWS($AV$2:$AV$1000),1),
  _xlpm.v, _xlfn._xlws.FILTER(_xlpm.r, ISNUMBER(_xlpm.r)),
  IF(COUNT(_xlpm.v)=0, NA(), _xlfn.PERCENTILE.INC(_xlpm.v,0.5)-_xlfn.PERCENTILE.INC(_xlpm.v,0.25))
)</f>
        <v>1.1626556670225892</v>
      </c>
      <c r="BK3" cm="1">
        <f t="array" aca="1" ref="BK3" ca="1">_xlfn.LET(_xlpm.r,OFFSET($AV$2,0,ROW(A2)-1,ROWS($AV$2:$AV$1000),1),
    _xlpm.v,_xlfn._xlws.FILTER(_xlpm.r,ISNUMBER(_xlpm.r)),
    _xlfn.PERCENTILE.INC(_xlpm.v,0.75)-_xlfn.PERCENTILE.INC(_xlpm.v,0.5))</f>
        <v>0.40269207573232357</v>
      </c>
      <c r="BL3" cm="1">
        <f t="array" aca="1" ref="BL3" ca="1">_xlfn.LET(_xlpm.r,OFFSET($AV$2,0,ROW(A2)-1,ROWS($AV$2:$AV$1000),1),
    _xlpm.v,_xlfn._xlws.FILTER(_xlpm.r,ISNUMBER(_xlpm.r)),
    MAX(_xlpm.v)-_xlfn.PERCENTILE.INC(_xlpm.v,0.75))</f>
        <v>41.465877191757116</v>
      </c>
      <c r="BM3">
        <f t="shared" ca="1" si="0"/>
        <v>1.5653477427549127</v>
      </c>
      <c r="BN3">
        <f t="shared" ref="BN3:BN6" ca="1" si="5" xml:space="preserve"> IF(AND(ISNUMBER(BE3), ISNUMBER(BM3)), BE3 - 1.5*BM3, NA())</f>
        <v>6.4798077991816925</v>
      </c>
      <c r="BO3">
        <f t="shared" ref="BO3:BO6" ca="1" si="6" xml:space="preserve"> IF(AND(ISNUMBER(BG3), ISNUMBER(BM3)), BG3 + 1.5*BM3, NA())</f>
        <v>12.741198770201343</v>
      </c>
      <c r="BP3" s="13" cm="1">
        <f t="array" aca="1" ref="BP3" ca="1">_xlfn.LET(
  _xlpm.Data, $AV$2:$AZ$1000,
  _xlpm.col,  $BA3,
  _xlpm.vec,  INDEX(_xlpm.Data,,_xlpm.col),
  _xlpm.v,    _xlfn._xlws.FILTER(_xlpm.vec, ISNUMBER(_xlpm.vec)),
  _xlpm.f,    BN3,
  IF(OR(COUNT(_xlpm.v)=0, NOT(ISNUMBER(_xlpm.f))),
      NA(),
      IF(COUNT(_xlfn._xlws.FILTER(_xlpm.v, _xlpm.v&gt;=_xlpm.f))=0, MIN(_xlpm.v), MIN(_xlfn._xlws.FILTER(_xlpm.v, _xlpm.v&gt;=_xlpm.f)))
  )
)</f>
        <v>8.8278294133140616</v>
      </c>
      <c r="BQ3" cm="1">
        <f t="array" aca="1" ref="BQ3" ca="1">_xlfn.LET(
  _xlpm.Data, $AV$2:$AZ$1000,
  _xlpm.col,  $BA3,
  _xlpm.vec,  INDEX(_xlpm.Data,,_xlpm.col),
  _xlpm.v,    _xlfn._xlws.FILTER(_xlpm.vec, ISNUMBER(_xlpm.vec)),
  _xlpm.f,    BO3,
  IF(OR(COUNT(_xlpm.v)=0, NOT(ISNUMBER(_xlpm.f))),
      NA(),
      IF(COUNT(_xlfn._xlws.FILTER(_xlpm.v, _xlpm.v&lt;=_xlpm.f))=0, MAX(_xlpm.v), MAX(_xlfn._xlws.FILTER(_xlpm.v, _xlpm.v&lt;=_xlpm.f)))
  )
)</f>
        <v>10.393177156068974</v>
      </c>
      <c r="BR3">
        <f t="shared" ca="1" si="1"/>
        <v>0.40269207573232357</v>
      </c>
      <c r="BS3">
        <f t="shared" ca="1" si="2"/>
        <v>1.1626556670225892</v>
      </c>
      <c r="BT3">
        <f t="shared" ref="BT3:BT6" ca="1" si="7">BE3-BP3</f>
        <v>0</v>
      </c>
      <c r="BU3">
        <f t="shared" ref="BU3:BU6" ca="1" si="8">BQ3-BG3</f>
        <v>0</v>
      </c>
      <c r="BV3">
        <f t="shared" ca="1" si="3"/>
        <v>0</v>
      </c>
      <c r="BW3">
        <v>0</v>
      </c>
      <c r="BX3">
        <f t="shared" ca="1" si="4"/>
        <v>41.465877191757116</v>
      </c>
      <c r="BY3">
        <v>0.23337081784386618</v>
      </c>
      <c r="BZ3">
        <v>1</v>
      </c>
    </row>
    <row r="4" spans="44:78">
      <c r="AS4" t="s">
        <v>536</v>
      </c>
      <c r="AT4" t="s">
        <v>518</v>
      </c>
      <c r="AU4" t="s">
        <v>57</v>
      </c>
      <c r="AV4">
        <v>4.7546887573964502</v>
      </c>
      <c r="AW4">
        <v>9.9904850803366507</v>
      </c>
      <c r="AX4">
        <v>6.5249173924495238</v>
      </c>
      <c r="AY4">
        <v>1.0080937956204381</v>
      </c>
      <c r="BA4">
        <f>MATCH(AS4,$AS$2:$AS$6,0)</f>
        <v>3</v>
      </c>
      <c r="BB4" s="26" cm="1">
        <f t="array" aca="1" ref="BB4" ca="1">_xlfn.LET(
  _xlpm.r,OFFSET($AV$2,0,ROW(A3)-1,ROWS($AV$2:$AV$1000),1),
  _xlpm.v,_xlfn._xlws.FILTER(_xlpm.r,ISNUMBER(_xlpm.r)),
  IF(COUNT(_xlpm.v)=0,NA(),_xlfn.PERCENTILE.INC(_xlpm.v,0.975))
)</f>
        <v>42.041927959977777</v>
      </c>
      <c r="BC4" s="26" cm="1">
        <f t="array" ref="BC4">_xlfn.LET(
  _xlpm.hdr, $AV$1:$AZ$1,
  _xlpm.k,   _xlfn.XMATCH($AS4, _xlpm.hdr, 0),
  _xlpm.col, INDEX($AV$2:$AZ$1000,, _xlpm.k),
  _xlpm.v,   _xlfn._xlws.FILTER(_xlpm.col, ISNUMBER(_xlpm.col)),
  IF(COUNT(_xlpm.v)=0, NA(), AVERAGE(_xlpm.v))
)</f>
        <v>18.896566933649087</v>
      </c>
      <c r="BD4" cm="1">
        <f t="array" aca="1" ref="BD4" ca="1">_xlfn.LET(
  _xlpm.k,ROW(A3)-1,
  _xlpm.r,OFFSET($AV$2,0,_xlpm.k,ROWS($AV$2:$AV$1000),1),
  _xlpm.v,_xlfn._xlws.FILTER(_xlpm.r,ISNUMBER(_xlpm.r)),
  IF(COUNT(_xlpm.v)=0,NA(),MIN(_xlpm.v))
)</f>
        <v>0.52495816967262177</v>
      </c>
      <c r="BE4" cm="1">
        <f t="array" aca="1" ref="BE4" ca="1">_xlfn.LET(
  _xlpm.k,ROW(A3)-1,
  _xlpm.r,OFFSET($AV$2,0,_xlpm.k,ROWS($AV$2:$AV$1000),1),
  _xlpm.v,_xlfn._xlws.FILTER(_xlpm.r,ISNUMBER(_xlpm.r)),
  IF(COUNT(_xlpm.v)=0,NA(),_xlfn.PERCENTILE.INC(_xlpm.v,0.25))
)</f>
        <v>13.061105010691788</v>
      </c>
      <c r="BF4" cm="1">
        <f t="array" aca="1" ref="BF4" ca="1">_xlfn.LET(
  _xlpm.k,ROW(A3)-1,
  _xlpm.r,OFFSET($AV$2,0,_xlpm.k,ROWS($AV$2:$AV$1000),1),
  _xlpm.v,_xlfn._xlws.FILTER(_xlpm.r,ISNUMBER(_xlpm.r)),
  IF(COUNT(_xlpm.v)=0,NA(),_xlfn.PERCENTILE.INC(_xlpm.v,0.5))
)</f>
        <v>15.011831521739131</v>
      </c>
      <c r="BG4" cm="1">
        <f t="array" ref="BG4">_xlfn.LET(
  _xlpm.Data, $AV$2:$AZ$1000,
  _xlpm.col,  $BA4,
  _xlpm.vec,  INDEX(_xlpm.Data,,_xlpm.col),
  _xlpm.v,    _xlfn._xlws.FILTER(_xlpm.vec, ISNUMBER(_xlpm.vec)),
  IF(COUNT(_xlpm.v)=0, NA(), _xlfn.PERCENTILE.INC(_xlpm.v, 0.75))
)</f>
        <v>19.651852173913046</v>
      </c>
      <c r="BH4" cm="1">
        <f t="array" aca="1" ref="BH4" ca="1">_xlfn.LET(
  _xlpm.k,ROW(A3)-1,
  _xlpm.r,OFFSET($AV$2,0,_xlpm.k,ROWS($AV$2:$AV$1000),1),
  _xlpm.v,_xlfn._xlws.FILTER(_xlpm.r,ISNUMBER(_xlpm.r)),
  IF(COUNT(_xlpm.v)=0,NA(),MAX(_xlpm.v))
)</f>
        <v>43.828570316842693</v>
      </c>
      <c r="BI4" cm="1">
        <f t="array" aca="1" ref="BI4" ca="1">_xlfn.LET(_xlpm.r,OFFSET($AV$2,0,ROW(A3)-1,ROWS($AV$2:$AV$1000),1),
    _xlpm.v,_xlfn._xlws.FILTER(_xlpm.r,ISNUMBER(_xlpm.r)),
    _xlfn.PERCENTILE.INC(_xlpm.v,0.25))</f>
        <v>13.061105010691788</v>
      </c>
      <c r="BJ4" cm="1">
        <f t="array" aca="1" ref="BJ4" ca="1">_xlfn.LET(
  _xlpm.k, ROW(A3)-1,
  _xlpm.r, OFFSET($AV$2,0,_xlpm.k,ROWS($AV$2:$AV$1000),1),
  _xlpm.v, _xlfn._xlws.FILTER(_xlpm.r, ISNUMBER(_xlpm.r)),
  IF(COUNT(_xlpm.v)=0, NA(), _xlfn.PERCENTILE.INC(_xlpm.v,0.5)-_xlfn.PERCENTILE.INC(_xlpm.v,0.25))
)</f>
        <v>1.9507265110473426</v>
      </c>
      <c r="BK4" cm="1">
        <f t="array" aca="1" ref="BK4" ca="1">_xlfn.LET(_xlpm.r,OFFSET($AV$2,0,ROW(A3)-1,ROWS($AV$2:$AV$1000),1),
    _xlpm.v,_xlfn._xlws.FILTER(_xlpm.r,ISNUMBER(_xlpm.r)),
    _xlfn.PERCENTILE.INC(_xlpm.v,0.75)-_xlfn.PERCENTILE.INC(_xlpm.v,0.5))</f>
        <v>4.6400206521739147</v>
      </c>
      <c r="BL4" cm="1">
        <f t="array" aca="1" ref="BL4" ca="1">_xlfn.LET(_xlpm.r,OFFSET($AV$2,0,ROW(A3)-1,ROWS($AV$2:$AV$1000),1),
    _xlpm.v,_xlfn._xlws.FILTER(_xlpm.r,ISNUMBER(_xlpm.r)),
    MAX(_xlpm.v)-_xlfn.PERCENTILE.INC(_xlpm.v,0.75))</f>
        <v>24.176718142929648</v>
      </c>
      <c r="BM4">
        <f t="shared" ca="1" si="0"/>
        <v>6.5907471632212573</v>
      </c>
      <c r="BN4">
        <f t="shared" ca="1" si="5"/>
        <v>3.1749842658599032</v>
      </c>
      <c r="BO4">
        <f t="shared" ca="1" si="6"/>
        <v>29.537972918744931</v>
      </c>
      <c r="BP4" s="13" cm="1">
        <f t="array" aca="1" ref="BP4" ca="1">_xlfn.LET(
  _xlpm.Data, $AV$2:$AZ$1000,
  _xlpm.col,  $BA4,
  _xlpm.vec,  INDEX(_xlpm.Data,,_xlpm.col),
  _xlpm.v,    _xlfn._xlws.FILTER(_xlpm.vec, ISNUMBER(_xlpm.vec)),
  _xlpm.f,    BN4,
  IF(OR(COUNT(_xlpm.v)=0, NOT(ISNUMBER(_xlpm.f))),
      NA(),
      IF(COUNT(_xlfn._xlws.FILTER(_xlpm.v, _xlpm.v&gt;=_xlpm.f))=0, MIN(_xlpm.v), MIN(_xlfn._xlws.FILTER(_xlpm.v, _xlpm.v&gt;=_xlpm.f)))
  )
)</f>
        <v>6.5249173924495238</v>
      </c>
      <c r="BQ4" cm="1">
        <f t="array" aca="1" ref="BQ4" ca="1">_xlfn.LET(
  _xlpm.Data, $AV$2:$AZ$1000,
  _xlpm.col,  $BA4,
  _xlpm.vec,  INDEX(_xlpm.Data,,_xlpm.col),
  _xlpm.v,    _xlfn._xlws.FILTER(_xlpm.vec, ISNUMBER(_xlpm.vec)),
  _xlpm.f,    BO4,
  IF(OR(COUNT(_xlpm.v)=0, NOT(ISNUMBER(_xlpm.f))),
      NA(),
      IF(COUNT(_xlfn._xlws.FILTER(_xlpm.v, _xlpm.v&lt;=_xlpm.f))=0, MAX(_xlpm.v), MAX(_xlfn._xlws.FILTER(_xlpm.v, _xlpm.v&lt;=_xlpm.f)))
  )
)</f>
        <v>19.651852173913046</v>
      </c>
      <c r="BR4">
        <f t="shared" ca="1" si="1"/>
        <v>4.6400206521739147</v>
      </c>
      <c r="BS4">
        <f t="shared" ca="1" si="2"/>
        <v>8.4869141292896071</v>
      </c>
      <c r="BT4">
        <f t="shared" ca="1" si="7"/>
        <v>6.5361876182422645</v>
      </c>
      <c r="BU4">
        <f t="shared" ca="1" si="8"/>
        <v>0</v>
      </c>
      <c r="BV4">
        <f t="shared" ca="1" si="3"/>
        <v>12.536146841019166</v>
      </c>
      <c r="BW4">
        <v>0</v>
      </c>
      <c r="BX4">
        <f t="shared" ca="1" si="4"/>
        <v>24.176718142929648</v>
      </c>
      <c r="BY4">
        <v>4.7546887573964502</v>
      </c>
      <c r="BZ4">
        <v>1</v>
      </c>
    </row>
    <row r="5" spans="44:78">
      <c r="AS5" t="s">
        <v>537</v>
      </c>
      <c r="AT5" t="s">
        <v>518</v>
      </c>
      <c r="AU5" t="s">
        <v>52</v>
      </c>
      <c r="AV5">
        <v>14.858402366863904</v>
      </c>
      <c r="AW5">
        <v>10.393177156068974</v>
      </c>
      <c r="AX5">
        <v>10.74692276403451</v>
      </c>
      <c r="AY5">
        <v>11.228361788617887</v>
      </c>
      <c r="BA5">
        <f>MATCH(AS5,$AS$2:$AS$6,0)</f>
        <v>4</v>
      </c>
      <c r="BB5" s="26" cm="1">
        <f t="array" aca="1" ref="BB5" ca="1">_xlfn.LET(
  _xlpm.r,OFFSET($AV$2,0,ROW(A4)-1,ROWS($AV$2:$AV$1000),1),
  _xlpm.v,_xlfn._xlws.FILTER(_xlpm.r,ISNUMBER(_xlpm.r)),
  IF(COUNT(_xlpm.v)=0,NA(),_xlfn.PERCENTILE.INC(_xlpm.v,0.975))
)</f>
        <v>40.936627030109491</v>
      </c>
      <c r="BC5" s="26" cm="1">
        <f t="array" ref="BC5">_xlfn.LET(
  _xlpm.hdr, $AV$1:$AZ$1,
  _xlpm.k,   _xlfn.XMATCH($AS5, _xlpm.hdr, 0),
  _xlpm.col, INDEX($AV$2:$AZ$1000,, _xlpm.k),
  _xlpm.v,   _xlfn._xlws.FILTER(_xlpm.col, ISNUMBER(_xlpm.col)),
  IF(COUNT(_xlpm.v)=0, NA(), AVERAGE(_xlpm.v))
)</f>
        <v>17.817023244886943</v>
      </c>
      <c r="BD5" cm="1">
        <f t="array" aca="1" ref="BD5" ca="1">_xlfn.LET(
  _xlpm.k,ROW(A4)-1,
  _xlpm.r,OFFSET($AV$2,0,_xlpm.k,ROWS($AV$2:$AV$1000),1),
  _xlpm.v,_xlfn._xlws.FILTER(_xlpm.r,ISNUMBER(_xlpm.r)),
  IF(COUNT(_xlpm.v)=0,NA(),MIN(_xlpm.v))
)</f>
        <v>0.6028979591836735</v>
      </c>
      <c r="BE5" cm="1">
        <f t="array" aca="1" ref="BE5" ca="1">_xlfn.LET(
  _xlpm.k,ROW(A4)-1,
  _xlpm.r,OFFSET($AV$2,0,_xlpm.k,ROWS($AV$2:$AV$1000),1),
  _xlpm.v,_xlfn._xlws.FILTER(_xlpm.r,ISNUMBER(_xlpm.r)),
  IF(COUNT(_xlpm.v)=0,NA(),_xlfn.PERCENTILE.INC(_xlpm.v,0.25))
)</f>
        <v>12.855527501155503</v>
      </c>
      <c r="BF5" cm="1">
        <f t="array" aca="1" ref="BF5" ca="1">_xlfn.LET(
  _xlpm.k,ROW(A4)-1,
  _xlpm.r,OFFSET($AV$2,0,_xlpm.k,ROWS($AV$2:$AV$1000),1),
  _xlpm.v,_xlfn._xlws.FILTER(_xlpm.r,ISNUMBER(_xlpm.r)),
  IF(COUNT(_xlpm.v)=0,NA(),_xlfn.PERCENTILE.INC(_xlpm.v,0.5))
)</f>
        <v>14.858402366863904</v>
      </c>
      <c r="BG5" cm="1">
        <f t="array" ref="BG5">_xlfn.LET(
  _xlpm.Data, $AV$2:$AZ$1000,
  _xlpm.col,  $BA5,
  _xlpm.vec,  INDEX(_xlpm.Data,,_xlpm.col),
  _xlpm.v,    _xlfn._xlws.FILTER(_xlpm.vec, ISNUMBER(_xlpm.vec)),
  IF(COUNT(_xlpm.v)=0, NA(), _xlfn.PERCENTILE.INC(_xlpm.v, 0.75))
)</f>
        <v>20.599813377894566</v>
      </c>
      <c r="BH5" cm="1">
        <f t="array" aca="1" ref="BH5" ca="1">_xlfn.LET(
  _xlpm.k,ROW(A4)-1,
  _xlpm.r,OFFSET($AV$2,0,_xlpm.k,ROWS($AV$2:$AV$1000),1),
  _xlpm.v,_xlfn._xlws.FILTER(_xlpm.r,ISNUMBER(_xlpm.r)),
  IF(COUNT(_xlpm.v)=0,NA(),MAX(_xlpm.v))
)</f>
        <v>41.469312956204391</v>
      </c>
      <c r="BI5" cm="1">
        <f t="array" aca="1" ref="BI5" ca="1">_xlfn.LET(_xlpm.r,OFFSET($AV$2,0,ROW(A4)-1,ROWS($AV$2:$AV$1000),1),
    _xlpm.v,_xlfn._xlws.FILTER(_xlpm.r,ISNUMBER(_xlpm.r)),
    _xlfn.PERCENTILE.INC(_xlpm.v,0.25))</f>
        <v>12.855527501155503</v>
      </c>
      <c r="BJ5" cm="1">
        <f t="array" aca="1" ref="BJ5" ca="1">_xlfn.LET(
  _xlpm.k, ROW(A4)-1,
  _xlpm.r, OFFSET($AV$2,0,_xlpm.k,ROWS($AV$2:$AV$1000),1),
  _xlpm.v, _xlfn._xlws.FILTER(_xlpm.r, ISNUMBER(_xlpm.r)),
  IF(COUNT(_xlpm.v)=0, NA(), _xlfn.PERCENTILE.INC(_xlpm.v,0.5)-_xlfn.PERCENTILE.INC(_xlpm.v,0.25))
)</f>
        <v>2.0028748657084012</v>
      </c>
      <c r="BK5" cm="1">
        <f t="array" aca="1" ref="BK5" ca="1">_xlfn.LET(_xlpm.r,OFFSET($AV$2,0,ROW(A4)-1,ROWS($AV$2:$AV$1000),1),
    _xlpm.v,_xlfn._xlws.FILTER(_xlpm.r,ISNUMBER(_xlpm.r)),
    _xlfn.PERCENTILE.INC(_xlpm.v,0.75)-_xlfn.PERCENTILE.INC(_xlpm.v,0.5))</f>
        <v>5.741411011030662</v>
      </c>
      <c r="BL5" cm="1">
        <f t="array" aca="1" ref="BL5" ca="1">_xlfn.LET(_xlpm.r,OFFSET($AV$2,0,ROW(A4)-1,ROWS($AV$2:$AV$1000),1),
    _xlpm.v,_xlfn._xlws.FILTER(_xlpm.r,ISNUMBER(_xlpm.r)),
    MAX(_xlpm.v)-_xlfn.PERCENTILE.INC(_xlpm.v,0.75))</f>
        <v>20.869499578309824</v>
      </c>
      <c r="BM5">
        <f t="shared" ca="1" si="0"/>
        <v>7.7442858767390632</v>
      </c>
      <c r="BN5">
        <f t="shared" ca="1" si="5"/>
        <v>1.2390986860469084</v>
      </c>
      <c r="BO5">
        <f t="shared" ca="1" si="6"/>
        <v>32.216242193003161</v>
      </c>
      <c r="BP5" s="13" cm="1">
        <f t="array" aca="1" ref="BP5" ca="1">_xlfn.LET(
  _xlpm.Data, $AV$2:$AZ$1000,
  _xlpm.col,  $BA5,
  _xlpm.vec,  INDEX(_xlpm.Data,,_xlpm.col),
  _xlpm.v,    _xlfn._xlws.FILTER(_xlpm.vec, ISNUMBER(_xlpm.vec)),
  _xlpm.f,    BN5,
  IF(OR(COUNT(_xlpm.v)=0, NOT(ISNUMBER(_xlpm.f))),
      NA(),
      IF(COUNT(_xlfn._xlws.FILTER(_xlpm.v, _xlpm.v&gt;=_xlpm.f))=0, MIN(_xlpm.v), MIN(_xlfn._xlws.FILTER(_xlpm.v, _xlpm.v&gt;=_xlpm.f)))
  )
)</f>
        <v>11.228361788617887</v>
      </c>
      <c r="BQ5" cm="1">
        <f t="array" aca="1" ref="BQ5" ca="1">_xlfn.LET(
  _xlpm.Data, $AV$2:$AZ$1000,
  _xlpm.col,  $BA5,
  _xlpm.vec,  INDEX(_xlpm.Data,,_xlpm.col),
  _xlpm.v,    _xlfn._xlws.FILTER(_xlpm.vec, ISNUMBER(_xlpm.vec)),
  _xlpm.f,    BO5,
  IF(OR(COUNT(_xlpm.v)=0, NOT(ISNUMBER(_xlpm.f))),
      NA(),
      IF(COUNT(_xlfn._xlws.FILTER(_xlpm.v, _xlpm.v&lt;=_xlpm.f))=0, MAX(_xlpm.v), MAX(_xlfn._xlws.FILTER(_xlpm.v, _xlpm.v&lt;=_xlpm.f)))
  )
)</f>
        <v>30.930150547445258</v>
      </c>
      <c r="BR5">
        <f t="shared" ca="1" si="1"/>
        <v>16.071748180581352</v>
      </c>
      <c r="BS5">
        <f t="shared" ca="1" si="2"/>
        <v>3.6300405782460174</v>
      </c>
      <c r="BT5">
        <f t="shared" ca="1" si="7"/>
        <v>1.6271657125376162</v>
      </c>
      <c r="BU5">
        <f t="shared" ca="1" si="8"/>
        <v>10.330337169550692</v>
      </c>
      <c r="BV5">
        <f t="shared" ca="1" si="3"/>
        <v>12.25262954197183</v>
      </c>
      <c r="BW5">
        <v>0</v>
      </c>
      <c r="BX5">
        <f t="shared" ca="1" si="4"/>
        <v>20.869499578309824</v>
      </c>
      <c r="BY5">
        <v>14.858402366863904</v>
      </c>
      <c r="BZ5">
        <v>1</v>
      </c>
    </row>
    <row r="6" spans="44:78" ht="25.8">
      <c r="AS6" t="s">
        <v>1073</v>
      </c>
      <c r="AT6" t="s">
        <v>518</v>
      </c>
      <c r="AU6" s="13" t="s">
        <v>1093</v>
      </c>
      <c r="AV6">
        <v>14.858402366863904</v>
      </c>
      <c r="AW6">
        <v>51.859054347826088</v>
      </c>
      <c r="AX6">
        <v>13.061105010691788</v>
      </c>
      <c r="AY6">
        <v>11.345020092915217</v>
      </c>
      <c r="BA6">
        <f>MATCH(AS6,$AS$2:$AS$6,0)</f>
        <v>5</v>
      </c>
      <c r="BB6" s="26" cm="1">
        <f t="array" aca="1" ref="BB6" ca="1">_xlfn.LET(
  _xlpm.r,OFFSET($AV$2,0,ROW(A5)-1,ROWS($AV$2:$AV$1000),1),
  _xlpm.v,_xlfn._xlws.FILTER(_xlpm.r,ISNUMBER(_xlpm.r)),
  IF(COUNT(_xlpm.v)=0,NA(),_xlfn.PERCENTILE.INC(_xlpm.v,0.975))
)</f>
        <v>8.6035499419279926</v>
      </c>
      <c r="BC6" s="26" cm="1">
        <f t="array" ref="BC6">_xlfn.LET(
  _xlpm.hdr, $AV$1:$AZ$1,
  _xlpm.k,   _xlfn.XMATCH($AS6, _xlpm.hdr, 0),
  _xlpm.col, INDEX($AV$2:$AZ$1000,, _xlpm.k),
  _xlpm.v,   _xlfn._xlws.FILTER(_xlpm.col, ISNUMBER(_xlpm.col)),
  IF(COUNT(_xlpm.v)=0, NA(), AVERAGE(_xlpm.v))
)</f>
        <v>8.6035499419279926</v>
      </c>
      <c r="BD6" cm="1">
        <f t="array" aca="1" ref="BD6" ca="1">_xlfn.LET(
  _xlpm.k,ROW(A5)-1,
  _xlpm.r,OFFSET($AV$2,0,_xlpm.k,ROWS($AV$2:$AV$1000),1),
  _xlpm.v,_xlfn._xlws.FILTER(_xlpm.r,ISNUMBER(_xlpm.r)),
  IF(COUNT(_xlpm.v)=0,NA(),MIN(_xlpm.v))
)</f>
        <v>8.6035499419279926</v>
      </c>
      <c r="BE6" cm="1">
        <f t="array" aca="1" ref="BE6" ca="1">_xlfn.LET(
  _xlpm.k,ROW(A5)-1,
  _xlpm.r,OFFSET($AV$2,0,_xlpm.k,ROWS($AV$2:$AV$1000),1),
  _xlpm.v,_xlfn._xlws.FILTER(_xlpm.r,ISNUMBER(_xlpm.r)),
  IF(COUNT(_xlpm.v)=0,NA(),_xlfn.PERCENTILE.INC(_xlpm.v,0.25))
)</f>
        <v>8.6035499419279926</v>
      </c>
      <c r="BF6" cm="1">
        <f t="array" aca="1" ref="BF6" ca="1">_xlfn.LET(
  _xlpm.k,ROW(A5)-1,
  _xlpm.r,OFFSET($AV$2,0,_xlpm.k,ROWS($AV$2:$AV$1000),1),
  _xlpm.v,_xlfn._xlws.FILTER(_xlpm.r,ISNUMBER(_xlpm.r)),
  IF(COUNT(_xlpm.v)=0,NA(),_xlfn.PERCENTILE.INC(_xlpm.v,0.5))
)</f>
        <v>8.6035499419279926</v>
      </c>
      <c r="BG6" cm="1">
        <f t="array" ref="BG6">_xlfn.LET(
  _xlpm.Data, $AV$2:$AZ$1000,
  _xlpm.col,  $BA6,
  _xlpm.vec,  INDEX(_xlpm.Data,,_xlpm.col),
  _xlpm.v,    _xlfn._xlws.FILTER(_xlpm.vec, ISNUMBER(_xlpm.vec)),
  IF(COUNT(_xlpm.v)=0, NA(), _xlfn.PERCENTILE.INC(_xlpm.v, 0.75))
)</f>
        <v>8.6035499419279926</v>
      </c>
      <c r="BH6" cm="1">
        <f t="array" aca="1" ref="BH6" ca="1">_xlfn.LET(
  _xlpm.k,ROW(A5)-1,
  _xlpm.r,OFFSET($AV$2,0,_xlpm.k,ROWS($AV$2:$AV$1000),1),
  _xlpm.v,_xlfn._xlws.FILTER(_xlpm.r,ISNUMBER(_xlpm.r)),
  IF(COUNT(_xlpm.v)=0,NA(),MAX(_xlpm.v))
)</f>
        <v>8.6035499419279926</v>
      </c>
      <c r="BI6" cm="1">
        <f t="array" aca="1" ref="BI6" ca="1">_xlfn.LET(_xlpm.r,OFFSET($AV$2,0,ROW(A5)-1,ROWS($AV$2:$AV$1000),1),
    _xlpm.v,_xlfn._xlws.FILTER(_xlpm.r,ISNUMBER(_xlpm.r)),
    _xlfn.PERCENTILE.INC(_xlpm.v,0.25))</f>
        <v>8.6035499419279926</v>
      </c>
      <c r="BJ6" cm="1">
        <f t="array" aca="1" ref="BJ6" ca="1">_xlfn.LET(
  _xlpm.k, ROW(A5)-1,
  _xlpm.r, OFFSET($AV$2,0,_xlpm.k,ROWS($AV$2:$AV$1000),1),
  _xlpm.v, _xlfn._xlws.FILTER(_xlpm.r, ISNUMBER(_xlpm.r)),
  IF(COUNT(_xlpm.v)=0, NA(), _xlfn.PERCENTILE.INC(_xlpm.v,0.5)-_xlfn.PERCENTILE.INC(_xlpm.v,0.25))
)</f>
        <v>0</v>
      </c>
      <c r="BK6" cm="1">
        <f t="array" aca="1" ref="BK6" ca="1">_xlfn.LET(_xlpm.r,OFFSET($AV$2,0,ROW(A5)-1,ROWS($AV$2:$AV$1000),1),
    _xlpm.v,_xlfn._xlws.FILTER(_xlpm.r,ISNUMBER(_xlpm.r)),
    _xlfn.PERCENTILE.INC(_xlpm.v,0.75)-_xlfn.PERCENTILE.INC(_xlpm.v,0.5))</f>
        <v>0</v>
      </c>
      <c r="BL6" cm="1">
        <f t="array" aca="1" ref="BL6" ca="1">_xlfn.LET(_xlpm.r,OFFSET($AV$2,0,ROW(A5)-1,ROWS($AV$2:$AV$1000),1),
    _xlpm.v,_xlfn._xlws.FILTER(_xlpm.r,ISNUMBER(_xlpm.r)),
    MAX(_xlpm.v)-_xlfn.PERCENTILE.INC(_xlpm.v,0.75))</f>
        <v>0</v>
      </c>
      <c r="BM6">
        <f t="shared" ca="1" si="0"/>
        <v>0</v>
      </c>
      <c r="BN6">
        <f t="shared" ca="1" si="5"/>
        <v>8.6035499419279926</v>
      </c>
      <c r="BO6">
        <f t="shared" ca="1" si="6"/>
        <v>8.6035499419279926</v>
      </c>
      <c r="BP6" s="13" cm="1">
        <f t="array" aca="1" ref="BP6" ca="1">_xlfn.LET(
  _xlpm.Data, $AV$2:$AZ$1000,
  _xlpm.col,  $BA6,
  _xlpm.vec,  INDEX(_xlpm.Data,,_xlpm.col),
  _xlpm.v,    _xlfn._xlws.FILTER(_xlpm.vec, ISNUMBER(_xlpm.vec)),
  _xlpm.f,    BN6,
  IF(OR(COUNT(_xlpm.v)=0, NOT(ISNUMBER(_xlpm.f))),
      NA(),
      IF(COUNT(_xlfn._xlws.FILTER(_xlpm.v, _xlpm.v&gt;=_xlpm.f))=0, MIN(_xlpm.v), MIN(_xlfn._xlws.FILTER(_xlpm.v, _xlpm.v&gt;=_xlpm.f)))
  )
)</f>
        <v>8.6035499419279926</v>
      </c>
      <c r="BQ6" cm="1">
        <f t="array" aca="1" ref="BQ6" ca="1">_xlfn.LET(
  _xlpm.Data, $AV$2:$AZ$1000,
  _xlpm.col,  $BA6,
  _xlpm.vec,  INDEX(_xlpm.Data,,_xlpm.col),
  _xlpm.v,    _xlfn._xlws.FILTER(_xlpm.vec, ISNUMBER(_xlpm.vec)),
  _xlpm.f,    BO6,
  IF(OR(COUNT(_xlpm.v)=0, NOT(ISNUMBER(_xlpm.f))),
      NA(),
      IF(COUNT(_xlfn._xlws.FILTER(_xlpm.v, _xlpm.v&lt;=_xlpm.f))=0, MAX(_xlpm.v), MAX(_xlfn._xlws.FILTER(_xlpm.v, _xlpm.v&lt;=_xlpm.f)))
  )
)</f>
        <v>8.6035499419279926</v>
      </c>
      <c r="BR6">
        <f t="shared" ca="1" si="1"/>
        <v>0</v>
      </c>
      <c r="BS6">
        <f t="shared" ca="1" si="2"/>
        <v>0</v>
      </c>
      <c r="BT6">
        <f t="shared" ca="1" si="7"/>
        <v>0</v>
      </c>
      <c r="BU6">
        <f t="shared" ca="1" si="8"/>
        <v>0</v>
      </c>
      <c r="BV6">
        <f t="shared" ca="1" si="3"/>
        <v>0</v>
      </c>
      <c r="BW6">
        <v>0</v>
      </c>
      <c r="BX6">
        <f t="shared" ca="1" si="4"/>
        <v>0</v>
      </c>
      <c r="BY6">
        <v>14.858402366863904</v>
      </c>
      <c r="BZ6">
        <v>1</v>
      </c>
    </row>
    <row r="7" spans="44:78">
      <c r="AV7">
        <v>20.169236947791166</v>
      </c>
      <c r="AX7">
        <v>13.284371763011308</v>
      </c>
      <c r="AY7">
        <v>12.295831004989308</v>
      </c>
      <c r="BB7" s="26"/>
      <c r="BC7" s="26"/>
      <c r="BP7" s="13"/>
      <c r="BY7">
        <v>20.169236947791166</v>
      </c>
      <c r="BZ7">
        <v>1</v>
      </c>
    </row>
    <row r="8" spans="44:78">
      <c r="AV8">
        <v>27.732700803212854</v>
      </c>
      <c r="AX8">
        <v>13.321840244620001</v>
      </c>
      <c r="AY8">
        <v>12.295831004989308</v>
      </c>
      <c r="BB8" s="26"/>
      <c r="BC8" s="26"/>
      <c r="BP8" s="13"/>
      <c r="BY8">
        <v>27.732700803212854</v>
      </c>
      <c r="BZ8">
        <v>1</v>
      </c>
    </row>
    <row r="9" spans="44:78">
      <c r="AX9">
        <v>14.512338900768654</v>
      </c>
      <c r="AY9">
        <v>12.805042674859189</v>
      </c>
      <c r="BB9" s="26"/>
      <c r="BC9" s="26"/>
      <c r="BP9" s="13"/>
      <c r="BY9">
        <v>8.8278294133140616</v>
      </c>
      <c r="BZ9">
        <v>2</v>
      </c>
    </row>
    <row r="10" spans="44:78">
      <c r="AX10">
        <v>15.011831521739131</v>
      </c>
      <c r="AY10">
        <v>12.872355776587607</v>
      </c>
      <c r="BB10" s="26"/>
      <c r="BC10" s="26"/>
      <c r="BP10" s="13"/>
      <c r="BY10">
        <v>8.8278294133140616</v>
      </c>
      <c r="BZ10">
        <v>2</v>
      </c>
    </row>
    <row r="11" spans="44:78">
      <c r="AX11">
        <v>17.439499956593455</v>
      </c>
      <c r="AY11">
        <v>13.423396293656449</v>
      </c>
      <c r="BY11">
        <v>9.9904850803366507</v>
      </c>
      <c r="BZ11">
        <v>2</v>
      </c>
    </row>
    <row r="12" spans="44:78">
      <c r="AX12">
        <v>17.741255434782609</v>
      </c>
      <c r="AY12">
        <v>13.423396293656449</v>
      </c>
      <c r="BY12">
        <v>10.393177156068974</v>
      </c>
      <c r="BZ12">
        <v>2</v>
      </c>
    </row>
    <row r="13" spans="44:78">
      <c r="AX13">
        <v>19.105967391304347</v>
      </c>
      <c r="AY13">
        <v>13.445294808602149</v>
      </c>
      <c r="BY13">
        <v>51.859054347826088</v>
      </c>
      <c r="BZ13">
        <v>2</v>
      </c>
    </row>
    <row r="14" spans="44:78">
      <c r="AX14">
        <v>19.651852173913046</v>
      </c>
      <c r="AY14">
        <v>13.605357842037888</v>
      </c>
      <c r="BY14">
        <v>0.52495816967262177</v>
      </c>
      <c r="BZ14">
        <v>3</v>
      </c>
    </row>
    <row r="15" spans="44:78">
      <c r="AX15">
        <v>37.407824346859371</v>
      </c>
      <c r="AY15">
        <v>13.68538935875576</v>
      </c>
      <c r="BY15">
        <v>1.8898494108214381</v>
      </c>
      <c r="BZ15">
        <v>3</v>
      </c>
    </row>
    <row r="16" spans="44:78">
      <c r="AX16">
        <v>37.826568649249587</v>
      </c>
      <c r="AY16">
        <v>14.221613693998309</v>
      </c>
      <c r="BY16">
        <v>6.5249173924495238</v>
      </c>
      <c r="BZ16">
        <v>3</v>
      </c>
    </row>
    <row r="17" spans="50:78">
      <c r="AX17">
        <v>39.36196442468038</v>
      </c>
      <c r="AY17">
        <v>14.858402366863904</v>
      </c>
      <c r="BY17">
        <v>10.74692276403451</v>
      </c>
      <c r="BZ17">
        <v>3</v>
      </c>
    </row>
    <row r="18" spans="50:78">
      <c r="AX18">
        <v>43.828570316842693</v>
      </c>
      <c r="AY18">
        <v>14.858402366863904</v>
      </c>
      <c r="BY18">
        <v>13.061105010691788</v>
      </c>
      <c r="BZ18">
        <v>3</v>
      </c>
    </row>
    <row r="19" spans="50:78">
      <c r="AY19">
        <v>14.858402366863904</v>
      </c>
      <c r="BY19">
        <v>13.284371763011308</v>
      </c>
      <c r="BZ19">
        <v>3</v>
      </c>
    </row>
    <row r="20" spans="50:78">
      <c r="AY20">
        <v>16.466032786885243</v>
      </c>
      <c r="BY20">
        <v>13.321840244620001</v>
      </c>
      <c r="BZ20">
        <v>3</v>
      </c>
    </row>
    <row r="21" spans="50:78">
      <c r="AY21">
        <v>16.466032786885243</v>
      </c>
      <c r="BY21">
        <v>14.512338900768654</v>
      </c>
      <c r="BZ21">
        <v>3</v>
      </c>
    </row>
    <row r="22" spans="50:78">
      <c r="AY22">
        <v>16.714850038255548</v>
      </c>
      <c r="BY22">
        <v>15.011831521739131</v>
      </c>
      <c r="BZ22">
        <v>3</v>
      </c>
    </row>
    <row r="23" spans="50:78">
      <c r="AY23">
        <v>16.714850038255548</v>
      </c>
      <c r="BY23">
        <v>17.439499956593455</v>
      </c>
      <c r="BZ23">
        <v>3</v>
      </c>
    </row>
    <row r="24" spans="50:78">
      <c r="AY24">
        <v>20.390988138686133</v>
      </c>
      <c r="BY24">
        <v>17.741255434782609</v>
      </c>
      <c r="BZ24">
        <v>3</v>
      </c>
    </row>
    <row r="25" spans="50:78">
      <c r="AY25">
        <v>20.390988138686133</v>
      </c>
      <c r="BY25">
        <v>19.105967391304347</v>
      </c>
      <c r="BZ25">
        <v>3</v>
      </c>
    </row>
    <row r="26" spans="50:78">
      <c r="AY26">
        <v>21.226289095519864</v>
      </c>
      <c r="BY26">
        <v>19.651852173913046</v>
      </c>
      <c r="BZ26">
        <v>3</v>
      </c>
    </row>
    <row r="27" spans="50:78">
      <c r="AY27">
        <v>29.326364963503654</v>
      </c>
      <c r="BY27">
        <v>37.407824346859371</v>
      </c>
      <c r="BZ27">
        <v>3</v>
      </c>
    </row>
    <row r="28" spans="50:78">
      <c r="AY28">
        <v>30.24281386861314</v>
      </c>
      <c r="BY28">
        <v>37.826568649249587</v>
      </c>
      <c r="BZ28">
        <v>3</v>
      </c>
    </row>
    <row r="29" spans="50:78">
      <c r="AY29">
        <v>30.701038321167889</v>
      </c>
      <c r="BY29">
        <v>39.36196442468038</v>
      </c>
      <c r="BZ29">
        <v>3</v>
      </c>
    </row>
    <row r="30" spans="50:78">
      <c r="AY30">
        <v>30.930150547445258</v>
      </c>
      <c r="BY30">
        <v>43.828570316842693</v>
      </c>
      <c r="BZ30">
        <v>3</v>
      </c>
    </row>
    <row r="31" spans="50:78">
      <c r="AY31">
        <v>36.887068430656939</v>
      </c>
      <c r="BY31">
        <v>0.6028979591836735</v>
      </c>
      <c r="BZ31">
        <v>4</v>
      </c>
    </row>
    <row r="32" spans="50:78">
      <c r="AY32">
        <v>40.781976277372266</v>
      </c>
      <c r="BY32">
        <v>0.6028979591836735</v>
      </c>
      <c r="BZ32">
        <v>4</v>
      </c>
    </row>
    <row r="33" spans="51:78">
      <c r="AY33">
        <v>41.469312956204391</v>
      </c>
      <c r="BY33">
        <v>1.0080937956204381</v>
      </c>
      <c r="BZ33">
        <v>4</v>
      </c>
    </row>
    <row r="34" spans="51:78">
      <c r="BY34">
        <v>11.228361788617887</v>
      </c>
      <c r="BZ34">
        <v>4</v>
      </c>
    </row>
    <row r="35" spans="51:78">
      <c r="BY35">
        <v>11.345020092915217</v>
      </c>
      <c r="BZ35">
        <v>4</v>
      </c>
    </row>
    <row r="36" spans="51:78">
      <c r="BY36">
        <v>12.295831004989308</v>
      </c>
      <c r="BZ36">
        <v>4</v>
      </c>
    </row>
    <row r="37" spans="51:78">
      <c r="BY37">
        <v>12.295831004989308</v>
      </c>
      <c r="BZ37">
        <v>4</v>
      </c>
    </row>
    <row r="38" spans="51:78">
      <c r="BY38">
        <v>12.805042674859189</v>
      </c>
      <c r="BZ38">
        <v>4</v>
      </c>
    </row>
    <row r="39" spans="51:78">
      <c r="BY39">
        <v>12.872355776587607</v>
      </c>
      <c r="BZ39">
        <v>4</v>
      </c>
    </row>
    <row r="40" spans="51:78">
      <c r="BY40">
        <v>13.423396293656449</v>
      </c>
      <c r="BZ40">
        <v>4</v>
      </c>
    </row>
    <row r="41" spans="51:78">
      <c r="BY41">
        <v>13.423396293656449</v>
      </c>
      <c r="BZ41">
        <v>4</v>
      </c>
    </row>
    <row r="42" spans="51:78">
      <c r="BY42">
        <v>13.445294808602149</v>
      </c>
      <c r="BZ42">
        <v>4</v>
      </c>
    </row>
    <row r="43" spans="51:78">
      <c r="BY43">
        <v>13.605357842037888</v>
      </c>
      <c r="BZ43">
        <v>4</v>
      </c>
    </row>
    <row r="44" spans="51:78">
      <c r="BY44">
        <v>13.68538935875576</v>
      </c>
      <c r="BZ44">
        <v>4</v>
      </c>
    </row>
    <row r="45" spans="51:78">
      <c r="BY45">
        <v>14.221613693998309</v>
      </c>
      <c r="BZ45">
        <v>4</v>
      </c>
    </row>
    <row r="46" spans="51:78">
      <c r="BY46">
        <v>14.858402366863904</v>
      </c>
      <c r="BZ46">
        <v>4</v>
      </c>
    </row>
    <row r="47" spans="51:78">
      <c r="BY47">
        <v>14.858402366863904</v>
      </c>
      <c r="BZ47">
        <v>4</v>
      </c>
    </row>
    <row r="48" spans="51:78">
      <c r="BY48">
        <v>14.858402366863904</v>
      </c>
      <c r="BZ48">
        <v>4</v>
      </c>
    </row>
    <row r="49" spans="77:78">
      <c r="BY49">
        <v>16.466032786885243</v>
      </c>
      <c r="BZ49">
        <v>4</v>
      </c>
    </row>
    <row r="50" spans="77:78">
      <c r="BY50">
        <v>16.466032786885243</v>
      </c>
      <c r="BZ50">
        <v>4</v>
      </c>
    </row>
    <row r="51" spans="77:78">
      <c r="BY51">
        <v>16.714850038255548</v>
      </c>
      <c r="BZ51">
        <v>4</v>
      </c>
    </row>
    <row r="52" spans="77:78">
      <c r="BY52">
        <v>16.714850038255548</v>
      </c>
      <c r="BZ52">
        <v>4</v>
      </c>
    </row>
    <row r="53" spans="77:78">
      <c r="BY53">
        <v>20.390988138686133</v>
      </c>
      <c r="BZ53">
        <v>4</v>
      </c>
    </row>
    <row r="54" spans="77:78">
      <c r="BY54">
        <v>20.390988138686133</v>
      </c>
      <c r="BZ54">
        <v>4</v>
      </c>
    </row>
    <row r="55" spans="77:78">
      <c r="BY55">
        <v>21.226289095519864</v>
      </c>
      <c r="BZ55">
        <v>4</v>
      </c>
    </row>
    <row r="56" spans="77:78">
      <c r="BY56">
        <v>29.326364963503654</v>
      </c>
      <c r="BZ56">
        <v>4</v>
      </c>
    </row>
    <row r="57" spans="77:78">
      <c r="BY57">
        <v>30.24281386861314</v>
      </c>
      <c r="BZ57">
        <v>4</v>
      </c>
    </row>
    <row r="58" spans="77:78">
      <c r="BY58">
        <v>30.701038321167889</v>
      </c>
      <c r="BZ58">
        <v>4</v>
      </c>
    </row>
    <row r="59" spans="77:78">
      <c r="BY59">
        <v>30.930150547445258</v>
      </c>
      <c r="BZ59">
        <v>4</v>
      </c>
    </row>
    <row r="60" spans="77:78">
      <c r="BY60">
        <v>36.887068430656939</v>
      </c>
      <c r="BZ60">
        <v>4</v>
      </c>
    </row>
    <row r="61" spans="77:78">
      <c r="BY61">
        <v>40.781976277372266</v>
      </c>
      <c r="BZ61">
        <v>4</v>
      </c>
    </row>
    <row r="62" spans="77:78">
      <c r="BY62">
        <v>41.469312956204391</v>
      </c>
      <c r="BZ62">
        <v>4</v>
      </c>
    </row>
    <row r="63" spans="77:78">
      <c r="BY63">
        <v>8.6035499419279926</v>
      </c>
      <c r="BZ63">
        <v>5</v>
      </c>
    </row>
    <row r="64" spans="77:78">
      <c r="BY64">
        <v>8.6035499419279926</v>
      </c>
      <c r="BZ64">
        <v>5</v>
      </c>
    </row>
  </sheetData>
  <pageMargins left="0.7" right="0.7" top="0.78740157499999996" bottom="0.78740157499999996"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BFD3"/>
  </sheetPr>
  <dimension ref="A2:N68"/>
  <sheetViews>
    <sheetView topLeftCell="A12" zoomScale="110" zoomScaleNormal="110" workbookViewId="0">
      <selection activeCell="B33" sqref="B33"/>
    </sheetView>
  </sheetViews>
  <sheetFormatPr baseColWidth="10" defaultColWidth="10.87890625" defaultRowHeight="12.9"/>
  <cols>
    <col min="1" max="1" width="33.87890625" style="6" customWidth="1"/>
    <col min="2" max="2" width="52" style="6" customWidth="1"/>
    <col min="3" max="3" width="15.29296875" style="18" customWidth="1"/>
    <col min="4" max="16384" width="10.87890625" style="6"/>
  </cols>
  <sheetData>
    <row r="2" spans="1:14" ht="13.2" thickBot="1">
      <c r="A2" s="21" t="s">
        <v>557</v>
      </c>
      <c r="B2" s="21" t="s">
        <v>558</v>
      </c>
      <c r="C2" s="22" t="s">
        <v>559</v>
      </c>
    </row>
    <row r="3" spans="1:14">
      <c r="A3" s="280" t="s">
        <v>129</v>
      </c>
      <c r="B3" s="282" t="s">
        <v>566</v>
      </c>
      <c r="C3" s="281">
        <v>2002</v>
      </c>
      <c r="E3" s="70">
        <v>1980</v>
      </c>
      <c r="F3" s="71">
        <v>1990</v>
      </c>
      <c r="G3" s="71">
        <v>2000</v>
      </c>
      <c r="H3" s="71">
        <v>2010</v>
      </c>
      <c r="I3" s="71">
        <v>2020</v>
      </c>
      <c r="J3" s="72">
        <v>2025</v>
      </c>
    </row>
    <row r="4" spans="1:14" ht="13.2" thickBot="1">
      <c r="A4" s="280" t="s">
        <v>355</v>
      </c>
      <c r="B4" s="282" t="s">
        <v>588</v>
      </c>
      <c r="C4" s="281">
        <v>2004</v>
      </c>
      <c r="E4" s="67">
        <f t="shared" ref="E4:J4" si="0">COUNTIFS($C:$C,"&lt;"&amp;F3,$C:$C,"&gt;="&amp;E3)</f>
        <v>8</v>
      </c>
      <c r="F4" s="68">
        <f t="shared" si="0"/>
        <v>14</v>
      </c>
      <c r="G4" s="68">
        <f t="shared" si="0"/>
        <v>16</v>
      </c>
      <c r="H4" s="68">
        <f t="shared" si="0"/>
        <v>14</v>
      </c>
      <c r="I4" s="68">
        <f t="shared" si="0"/>
        <v>8</v>
      </c>
      <c r="J4" s="69">
        <f t="shared" si="0"/>
        <v>0</v>
      </c>
    </row>
    <row r="5" spans="1:14">
      <c r="A5" s="280" t="s">
        <v>393</v>
      </c>
      <c r="B5" s="280" t="s">
        <v>596</v>
      </c>
      <c r="C5" s="281">
        <v>2019</v>
      </c>
    </row>
    <row r="6" spans="1:14">
      <c r="A6" s="280" t="s">
        <v>397</v>
      </c>
      <c r="B6" s="282" t="s">
        <v>599</v>
      </c>
      <c r="C6" s="281">
        <v>1998</v>
      </c>
      <c r="D6" s="1" t="s">
        <v>1127</v>
      </c>
    </row>
    <row r="7" spans="1:14">
      <c r="A7" s="280" t="s">
        <v>55</v>
      </c>
      <c r="B7" s="282" t="s">
        <v>608</v>
      </c>
      <c r="C7" s="281">
        <v>1991</v>
      </c>
    </row>
    <row r="8" spans="1:14">
      <c r="A8" s="280" t="s">
        <v>590</v>
      </c>
      <c r="B8" s="283" t="s">
        <v>591</v>
      </c>
      <c r="C8" s="281" t="s">
        <v>38</v>
      </c>
    </row>
    <row r="9" spans="1:14">
      <c r="A9" s="280" t="s">
        <v>96</v>
      </c>
      <c r="B9" s="282" t="s">
        <v>563</v>
      </c>
      <c r="C9" s="284" t="s">
        <v>38</v>
      </c>
      <c r="D9" s="6" t="s">
        <v>1122</v>
      </c>
    </row>
    <row r="10" spans="1:14" ht="15.6" customHeight="1">
      <c r="A10" s="280" t="s">
        <v>309</v>
      </c>
      <c r="B10" s="282" t="s">
        <v>583</v>
      </c>
      <c r="C10" s="284" t="s">
        <v>38</v>
      </c>
      <c r="D10" s="492"/>
      <c r="E10" s="493"/>
      <c r="F10" s="493"/>
      <c r="G10" s="493"/>
      <c r="H10" s="493"/>
      <c r="I10" s="493"/>
      <c r="J10" s="493"/>
      <c r="K10" s="493"/>
      <c r="L10" s="493"/>
      <c r="M10" s="493"/>
      <c r="N10" s="493"/>
    </row>
    <row r="11" spans="1:14">
      <c r="A11" s="280" t="s">
        <v>379</v>
      </c>
      <c r="B11" s="282" t="s">
        <v>594</v>
      </c>
      <c r="C11" s="284" t="s">
        <v>38</v>
      </c>
    </row>
    <row r="12" spans="1:14" ht="24.6">
      <c r="A12" s="280" t="s">
        <v>477</v>
      </c>
      <c r="B12" s="285" t="s">
        <v>618</v>
      </c>
      <c r="C12" s="284" t="s">
        <v>38</v>
      </c>
    </row>
    <row r="13" spans="1:14" ht="16" customHeight="1">
      <c r="A13" s="6" t="s">
        <v>1075</v>
      </c>
      <c r="B13" s="1" t="s">
        <v>1076</v>
      </c>
      <c r="C13" s="18">
        <v>1975</v>
      </c>
    </row>
    <row r="14" spans="1:14">
      <c r="A14" s="6" t="s">
        <v>1131</v>
      </c>
      <c r="B14" s="1" t="s">
        <v>1125</v>
      </c>
      <c r="C14" s="18">
        <v>1980</v>
      </c>
    </row>
    <row r="15" spans="1:14">
      <c r="A15" s="6" t="s">
        <v>83</v>
      </c>
      <c r="B15" s="1" t="s">
        <v>561</v>
      </c>
      <c r="C15" s="18">
        <v>2011</v>
      </c>
    </row>
    <row r="16" spans="1:14">
      <c r="A16" s="6" t="s">
        <v>92</v>
      </c>
      <c r="B16" s="6" t="s">
        <v>562</v>
      </c>
      <c r="C16" s="18">
        <v>1987</v>
      </c>
    </row>
    <row r="17" spans="1:3">
      <c r="A17" s="6" t="s">
        <v>825</v>
      </c>
      <c r="B17" s="1" t="s">
        <v>826</v>
      </c>
      <c r="C17" s="18">
        <v>1985</v>
      </c>
    </row>
    <row r="18" spans="1:3">
      <c r="A18" s="6" t="s">
        <v>101</v>
      </c>
      <c r="B18" s="6" t="s">
        <v>564</v>
      </c>
      <c r="C18" s="18">
        <v>2015</v>
      </c>
    </row>
    <row r="19" spans="1:3">
      <c r="A19" s="6" t="s">
        <v>86</v>
      </c>
      <c r="B19" s="10" t="s">
        <v>565</v>
      </c>
      <c r="C19" s="18">
        <v>2017</v>
      </c>
    </row>
    <row r="20" spans="1:3">
      <c r="A20" s="6" t="s">
        <v>120</v>
      </c>
      <c r="B20" s="1" t="s">
        <v>1139</v>
      </c>
      <c r="C20" s="18">
        <v>1990</v>
      </c>
    </row>
    <row r="21" spans="1:3">
      <c r="A21" s="6" t="s">
        <v>140</v>
      </c>
      <c r="B21" s="1" t="s">
        <v>567</v>
      </c>
      <c r="C21" s="18">
        <v>1991</v>
      </c>
    </row>
    <row r="22" spans="1:3">
      <c r="A22" s="6" t="s">
        <v>147</v>
      </c>
      <c r="B22" s="1" t="s">
        <v>568</v>
      </c>
      <c r="C22" s="18">
        <v>1988</v>
      </c>
    </row>
    <row r="23" spans="1:3">
      <c r="A23" s="6" t="s">
        <v>1123</v>
      </c>
      <c r="B23" s="1" t="s">
        <v>569</v>
      </c>
      <c r="C23" s="18">
        <v>2000</v>
      </c>
    </row>
    <row r="24" spans="1:3">
      <c r="A24" s="6" t="s">
        <v>279</v>
      </c>
      <c r="B24" s="79" t="s">
        <v>615</v>
      </c>
      <c r="C24" s="18">
        <v>2005</v>
      </c>
    </row>
    <row r="25" spans="1:3">
      <c r="A25" s="6" t="s">
        <v>570</v>
      </c>
      <c r="B25" s="1" t="s">
        <v>571</v>
      </c>
      <c r="C25" s="18">
        <v>2010</v>
      </c>
    </row>
    <row r="26" spans="1:3">
      <c r="A26" s="6" t="s">
        <v>223</v>
      </c>
      <c r="B26" s="7" t="s">
        <v>572</v>
      </c>
      <c r="C26" s="18">
        <v>2018</v>
      </c>
    </row>
    <row r="27" spans="1:3">
      <c r="A27" s="6" t="s">
        <v>616</v>
      </c>
      <c r="B27" s="78" t="s">
        <v>617</v>
      </c>
      <c r="C27" s="18">
        <v>2024</v>
      </c>
    </row>
    <row r="28" spans="1:3">
      <c r="A28" s="6" t="s">
        <v>227</v>
      </c>
      <c r="B28" s="1" t="s">
        <v>573</v>
      </c>
      <c r="C28" s="18">
        <v>2020</v>
      </c>
    </row>
    <row r="29" spans="1:3">
      <c r="A29" s="6" t="s">
        <v>233</v>
      </c>
      <c r="B29" s="6" t="s">
        <v>574</v>
      </c>
      <c r="C29" s="18">
        <v>2009</v>
      </c>
    </row>
    <row r="30" spans="1:3">
      <c r="A30" s="8" t="s">
        <v>248</v>
      </c>
      <c r="B30" s="1" t="s">
        <v>575</v>
      </c>
      <c r="C30" s="18">
        <v>2014</v>
      </c>
    </row>
    <row r="31" spans="1:3">
      <c r="A31" s="6" t="s">
        <v>249</v>
      </c>
      <c r="B31" s="1" t="s">
        <v>576</v>
      </c>
      <c r="C31" s="18">
        <v>1996</v>
      </c>
    </row>
    <row r="32" spans="1:3">
      <c r="A32" s="6" t="s">
        <v>1126</v>
      </c>
      <c r="B32" s="7" t="s">
        <v>577</v>
      </c>
      <c r="C32" s="18">
        <v>2019</v>
      </c>
    </row>
    <row r="33" spans="1:4">
      <c r="A33" s="6" t="s">
        <v>486</v>
      </c>
      <c r="B33" s="1" t="s">
        <v>610</v>
      </c>
      <c r="C33" s="18">
        <v>2020</v>
      </c>
    </row>
    <row r="34" spans="1:4">
      <c r="A34" s="8" t="s">
        <v>80</v>
      </c>
      <c r="B34" s="1" t="s">
        <v>578</v>
      </c>
      <c r="C34" s="18">
        <v>2001</v>
      </c>
      <c r="D34" s="6" t="s">
        <v>1133</v>
      </c>
    </row>
    <row r="35" spans="1:4">
      <c r="A35" s="8" t="s">
        <v>262</v>
      </c>
      <c r="B35" s="1" t="s">
        <v>579</v>
      </c>
      <c r="C35" s="18">
        <v>2021</v>
      </c>
    </row>
    <row r="36" spans="1:4">
      <c r="A36" s="6" t="s">
        <v>289</v>
      </c>
      <c r="B36" s="77" t="s">
        <v>580</v>
      </c>
      <c r="C36" s="18">
        <v>2015</v>
      </c>
    </row>
    <row r="37" spans="1:4">
      <c r="A37" s="6" t="s">
        <v>633</v>
      </c>
      <c r="B37" s="1" t="s">
        <v>634</v>
      </c>
      <c r="C37" s="18">
        <v>1996</v>
      </c>
    </row>
    <row r="38" spans="1:4">
      <c r="A38" s="6" t="s">
        <v>287</v>
      </c>
      <c r="B38" s="6" t="s">
        <v>581</v>
      </c>
      <c r="C38" s="18">
        <v>2009</v>
      </c>
    </row>
    <row r="39" spans="1:4">
      <c r="A39" s="6" t="s">
        <v>294</v>
      </c>
      <c r="B39" s="1" t="s">
        <v>582</v>
      </c>
      <c r="C39" s="18">
        <v>1995</v>
      </c>
    </row>
    <row r="40" spans="1:4">
      <c r="A40" s="6" t="s">
        <v>311</v>
      </c>
      <c r="B40" s="1" t="s">
        <v>584</v>
      </c>
      <c r="C40" s="18">
        <v>1998</v>
      </c>
    </row>
    <row r="41" spans="1:4">
      <c r="A41" s="6" t="s">
        <v>327</v>
      </c>
      <c r="B41" s="7" t="s">
        <v>585</v>
      </c>
      <c r="C41" s="18">
        <v>1987</v>
      </c>
    </row>
    <row r="42" spans="1:4">
      <c r="A42" s="6" t="s">
        <v>331</v>
      </c>
      <c r="B42" s="6" t="s">
        <v>586</v>
      </c>
      <c r="C42" s="18">
        <v>2023</v>
      </c>
    </row>
    <row r="43" spans="1:4">
      <c r="A43" s="6" t="s">
        <v>344</v>
      </c>
      <c r="B43" s="1" t="s">
        <v>587</v>
      </c>
      <c r="C43" s="18">
        <v>2023</v>
      </c>
    </row>
    <row r="44" spans="1:4">
      <c r="A44" s="6" t="s">
        <v>1105</v>
      </c>
      <c r="B44" s="1" t="s">
        <v>937</v>
      </c>
      <c r="C44" s="18">
        <v>1990</v>
      </c>
    </row>
    <row r="45" spans="1:4">
      <c r="A45" s="6" t="s">
        <v>1288</v>
      </c>
      <c r="B45" s="116" t="s">
        <v>675</v>
      </c>
      <c r="C45" s="18">
        <v>2005</v>
      </c>
    </row>
    <row r="46" spans="1:4">
      <c r="A46" s="6" t="s">
        <v>358</v>
      </c>
      <c r="B46" s="1" t="s">
        <v>589</v>
      </c>
      <c r="C46" s="18">
        <v>2007</v>
      </c>
    </row>
    <row r="47" spans="1:4">
      <c r="A47" s="6" t="s">
        <v>842</v>
      </c>
      <c r="B47" s="1" t="s">
        <v>847</v>
      </c>
      <c r="C47" s="18">
        <v>1985</v>
      </c>
    </row>
    <row r="48" spans="1:4">
      <c r="A48" s="6" t="s">
        <v>369</v>
      </c>
      <c r="B48" s="1" t="s">
        <v>592</v>
      </c>
      <c r="C48" s="18">
        <v>1991</v>
      </c>
    </row>
    <row r="49" spans="1:4">
      <c r="A49" s="6" t="s">
        <v>386</v>
      </c>
      <c r="B49" s="116" t="s">
        <v>595</v>
      </c>
      <c r="C49" s="18">
        <v>1992</v>
      </c>
    </row>
    <row r="50" spans="1:4">
      <c r="A50" s="6" t="s">
        <v>597</v>
      </c>
      <c r="B50" s="1" t="s">
        <v>598</v>
      </c>
      <c r="C50" s="18">
        <v>1991</v>
      </c>
    </row>
    <row r="51" spans="1:4">
      <c r="A51" s="6" t="s">
        <v>420</v>
      </c>
      <c r="B51" s="9" t="s">
        <v>600</v>
      </c>
      <c r="C51" s="18">
        <v>2006</v>
      </c>
    </row>
    <row r="52" spans="1:4">
      <c r="A52" s="6" t="s">
        <v>424</v>
      </c>
      <c r="B52" s="6" t="s">
        <v>601</v>
      </c>
      <c r="C52" s="18">
        <v>2008</v>
      </c>
    </row>
    <row r="53" spans="1:4">
      <c r="A53" s="6" t="s">
        <v>427</v>
      </c>
      <c r="B53" s="1" t="s">
        <v>602</v>
      </c>
      <c r="C53" s="18">
        <v>2012</v>
      </c>
    </row>
    <row r="54" spans="1:4" ht="20.100000000000001" customHeight="1">
      <c r="A54" s="6" t="s">
        <v>603</v>
      </c>
      <c r="B54" s="78" t="s">
        <v>727</v>
      </c>
      <c r="C54" s="18">
        <v>2021</v>
      </c>
      <c r="D54" s="6" t="s">
        <v>1311</v>
      </c>
    </row>
    <row r="55" spans="1:4">
      <c r="A55" s="6" t="s">
        <v>732</v>
      </c>
      <c r="B55" s="78" t="s">
        <v>1142</v>
      </c>
      <c r="C55" s="18">
        <v>2016</v>
      </c>
    </row>
    <row r="56" spans="1:4">
      <c r="A56" s="6" t="s">
        <v>428</v>
      </c>
      <c r="B56" s="1" t="s">
        <v>593</v>
      </c>
      <c r="C56" s="18">
        <v>1986</v>
      </c>
    </row>
    <row r="57" spans="1:4">
      <c r="A57" s="6" t="s">
        <v>938</v>
      </c>
      <c r="B57" s="1" t="s">
        <v>937</v>
      </c>
      <c r="C57" s="18">
        <v>1990</v>
      </c>
    </row>
    <row r="58" spans="1:4">
      <c r="A58" s="6" t="s">
        <v>433</v>
      </c>
      <c r="B58" s="1" t="s">
        <v>604</v>
      </c>
      <c r="C58" s="18">
        <v>2020</v>
      </c>
    </row>
    <row r="59" spans="1:4">
      <c r="A59" s="6" t="s">
        <v>435</v>
      </c>
      <c r="B59" s="116" t="s">
        <v>605</v>
      </c>
      <c r="C59" s="18">
        <v>2002</v>
      </c>
    </row>
    <row r="60" spans="1:4">
      <c r="A60" s="6" t="s">
        <v>440</v>
      </c>
      <c r="B60" s="1" t="s">
        <v>630</v>
      </c>
      <c r="C60" s="18">
        <v>2003</v>
      </c>
    </row>
    <row r="61" spans="1:4">
      <c r="A61" s="6" t="s">
        <v>444</v>
      </c>
      <c r="B61" s="1" t="s">
        <v>606</v>
      </c>
      <c r="C61" s="18">
        <v>1981</v>
      </c>
      <c r="D61" s="1" t="s">
        <v>1112</v>
      </c>
    </row>
    <row r="62" spans="1:4">
      <c r="A62" s="6" t="s">
        <v>446</v>
      </c>
      <c r="B62" s="6" t="s">
        <v>607</v>
      </c>
      <c r="C62" s="18">
        <v>2008</v>
      </c>
    </row>
    <row r="63" spans="1:4">
      <c r="A63" s="6" t="s">
        <v>799</v>
      </c>
      <c r="B63" s="116" t="s">
        <v>800</v>
      </c>
      <c r="C63" s="18">
        <v>1992</v>
      </c>
    </row>
    <row r="64" spans="1:4">
      <c r="A64" s="6" t="s">
        <v>472</v>
      </c>
      <c r="B64" s="1" t="s">
        <v>609</v>
      </c>
      <c r="C64" s="18">
        <v>2017</v>
      </c>
      <c r="D64" s="1" t="s">
        <v>613</v>
      </c>
    </row>
    <row r="65" spans="1:3" ht="17.100000000000001" customHeight="1">
      <c r="A65" s="6" t="s">
        <v>498</v>
      </c>
      <c r="B65" s="6" t="s">
        <v>611</v>
      </c>
      <c r="C65" s="18">
        <v>2006</v>
      </c>
    </row>
    <row r="66" spans="1:3" ht="17.100000000000001" customHeight="1">
      <c r="A66" s="6" t="s">
        <v>503</v>
      </c>
      <c r="B66" s="1" t="s">
        <v>612</v>
      </c>
      <c r="C66" s="18">
        <v>2009</v>
      </c>
    </row>
    <row r="67" spans="1:3" ht="17.100000000000001" customHeight="1">
      <c r="A67" s="6" t="s">
        <v>507</v>
      </c>
      <c r="B67" s="1" t="s">
        <v>614</v>
      </c>
      <c r="C67" s="18">
        <v>2011</v>
      </c>
    </row>
    <row r="68" spans="1:3" ht="22.9" customHeight="1">
      <c r="A68" s="23" t="s">
        <v>35</v>
      </c>
      <c r="B68" s="1" t="s">
        <v>560</v>
      </c>
      <c r="C68" s="18">
        <v>2011</v>
      </c>
    </row>
  </sheetData>
  <mergeCells count="1">
    <mergeCell ref="D10:N10"/>
  </mergeCells>
  <hyperlinks>
    <hyperlink ref="B15" r:id="rId1" xr:uid="{83570EB4-1368-4812-AA28-D16A7FC17BD5}"/>
    <hyperlink ref="B19" r:id="rId2" tooltip="Persistent link using digital object identifier" xr:uid="{94B2D30D-F54F-430E-9526-DA2927BC1091}"/>
    <hyperlink ref="B33" r:id="rId3" xr:uid="{0E14F6B5-E3A6-418A-97D7-5033372C5F58}"/>
    <hyperlink ref="B8" r:id="rId4" xr:uid="{58201FEE-EFBA-4A23-B154-352C884A4DF6}"/>
    <hyperlink ref="B10" r:id="rId5" xr:uid="{10144212-19DD-4CC1-8008-7311FF422F88}"/>
    <hyperlink ref="B41" r:id="rId6" xr:uid="{4570FAD7-9119-4EA9-B7F4-F5D5204F323F}"/>
    <hyperlink ref="B26" r:id="rId7" xr:uid="{0D19A697-D3A4-4419-8118-E8FDE6B9F737}"/>
    <hyperlink ref="B32" r:id="rId8" xr:uid="{6404C723-280B-4382-8042-40107985A37B}"/>
    <hyperlink ref="B51" r:id="rId9" xr:uid="{D209F0C4-BB91-4D26-9A30-9A6CE845FA77}"/>
    <hyperlink ref="B6" r:id="rId10" xr:uid="{1E98BE62-7890-41BD-A6B6-6CC5A5C86798}"/>
    <hyperlink ref="B9" r:id="rId11" xr:uid="{B30CBB2C-FFC0-4EAA-812E-32910447CBEF}"/>
    <hyperlink ref="B3" r:id="rId12" xr:uid="{644489EA-F9ED-43CE-9E23-E4EB2378CCE9}"/>
    <hyperlink ref="B67" r:id="rId13" xr:uid="{77803A1F-0715-413B-A676-4573E6299E02}"/>
    <hyperlink ref="B21" r:id="rId14" xr:uid="{A8DDE24F-9A22-46A5-9649-81C4861BB5EF}"/>
    <hyperlink ref="B64" r:id="rId15" xr:uid="{09FD8EAB-76B9-4235-B0CA-2B8EF84A2DC3}"/>
    <hyperlink ref="B23" r:id="rId16" xr:uid="{0E3D9094-6F1A-4E95-889D-0E676D6314C8}"/>
    <hyperlink ref="B7" r:id="rId17" xr:uid="{AA217F50-A638-4CE7-8B31-B9C0C85FA253}"/>
    <hyperlink ref="B39" r:id="rId18" xr:uid="{E02EB2E9-6FAC-45F5-AAC9-DBCB82290096}"/>
    <hyperlink ref="B49" r:id="rId19" xr:uid="{B662D5B2-594B-426E-97F1-0671CFD7B628}"/>
    <hyperlink ref="B22" r:id="rId20" xr:uid="{48253187-40CD-4F6E-BB11-1E96BEA45190}"/>
    <hyperlink ref="B61" r:id="rId21" xr:uid="{3DAD6813-F62B-406F-8C4D-C39BB7EACCC0}"/>
    <hyperlink ref="B68" r:id="rId22" xr:uid="{B7B8E216-BFE7-47E6-9C60-201AA952EFCF}"/>
    <hyperlink ref="B43" r:id="rId23" xr:uid="{72780760-C5A6-4245-947E-3269E11D82B9}"/>
    <hyperlink ref="B48" r:id="rId24" xr:uid="{17EA191F-F801-4D28-A125-FF737A023407}"/>
    <hyperlink ref="B40" r:id="rId25" xr:uid="{B63AFBB0-7763-4B5F-9E60-5366C2F8AC17}"/>
    <hyperlink ref="B25" r:id="rId26" xr:uid="{5BBEA712-7CA6-4EBB-BB8E-0C3F404DF814}"/>
    <hyperlink ref="B28" r:id="rId27" xr:uid="{97CAFE9A-C1EF-493E-9EEB-DA4E7938C911}"/>
    <hyperlink ref="B30" r:id="rId28" xr:uid="{A6C33167-91CF-4A4B-971E-BDF1D8B791DA}"/>
    <hyperlink ref="B31" r:id="rId29" xr:uid="{F6EEF5A4-B315-4FC4-B7BE-EB194E55FAFA}"/>
    <hyperlink ref="B34" r:id="rId30" xr:uid="{E47CAB56-FA35-4587-9FFB-2CF319D5E878}"/>
    <hyperlink ref="B35" r:id="rId31" xr:uid="{6618D4D5-21BA-43D0-A9DA-A3548EE10CA6}"/>
    <hyperlink ref="B36" r:id="rId32" xr:uid="{36C971FD-E86B-4EFF-ACBC-AC406A385ADC}"/>
    <hyperlink ref="B4" r:id="rId33" xr:uid="{F44B7A52-5F46-4DD3-AA0E-70342E984195}"/>
    <hyperlink ref="B46" r:id="rId34" xr:uid="{FB9B37EC-5551-4627-B3D8-BCC31FA7F4A5}"/>
    <hyperlink ref="B11" r:id="rId35" xr:uid="{8B8AB29A-912D-40F1-9B8B-86F0597CAFF6}"/>
    <hyperlink ref="B50" r:id="rId36" xr:uid="{8CB9C70D-626E-4621-97AC-A2A44156D8F6}"/>
    <hyperlink ref="B12" r:id="rId37" xr:uid="{4277292D-6556-4676-B98B-4E42FEBDE320}"/>
    <hyperlink ref="B66" r:id="rId38" xr:uid="{7C686A3D-1C9A-4B80-B4D9-AFFDD080F97B}"/>
    <hyperlink ref="B53" r:id="rId39" xr:uid="{85F3E605-6E03-4CA4-9658-378AF4517655}"/>
    <hyperlink ref="B59" r:id="rId40" xr:uid="{5CE7732F-A5AD-439C-ADC8-B0FE20687655}"/>
    <hyperlink ref="B60" r:id="rId41" location="APPA" xr:uid="{7D8AC0DD-5695-47B2-B0B2-8E379D456072}"/>
    <hyperlink ref="B37" r:id="rId42" xr:uid="{9BD635B1-1022-4524-83DF-6D28CC5C76DE}"/>
    <hyperlink ref="B58" r:id="rId43" xr:uid="{FD584B66-AD38-4699-A827-9B833D3FD6A5}"/>
    <hyperlink ref="B45" r:id="rId44" xr:uid="{CCCA2883-7943-46B9-89E0-6875D64D0645}"/>
    <hyperlink ref="B56" r:id="rId45" xr:uid="{456315ED-7F56-4874-AEF8-F1111D0A4D45}"/>
    <hyperlink ref="B55" r:id="rId46" xr:uid="{C3FC011B-3D30-4FF7-9FC2-E6E9A9894A82}"/>
    <hyperlink ref="B63" r:id="rId47" xr:uid="{3571D9E7-7C01-4DFC-B0C8-09414D5ED983}"/>
    <hyperlink ref="B17" r:id="rId48" xr:uid="{C0D61EE8-4B90-4390-9ACC-BE3C6CAF0278}"/>
    <hyperlink ref="B47" r:id="rId49" xr:uid="{3B5D247C-0B35-47BA-95CD-99FA43432D8B}"/>
    <hyperlink ref="B57" r:id="rId50" xr:uid="{3ACC0A73-0FA3-4A1D-B340-7F103E070D68}"/>
    <hyperlink ref="B13" r:id="rId51" xr:uid="{55C3028B-B162-4F8A-8E5B-25AA17791380}"/>
    <hyperlink ref="B27" r:id="rId52" xr:uid="{D3FF90C7-7AA3-46BF-85F8-DAC5A1A1BDB8}"/>
    <hyperlink ref="B44" r:id="rId53" xr:uid="{0AE2D206-8E52-4CD7-9BAD-6E13DCEE3D73}"/>
    <hyperlink ref="D64" r:id="rId54" xr:uid="{A2BDD264-2DC4-43F2-A8A1-76F2BD2F74FE}"/>
    <hyperlink ref="D61" r:id="rId55" xr:uid="{0AAB4589-F4D4-4803-8222-565805F330CB}"/>
    <hyperlink ref="B14" r:id="rId56" display="https://www.researchgate.net/profile/Charles-Boley/publication/388962587_Baker_et_al_STARFIRE_Commercial_Tokamak_Fusion_Power_Plant_Study_Vol_1_ANL_FPP-80-1_1980/links/67ae99128311ce680c61d208/Baker-et-al-STARFIRE-Commercial-Tokamak-Fusion-Power-Plant-Study-Vol-1-ANL-FPP-80-1-1980.pdf" xr:uid="{B3AA52C8-265A-4D15-8FAE-2418573223EC}"/>
    <hyperlink ref="D6" r:id="rId57" xr:uid="{E4000149-B108-46A4-AFF1-3ED2831AF130}"/>
    <hyperlink ref="B20" r:id="rId58" xr:uid="{DA6B6DAD-9EB5-4986-97C3-E20F73157FE3}"/>
  </hyperlinks>
  <pageMargins left="0.7" right="0.7" top="0.78740157499999996" bottom="0.78740157499999996" header="0.3" footer="0.3"/>
  <tableParts count="1">
    <tablePart r:id="rId5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A506B-024A-404C-AC61-59AFA2B51726}">
  <sheetPr>
    <tabColor theme="3" tint="0.59999389629810485"/>
  </sheetPr>
  <dimension ref="A1:U68"/>
  <sheetViews>
    <sheetView zoomScale="70" zoomScaleNormal="70" workbookViewId="0">
      <selection activeCell="D1" sqref="D1"/>
    </sheetView>
  </sheetViews>
  <sheetFormatPr baseColWidth="10" defaultColWidth="11.41015625" defaultRowHeight="12.9"/>
  <cols>
    <col min="21" max="21" width="60" customWidth="1"/>
  </cols>
  <sheetData>
    <row r="1" spans="1:20">
      <c r="A1" t="s">
        <v>12</v>
      </c>
      <c r="B1" t="s">
        <v>619</v>
      </c>
      <c r="C1" t="s">
        <v>620</v>
      </c>
      <c r="D1" t="s">
        <v>621</v>
      </c>
      <c r="E1" t="s">
        <v>622</v>
      </c>
      <c r="F1" t="s">
        <v>623</v>
      </c>
      <c r="G1" t="s">
        <v>624</v>
      </c>
    </row>
    <row r="2" spans="1:20">
      <c r="A2" s="88">
        <v>1965</v>
      </c>
      <c r="B2" s="89">
        <v>31.5</v>
      </c>
      <c r="C2" s="94"/>
      <c r="D2" s="99">
        <v>3.9943</v>
      </c>
      <c r="E2" s="98">
        <f t="shared" ref="E2:E14" si="0">IFERROR(IF($A2&lt;1999,(1/VALUE($D2))*1.95583,$C2),"")</f>
        <v>0.4896552587437098</v>
      </c>
      <c r="F2" s="6">
        <f t="shared" ref="F2:F33" si="1" xml:space="preserve"> _xlfn.XLOOKUP(2018,$A:$A,$B:$B) / $B2</f>
        <v>7.9716507936507934</v>
      </c>
      <c r="G2">
        <f t="shared" ref="G2:G13" si="2" xml:space="preserve"> $E2 * $F2</f>
        <v>3.9033607319795789</v>
      </c>
    </row>
    <row r="3" spans="1:20">
      <c r="A3" s="88">
        <v>1966</v>
      </c>
      <c r="B3" s="89">
        <v>32.4</v>
      </c>
      <c r="C3" s="94"/>
      <c r="D3" s="99">
        <v>3.9982000000000002</v>
      </c>
      <c r="E3" s="98">
        <f t="shared" si="0"/>
        <v>0.48917762993346997</v>
      </c>
      <c r="F3" s="6">
        <f t="shared" si="1"/>
        <v>7.7502160493827166</v>
      </c>
      <c r="G3">
        <f t="shared" si="2"/>
        <v>3.7912323185093784</v>
      </c>
    </row>
    <row r="4" spans="1:20">
      <c r="A4" s="88">
        <v>1967</v>
      </c>
      <c r="B4" s="89">
        <v>33.4</v>
      </c>
      <c r="C4" s="94"/>
      <c r="D4" s="99">
        <v>3.9866000000000001</v>
      </c>
      <c r="E4" s="98">
        <f t="shared" si="0"/>
        <v>0.49060101339487278</v>
      </c>
      <c r="F4" s="6">
        <f t="shared" si="1"/>
        <v>7.5181736526946112</v>
      </c>
      <c r="G4">
        <f t="shared" si="2"/>
        <v>3.6884236128906087</v>
      </c>
    </row>
    <row r="5" spans="1:20">
      <c r="A5" s="88">
        <v>1968</v>
      </c>
      <c r="B5" s="89">
        <v>34.799999999999997</v>
      </c>
      <c r="C5" s="94"/>
      <c r="D5" s="99">
        <v>3.9923000000000002</v>
      </c>
      <c r="E5" s="98">
        <f t="shared" si="0"/>
        <v>0.48990055857525733</v>
      </c>
      <c r="F5" s="6">
        <f t="shared" si="1"/>
        <v>7.2157183908045983</v>
      </c>
      <c r="G5">
        <f t="shared" si="2"/>
        <v>3.5349844701769295</v>
      </c>
    </row>
    <row r="6" spans="1:20">
      <c r="A6" s="88">
        <v>1969</v>
      </c>
      <c r="B6" s="89">
        <v>36.700000000000003</v>
      </c>
      <c r="C6" s="94"/>
      <c r="D6" s="99">
        <v>3.9243999999999999</v>
      </c>
      <c r="E6" s="98">
        <f t="shared" si="0"/>
        <v>0.49837682193456329</v>
      </c>
      <c r="F6" s="6">
        <f t="shared" si="1"/>
        <v>6.8421525885558578</v>
      </c>
      <c r="G6">
        <f t="shared" si="2"/>
        <v>3.4099702622758139</v>
      </c>
    </row>
    <row r="7" spans="1:20">
      <c r="A7" s="88">
        <v>1970</v>
      </c>
      <c r="B7" s="89">
        <v>38.799999999999997</v>
      </c>
      <c r="C7" s="94"/>
      <c r="D7" s="99">
        <v>3.6463000000000001</v>
      </c>
      <c r="E7" s="98">
        <f t="shared" si="0"/>
        <v>0.53638757096234535</v>
      </c>
      <c r="F7" s="6">
        <f t="shared" si="1"/>
        <v>6.4718298969072166</v>
      </c>
      <c r="G7">
        <f t="shared" si="2"/>
        <v>3.4714091180835478</v>
      </c>
    </row>
    <row r="8" spans="1:20">
      <c r="A8" s="88">
        <v>1971</v>
      </c>
      <c r="B8" s="89">
        <v>40.5</v>
      </c>
      <c r="C8" s="94"/>
      <c r="D8" s="99">
        <v>3.4794999999999998</v>
      </c>
      <c r="E8" s="98">
        <f t="shared" si="0"/>
        <v>0.56210087656272456</v>
      </c>
      <c r="F8" s="6">
        <f t="shared" si="1"/>
        <v>6.2001728395061733</v>
      </c>
      <c r="G8">
        <f t="shared" si="2"/>
        <v>3.4851225879268171</v>
      </c>
    </row>
    <row r="9" spans="1:20">
      <c r="A9" s="88">
        <v>1972</v>
      </c>
      <c r="B9" s="89">
        <v>41.8</v>
      </c>
      <c r="C9" s="94"/>
      <c r="D9" s="99">
        <v>3.1888999999999998</v>
      </c>
      <c r="E9" s="98">
        <f t="shared" si="0"/>
        <v>0.61332434381761747</v>
      </c>
      <c r="F9" s="6">
        <f t="shared" si="1"/>
        <v>6.0073444976076562</v>
      </c>
      <c r="G9">
        <f t="shared" si="2"/>
        <v>3.6844506220815907</v>
      </c>
    </row>
    <row r="10" spans="1:20">
      <c r="A10" s="88">
        <v>1973</v>
      </c>
      <c r="B10" s="89">
        <v>44.4</v>
      </c>
      <c r="C10" s="94"/>
      <c r="D10" s="99">
        <v>2.6589999999999998</v>
      </c>
      <c r="E10" s="98">
        <f t="shared" si="0"/>
        <v>0.73555095900714562</v>
      </c>
      <c r="F10" s="6">
        <f t="shared" si="1"/>
        <v>5.6555630630630631</v>
      </c>
      <c r="G10">
        <f t="shared" si="2"/>
        <v>4.1599548347614261</v>
      </c>
    </row>
    <row r="11" spans="1:20">
      <c r="A11" s="88">
        <v>1974</v>
      </c>
      <c r="B11" s="89">
        <v>49.3</v>
      </c>
      <c r="C11" s="94"/>
      <c r="D11" s="99">
        <v>2.5897000000000001</v>
      </c>
      <c r="E11" s="98">
        <f t="shared" si="0"/>
        <v>0.75523419701123673</v>
      </c>
      <c r="F11" s="6">
        <f t="shared" si="1"/>
        <v>5.0934482758620696</v>
      </c>
      <c r="G11">
        <f t="shared" si="2"/>
        <v>3.8467463186389583</v>
      </c>
    </row>
    <row r="12" spans="1:20">
      <c r="A12" s="88">
        <v>1975</v>
      </c>
      <c r="B12" s="89">
        <v>53.8</v>
      </c>
      <c r="C12" s="94"/>
      <c r="D12" s="99">
        <v>2.4630999999999998</v>
      </c>
      <c r="E12" s="98">
        <f t="shared" si="0"/>
        <v>0.79405221062888232</v>
      </c>
      <c r="F12" s="6">
        <f t="shared" si="1"/>
        <v>4.6674163568773235</v>
      </c>
      <c r="G12">
        <f t="shared" si="2"/>
        <v>3.7061722761038429</v>
      </c>
    </row>
    <row r="13" spans="1:20">
      <c r="A13" s="88">
        <v>1976</v>
      </c>
      <c r="B13" s="89">
        <v>56.9</v>
      </c>
      <c r="C13" s="94"/>
      <c r="D13" s="99">
        <v>2.5173000000000001</v>
      </c>
      <c r="E13" s="98">
        <f t="shared" si="0"/>
        <v>0.77695546816033056</v>
      </c>
      <c r="F13" s="6">
        <f t="shared" si="1"/>
        <v>4.4131282952548334</v>
      </c>
      <c r="G13">
        <f t="shared" si="2"/>
        <v>3.4288041606913207</v>
      </c>
    </row>
    <row r="14" spans="1:20" ht="13.2" thickBot="1">
      <c r="A14" s="88">
        <v>1977</v>
      </c>
      <c r="B14" s="89">
        <v>60.6</v>
      </c>
      <c r="C14" s="94"/>
      <c r="D14" s="99">
        <v>2.3216999999999999</v>
      </c>
      <c r="E14" s="98">
        <f t="shared" si="0"/>
        <v>0.8424128871085842</v>
      </c>
      <c r="F14" s="6">
        <f t="shared" si="1"/>
        <v>4.1436798679867985</v>
      </c>
      <c r="G14">
        <f t="shared" ref="G14:G61" si="3" xml:space="preserve"> $E14 * $F14</f>
        <v>3.490689320844476</v>
      </c>
    </row>
    <row r="15" spans="1:20" ht="20.65" customHeight="1">
      <c r="A15" s="88">
        <v>1978</v>
      </c>
      <c r="B15" s="89">
        <v>65.2</v>
      </c>
      <c r="C15" s="90"/>
      <c r="D15" s="99">
        <v>2.0084</v>
      </c>
      <c r="E15" s="6">
        <f t="shared" ref="E15:E61" si="4">IFERROR(IF($A15&lt;1999,(1/VALUE($D15))*1.95583,$C15),"")</f>
        <v>0.97382493527185809</v>
      </c>
      <c r="F15" s="6">
        <f t="shared" si="1"/>
        <v>3.8513343558282207</v>
      </c>
      <c r="G15">
        <f t="shared" si="3"/>
        <v>3.7505254297747004</v>
      </c>
      <c r="I15" s="496" t="s">
        <v>625</v>
      </c>
      <c r="J15" s="497"/>
      <c r="K15" s="497"/>
      <c r="L15" s="497"/>
      <c r="M15" s="497"/>
      <c r="N15" s="497"/>
      <c r="O15" s="497"/>
      <c r="P15" s="497"/>
      <c r="Q15" s="497"/>
      <c r="R15" s="497"/>
      <c r="S15" s="498"/>
      <c r="T15" s="96"/>
    </row>
    <row r="16" spans="1:20">
      <c r="A16" s="88">
        <v>1979</v>
      </c>
      <c r="B16" s="89">
        <v>72.599999999999994</v>
      </c>
      <c r="C16" s="90"/>
      <c r="D16" s="99">
        <v>1.833</v>
      </c>
      <c r="E16" s="6">
        <f t="shared" si="4"/>
        <v>1.0670103655210037</v>
      </c>
      <c r="F16" s="6">
        <f t="shared" si="1"/>
        <v>3.4587741046831959</v>
      </c>
      <c r="G16">
        <f t="shared" si="3"/>
        <v>3.6905478216925993</v>
      </c>
      <c r="I16" s="499"/>
      <c r="J16" s="456"/>
      <c r="K16" s="456"/>
      <c r="L16" s="456"/>
      <c r="M16" s="456"/>
      <c r="N16" s="456"/>
      <c r="O16" s="456"/>
      <c r="P16" s="456"/>
      <c r="Q16" s="456"/>
      <c r="R16" s="456"/>
      <c r="S16" s="500"/>
      <c r="T16" s="96"/>
    </row>
    <row r="17" spans="1:21">
      <c r="A17" s="88">
        <v>1980</v>
      </c>
      <c r="B17" s="89">
        <v>82.4</v>
      </c>
      <c r="C17" s="90"/>
      <c r="D17" s="99">
        <v>1.8158000000000001</v>
      </c>
      <c r="E17" s="6">
        <f t="shared" si="4"/>
        <v>1.0771175239563826</v>
      </c>
      <c r="F17" s="6">
        <f t="shared" si="1"/>
        <v>3.0474150485436891</v>
      </c>
      <c r="G17">
        <f t="shared" si="3"/>
        <v>3.2824241515547978</v>
      </c>
      <c r="I17" s="499"/>
      <c r="J17" s="456"/>
      <c r="K17" s="456"/>
      <c r="L17" s="456"/>
      <c r="M17" s="456"/>
      <c r="N17" s="456"/>
      <c r="O17" s="456"/>
      <c r="P17" s="456"/>
      <c r="Q17" s="456"/>
      <c r="R17" s="456"/>
      <c r="S17" s="500"/>
      <c r="T17" s="96"/>
      <c r="U17" s="86"/>
    </row>
    <row r="18" spans="1:21">
      <c r="A18" s="88">
        <v>1981</v>
      </c>
      <c r="B18" s="89">
        <v>90.9</v>
      </c>
      <c r="C18" s="90"/>
      <c r="D18" s="99">
        <v>2.2610000000000001</v>
      </c>
      <c r="E18" s="6">
        <f t="shared" si="4"/>
        <v>0.86502874834144183</v>
      </c>
      <c r="F18" s="6">
        <f t="shared" si="1"/>
        <v>2.7624532453245321</v>
      </c>
      <c r="G18">
        <f t="shared" si="3"/>
        <v>2.3896014731548338</v>
      </c>
      <c r="I18" s="499"/>
      <c r="J18" s="456"/>
      <c r="K18" s="456"/>
      <c r="L18" s="456"/>
      <c r="M18" s="456"/>
      <c r="N18" s="456"/>
      <c r="O18" s="456"/>
      <c r="P18" s="456"/>
      <c r="Q18" s="456"/>
      <c r="R18" s="456"/>
      <c r="S18" s="500"/>
      <c r="T18" s="96"/>
      <c r="U18" s="87"/>
    </row>
    <row r="19" spans="1:21">
      <c r="A19" s="88">
        <v>1982</v>
      </c>
      <c r="B19" s="89">
        <v>96.5</v>
      </c>
      <c r="C19" s="90"/>
      <c r="D19" s="99">
        <v>2.4287000000000001</v>
      </c>
      <c r="E19" s="6">
        <f t="shared" si="4"/>
        <v>0.80529913122246466</v>
      </c>
      <c r="F19" s="6">
        <f t="shared" si="1"/>
        <v>2.6021450777202073</v>
      </c>
      <c r="G19">
        <f t="shared" si="3"/>
        <v>2.0955051704028955</v>
      </c>
      <c r="I19" s="499"/>
      <c r="J19" s="456"/>
      <c r="K19" s="456"/>
      <c r="L19" s="456"/>
      <c r="M19" s="456"/>
      <c r="N19" s="456"/>
      <c r="O19" s="456"/>
      <c r="P19" s="456"/>
      <c r="Q19" s="456"/>
      <c r="R19" s="456"/>
      <c r="S19" s="500"/>
      <c r="T19" s="96"/>
    </row>
    <row r="20" spans="1:21">
      <c r="A20" s="88">
        <v>1983</v>
      </c>
      <c r="B20" s="89">
        <v>99.6</v>
      </c>
      <c r="C20" s="90"/>
      <c r="D20" s="99">
        <v>2.5552000000000001</v>
      </c>
      <c r="E20" s="6">
        <f t="shared" si="4"/>
        <v>0.76543127739511585</v>
      </c>
      <c r="F20" s="6">
        <f t="shared" si="1"/>
        <v>2.5211546184738958</v>
      </c>
      <c r="G20">
        <f t="shared" si="3"/>
        <v>1.92977060012907</v>
      </c>
      <c r="I20" s="499"/>
      <c r="J20" s="456"/>
      <c r="K20" s="456"/>
      <c r="L20" s="456"/>
      <c r="M20" s="456"/>
      <c r="N20" s="456"/>
      <c r="O20" s="456"/>
      <c r="P20" s="456"/>
      <c r="Q20" s="456"/>
      <c r="R20" s="456"/>
      <c r="S20" s="500"/>
      <c r="T20" s="96"/>
    </row>
    <row r="21" spans="1:21">
      <c r="A21" s="88">
        <v>1984</v>
      </c>
      <c r="B21" s="89">
        <v>103.9</v>
      </c>
      <c r="C21" s="90"/>
      <c r="D21" s="99">
        <v>2.8456000000000001</v>
      </c>
      <c r="E21" s="6">
        <f t="shared" si="4"/>
        <v>0.68731726173741914</v>
      </c>
      <c r="F21" s="6">
        <f t="shared" si="1"/>
        <v>2.4168142444658325</v>
      </c>
      <c r="G21">
        <f t="shared" si="3"/>
        <v>1.6611181486342455</v>
      </c>
      <c r="I21" s="499"/>
      <c r="J21" s="456"/>
      <c r="K21" s="456"/>
      <c r="L21" s="456"/>
      <c r="M21" s="456"/>
      <c r="N21" s="456"/>
      <c r="O21" s="456"/>
      <c r="P21" s="456"/>
      <c r="Q21" s="456"/>
      <c r="R21" s="456"/>
      <c r="S21" s="500"/>
      <c r="T21" s="96"/>
    </row>
    <row r="22" spans="1:21">
      <c r="A22" s="88">
        <v>1985</v>
      </c>
      <c r="B22" s="89">
        <v>107.6</v>
      </c>
      <c r="C22" s="90"/>
      <c r="D22" s="99">
        <v>2.9424000000000001</v>
      </c>
      <c r="E22" s="6">
        <f t="shared" si="4"/>
        <v>0.6647056824361065</v>
      </c>
      <c r="F22" s="6">
        <f t="shared" si="1"/>
        <v>2.3337081784386617</v>
      </c>
      <c r="G22">
        <f t="shared" si="3"/>
        <v>1.5512290873557937</v>
      </c>
      <c r="I22" s="499"/>
      <c r="J22" s="456"/>
      <c r="K22" s="456"/>
      <c r="L22" s="456"/>
      <c r="M22" s="456"/>
      <c r="N22" s="456"/>
      <c r="O22" s="456"/>
      <c r="P22" s="456"/>
      <c r="Q22" s="456"/>
      <c r="R22" s="456"/>
      <c r="S22" s="500"/>
      <c r="T22" s="96"/>
    </row>
    <row r="23" spans="1:21">
      <c r="A23" s="88">
        <v>1986</v>
      </c>
      <c r="B23" s="89">
        <v>109.6</v>
      </c>
      <c r="C23" s="24"/>
      <c r="D23" s="99">
        <v>2.1707999999999998</v>
      </c>
      <c r="E23" s="6">
        <f t="shared" si="4"/>
        <v>0.90097199189238986</v>
      </c>
      <c r="F23" s="6">
        <f t="shared" si="1"/>
        <v>2.2911222627737229</v>
      </c>
      <c r="G23">
        <f t="shared" si="3"/>
        <v>2.0642369887602405</v>
      </c>
      <c r="I23" s="499"/>
      <c r="J23" s="456"/>
      <c r="K23" s="456"/>
      <c r="L23" s="456"/>
      <c r="M23" s="456"/>
      <c r="N23" s="456"/>
      <c r="O23" s="456"/>
      <c r="P23" s="456"/>
      <c r="Q23" s="456"/>
      <c r="R23" s="456"/>
      <c r="S23" s="500"/>
      <c r="T23" s="96"/>
    </row>
    <row r="24" spans="1:21">
      <c r="A24" s="88">
        <v>1987</v>
      </c>
      <c r="B24" s="89">
        <v>113.6</v>
      </c>
      <c r="C24" s="90"/>
      <c r="D24" s="99">
        <v>1.7982</v>
      </c>
      <c r="E24" s="6">
        <f t="shared" si="4"/>
        <v>1.0876598821043266</v>
      </c>
      <c r="F24" s="6">
        <f t="shared" si="1"/>
        <v>2.2104489436619721</v>
      </c>
      <c r="G24">
        <f t="shared" si="3"/>
        <v>2.4042166374610141</v>
      </c>
      <c r="I24" s="499"/>
      <c r="J24" s="456"/>
      <c r="K24" s="456"/>
      <c r="L24" s="456"/>
      <c r="M24" s="456"/>
      <c r="N24" s="456"/>
      <c r="O24" s="456"/>
      <c r="P24" s="456"/>
      <c r="Q24" s="456"/>
      <c r="R24" s="456"/>
      <c r="S24" s="500"/>
      <c r="T24" s="96"/>
    </row>
    <row r="25" spans="1:21">
      <c r="A25" s="88">
        <v>1988</v>
      </c>
      <c r="B25" s="89">
        <v>118.3</v>
      </c>
      <c r="C25" s="90"/>
      <c r="D25" s="99">
        <v>1.7584</v>
      </c>
      <c r="E25" s="6">
        <f t="shared" si="4"/>
        <v>1.1122782074613284</v>
      </c>
      <c r="F25" s="6">
        <f t="shared" si="1"/>
        <v>2.1226289095519864</v>
      </c>
      <c r="G25">
        <f t="shared" si="3"/>
        <v>2.3609538786220776</v>
      </c>
      <c r="I25" s="499"/>
      <c r="J25" s="456"/>
      <c r="K25" s="456"/>
      <c r="L25" s="456"/>
      <c r="M25" s="456"/>
      <c r="N25" s="456"/>
      <c r="O25" s="456"/>
      <c r="P25" s="456"/>
      <c r="Q25" s="456"/>
      <c r="R25" s="456"/>
      <c r="S25" s="500"/>
      <c r="T25" s="96"/>
    </row>
    <row r="26" spans="1:21">
      <c r="A26" s="88">
        <v>1989</v>
      </c>
      <c r="B26" s="89">
        <v>124</v>
      </c>
      <c r="C26" s="90"/>
      <c r="D26" s="99">
        <v>1.8813</v>
      </c>
      <c r="E26" s="6">
        <f t="shared" si="4"/>
        <v>1.0396162228246426</v>
      </c>
      <c r="F26" s="6">
        <f t="shared" si="1"/>
        <v>2.0250564516129033</v>
      </c>
      <c r="G26">
        <f t="shared" si="3"/>
        <v>2.1052815392324802</v>
      </c>
      <c r="I26" s="499"/>
      <c r="J26" s="456"/>
      <c r="K26" s="456"/>
      <c r="L26" s="456"/>
      <c r="M26" s="456"/>
      <c r="N26" s="456"/>
      <c r="O26" s="456"/>
      <c r="P26" s="456"/>
      <c r="Q26" s="456"/>
      <c r="R26" s="456"/>
      <c r="S26" s="500"/>
      <c r="T26" s="96"/>
    </row>
    <row r="27" spans="1:21">
      <c r="A27" s="88">
        <v>1990</v>
      </c>
      <c r="B27" s="89">
        <v>130.69999999999999</v>
      </c>
      <c r="C27" s="90"/>
      <c r="D27" s="99">
        <v>1.6161000000000001</v>
      </c>
      <c r="E27" s="6">
        <f t="shared" si="4"/>
        <v>1.2102159519831692</v>
      </c>
      <c r="F27" s="6">
        <f t="shared" si="1"/>
        <v>1.9212471308339711</v>
      </c>
      <c r="G27">
        <f t="shared" si="3"/>
        <v>2.3251239254371669</v>
      </c>
      <c r="I27" s="499"/>
      <c r="J27" s="456"/>
      <c r="K27" s="456"/>
      <c r="L27" s="456"/>
      <c r="M27" s="456"/>
      <c r="N27" s="456"/>
      <c r="O27" s="456"/>
      <c r="P27" s="456"/>
      <c r="Q27" s="456"/>
      <c r="R27" s="456"/>
      <c r="S27" s="500"/>
      <c r="T27" s="96"/>
    </row>
    <row r="28" spans="1:21">
      <c r="A28" s="88">
        <v>1991</v>
      </c>
      <c r="B28" s="89">
        <v>136.19999999999999</v>
      </c>
      <c r="C28" s="90"/>
      <c r="D28" s="99">
        <v>1.6612</v>
      </c>
      <c r="E28" s="6">
        <f t="shared" si="4"/>
        <v>1.1773597399470264</v>
      </c>
      <c r="F28" s="6">
        <f t="shared" si="1"/>
        <v>1.8436637298091043</v>
      </c>
      <c r="G28">
        <f t="shared" si="3"/>
        <v>2.1706554494778119</v>
      </c>
      <c r="I28" s="499"/>
      <c r="J28" s="456"/>
      <c r="K28" s="456"/>
      <c r="L28" s="456"/>
      <c r="M28" s="456"/>
      <c r="N28" s="456"/>
      <c r="O28" s="456"/>
      <c r="P28" s="456"/>
      <c r="Q28" s="456"/>
      <c r="R28" s="456"/>
      <c r="S28" s="500"/>
      <c r="T28" s="96"/>
    </row>
    <row r="29" spans="1:21">
      <c r="A29" s="88">
        <v>1992</v>
      </c>
      <c r="B29" s="89">
        <v>140.30000000000001</v>
      </c>
      <c r="C29" s="90"/>
      <c r="D29" s="99">
        <v>1.5595000000000001</v>
      </c>
      <c r="E29" s="6">
        <f t="shared" si="4"/>
        <v>1.254139147162552</v>
      </c>
      <c r="F29" s="6">
        <f t="shared" si="1"/>
        <v>1.7897861724875266</v>
      </c>
      <c r="G29">
        <f t="shared" si="3"/>
        <v>2.2446409039668347</v>
      </c>
      <c r="I29" s="499"/>
      <c r="J29" s="456"/>
      <c r="K29" s="456"/>
      <c r="L29" s="456"/>
      <c r="M29" s="456"/>
      <c r="N29" s="456"/>
      <c r="O29" s="456"/>
      <c r="P29" s="456"/>
      <c r="Q29" s="456"/>
      <c r="R29" s="456"/>
      <c r="S29" s="500"/>
      <c r="T29" s="96"/>
    </row>
    <row r="30" spans="1:21">
      <c r="A30" s="88">
        <v>1993</v>
      </c>
      <c r="B30" s="89">
        <v>144.5</v>
      </c>
      <c r="C30" s="90"/>
      <c r="D30" s="99">
        <v>1.6544000000000001</v>
      </c>
      <c r="E30" s="6">
        <f t="shared" si="4"/>
        <v>1.1821989845261121</v>
      </c>
      <c r="F30" s="6">
        <f t="shared" si="1"/>
        <v>1.7377647058823529</v>
      </c>
      <c r="G30">
        <f t="shared" si="3"/>
        <v>2.0543836706394352</v>
      </c>
      <c r="I30" s="499"/>
      <c r="J30" s="456"/>
      <c r="K30" s="456"/>
      <c r="L30" s="456"/>
      <c r="M30" s="456"/>
      <c r="N30" s="456"/>
      <c r="O30" s="456"/>
      <c r="P30" s="456"/>
      <c r="Q30" s="456"/>
      <c r="R30" s="456"/>
      <c r="S30" s="500"/>
      <c r="T30" s="96"/>
    </row>
    <row r="31" spans="1:21">
      <c r="A31" s="88">
        <v>1994</v>
      </c>
      <c r="B31" s="89">
        <v>148.19999999999999</v>
      </c>
      <c r="C31" s="90"/>
      <c r="D31" s="99">
        <v>1.6217999999999999</v>
      </c>
      <c r="E31" s="6">
        <f t="shared" si="4"/>
        <v>1.2059625107904799</v>
      </c>
      <c r="F31" s="6">
        <f t="shared" si="1"/>
        <v>1.6943792172739542</v>
      </c>
      <c r="G31">
        <f t="shared" si="3"/>
        <v>2.0433578150949061</v>
      </c>
      <c r="I31" s="499"/>
      <c r="J31" s="456"/>
      <c r="K31" s="456"/>
      <c r="L31" s="456"/>
      <c r="M31" s="456"/>
      <c r="N31" s="456"/>
      <c r="O31" s="456"/>
      <c r="P31" s="456"/>
      <c r="Q31" s="456"/>
      <c r="R31" s="456"/>
      <c r="S31" s="500"/>
      <c r="T31" s="96"/>
    </row>
    <row r="32" spans="1:21">
      <c r="A32" s="88">
        <v>1995</v>
      </c>
      <c r="B32" s="89">
        <v>152.4</v>
      </c>
      <c r="C32" s="90"/>
      <c r="D32" s="99">
        <v>1.4338</v>
      </c>
      <c r="E32" s="6">
        <f t="shared" si="4"/>
        <v>1.3640884363230577</v>
      </c>
      <c r="F32" s="6">
        <f t="shared" si="1"/>
        <v>1.6476837270341207</v>
      </c>
      <c r="G32">
        <f t="shared" si="3"/>
        <v>2.2475863187649217</v>
      </c>
      <c r="I32" s="499"/>
      <c r="J32" s="456"/>
      <c r="K32" s="456"/>
      <c r="L32" s="456"/>
      <c r="M32" s="456"/>
      <c r="N32" s="456"/>
      <c r="O32" s="456"/>
      <c r="P32" s="456"/>
      <c r="Q32" s="456"/>
      <c r="R32" s="456"/>
      <c r="S32" s="500"/>
      <c r="T32" s="96"/>
    </row>
    <row r="33" spans="1:20">
      <c r="A33" s="88">
        <v>1996</v>
      </c>
      <c r="B33" s="89">
        <v>156.9</v>
      </c>
      <c r="C33" s="90"/>
      <c r="D33" s="99">
        <v>1.5037</v>
      </c>
      <c r="E33" s="6">
        <f t="shared" si="4"/>
        <v>1.3006783267939084</v>
      </c>
      <c r="F33" s="6">
        <f t="shared" si="1"/>
        <v>1.6004270235818991</v>
      </c>
      <c r="G33">
        <f t="shared" si="3"/>
        <v>2.0816407431882595</v>
      </c>
      <c r="I33" s="499"/>
      <c r="J33" s="456"/>
      <c r="K33" s="456"/>
      <c r="L33" s="456"/>
      <c r="M33" s="456"/>
      <c r="N33" s="456"/>
      <c r="O33" s="456"/>
      <c r="P33" s="456"/>
      <c r="Q33" s="456"/>
      <c r="R33" s="456"/>
      <c r="S33" s="500"/>
      <c r="T33" s="96"/>
    </row>
    <row r="34" spans="1:20">
      <c r="A34" s="88">
        <v>1997</v>
      </c>
      <c r="B34" s="89">
        <v>160.5</v>
      </c>
      <c r="C34" s="90"/>
      <c r="D34" s="99">
        <v>1.7347999999999999</v>
      </c>
      <c r="E34" s="6">
        <f t="shared" si="4"/>
        <v>1.1274094996541388</v>
      </c>
      <c r="F34" s="6">
        <f t="shared" ref="F34:F61" si="5" xml:space="preserve"> _xlfn.XLOOKUP(2018,$A:$A,$B:$B) / $B34</f>
        <v>1.5645295950155764</v>
      </c>
      <c r="G34">
        <f t="shared" si="3"/>
        <v>1.7638655279106035</v>
      </c>
      <c r="I34" s="499"/>
      <c r="J34" s="456"/>
      <c r="K34" s="456"/>
      <c r="L34" s="456"/>
      <c r="M34" s="456"/>
      <c r="N34" s="456"/>
      <c r="O34" s="456"/>
      <c r="P34" s="456"/>
      <c r="Q34" s="456"/>
      <c r="R34" s="456"/>
      <c r="S34" s="500"/>
      <c r="T34" s="96"/>
    </row>
    <row r="35" spans="1:20">
      <c r="A35" s="88">
        <v>1998</v>
      </c>
      <c r="B35" s="89">
        <v>163</v>
      </c>
      <c r="C35" s="90"/>
      <c r="D35" s="99">
        <v>1.7592000000000001</v>
      </c>
      <c r="E35" s="6">
        <f t="shared" si="4"/>
        <v>1.1117723965438835</v>
      </c>
      <c r="F35" s="6">
        <f t="shared" si="5"/>
        <v>1.5405337423312884</v>
      </c>
      <c r="G35">
        <f t="shared" si="3"/>
        <v>1.712722890668374</v>
      </c>
      <c r="I35" s="499"/>
      <c r="J35" s="456"/>
      <c r="K35" s="456"/>
      <c r="L35" s="456"/>
      <c r="M35" s="456"/>
      <c r="N35" s="456"/>
      <c r="O35" s="456"/>
      <c r="P35" s="456"/>
      <c r="Q35" s="456"/>
      <c r="R35" s="456"/>
      <c r="S35" s="500"/>
      <c r="T35" s="96"/>
    </row>
    <row r="36" spans="1:20">
      <c r="A36" s="88">
        <v>1999</v>
      </c>
      <c r="B36" s="89">
        <v>166.6</v>
      </c>
      <c r="C36" s="92">
        <v>1.0652999999999999</v>
      </c>
      <c r="D36" s="95"/>
      <c r="E36" s="6">
        <f t="shared" si="4"/>
        <v>1.0652999999999999</v>
      </c>
      <c r="F36" s="6">
        <f t="shared" si="5"/>
        <v>1.5072448979591837</v>
      </c>
      <c r="G36">
        <f t="shared" si="3"/>
        <v>1.6056679897959183</v>
      </c>
      <c r="I36" s="499"/>
      <c r="J36" s="456"/>
      <c r="K36" s="456"/>
      <c r="L36" s="456"/>
      <c r="M36" s="456"/>
      <c r="N36" s="456"/>
      <c r="O36" s="456"/>
      <c r="P36" s="456"/>
      <c r="Q36" s="456"/>
      <c r="R36" s="456"/>
      <c r="S36" s="500"/>
      <c r="T36" s="96"/>
    </row>
    <row r="37" spans="1:20">
      <c r="A37" s="88">
        <v>2000</v>
      </c>
      <c r="B37" s="89">
        <v>172.2</v>
      </c>
      <c r="C37" s="92">
        <v>0.92320000000000002</v>
      </c>
      <c r="D37" s="91"/>
      <c r="E37" s="6">
        <f t="shared" si="4"/>
        <v>0.92320000000000002</v>
      </c>
      <c r="F37" s="6">
        <f t="shared" si="5"/>
        <v>1.4582288037166087</v>
      </c>
      <c r="G37">
        <f t="shared" si="3"/>
        <v>1.3462368315911732</v>
      </c>
      <c r="I37" s="499"/>
      <c r="J37" s="456"/>
      <c r="K37" s="456"/>
      <c r="L37" s="456"/>
      <c r="M37" s="456"/>
      <c r="N37" s="456"/>
      <c r="O37" s="456"/>
      <c r="P37" s="456"/>
      <c r="Q37" s="456"/>
      <c r="R37" s="456"/>
      <c r="S37" s="500"/>
      <c r="T37" s="96"/>
    </row>
    <row r="38" spans="1:20">
      <c r="A38" s="88">
        <v>2001</v>
      </c>
      <c r="B38" s="89">
        <v>177.1</v>
      </c>
      <c r="C38" s="92">
        <v>0.8952</v>
      </c>
      <c r="D38" s="92"/>
      <c r="E38" s="6">
        <f t="shared" si="4"/>
        <v>0.8952</v>
      </c>
      <c r="F38" s="6">
        <f t="shared" si="5"/>
        <v>1.4178825522303784</v>
      </c>
      <c r="G38">
        <f t="shared" si="3"/>
        <v>1.2692884607566348</v>
      </c>
      <c r="I38" s="499"/>
      <c r="J38" s="456"/>
      <c r="K38" s="456"/>
      <c r="L38" s="456"/>
      <c r="M38" s="456"/>
      <c r="N38" s="456"/>
      <c r="O38" s="456"/>
      <c r="P38" s="456"/>
      <c r="Q38" s="456"/>
      <c r="R38" s="456"/>
      <c r="S38" s="500"/>
      <c r="T38" s="96"/>
    </row>
    <row r="39" spans="1:20" ht="13.2" thickBot="1">
      <c r="A39" s="88">
        <v>2002</v>
      </c>
      <c r="B39" s="89">
        <v>179.9</v>
      </c>
      <c r="C39" s="92">
        <v>0.94540000000000002</v>
      </c>
      <c r="D39" s="92"/>
      <c r="E39" s="6">
        <f t="shared" si="4"/>
        <v>0.94540000000000002</v>
      </c>
      <c r="F39" s="6">
        <f t="shared" si="5"/>
        <v>1.3958143413007227</v>
      </c>
      <c r="G39">
        <f t="shared" si="3"/>
        <v>1.3196028782657032</v>
      </c>
      <c r="I39" s="501"/>
      <c r="J39" s="502"/>
      <c r="K39" s="502"/>
      <c r="L39" s="502"/>
      <c r="M39" s="502"/>
      <c r="N39" s="502"/>
      <c r="O39" s="502"/>
      <c r="P39" s="502"/>
      <c r="Q39" s="502"/>
      <c r="R39" s="502"/>
      <c r="S39" s="503"/>
      <c r="T39" s="96"/>
    </row>
    <row r="40" spans="1:20">
      <c r="A40" s="88">
        <v>2003</v>
      </c>
      <c r="B40" s="89">
        <v>184</v>
      </c>
      <c r="C40" s="92">
        <v>1.1321000000000001</v>
      </c>
      <c r="D40" s="92"/>
      <c r="E40" s="6">
        <f t="shared" si="4"/>
        <v>1.1321000000000001</v>
      </c>
      <c r="F40" s="6">
        <f t="shared" si="5"/>
        <v>1.3647119565217392</v>
      </c>
      <c r="G40">
        <f t="shared" si="3"/>
        <v>1.5449904059782611</v>
      </c>
      <c r="I40" s="96"/>
      <c r="J40" s="96"/>
      <c r="K40" s="96"/>
      <c r="L40" s="96"/>
      <c r="M40" s="96"/>
      <c r="N40" s="96"/>
      <c r="O40" s="96"/>
      <c r="P40" s="96"/>
      <c r="Q40" s="96"/>
      <c r="R40" s="96"/>
      <c r="S40" s="96"/>
      <c r="T40" s="96"/>
    </row>
    <row r="41" spans="1:20">
      <c r="A41" s="88">
        <v>2004</v>
      </c>
      <c r="B41" s="89">
        <v>188.9</v>
      </c>
      <c r="C41" s="92">
        <v>1.2438</v>
      </c>
      <c r="D41" s="92"/>
      <c r="E41" s="6">
        <f t="shared" si="4"/>
        <v>1.2438</v>
      </c>
      <c r="F41" s="6">
        <f t="shared" si="5"/>
        <v>1.32931180518793</v>
      </c>
      <c r="G41">
        <f t="shared" si="3"/>
        <v>1.6533980232927474</v>
      </c>
      <c r="I41" s="96"/>
      <c r="J41" s="96"/>
      <c r="K41" s="96"/>
      <c r="L41" s="96"/>
      <c r="M41" s="96"/>
      <c r="N41" s="96"/>
      <c r="O41" s="96"/>
      <c r="P41" s="96"/>
      <c r="Q41" s="96"/>
      <c r="R41" s="96"/>
      <c r="S41" s="96"/>
      <c r="T41" s="96"/>
    </row>
    <row r="42" spans="1:20">
      <c r="A42" s="88">
        <v>2005</v>
      </c>
      <c r="B42" s="89">
        <v>195.3</v>
      </c>
      <c r="C42" s="92">
        <v>1.2448999999999999</v>
      </c>
      <c r="D42" s="92"/>
      <c r="E42" s="6">
        <f t="shared" si="4"/>
        <v>1.2448999999999999</v>
      </c>
      <c r="F42" s="6">
        <f t="shared" si="5"/>
        <v>1.2857501280081924</v>
      </c>
      <c r="G42">
        <f t="shared" si="3"/>
        <v>1.6006303343573987</v>
      </c>
      <c r="I42" s="96"/>
      <c r="J42" s="96"/>
      <c r="K42" s="96"/>
      <c r="L42" s="96"/>
      <c r="M42" s="96"/>
      <c r="N42" s="96"/>
      <c r="O42" s="96"/>
      <c r="P42" s="96"/>
      <c r="Q42" s="96"/>
      <c r="R42" s="96"/>
      <c r="S42" s="96"/>
      <c r="T42" s="96"/>
    </row>
    <row r="43" spans="1:20">
      <c r="A43" s="88">
        <v>2006</v>
      </c>
      <c r="B43" s="89">
        <v>201.6</v>
      </c>
      <c r="C43" s="92">
        <v>1.2563</v>
      </c>
      <c r="D43" s="92"/>
      <c r="E43" s="6">
        <f t="shared" si="4"/>
        <v>1.2563</v>
      </c>
      <c r="F43" s="6">
        <f t="shared" si="5"/>
        <v>1.2455704365079365</v>
      </c>
      <c r="G43">
        <f t="shared" si="3"/>
        <v>1.5648101393849205</v>
      </c>
      <c r="I43" s="96"/>
      <c r="J43" s="96"/>
      <c r="K43" s="96"/>
      <c r="L43" s="96"/>
      <c r="M43" s="96"/>
      <c r="N43" s="96"/>
      <c r="O43" s="96"/>
      <c r="P43" s="96"/>
      <c r="Q43" s="96"/>
      <c r="R43" s="96"/>
      <c r="S43" s="96"/>
      <c r="T43" s="96"/>
    </row>
    <row r="44" spans="1:20">
      <c r="A44" s="88">
        <v>2007</v>
      </c>
      <c r="B44" s="93">
        <v>207.34200000000001</v>
      </c>
      <c r="C44" s="92">
        <v>1.3711</v>
      </c>
      <c r="D44" s="92"/>
      <c r="E44" s="6">
        <f t="shared" si="4"/>
        <v>1.3711</v>
      </c>
      <c r="F44" s="6">
        <f t="shared" si="5"/>
        <v>1.2110763858745455</v>
      </c>
      <c r="G44">
        <f t="shared" si="3"/>
        <v>1.6605068326725894</v>
      </c>
      <c r="I44" s="96"/>
      <c r="J44" s="96"/>
      <c r="K44" s="96"/>
      <c r="L44" s="96"/>
      <c r="M44" s="96"/>
      <c r="N44" s="96"/>
      <c r="O44" s="96"/>
      <c r="P44" s="96"/>
      <c r="Q44" s="96"/>
      <c r="R44" s="96"/>
      <c r="S44" s="96"/>
      <c r="T44" s="96"/>
    </row>
    <row r="45" spans="1:20">
      <c r="A45" s="88">
        <v>2008</v>
      </c>
      <c r="B45" s="93">
        <v>215.303</v>
      </c>
      <c r="C45" s="92">
        <v>1.4725999999999999</v>
      </c>
      <c r="D45" s="92"/>
      <c r="E45" s="6">
        <f t="shared" si="4"/>
        <v>1.4725999999999999</v>
      </c>
      <c r="F45" s="6">
        <f t="shared" si="5"/>
        <v>1.1662958713998413</v>
      </c>
      <c r="G45">
        <f t="shared" si="3"/>
        <v>1.7174873002234061</v>
      </c>
      <c r="I45" s="96"/>
      <c r="J45" s="96"/>
      <c r="K45" s="96"/>
      <c r="L45" s="96"/>
      <c r="M45" s="96"/>
      <c r="N45" s="96"/>
      <c r="O45" s="96"/>
      <c r="P45" s="96"/>
      <c r="Q45" s="96"/>
      <c r="R45" s="96"/>
      <c r="S45" s="96"/>
      <c r="T45" s="96"/>
    </row>
    <row r="46" spans="1:20">
      <c r="A46" s="88">
        <v>2009</v>
      </c>
      <c r="B46" s="93">
        <v>214.53700000000001</v>
      </c>
      <c r="C46" s="92">
        <v>1.3935</v>
      </c>
      <c r="D46" s="92"/>
      <c r="E46" s="6">
        <f t="shared" si="4"/>
        <v>1.3935</v>
      </c>
      <c r="F46" s="6">
        <f t="shared" si="5"/>
        <v>1.1704601071143905</v>
      </c>
      <c r="G46">
        <f t="shared" si="3"/>
        <v>1.6310361592639031</v>
      </c>
      <c r="I46" s="96"/>
      <c r="J46" s="96"/>
      <c r="K46" s="96"/>
      <c r="L46" s="96"/>
      <c r="M46" s="96"/>
      <c r="N46" s="96"/>
      <c r="O46" s="96"/>
      <c r="P46" s="96"/>
      <c r="Q46" s="96"/>
      <c r="R46" s="96"/>
      <c r="S46" s="96"/>
      <c r="T46" s="96"/>
    </row>
    <row r="47" spans="1:20">
      <c r="A47" s="88">
        <v>2010</v>
      </c>
      <c r="B47" s="93">
        <v>218.05600000000001</v>
      </c>
      <c r="C47" s="92">
        <v>1.3261000000000001</v>
      </c>
      <c r="D47" s="92"/>
      <c r="E47" s="6">
        <f t="shared" si="4"/>
        <v>1.3261000000000001</v>
      </c>
      <c r="F47" s="6">
        <f t="shared" si="5"/>
        <v>1.1515711560333124</v>
      </c>
      <c r="G47">
        <f t="shared" si="3"/>
        <v>1.5270985100157757</v>
      </c>
      <c r="I47" s="96"/>
      <c r="J47" s="96"/>
      <c r="K47" s="96"/>
      <c r="L47" s="96"/>
      <c r="M47" s="96"/>
      <c r="N47" s="96"/>
      <c r="O47" s="96"/>
      <c r="P47" s="96"/>
      <c r="Q47" s="96"/>
      <c r="R47" s="96"/>
      <c r="S47" s="96"/>
      <c r="T47" s="96"/>
    </row>
    <row r="48" spans="1:20">
      <c r="A48" s="88">
        <v>2011</v>
      </c>
      <c r="B48" s="93">
        <v>224.93899999999999</v>
      </c>
      <c r="C48" s="92">
        <v>1.3931</v>
      </c>
      <c r="D48" s="92"/>
      <c r="E48" s="6">
        <f t="shared" si="4"/>
        <v>1.3931</v>
      </c>
      <c r="F48" s="6">
        <f t="shared" si="5"/>
        <v>1.1163337615975888</v>
      </c>
      <c r="G48">
        <f t="shared" si="3"/>
        <v>1.5551645632816009</v>
      </c>
      <c r="I48" s="96"/>
      <c r="J48" s="96"/>
      <c r="K48" s="96"/>
      <c r="L48" s="96"/>
      <c r="M48" s="96"/>
      <c r="N48" s="96"/>
      <c r="O48" s="96"/>
      <c r="P48" s="96"/>
      <c r="Q48" s="96"/>
      <c r="R48" s="96"/>
      <c r="S48" s="96"/>
      <c r="T48" s="96"/>
    </row>
    <row r="49" spans="1:20">
      <c r="A49" s="88">
        <v>2012</v>
      </c>
      <c r="B49" s="93">
        <v>229.59399999999999</v>
      </c>
      <c r="C49" s="92">
        <v>1.2859</v>
      </c>
      <c r="D49" s="92"/>
      <c r="E49" s="6">
        <f t="shared" si="4"/>
        <v>1.2859</v>
      </c>
      <c r="F49" s="6">
        <f t="shared" si="5"/>
        <v>1.0937001838027127</v>
      </c>
      <c r="G49">
        <f t="shared" si="3"/>
        <v>1.4063890663519083</v>
      </c>
      <c r="I49" s="96"/>
      <c r="J49" s="96"/>
      <c r="K49" s="96"/>
      <c r="L49" s="96"/>
      <c r="M49" s="96"/>
      <c r="N49" s="96"/>
      <c r="O49" s="96"/>
      <c r="P49" s="96"/>
      <c r="Q49" s="96"/>
      <c r="R49" s="96"/>
      <c r="S49" s="96"/>
      <c r="T49" s="96"/>
    </row>
    <row r="50" spans="1:20">
      <c r="A50" s="88">
        <v>2013</v>
      </c>
      <c r="B50" s="93">
        <v>232.95699999999999</v>
      </c>
      <c r="C50" s="92">
        <v>1.3281000000000001</v>
      </c>
      <c r="D50" s="92"/>
      <c r="E50" s="6">
        <f t="shared" si="4"/>
        <v>1.3281000000000001</v>
      </c>
      <c r="F50" s="6">
        <f t="shared" si="5"/>
        <v>1.077911374202106</v>
      </c>
      <c r="G50">
        <f t="shared" si="3"/>
        <v>1.4315740960778172</v>
      </c>
      <c r="I50" s="96"/>
      <c r="J50" s="96"/>
      <c r="K50" s="96"/>
      <c r="L50" s="96"/>
      <c r="M50" s="96"/>
      <c r="N50" s="96"/>
      <c r="O50" s="96"/>
      <c r="P50" s="96"/>
      <c r="Q50" s="96"/>
      <c r="R50" s="96"/>
      <c r="S50" s="96"/>
      <c r="T50" s="96"/>
    </row>
    <row r="51" spans="1:20">
      <c r="A51" s="88">
        <v>2014</v>
      </c>
      <c r="B51" s="93">
        <v>236.73599999999999</v>
      </c>
      <c r="C51" s="92">
        <v>1.3297000000000001</v>
      </c>
      <c r="D51" s="92"/>
      <c r="E51" s="6">
        <f t="shared" si="4"/>
        <v>1.3297000000000001</v>
      </c>
      <c r="F51" s="6">
        <f t="shared" si="5"/>
        <v>1.060704751284131</v>
      </c>
      <c r="G51">
        <f t="shared" si="3"/>
        <v>1.410419107782509</v>
      </c>
      <c r="I51" s="96"/>
      <c r="J51" s="96"/>
      <c r="K51" s="96"/>
      <c r="L51" s="96"/>
      <c r="M51" s="96"/>
      <c r="N51" s="96"/>
      <c r="O51" s="96"/>
      <c r="P51" s="96"/>
      <c r="Q51" s="96"/>
      <c r="R51" s="96"/>
      <c r="S51" s="96"/>
      <c r="T51" s="96"/>
    </row>
    <row r="52" spans="1:20">
      <c r="A52" s="88">
        <v>2015</v>
      </c>
      <c r="B52" s="93">
        <v>237.017</v>
      </c>
      <c r="C52" s="92">
        <v>1.1095999999999999</v>
      </c>
      <c r="D52" s="92"/>
      <c r="E52" s="6">
        <f t="shared" si="4"/>
        <v>1.1095999999999999</v>
      </c>
      <c r="F52" s="6">
        <f t="shared" si="5"/>
        <v>1.0594472126471941</v>
      </c>
      <c r="G52">
        <f t="shared" si="3"/>
        <v>1.1755626271533266</v>
      </c>
      <c r="I52" s="96"/>
      <c r="J52" s="96"/>
      <c r="K52" s="96"/>
      <c r="L52" s="96"/>
      <c r="M52" s="96"/>
      <c r="N52" s="96"/>
      <c r="O52" s="96"/>
      <c r="P52" s="96"/>
      <c r="Q52" s="96"/>
      <c r="R52" s="96"/>
      <c r="S52" s="96"/>
      <c r="T52" s="96"/>
    </row>
    <row r="53" spans="1:20">
      <c r="A53" s="88">
        <v>2016</v>
      </c>
      <c r="B53" s="93">
        <v>240.00700000000001</v>
      </c>
      <c r="C53" s="92">
        <v>1.1072</v>
      </c>
      <c r="D53" s="92"/>
      <c r="E53" s="6">
        <f t="shared" si="4"/>
        <v>1.1072</v>
      </c>
      <c r="F53" s="6">
        <f t="shared" si="5"/>
        <v>1.0462486510810101</v>
      </c>
      <c r="G53">
        <f t="shared" si="3"/>
        <v>1.1584065064768942</v>
      </c>
      <c r="I53" s="96"/>
      <c r="J53" s="96"/>
      <c r="K53" s="96"/>
      <c r="L53" s="96"/>
      <c r="M53" s="96"/>
      <c r="N53" s="96"/>
      <c r="O53" s="96"/>
      <c r="P53" s="96"/>
      <c r="Q53" s="96"/>
      <c r="R53" s="96"/>
      <c r="S53" s="96"/>
      <c r="T53" s="96"/>
    </row>
    <row r="54" spans="1:20">
      <c r="A54" s="88">
        <v>2017</v>
      </c>
      <c r="B54" s="93">
        <v>245.12</v>
      </c>
      <c r="C54" s="92">
        <v>1.1301000000000001</v>
      </c>
      <c r="D54" s="92"/>
      <c r="E54" s="6">
        <f t="shared" si="4"/>
        <v>1.1301000000000001</v>
      </c>
      <c r="F54" s="6">
        <f t="shared" si="5"/>
        <v>1.02442477154047</v>
      </c>
      <c r="G54">
        <f t="shared" si="3"/>
        <v>1.1577024343178852</v>
      </c>
      <c r="I54" s="96"/>
      <c r="J54" s="96"/>
      <c r="K54" s="96"/>
      <c r="L54" s="96"/>
      <c r="M54" s="96"/>
      <c r="N54" s="96"/>
      <c r="O54" s="96"/>
      <c r="P54" s="96"/>
      <c r="Q54" s="96"/>
      <c r="R54" s="96"/>
      <c r="S54" s="97"/>
      <c r="T54" s="96"/>
    </row>
    <row r="55" spans="1:20">
      <c r="A55" s="88">
        <v>2018</v>
      </c>
      <c r="B55" s="93">
        <v>251.107</v>
      </c>
      <c r="C55" s="92">
        <v>1.1817</v>
      </c>
      <c r="D55" s="91"/>
      <c r="E55" s="6">
        <f t="shared" si="4"/>
        <v>1.1817</v>
      </c>
      <c r="F55" s="6">
        <f t="shared" si="5"/>
        <v>1</v>
      </c>
      <c r="G55">
        <f t="shared" si="3"/>
        <v>1.1817</v>
      </c>
      <c r="I55" s="96"/>
      <c r="J55" s="96"/>
      <c r="K55" s="96"/>
      <c r="L55" s="96"/>
      <c r="M55" s="96"/>
      <c r="N55" s="96"/>
      <c r="O55" s="96"/>
      <c r="P55" s="96"/>
      <c r="Q55" s="96"/>
      <c r="R55" s="96"/>
      <c r="S55" s="96"/>
      <c r="T55" s="96"/>
    </row>
    <row r="56" spans="1:20">
      <c r="A56" s="88">
        <v>2019</v>
      </c>
      <c r="B56" s="93">
        <v>255.65700000000001</v>
      </c>
      <c r="C56" s="92">
        <v>1.1194</v>
      </c>
      <c r="D56" s="94"/>
      <c r="E56" s="6">
        <f t="shared" si="4"/>
        <v>1.1194</v>
      </c>
      <c r="F56" s="6">
        <f t="shared" si="5"/>
        <v>0.9822027169215003</v>
      </c>
      <c r="G56">
        <f t="shared" si="3"/>
        <v>1.0994777213219273</v>
      </c>
      <c r="I56" s="96"/>
      <c r="J56" s="96"/>
      <c r="K56" s="96"/>
      <c r="L56" s="96"/>
      <c r="M56" s="96"/>
      <c r="N56" s="96"/>
      <c r="O56" s="96"/>
      <c r="P56" s="96"/>
      <c r="Q56" s="96"/>
      <c r="R56" s="96"/>
      <c r="S56" s="96"/>
      <c r="T56" s="96"/>
    </row>
    <row r="57" spans="1:20">
      <c r="A57" s="88">
        <v>2020</v>
      </c>
      <c r="B57" s="93">
        <v>258.81099999999998</v>
      </c>
      <c r="C57" s="92">
        <v>1.141</v>
      </c>
      <c r="D57" s="94"/>
      <c r="E57" s="6">
        <f t="shared" si="4"/>
        <v>1.141</v>
      </c>
      <c r="F57" s="6">
        <f t="shared" si="5"/>
        <v>0.9702331044661936</v>
      </c>
      <c r="G57">
        <f t="shared" si="3"/>
        <v>1.1070359721959269</v>
      </c>
      <c r="I57" s="96"/>
      <c r="J57" s="96"/>
      <c r="K57" s="96"/>
      <c r="L57" s="96"/>
      <c r="M57" s="96"/>
      <c r="N57" s="96"/>
      <c r="O57" s="96"/>
      <c r="P57" s="96"/>
      <c r="Q57" s="96"/>
      <c r="R57" s="96"/>
      <c r="S57" s="96"/>
      <c r="T57" s="96"/>
    </row>
    <row r="58" spans="1:20">
      <c r="A58" s="88">
        <v>2021</v>
      </c>
      <c r="B58" s="93">
        <v>270.97000000000003</v>
      </c>
      <c r="C58" s="92">
        <v>1.1830000000000001</v>
      </c>
      <c r="D58" s="94"/>
      <c r="E58" s="6">
        <f t="shared" si="4"/>
        <v>1.1830000000000001</v>
      </c>
      <c r="F58" s="6">
        <f t="shared" si="5"/>
        <v>0.92669668228955226</v>
      </c>
      <c r="G58">
        <f t="shared" si="3"/>
        <v>1.0962821751485403</v>
      </c>
      <c r="I58" s="96"/>
      <c r="J58" s="96"/>
      <c r="K58" s="96"/>
      <c r="L58" s="96"/>
      <c r="M58" s="96"/>
      <c r="N58" s="96"/>
      <c r="O58" s="96"/>
      <c r="P58" s="96"/>
      <c r="Q58" s="96"/>
      <c r="R58" s="96"/>
      <c r="S58" s="96"/>
      <c r="T58" s="96"/>
    </row>
    <row r="59" spans="1:20">
      <c r="A59" s="88">
        <v>2022</v>
      </c>
      <c r="B59" s="93">
        <v>292.65499999999997</v>
      </c>
      <c r="C59" s="92">
        <v>1.0533999999999999</v>
      </c>
      <c r="D59" s="94"/>
      <c r="E59" s="6">
        <f t="shared" si="4"/>
        <v>1.0533999999999999</v>
      </c>
      <c r="F59" s="6">
        <f t="shared" si="5"/>
        <v>0.85803078710426961</v>
      </c>
      <c r="G59">
        <f t="shared" si="3"/>
        <v>0.90384963113563754</v>
      </c>
      <c r="I59" s="96"/>
      <c r="J59" s="96"/>
      <c r="K59" s="96"/>
      <c r="L59" s="96"/>
      <c r="M59" s="96"/>
      <c r="N59" s="96"/>
      <c r="O59" s="96"/>
      <c r="P59" s="96"/>
      <c r="Q59" s="96"/>
      <c r="R59" s="96"/>
      <c r="S59" s="96"/>
      <c r="T59" s="96"/>
    </row>
    <row r="60" spans="1:20">
      <c r="A60" s="88">
        <v>2023</v>
      </c>
      <c r="B60" s="93">
        <v>304.702</v>
      </c>
      <c r="C60" s="92">
        <v>1.0817000000000001</v>
      </c>
      <c r="D60" s="94"/>
      <c r="E60" s="6">
        <f t="shared" si="4"/>
        <v>1.0817000000000001</v>
      </c>
      <c r="F60" s="6">
        <f t="shared" si="5"/>
        <v>0.82410683224921399</v>
      </c>
      <c r="G60">
        <f t="shared" si="3"/>
        <v>0.8914363604439749</v>
      </c>
      <c r="I60" s="96"/>
      <c r="J60" s="96"/>
      <c r="K60" s="96"/>
      <c r="L60" s="96"/>
      <c r="M60" s="96"/>
      <c r="N60" s="96"/>
      <c r="O60" s="96"/>
      <c r="P60" s="96"/>
      <c r="Q60" s="96"/>
      <c r="R60" s="96"/>
      <c r="S60" s="96"/>
      <c r="T60" s="96"/>
    </row>
    <row r="61" spans="1:20">
      <c r="A61" s="88">
        <v>2024</v>
      </c>
      <c r="B61" s="93">
        <v>313.68900000000002</v>
      </c>
      <c r="C61" s="92">
        <v>1.0820000000000001</v>
      </c>
      <c r="D61" s="94"/>
      <c r="E61" s="6">
        <f t="shared" si="4"/>
        <v>1.0820000000000001</v>
      </c>
      <c r="F61" s="6">
        <f t="shared" si="5"/>
        <v>0.80049667026896065</v>
      </c>
      <c r="G61">
        <f t="shared" si="3"/>
        <v>0.86613739723101546</v>
      </c>
      <c r="I61" s="96"/>
      <c r="J61" s="96"/>
      <c r="K61" s="96"/>
      <c r="L61" s="96"/>
      <c r="M61" s="96"/>
      <c r="N61" s="96"/>
      <c r="O61" s="96"/>
      <c r="P61" s="96"/>
      <c r="Q61" s="96"/>
      <c r="R61" s="96"/>
      <c r="S61" s="96"/>
      <c r="T61" s="96"/>
    </row>
    <row r="62" spans="1:20" ht="14.4">
      <c r="A62" s="3"/>
      <c r="B62" s="494" t="s">
        <v>626</v>
      </c>
      <c r="C62" s="495" t="s">
        <v>627</v>
      </c>
      <c r="D62" s="495" t="s">
        <v>628</v>
      </c>
      <c r="E62" s="3"/>
      <c r="F62" s="3"/>
      <c r="G62" s="3"/>
      <c r="M62" s="88"/>
      <c r="N62" s="93"/>
      <c r="O62" s="92"/>
      <c r="P62" s="91"/>
      <c r="Q62" s="6"/>
      <c r="R62" s="6"/>
    </row>
    <row r="63" spans="1:20" ht="14.4">
      <c r="A63" s="3"/>
      <c r="B63" s="494"/>
      <c r="C63" s="495"/>
      <c r="D63" s="495"/>
      <c r="E63" s="3"/>
      <c r="F63" s="3"/>
      <c r="G63" s="3"/>
      <c r="P63" s="85"/>
      <c r="Q63" s="85"/>
      <c r="R63" s="85"/>
    </row>
    <row r="64" spans="1:20" ht="14.4">
      <c r="A64" s="3"/>
      <c r="B64" s="494"/>
      <c r="C64" s="495"/>
      <c r="D64" s="495"/>
      <c r="E64" s="3"/>
      <c r="F64" s="3"/>
      <c r="G64" s="3"/>
    </row>
    <row r="65" spans="2:18" ht="14.4">
      <c r="B65" s="494"/>
      <c r="C65" s="495"/>
      <c r="D65" s="495"/>
      <c r="O65" s="85"/>
      <c r="P65" s="85"/>
      <c r="Q65" s="85"/>
      <c r="R65" s="85"/>
    </row>
    <row r="66" spans="2:18" ht="14.4">
      <c r="B66" s="494"/>
      <c r="C66" s="495"/>
      <c r="D66" s="495"/>
      <c r="O66" s="85"/>
      <c r="P66" s="85"/>
      <c r="Q66" s="85"/>
      <c r="R66" s="85"/>
    </row>
    <row r="67" spans="2:18" ht="14.4">
      <c r="B67" s="494"/>
      <c r="C67" s="495"/>
      <c r="D67" s="495"/>
      <c r="O67" s="85"/>
      <c r="P67" s="85"/>
      <c r="Q67" s="85"/>
      <c r="R67" s="85"/>
    </row>
    <row r="68" spans="2:18" ht="14.4">
      <c r="B68" s="494"/>
      <c r="C68" s="495"/>
      <c r="D68" s="495"/>
      <c r="O68" s="85"/>
      <c r="P68" s="85"/>
      <c r="Q68" s="85"/>
      <c r="R68" s="85"/>
    </row>
  </sheetData>
  <mergeCells count="4">
    <mergeCell ref="B62:B68"/>
    <mergeCell ref="C62:C68"/>
    <mergeCell ref="D62:D68"/>
    <mergeCell ref="I15:S39"/>
  </mergeCells>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EF9ED-26AF-4B75-89B8-75500756A486}">
  <sheetPr>
    <tabColor rgb="FFB3B0C4"/>
  </sheetPr>
  <dimension ref="A1:GJ141"/>
  <sheetViews>
    <sheetView topLeftCell="A2" zoomScale="60" zoomScaleNormal="50" zoomScaleSheetLayoutView="30" workbookViewId="0">
      <selection activeCell="BJ15" sqref="BJ15"/>
    </sheetView>
  </sheetViews>
  <sheetFormatPr baseColWidth="10" defaultColWidth="11.41015625" defaultRowHeight="12.9"/>
  <cols>
    <col min="4" max="4" width="35.87890625" customWidth="1"/>
    <col min="5" max="5" width="18.29296875" customWidth="1"/>
    <col min="13" max="14" width="13.703125" customWidth="1"/>
    <col min="16" max="17" width="10.87890625" customWidth="1"/>
    <col min="18" max="18" width="10.87890625" style="124" customWidth="1"/>
    <col min="19" max="19" width="10.87890625" customWidth="1"/>
    <col min="21" max="21" width="23.1171875" customWidth="1"/>
    <col min="22" max="22" width="30" customWidth="1"/>
    <col min="23" max="23" width="14.703125" customWidth="1"/>
    <col min="24" max="24" width="8.87890625" customWidth="1"/>
    <col min="26" max="28" width="12" bestFit="1" customWidth="1"/>
    <col min="29" max="29" width="11.87890625" bestFit="1" customWidth="1"/>
    <col min="31" max="31" width="12" bestFit="1" customWidth="1"/>
    <col min="33" max="35" width="12" bestFit="1" customWidth="1"/>
    <col min="37" max="37" width="11.703125" bestFit="1" customWidth="1"/>
    <col min="38" max="38" width="11.703125" customWidth="1"/>
    <col min="39" max="39" width="11.703125" bestFit="1" customWidth="1"/>
    <col min="40" max="40" width="11.703125" customWidth="1"/>
    <col min="41" max="41" width="11.703125" bestFit="1" customWidth="1"/>
    <col min="42" max="42" width="17.87890625" customWidth="1"/>
    <col min="43" max="43" width="11.703125" bestFit="1" customWidth="1"/>
    <col min="44" max="44" width="11.703125" customWidth="1"/>
    <col min="45" max="45" width="16.29296875" customWidth="1"/>
    <col min="46" max="46" width="12.29296875" customWidth="1"/>
    <col min="47" max="51" width="11.703125" customWidth="1"/>
    <col min="52" max="52" width="11.41015625" customWidth="1"/>
    <col min="53" max="53" width="19" customWidth="1"/>
    <col min="54" max="54" width="17.703125" customWidth="1"/>
    <col min="55" max="55" width="21.1171875" customWidth="1"/>
    <col min="56" max="56" width="21" customWidth="1"/>
    <col min="57" max="57" width="11.703125" customWidth="1"/>
    <col min="58" max="58" width="11.703125" bestFit="1" customWidth="1"/>
    <col min="59" max="59" width="11.5859375" customWidth="1"/>
    <col min="60" max="60" width="29.5859375" customWidth="1"/>
    <col min="61" max="61" width="26.41015625" customWidth="1"/>
    <col min="62" max="62" width="11.5859375" style="242" customWidth="1"/>
    <col min="63" max="64" width="11.5859375" customWidth="1"/>
    <col min="65" max="65" width="30" customWidth="1"/>
    <col min="66" max="72" width="11.5859375" customWidth="1"/>
    <col min="73" max="73" width="14" customWidth="1"/>
    <col min="74" max="74" width="15.87890625" customWidth="1"/>
    <col min="75" max="75" width="9.41015625" customWidth="1"/>
    <col min="76" max="76" width="9.1171875" customWidth="1"/>
    <col min="77" max="80" width="13.5859375" customWidth="1"/>
    <col min="81" max="83" width="11.703125" customWidth="1"/>
    <col min="85" max="86" width="11.703125" bestFit="1" customWidth="1"/>
    <col min="97" max="99" width="11.41015625" customWidth="1"/>
    <col min="102" max="102" width="16" customWidth="1"/>
    <col min="105" max="105" width="17.29296875" customWidth="1"/>
    <col min="108" max="108" width="11.41015625" style="234"/>
    <col min="151" max="151" width="11.41015625" style="235"/>
  </cols>
  <sheetData>
    <row r="1" spans="1:192">
      <c r="A1" s="81" t="s">
        <v>524</v>
      </c>
      <c r="B1" s="81" t="s">
        <v>3</v>
      </c>
      <c r="C1" s="81" t="s">
        <v>525</v>
      </c>
      <c r="D1" s="81" t="s">
        <v>526</v>
      </c>
      <c r="E1" s="81" t="s">
        <v>527</v>
      </c>
      <c r="F1" s="81" t="s">
        <v>528</v>
      </c>
      <c r="G1" s="81" t="s">
        <v>529</v>
      </c>
      <c r="H1" s="81" t="s">
        <v>530</v>
      </c>
      <c r="I1" s="81"/>
      <c r="J1" s="81" t="s">
        <v>661</v>
      </c>
      <c r="K1" s="81" t="s">
        <v>662</v>
      </c>
      <c r="L1" s="81" t="s">
        <v>663</v>
      </c>
      <c r="M1" s="81" t="s">
        <v>664</v>
      </c>
      <c r="N1" s="81" t="s">
        <v>703</v>
      </c>
      <c r="O1" s="504" t="s">
        <v>531</v>
      </c>
      <c r="P1" s="504"/>
      <c r="Q1" s="111"/>
      <c r="R1" s="125"/>
      <c r="S1" s="111"/>
      <c r="U1" s="118" t="s">
        <v>848</v>
      </c>
      <c r="V1" s="80" t="s">
        <v>652</v>
      </c>
      <c r="W1" s="80"/>
      <c r="X1" s="80"/>
      <c r="Y1" s="80" t="s">
        <v>532</v>
      </c>
      <c r="Z1" s="80" t="s">
        <v>533</v>
      </c>
      <c r="AA1" s="80" t="s">
        <v>534</v>
      </c>
      <c r="AB1" s="80" t="s">
        <v>535</v>
      </c>
      <c r="AC1" s="80" t="s">
        <v>536</v>
      </c>
      <c r="AD1" s="80" t="s">
        <v>537</v>
      </c>
      <c r="AE1" s="80" t="s">
        <v>1073</v>
      </c>
      <c r="AF1" s="80" t="s">
        <v>538</v>
      </c>
      <c r="AG1" s="80" t="s">
        <v>539</v>
      </c>
      <c r="AH1" s="80" t="s">
        <v>540</v>
      </c>
      <c r="AI1" s="80" t="s">
        <v>1072</v>
      </c>
      <c r="AJ1" s="80" t="s">
        <v>541</v>
      </c>
      <c r="AK1" s="80" t="s">
        <v>654</v>
      </c>
      <c r="AL1" s="80" t="s">
        <v>527</v>
      </c>
      <c r="AM1" s="80" t="s">
        <v>629</v>
      </c>
      <c r="AN1" s="80" t="s">
        <v>646</v>
      </c>
      <c r="AO1" s="80" t="s">
        <v>528</v>
      </c>
      <c r="AP1" s="80" t="s">
        <v>647</v>
      </c>
      <c r="AQ1" s="80" t="s">
        <v>526</v>
      </c>
      <c r="AR1" s="80" t="s">
        <v>655</v>
      </c>
      <c r="AS1" s="80" t="s">
        <v>917</v>
      </c>
      <c r="AT1" s="80" t="s">
        <v>916</v>
      </c>
      <c r="AU1" s="80" t="s">
        <v>656</v>
      </c>
      <c r="AV1" s="80" t="s">
        <v>913</v>
      </c>
      <c r="AW1" s="80" t="s">
        <v>914</v>
      </c>
      <c r="AX1" s="80" t="s">
        <v>915</v>
      </c>
      <c r="AY1" s="80" t="s">
        <v>659</v>
      </c>
      <c r="AZ1" s="80" t="s">
        <v>660</v>
      </c>
      <c r="BA1" s="80" t="s">
        <v>918</v>
      </c>
      <c r="BB1" s="80" t="s">
        <v>919</v>
      </c>
      <c r="BC1" s="80" t="s">
        <v>920</v>
      </c>
      <c r="BD1" s="80" t="s">
        <v>921</v>
      </c>
      <c r="BE1" s="80" t="s">
        <v>649</v>
      </c>
      <c r="BF1" s="80" t="s">
        <v>650</v>
      </c>
      <c r="BG1" s="80" t="s">
        <v>651</v>
      </c>
      <c r="BH1" s="80" t="s">
        <v>1092</v>
      </c>
      <c r="BI1" s="80" t="s">
        <v>1096</v>
      </c>
      <c r="BL1" s="232" t="s">
        <v>1026</v>
      </c>
      <c r="BM1" s="233" t="s">
        <v>652</v>
      </c>
      <c r="BN1" s="233"/>
      <c r="BO1" s="233"/>
      <c r="BP1" s="233" t="s">
        <v>542</v>
      </c>
      <c r="BQ1" s="233" t="s">
        <v>543</v>
      </c>
      <c r="BR1" s="233" t="s">
        <v>544</v>
      </c>
      <c r="BS1" s="233" t="s">
        <v>1090</v>
      </c>
      <c r="BT1" s="233" t="s">
        <v>545</v>
      </c>
      <c r="BU1" s="233" t="s">
        <v>546</v>
      </c>
      <c r="BV1" s="233" t="s">
        <v>547</v>
      </c>
      <c r="BW1" s="233" t="s">
        <v>548</v>
      </c>
      <c r="BX1" s="233" t="s">
        <v>549</v>
      </c>
      <c r="BY1" s="233" t="s">
        <v>550</v>
      </c>
      <c r="BZ1" s="233" t="s">
        <v>551</v>
      </c>
      <c r="CA1" s="233" t="s">
        <v>552</v>
      </c>
      <c r="CB1" s="233" t="s">
        <v>553</v>
      </c>
      <c r="CC1" s="233" t="s">
        <v>541</v>
      </c>
      <c r="CD1" s="233" t="s">
        <v>654</v>
      </c>
      <c r="CE1" s="233" t="s">
        <v>527</v>
      </c>
      <c r="CF1" s="233" t="s">
        <v>629</v>
      </c>
      <c r="CG1" s="233" t="s">
        <v>646</v>
      </c>
      <c r="CH1" s="233" t="s">
        <v>528</v>
      </c>
      <c r="CI1" s="233" t="s">
        <v>647</v>
      </c>
      <c r="CJ1" s="233" t="s">
        <v>526</v>
      </c>
      <c r="CK1" s="233" t="s">
        <v>655</v>
      </c>
      <c r="CL1" s="233" t="s">
        <v>917</v>
      </c>
      <c r="CM1" s="233" t="s">
        <v>916</v>
      </c>
      <c r="CN1" s="233" t="s">
        <v>656</v>
      </c>
      <c r="CO1" s="233" t="s">
        <v>913</v>
      </c>
      <c r="CP1" s="233" t="s">
        <v>914</v>
      </c>
      <c r="CQ1" s="233" t="s">
        <v>915</v>
      </c>
      <c r="CR1" s="233" t="s">
        <v>659</v>
      </c>
      <c r="CS1" s="233" t="s">
        <v>660</v>
      </c>
      <c r="CT1" s="233" t="s">
        <v>918</v>
      </c>
      <c r="CU1" s="233" t="s">
        <v>919</v>
      </c>
      <c r="CV1" s="233" t="s">
        <v>920</v>
      </c>
      <c r="CW1" s="233" t="s">
        <v>921</v>
      </c>
      <c r="CX1" s="233" t="s">
        <v>649</v>
      </c>
      <c r="CY1" s="233" t="s">
        <v>650</v>
      </c>
      <c r="CZ1" s="233" t="s">
        <v>651</v>
      </c>
      <c r="DA1" s="233" t="s">
        <v>653</v>
      </c>
      <c r="DB1" s="233"/>
      <c r="DG1" s="232" t="s">
        <v>1031</v>
      </c>
      <c r="DH1" s="233" t="s">
        <v>652</v>
      </c>
      <c r="DI1" s="233"/>
      <c r="DJ1" s="233"/>
      <c r="DK1" s="233" t="s">
        <v>1032</v>
      </c>
      <c r="DL1" s="233" t="s">
        <v>1033</v>
      </c>
      <c r="DM1" s="233" t="s">
        <v>1034</v>
      </c>
      <c r="DN1" s="233" t="s">
        <v>1035</v>
      </c>
      <c r="DO1" s="233" t="s">
        <v>1036</v>
      </c>
      <c r="DP1" s="233" t="s">
        <v>1037</v>
      </c>
      <c r="DQ1" s="233" t="s">
        <v>1040</v>
      </c>
      <c r="DR1" s="233" t="s">
        <v>1038</v>
      </c>
      <c r="DS1" s="233" t="s">
        <v>1039</v>
      </c>
      <c r="DT1" s="233" t="s">
        <v>541</v>
      </c>
      <c r="DU1" s="233" t="s">
        <v>654</v>
      </c>
      <c r="DV1" s="233" t="s">
        <v>527</v>
      </c>
      <c r="DW1" s="233" t="s">
        <v>629</v>
      </c>
      <c r="DX1" s="233" t="s">
        <v>646</v>
      </c>
      <c r="DY1" s="233" t="s">
        <v>528</v>
      </c>
      <c r="DZ1" s="233" t="s">
        <v>647</v>
      </c>
      <c r="EA1" s="233" t="s">
        <v>526</v>
      </c>
      <c r="EB1" s="233" t="s">
        <v>655</v>
      </c>
      <c r="EC1" s="233" t="s">
        <v>917</v>
      </c>
      <c r="ED1" s="233" t="s">
        <v>916</v>
      </c>
      <c r="EE1" s="233" t="s">
        <v>656</v>
      </c>
      <c r="EF1" s="233" t="s">
        <v>913</v>
      </c>
      <c r="EG1" s="233" t="s">
        <v>914</v>
      </c>
      <c r="EH1" s="233" t="s">
        <v>915</v>
      </c>
      <c r="EI1" t="s">
        <v>659</v>
      </c>
      <c r="EJ1" s="233" t="s">
        <v>660</v>
      </c>
      <c r="EK1" s="233" t="s">
        <v>918</v>
      </c>
      <c r="EL1" s="233" t="s">
        <v>919</v>
      </c>
      <c r="EM1" s="233" t="s">
        <v>920</v>
      </c>
      <c r="EN1" s="233" t="s">
        <v>921</v>
      </c>
      <c r="EO1" s="233" t="s">
        <v>649</v>
      </c>
      <c r="EP1" s="233" t="s">
        <v>650</v>
      </c>
      <c r="EQ1" s="233" t="s">
        <v>651</v>
      </c>
      <c r="ER1" s="233" t="s">
        <v>653</v>
      </c>
      <c r="ES1" s="233"/>
      <c r="EX1" s="232" t="s">
        <v>116</v>
      </c>
      <c r="EY1" s="233"/>
      <c r="EZ1" s="233"/>
      <c r="FA1" s="233"/>
      <c r="FB1" s="233"/>
      <c r="FC1" s="233"/>
      <c r="FD1" s="233"/>
      <c r="FE1" s="233"/>
      <c r="FF1" s="233"/>
      <c r="FG1" s="233"/>
      <c r="FH1" s="233"/>
      <c r="FI1" s="233"/>
      <c r="FJ1" s="233"/>
      <c r="FK1" s="233"/>
      <c r="FL1" s="233"/>
      <c r="FM1" s="233"/>
      <c r="FN1" s="233"/>
      <c r="FO1" s="233"/>
      <c r="FP1" s="233"/>
      <c r="FQ1" s="233"/>
      <c r="FR1" s="233"/>
      <c r="FS1" s="233"/>
      <c r="FT1" s="233"/>
      <c r="FU1" s="233"/>
      <c r="FV1" s="233"/>
      <c r="FW1" s="233"/>
      <c r="FX1" s="233"/>
      <c r="FY1" s="233"/>
      <c r="GA1" s="233"/>
      <c r="GB1" s="233"/>
      <c r="GC1" s="233"/>
      <c r="GD1" s="233"/>
      <c r="GE1" s="233"/>
      <c r="GF1" s="233"/>
      <c r="GG1" s="233"/>
      <c r="GH1" s="233"/>
      <c r="GI1" s="233"/>
      <c r="GJ1" s="233"/>
    </row>
    <row r="2" spans="1:192" ht="22.5" customHeight="1">
      <c r="A2" t="s">
        <v>519</v>
      </c>
      <c r="B2" t="s">
        <v>388</v>
      </c>
      <c r="C2" t="s">
        <v>32</v>
      </c>
      <c r="D2" t="e" cm="1">
        <f t="array" ref="D2">_xlfn.LET(
 _xlpm.A,$A2,_xlpm.B,$B2,_xlpm.C,$C2,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2" t="e" cm="1">
        <f t="array" ref="E2">_xlfn.LET(
 _xlpm.A,$A2,_xlpm.B,$B2,_xlpm.C,$C2,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2" t="e" cm="1">
        <f t="array" ref="F2">_xlfn.LET(
 _xlpm.A,$A2,_xlpm.B,$B2,_xlpm.C,$C2,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2" t="e" cm="1">
        <f t="array" ref="G2">_xlfn.LET(
 _xlpm.A,$A2,_xlpm.B,$B2,_xlpm.C,$C2,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2" t="e">
        <f>MAX($D2-$G2,0)</f>
        <v>#N/A</v>
      </c>
      <c r="I2">
        <f>ROW()-ROW($A$2)+1</f>
        <v>1</v>
      </c>
      <c r="J2" t="e">
        <f>IF($C2="FOAK", $G2, NA())</f>
        <v>#N/A</v>
      </c>
      <c r="K2" t="e">
        <f>IF($C2="NOAK", $G2, NA())</f>
        <v>#N/A</v>
      </c>
      <c r="L2" t="e">
        <f>IF($C2="10th-OAK", $G2, NA())</f>
        <v>#N/A</v>
      </c>
      <c r="M2" t="e">
        <f>IF($C2="75th-OAK", $G2, NA())</f>
        <v>#N/A</v>
      </c>
      <c r="N2" t="e">
        <f>IF($C2="100th-OAK", $G2, NA())</f>
        <v>#N/A</v>
      </c>
      <c r="O2" t="e" cm="1">
        <f t="array" ref="O2">_xlfn.LET(
 _xlpm.A,$A2,_xlpm.B,$B2,_xlpm.C,$C2,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2" t="str">
        <f>IFERROR("n="&amp;O2,"")</f>
        <v/>
      </c>
      <c r="V2" t="s">
        <v>532</v>
      </c>
      <c r="W2" t="s">
        <v>519</v>
      </c>
      <c r="X2" t="s">
        <v>32</v>
      </c>
      <c r="Y2" t="e" cm="1" vm="1">
        <f t="array" ref="Y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_xlfn._xlws.FILTER(_xlpm.occZ,(_xlpm.cost="OCC")*_xlpm.capOK*_xlpm.unitOK*(_xlpm.ct="ICF")*(_xlpm.rd="FOAK"))
)</f>
        <v>#VALUE!</v>
      </c>
      <c r="Z2" cm="1">
        <f t="array" ref="Z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_xlfn._xlws.FILTER(_xlpm.occZ,(_xlpm.cost="OCC")*_xlpm.capOK*_xlpm.unitOK*(_xlpm.ct="ICF")*(_xlpm.rd="NOAK"))
)</f>
        <v>2100.4187138060079</v>
      </c>
      <c r="AA2" cm="1">
        <f t="array" ref="AA2:AA8">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_xlfn._xlws.FILTER(_xlpm.occZ,(_xlpm.cost="OCC")*_xlpm.capOK*_xlpm.unitOK*(_xlpm.ct="ICF")*(_xlpm.rd="10th-OAK"))
)</f>
        <v>1718.16687248996</v>
      </c>
      <c r="AB2" cm="1">
        <f t="array" ref="AB2:AB19">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_xlfn._xlws.FILTER(_xlpm.occZ,(_xlpm.cost="OCC")*_xlpm.capOK*_xlpm.unitOK*(_xlpm.ct="MCF")*(_xlpm.rd="FOAK"))
)</f>
        <v>12441.316506252808</v>
      </c>
      <c r="AC2" cm="1">
        <f t="array" ref="AC2:AC13">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_xlfn._xlws.FILTER(_xlpm.occZ,(_xlpm.cost="OCC")*_xlpm.capOK*_xlpm.unitOK*(_xlpm.ct="MCF")*(_xlpm.rd="NOAK"))
)</f>
        <v>4759.3274294038556</v>
      </c>
      <c r="AD2" cm="1">
        <f t="array" ref="AD2:AD53">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_xlfn._xlws.FILTER(_xlpm.occZ,(_xlpm.cost="OCC")*_xlpm.capOK*_xlpm.unitOK*(_xlpm.ct="MCF")*(_xlpm.rd="10th-OAK"))
)</f>
        <v>9993.2088245484265</v>
      </c>
      <c r="AE2" cm="1">
        <f t="array" ref="AE2:AE5">_xlfn.LET(
  _xlpm.H, Fusion[#Headers],
  _xlpm.iSpec, _xlfn.XMATCH("*Specific*OCC*2018*with*contingency", _xlpm.H, 2),
  _xlpm.iCap, _xlfn.XMATCH("Capacity *MW*", _xlpm.H, 2),
  _xlpm.iCT, _xlfn.XMATCH("Confinement*", _xlpm.H, 2),
  _xlpm.iRD, _xlfn.XMATCH("Readiness*", _xlpm.H, 2),
  _xlpm.iCost, _xlfn.XMATCH("Cost Type*", _xlpm.H, 2),
  _xlpm.iUnit, IFERROR(_xlfn.XMATCH("Capacity Unit*", _xlpm.H, 2), 0),
  _xlpm.occ, INDEX(Fusion[],, _xlpm.iSpec),
  _xlpm.ct_raw, INDEX(Fusion[],, _xlpm.iCT),
  _xlpm.rd_raw, INDEX(Fusion[],, _xlpm.iRD),
  _xlpm.cost, INDEX(Fusion[],, _xlpm.iCost),
  _xlpm.capMW, INDEX(Fusion[],, _xlpm.iCap),
  _xlpm.unit, IF(_xlpm.iUnit &gt; 0, INDEX(Fusion[],, _xlpm.iUnit), "MW"),
  _xlpm.ct, IFERROR(_xlfn.XLOOKUP(_xlpm.ct_raw, Map_Conf[From], Map_Conf[To], _xlpm.ct_raw), _xlpm.ct_raw),
  _xlpm.advRaw, ISNUMBER(SEARCH("ADVAN", UPPER(_xlpm.rd_raw))),
  _xlpm.highAdvRaw, ISNUMBER(SEARCH("HIGHLY ADVAN", UPPER(_xlpm.rd_raw))),
  _xlpm.rd, IFERROR(TRIM(_xlpm.rd_raw), _xlpm.rd_raw),
  _xlpm.capOK, ISNUMBER(_xlpm.capMW) * (_xlpm.capMW &gt; 0),
  _xlpm.unitOK, IF(_xlpm.iUnit &gt; 0, ISNUMBER(SEARCH("MW", _xlpm.unit)) * NOT(ISNUMBER(SEARCH("FUS", _xlpm.unit))), TRUE),
  _xlpm.occZ, IF(ISNUMBER(_xlpm.occ), _xlpm.occ, NA()),
  _xlfn._xlws.FILTER(
    _xlpm.occZ,
    (_xlpm.cost = "OCC") *
    _xlpm.capOK *
    _xlpm.unitOK *
    (_xlpm.ct = "MCF") *
    ((_xlpm.advRaw + _xlpm.highAdvRaw) &gt; 0)
  )
)</f>
        <v>3164.356504065041</v>
      </c>
      <c r="AF2" t="e" cm="1" vm="1">
        <f t="array" ref="AF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_xlfn._xlws.FILTER(_xlpm.occZ,(_xlpm.cost="OCC")*_xlpm.capOK*_xlpm.unitOK*(_xlpm.ct="MIF")*(_xlpm.rd="FOAK"))
)</f>
        <v>#VALUE!</v>
      </c>
      <c r="AG2" t="e" cm="1" vm="1">
        <f t="array" ref="AG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_xlfn._xlws.FILTER(_xlpm.occZ,(_xlpm.cost="OCC")*_xlpm.capOK*_xlpm.unitOK*(_xlpm.ct="MIF")*(_xlpm.rd="NOAK"))
)</f>
        <v>#VALUE!</v>
      </c>
      <c r="AH2" cm="1">
        <f t="array" ref="AH2:AH4">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_xlpm.rd,IFERROR(
        _xlfn.XLOOKUP(
          TRIM(_xlpm.rd_raw),
          {"FOAK";"NOAK";"10th-OAK";"10th-of-a-kind";"10th OAK";"Advanced NOAK";"Advanced";"Highly Advanced NOAK";"Highly Advanced"},
          {"FOAK";"NOAK";"10th-OAK";"10th-OAK";"10th-OAK";"Advanced NOAK";"Advanced NOAK";"Highly Advanced NOAK";"Highly Advanced NOAK"}
        ),
        TRIM(_xlpm.rd_raw)
     ),
  _xlpm.capOK,ISNUMBER(_xlpm.capMW)*(_xlpm.capMW&gt;0),
  _xlpm.unitOK,IF(_xlpm.iUnit&gt;0,ISNUMBER(SEARCH("MW",_xlpm.unit))*NOT(ISNUMBER(SEARCH("FUS",_xlpm.unit))),TRUE),
  _xlpm.occZ,IF(ISNUMBER(_xlpm.occ),_xlpm.occ,NA()),
  _xlfn._xlws.FILTER(_xlpm.occZ,(_xlpm.cost="OCC")*_xlpm.capOK*_xlpm.unitOK*(_xlpm.ct="MIF")*(_xlpm.rd="10th-OAK"))
)</f>
        <v>4889.4686960519202</v>
      </c>
      <c r="AI2" cm="1">
        <f t="array" ref="AI2:AI3">_xlfn.LET(
  _xlpm.H, Fusion[#Headers],
  _xlpm.iSpec, _xlfn.XMATCH("*Specific*OCC*2018*with*contingency", _xlpm.H, 2),
  _xlpm.iCap, _xlfn.XMATCH("Capacity *MW*", _xlpm.H, 2),
  _xlpm.iCT, _xlfn.XMATCH("Confinement*", _xlpm.H, 2),
  _xlpm.iRD, _xlfn.XMATCH("Readiness*", _xlpm.H, 2),
  _xlpm.iCost, _xlfn.XMATCH("Cost Type*", _xlpm.H, 2),
  _xlpm.iUnit, IFERROR(_xlfn.XMATCH("Capacity Unit*", _xlpm.H, 2), 0),
  _xlpm.occ, INDEX(Fusion[],, _xlpm.iSpec),
  _xlpm.ct_raw, INDEX(Fusion[],, _xlpm.iCT),
  _xlpm.rd_raw, INDEX(Fusion[],, _xlpm.iRD),
  _xlpm.cost, INDEX(Fusion[],, _xlpm.iCost),
  _xlpm.capMW, INDEX(Fusion[],, _xlpm.iCap),
  _xlpm.unit, IF(_xlpm.iUnit &gt; 0, INDEX(Fusion[],, _xlpm.iUnit), "MW"),
  _xlpm.ct, IFERROR(_xlfn.XLOOKUP(_xlpm.ct_raw, Map_Conf[From], Map_Conf[To], _xlpm.ct_raw), _xlpm.ct_raw),
  _xlpm.advRaw, ISNUMBER(SEARCH("ADVAN", UPPER(_xlpm.rd_raw))),
  _xlpm.highAdvRaw, ISNUMBER(SEARCH("HIGHLY ADVAN", UPPER(_xlpm.rd_raw))),
  _xlpm.rd, IFERROR(TRIM(_xlpm.rd_raw), _xlpm.rd_raw),
  _xlpm.capOK, ISNUMBER(_xlpm.capMW) * (_xlpm.capMW &gt; 0),
  _xlpm.unitOK, IF(_xlpm.iUnit &gt; 0, ISNUMBER(SEARCH("MW", _xlpm.unit)) * NOT(ISNUMBER(SEARCH("FUS", _xlpm.unit))), TRUE),
  _xlpm.occZ, IF(ISNUMBER(_xlpm.occ), _xlpm.occ, NA()),
  _xlfn._xlws.FILTER(
    _xlpm.occZ,
    (_xlpm.cost = "OCC") *
    _xlpm.capOK *
    _xlpm.unitOK *
    (_xlpm.ct = "MIF") *
    ((_xlpm.advRaw + _xlpm.highAdvRaw) &gt; 0)
  )
)</f>
        <v>1872.7976918232519</v>
      </c>
      <c r="AJ2">
        <f>MATCH(V2,$V$2:$V$12,0)</f>
        <v>1</v>
      </c>
      <c r="AK2" s="26" t="e" cm="1">
        <f t="array" aca="1" ref="AK2" ca="1">_xlfn.LET(
  _xlpm.r,OFFSET($Y$2,0,ROW(A1)-1,ROWS($Y$2:$Y$1000),1),
  _xlpm.v,_xlfn._xlws.FILTER(_xlpm.r,ISNUMBER(_xlpm.r)),
  IF(COUNT(_xlpm.v)=0,NA(),_xlfn.PERCENTILE.INC(_xlpm.v,0.975))
)</f>
        <v>#N/A</v>
      </c>
      <c r="AL2" s="26" t="e" cm="1">
        <f t="array" ref="AL2">_xlfn.LET(
  _xlpm.hdr, $Y$1:$AI$1,               _xlpm.k,   _xlfn.XMATCH($V2,_xlpm.hdr,0),
  _xlpm.col, INDEX($Y$2:$AI$1000,,_xlpm.k),
  _xlpm.v,   _xlfn._xlws.FILTER(_xlpm.col,ISNUMBER(_xlpm.col)),
  IF(COUNT(_xlpm.v)=0, NA(), AVERAGE(_xlpm.v))
)</f>
        <v>#N/A</v>
      </c>
      <c r="AM2" t="e" cm="1">
        <f t="array" aca="1" ref="AM2" ca="1">_xlfn.LET(
  _xlpm.k,ROW(A1)-1,
  _xlpm.r,OFFSET($Y$2,0,_xlpm.k,ROWS($Y$2:$Y$1000),1),
  _xlpm.v,_xlfn._xlws.FILTER(_xlpm.r,ISNUMBER(_xlpm.r)),
  IF(COUNT(_xlpm.v)=0,NA(),MIN(_xlpm.v))
)</f>
        <v>#N/A</v>
      </c>
      <c r="AN2" t="e" cm="1">
        <f t="array" aca="1" ref="AN2" ca="1">_xlfn.LET(
  _xlpm.k,ROW(A1)-1,
  _xlpm.r,OFFSET($Y$2,0,_xlpm.k,ROWS($Y$2:$Y$1000),1),
  _xlpm.v,_xlfn._xlws.FILTER(_xlpm.r,ISNUMBER(_xlpm.r)),
  IF(COUNT(_xlpm.v)=0,NA(),_xlfn.PERCENTILE.INC(_xlpm.v,0.25))
)</f>
        <v>#N/A</v>
      </c>
      <c r="AO2" t="e" cm="1">
        <f t="array" aca="1" ref="AO2" ca="1">_xlfn.LET(
  _xlpm.k,ROW(A1)-1,
  _xlpm.r,OFFSET($Y$2,0,_xlpm.k,ROWS($Y$2:$Y$1000),1),
  _xlpm.v,_xlfn._xlws.FILTER(_xlpm.r,ISNUMBER(_xlpm.r)),
  IF(COUNT(_xlpm.v)=0,NA(),_xlfn.PERCENTILE.INC(_xlpm.v,0.5))
)</f>
        <v>#N/A</v>
      </c>
      <c r="AP2" t="e" cm="1">
        <f t="array" ref="AP2">_xlfn.LET(
  _xlpm.Data, $Y$2:$AI$1000,
  _xlpm.col,  $AJ2,
  _xlpm.vec,  INDEX(_xlpm.Data,,_xlpm.col),
  _xlpm.v,    _xlfn._xlws.FILTER(_xlpm.vec, ISNUMBER(_xlpm.vec)),
  IF(COUNT(_xlpm.v)=0, NA(), _xlfn.PERCENTILE.INC(_xlpm.v, 0.75))
)</f>
        <v>#N/A</v>
      </c>
      <c r="AQ2" t="e" cm="1">
        <f t="array" aca="1" ref="AQ2" ca="1">_xlfn.LET(
  _xlpm.k,ROW(A1)-1,
  _xlpm.r,OFFSET($Y$2,0,_xlpm.k,ROWS($Y$2:$Y$1000),1),
  _xlpm.v,_xlfn._xlws.FILTER(_xlpm.r,ISNUMBER(_xlpm.r)),
  IF(COUNT(_xlpm.v)=0,NA(),MAX(_xlpm.v))
)</f>
        <v>#N/A</v>
      </c>
      <c r="AR2" t="e" cm="1" vm="1">
        <f t="array" aca="1" ref="AR2" ca="1">_xlfn.LET(_xlpm.r,OFFSET($Y$2,0,ROW(A1)-1,ROWS($Y$2:$Y$1000),1),
    _xlpm.v,_xlfn._xlws.FILTER(_xlpm.r,ISNUMBER(_xlpm.r)),
    _xlfn.PERCENTILE.INC(_xlpm.v,0.25))</f>
        <v>#VALUE!</v>
      </c>
      <c r="AS2" t="e" cm="1">
        <f t="array" aca="1" ref="AS2" ca="1">_xlfn.LET(
  _xlpm.k, ROW(A1)-1,
  _xlpm.r, OFFSET($Y$2,0,_xlpm.k,ROWS($Y$2:$Y$1000),1),
  _xlpm.v, _xlfn._xlws.FILTER(_xlpm.r, ISNUMBER(_xlpm.r)),
  IF(COUNT(_xlpm.v)=0, NA(), _xlfn.PERCENTILE.INC(_xlpm.v,0.5)-_xlfn.PERCENTILE.INC(_xlpm.v,0.25))
)</f>
        <v>#N/A</v>
      </c>
      <c r="AT2" t="e" cm="1" vm="1">
        <f t="array" aca="1" ref="AT2" ca="1">_xlfn.LET(_xlpm.r,OFFSET($Y$2,0,ROW(A1)-1,ROWS($Y$2:$Y$1000),1),
    _xlpm.v,_xlfn._xlws.FILTER(_xlpm.r,ISNUMBER(_xlpm.r)),
    _xlfn.PERCENTILE.INC(_xlpm.v,0.75)-_xlfn.PERCENTILE.INC(_xlpm.v,0.5))</f>
        <v>#VALUE!</v>
      </c>
      <c r="AU2" t="e" cm="1" vm="1">
        <f t="array" aca="1" ref="AU2" ca="1">_xlfn.LET(_xlpm.r,OFFSET($Y$2,0,ROW(A1)-1,ROWS($Y$2:$Y$1000),1),
    _xlpm.v,_xlfn._xlws.FILTER(_xlpm.r,ISNUMBER(_xlpm.r)),
    MAX(_xlpm.v)-_xlfn.PERCENTILE.INC(_xlpm.v,0.75))</f>
        <v>#VALUE!</v>
      </c>
      <c r="AV2" t="e">
        <f t="shared" ref="AV2:AV12" ca="1" si="0">AP2-AN2</f>
        <v>#N/A</v>
      </c>
      <c r="AW2" t="e">
        <f ca="1" xml:space="preserve"> IF(AND(ISNUMBER(AN2), ISNUMBER(AV2)), AN2 - 1.5*AV2, NA())</f>
        <v>#N/A</v>
      </c>
      <c r="AX2" t="e">
        <f ca="1" xml:space="preserve"> IF(AND(ISNUMBER(AP2), ISNUMBER(AV2)), AP2 + 1.5*AV2, NA())</f>
        <v>#N/A</v>
      </c>
      <c r="AY2" s="13" t="e" cm="1">
        <f t="array" aca="1" ref="AY2" ca="1">_xlfn.LET(
  _xlpm.Data, $Y$2:$AI$1000,
  _xlpm.col,  $AJ2,
  _xlpm.vec,  INDEX(_xlpm.Data,,_xlpm.col),
  _xlpm.v,    _xlfn._xlws.FILTER(_xlpm.vec, ISNUMBER(_xlpm.vec)),
  _xlpm.f,    AW2,
  IF(OR(COUNT(_xlpm.v)=0, NOT(ISNUMBER(_xlpm.f))),
      NA(),
      IF(COUNT(_xlfn._xlws.FILTER(_xlpm.v, _xlpm.v&gt;=_xlpm.f))=0, MIN(_xlpm.v), MIN(_xlfn._xlws.FILTER(_xlpm.v, _xlpm.v&gt;=_xlpm.f)))
  )
)</f>
        <v>#N/A</v>
      </c>
      <c r="AZ2" t="e" cm="1">
        <f t="array" aca="1" ref="AZ2" ca="1">_xlfn.LET(
  _xlpm.Data, $Y$2:$AI$1000,
  _xlpm.col,  $AJ2,
  _xlpm.vec,  INDEX(_xlpm.Data,,_xlpm.col),
  _xlpm.v,    _xlfn._xlws.FILTER(_xlpm.vec, ISNUMBER(_xlpm.vec)),
  _xlpm.f,    AX2,
  IF(OR(COUNT(_xlpm.v)=0, NOT(ISNUMBER(_xlpm.f))),
      NA(),
      IF(COUNT(_xlfn._xlws.FILTER(_xlpm.v, _xlpm.v&lt;=_xlpm.f))=0, MAX(_xlpm.v), MAX(_xlfn._xlws.FILTER(_xlpm.v, _xlpm.v&lt;=_xlpm.f)))
  )
)</f>
        <v>#N/A</v>
      </c>
      <c r="BA2" t="e">
        <f t="shared" ref="BA2:BA12" ca="1" si="1">MAX(0, AZ2 - AO2)</f>
        <v>#N/A</v>
      </c>
      <c r="BB2" t="e">
        <f t="shared" ref="BB2:BB12" ca="1" si="2">MAX(0, AO2 - AY2)</f>
        <v>#N/A</v>
      </c>
      <c r="BC2" t="e">
        <f ca="1">AN2-AY2</f>
        <v>#N/A</v>
      </c>
      <c r="BD2" t="e">
        <f t="shared" ref="BD2:BD12" ca="1" si="3">AZ2-AP2</f>
        <v>#N/A</v>
      </c>
      <c r="BE2" t="e">
        <f t="shared" ref="BE2:BE12" ca="1" si="4">AN2-AM2</f>
        <v>#N/A</v>
      </c>
      <c r="BF2">
        <v>0</v>
      </c>
      <c r="BG2" t="e">
        <f t="shared" ref="BG2:BG12" ca="1" si="5">AQ2-AP2</f>
        <v>#N/A</v>
      </c>
      <c r="BH2" cm="1">
        <f t="array" ref="BH2:BH100">_xlfn.LET(
  _xlpm.rng, $Y$2:$AI$1000,
  _xlpm.v,   _xlfn.TOCOL(_xlpm.rng, 3, 1),
  _xlfn._xlws.FILTER(_xlpm.v, ISNUMBER(_xlpm.v))
)</f>
        <v>2100.4187138060079</v>
      </c>
      <c r="BI2" cm="1">
        <f t="array" ref="BI2:BI100">_xlfn.LET(
  _xlpm.rng,   Y$2:AI$1000,
  _xlpm.idx2D, COLUMN(_xlpm.rng)-MIN(COLUMN(_xlpm.rng))+1,
  _xlpm.mask,  ISNUMBER(_xlpm.rng),
  _xlpm.idx2D_masked, IF(_xlpm.mask, _xlpm.idx2D, NA()),
  _xlpm.v,  _xlfn.TOCOL(_xlpm.rng, 3, 1),
  _xlpm.x,  _xlfn.TOCOL(_xlpm.idx2D_masked, 3, 1),
  _xlfn._xlws.FILTER(_xlpm.x, ISNUMBER(_xlpm.v))
)</f>
        <v>2</v>
      </c>
      <c r="BM2" t="s">
        <v>542</v>
      </c>
      <c r="BN2" t="s">
        <v>62</v>
      </c>
      <c r="BO2" t="s">
        <v>32</v>
      </c>
      <c r="BP2" cm="1">
        <f t="array" ref="BP2:BP19">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_xlfn._xlws.FILTER(_xlpm.occZ,(_xlpm.cost="OCC")*_xlpm.capOK*_xlpm.unitOK*(_xlpm.ct="MCF")*(_xlpm.tech="Tokamak")*(_xlpm.rd="FOAK"))
)</f>
        <v>12441.316506252808</v>
      </c>
      <c r="BQ2" cm="1">
        <f t="array" ref="BQ2:BQ8">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_xlfn._xlws.FILTER(_xlpm.occZ,(_xlpm.cost="OCC")*_xlpm.capOK*_xlpm.unitOK*(_xlpm.ct="MCF")*(_xlpm.tech="Tokamak")*(_xlpm.rd="NOAK"))
)</f>
        <v>4421.9798661567875</v>
      </c>
      <c r="BR2" cm="1">
        <f t="array" ref="BR2:BR47">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_xlfn._xlws.FILTER(_xlpm.occZ,(_xlpm.cost="OCC")*_xlpm.capOK*_xlpm.unitOK*(_xlpm.ct="MCF")*(_xlpm.tech="Tokamak")*(_xlpm.rd="10th-OAK"))
)</f>
        <v>9993.2088245484265</v>
      </c>
      <c r="BS2" cm="1">
        <f t="array" ref="BS2:BS5">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_xlpm.advRaw,ISNUMBER(SEARCH("ADVANCED",_xlpm.rdU)),
  _xlpm.highAdvRaw,ISNUMBER(SEARCH("HIGHLY ADVANCED",_xlpm.rdU)),
  _xlpm.capOK,ISNUMBER(_xlpm.capMW)*(_xlpm.capMW&gt;0),
  _xlpm.unitOK,IF(_xlpm.iUnit&gt;0,ISNUMBER(SEARCH("MW",UPPER(_xlpm.unit)))*NOT(ISNUMBER(SEARCH("FUS",UPPER(_xlpm.unit)))),TRUE),
  _xlpm.occZ,IF(ISNUMBER(_xlpm.occ),_xlpm.occ,NA()),
  _xlpm.targetTech,"Tokamak",
  _xlfn._xlws.FILTER(
    _xlpm.occZ,
    (_xlpm.cost="OCC")*_xlpm.capOK*_xlpm.unitOK*(_xlpm.ct="MCF")*(_xlpm.tech=_xlpm.targetTech)*((_xlpm.advRaw+_xlpm.highAdvRaw)&gt;0)
  )
)</f>
        <v>3164.356504065041</v>
      </c>
      <c r="BT2" t="e" cm="1" vm="1">
        <f t="array" ref="BT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_xlfn._xlws.FILTER(_xlpm.occZ,(_xlpm.cost="OCC")*_xlpm.capOK*_xlpm.unitOK*(_xlpm.ct="MCF")*(_xlpm.tech="Helical")*(_xlpm.rd="FOAK"))
)</f>
        <v>#VALUE!</v>
      </c>
      <c r="BU2" cm="1">
        <f t="array" ref="BU2:BU6">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_xlfn._xlws.FILTER(_xlpm.occZ,(_xlpm.cost="OCC")*_xlpm.capOK*_xlpm.unitOK*(_xlpm.ct="MCF")*(_xlpm.tech="Helical")*(_xlpm.rd="NOAK"))
)</f>
        <v>4759.3274294038556</v>
      </c>
      <c r="BV2" t="e" cm="1" vm="1">
        <f t="array" ref="BV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_xlfn._xlws.FILTER(_xlpm.occZ,(_xlpm.cost="OCC")*_xlpm.capOK*_xlpm.unitOK*(_xlpm.ct="MCF")*(_xlpm.tech="Helical")*(_xlpm.rd="10th-OAK"))
)</f>
        <v>#VALUE!</v>
      </c>
      <c r="BW2" t="e" cm="1" vm="1">
        <f t="array" ref="BW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_xlfn._xlws.FILTER(_xlpm.occZ,(_xlpm.cost="OCC")*_xlpm.capOK*_xlpm.unitOK*(_xlpm.ct="MCF")*(_xlpm.tech="RFP")*(_xlpm.rd="FOAK"))
)</f>
        <v>#VALUE!</v>
      </c>
      <c r="BX2" t="e" cm="1" vm="1">
        <f t="array" ref="BX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_xlfn._xlws.FILTER(_xlpm.occZ,(_xlpm.cost="OCC")*_xlpm.capOK*_xlpm.unitOK*(_xlpm.ct="MCF")*(_xlpm.tech="RFP")*(_xlpm.rd="NOAK"))
)</f>
        <v>#VALUE!</v>
      </c>
      <c r="BY2" cm="1">
        <f t="array" ref="BY2:BY5">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_xlfn._xlws.FILTER(_xlpm.occZ,(_xlpm.cost="OCC")*_xlpm.capOK*_xlpm.unitOK*(_xlpm.ct="MCF")*(_xlpm.tech="RFP")*(_xlpm.rd="10th-OAK"))
)</f>
        <v>3438.9745164233582</v>
      </c>
      <c r="BZ2" t="e" cm="1" vm="1">
        <f t="array" ref="BZ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_xlfn._xlws.FILTER(_xlpm.occZ,(_xlpm.cost="OCC")*_xlpm.capOK*_xlpm.unitOK*(_xlpm.ct="MCF")*(_xlpm.tech="Mirror")*(_xlpm.rd="FOAK"))
)</f>
        <v>#VALUE!</v>
      </c>
      <c r="CA2" t="e" cm="1" vm="1">
        <f t="array" ref="CA2">_xlfn.LET(
  _xlpm.H,Fusion[#Headers],
  _xlpm.iSpec,_xlfn.XMATCH("*Specific*OCC*2018*with*contingency",_xlpm.H,2),
  _xlpm.iCap,_xlfn.XMATCH("Capacity *MW*",_xlpm.H,2),
  _xlpm.iCT,_xlfn.XMATCH("Confinement*",_xlpm.H,2),
  _xlpm.iRD,_xlfn.XMATCH("Readiness*",_xlpm.H,2),
  _xlpm.iCost,_xlfn.XMATCH("Cost Type*",_xlpm.H,2),
  _xlpm.iUnit,IFERROR(_xlfn.XMATCH("Capacity Unit*",_xlpm.H,2),0),
  _xlpm.iRT,_xlfn.XMATCH("Reactor Type*",_xlpm.H,2),
  _xlpm.occ,INDEX(Fusion[],,_xlpm.iSpec),
  _xlpm.ct_raw,INDEX(Fusion[],,_xlpm.iCT),
  _xlpm.rd_raw,INDEX(Fusion[],,_xlpm.iRD),
  _xlpm.cost,INDEX(Fusion[],,_xlpm.iCost),
  _xlpm.capMW,INDEX(Fusion[],,_xlpm.iCap),
  _xlpm.unit,IF(_xlpm.iUnit&gt;0,INDEX(Fusion[],,_xlpm.iUnit),"MW"),
  _xlpm.rt_raw,INDEX(Fusion[],,_xlpm.iRT),
  _xlpm.ct,IFERROR(_xlfn.XLOOKUP(_xlpm.ct_raw,Map_Conf[From],Map_Conf[To],_xlpm.ct_raw),_xlpm.ct_raw),
  _xlpm.rtU,UPPER(TRIM(_xlpm.rt_raw)),
  _xlpm.tech,IFERROR(
        _xlfn.XLOOKUP(_xlpm.rtU,
          {"TOKAMAK";"HELIOTRON";"HELICAL";"REVERSED-FIELD PINCH";"RFP";"MAGNETIC MIRROR";"MIRROR"},
          {"Tokamak";"Helical";"Helical";"RFP";"RFP";"Mirror";"Mirror"}
        ),
        TRIM(_xlpm.rt_raw)
      ),
  _xlpm.rdU,UPPER(TRIM(_xlpm.rd_raw)),
  _xlpm.rd,IFERROR(
        _xlfn.XLOOKUP(_xlpm.rdU,{"FOAK";"FIRST-OF-A-KIND";"FIRST OF A KIND"},{"FOAK";"FOAK";"FOAK"}),
        _xlpm.rdU
     ),
  _xlpm.capOK,ISNUMBER(_xlpm.capMW)*(_xlpm.capMW&gt;0),
  _xlpm.unitOK,IF(_xlpm.iUnit&gt;0,ISNUMBER(SEARCH("MW",UPPER(_xlpm.unit)))*NOT(ISNUMBER(SEARCH("FUS",UPPER(_xlpm.unit)))),TRUE),
  _xlpm.occZ,IF(ISNUMBER(_xlpm.occ),_xlpm.occ,NA()),
  _xlfn._xlws.FILTER(_xlpm.occZ,(_xlpm.cost="OCC")*_xlpm.capOK*_xlpm.unitOK*(_xlpm.ct="MCF")*(_xlpm.tech="Mirror")*(_xlpm.rd="NOAK"))
)</f>
        <v>#VALUE!</v>
      </c>
      <c r="CB2" cm="1">
        <f t="array" aca="1" ref="CB2:CB3" ca="1">_xlfn.LET(
  _xlpm.hdr,IFERROR(INDIRECT(ADDRESS(1,COLUMN())),""),
  _xlpm.famFromHdr,IFERROR(_xlfn.TEXTBEFORE(_xlpm.hdr,"_"),""),
  _xlpm.rdFromHdr, IFERROR(_xlfn.TEXTAFTER(_xlpm.hdr,"_"),""),
  _xlpm.famNeed,   IF(_xlpm.famFromHdr&lt;&gt;"", _xlpm.famFromHdr, "Mirror"),
  _xlpm.rdNeed,    IFERROR(
               _xlfn.XLOOKUP(LOWER(TRIM(_xlpm.rdFromHdr)),
                 {"foak";"noak";"10th-oak";"10th-of-a-kind";"10th oak";"advanced noak";"adv noak"},
                 {"FOAK";"NOAK";"10th-OAK";"10th-OAK";"10th-OAK";"Advanced NOAK";"Advanced NOAK"}
               ),
               "10th-OAK"
             ),
  _xlpm.H,Fusion[#Headers],
  _xlpm.iSpec,IFERROR(_xlfn.XMATCH("*Specific*OCC*2018*with*contingency",_xlpm.H,2),_xlfn.XMATCH("*OCC*2018*",_xlpm.H,2)),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_xlpm.rt_norm,  LOWER(CLEAN(TRIM(_xlpm.rt_raw))),
  _xlpm.map_from, LOWER(CLEAN(TRIM(Map_Reactor[From]))),
  _xlpm.fam_ex,   IFERROR(_xlfn.XLOOKUP(_xlpm.rt_norm, _xlpm.map_from, Map_Reactor[To], ""), ""),
  _xlpm.fam_wc,   IFERROR(_xlfn.XLOOKUP(TRUE, ISNUMBER(SEARCH(_xlpm.map_from, _xlpm.rt_norm)), Map_Reactor[To]), ""),
  _xlpm.fam_fbk,  IF( OR(ISNUMBER(SEARCH("tandem mirror",_xlpm.rt_norm)),
                       ISNUMBER(SEARCH("magnetic mirror",_xlpm.rt_norm)),
                       ISNUMBER(SEARCH(" mirror",_xlpm.rt_norm)) ),
                 "Mirror",
           IF( OR(ISNUMBER(SEARCH("tokamak",_xlpm.rt_norm)), ISNUMBER(SEARCH("spherical tokamak",_xlpm.rt_norm)) ), "Tokamak",
           IF( OR(ISNUMBER(SEARCH("heliotron",_xlpm.rt_norm)), ISNUMBER(SEARCH("helical",_xlpm.rt_norm)), ISNUMBER(SEARCH("stellarator",_xlpm.rt_norm)) ), "Helical",
           IF( OR(ISNUMBER(SEARCH("reversed-field pinch",_xlpm.rt_norm)), ISNUMBER(SEARCH(" rfp",_xlpm.rt_norm)) ), "RFP", "" )))),
  _xlpm.fam,      IF(_xlpm.fam_ex&lt;&gt;"", _xlpm.fam_ex, IF(_xlpm.fam_wc&lt;&gt;"", _xlpm.fam_wc, _xlpm.fam_fbk)),
  _xlpm.rd, IFERROR(
        _xlfn.XLOOKUP(LOWER(TRIM(_xlpm.rd_raw)),
          {"foak";"noak";"10th-oak";"10th-of-a-kind";"10th oak";"advanced noak";"adv noak"},
          {"FOAK";"NOAK";"10th-OAK";"10th-OAK";"10th-OAK";"Advanced NOAK";"Advanced NOAK"}
        ),
        TRIM(_xlpm.rd_raw)
      ),
  _xlpm.occZ,   IF(ISNUMBER(_xlpm.occ),_xlpm.occ,NA()),
  _xlpm.capOK,  ISNUMBER(_xlpm.capMW)*(_xlpm.capMW&gt;0),
  _xlpm.unitOK, IF(_xlpm.iUnit&gt;0, ISNUMBER(SEARCH("MW",_xlpm.unit))*NOT(ISNUMBER(SEARCH("FUS",_xlpm.unit))), TRUE),
  IFERROR(
    _xlfn._xlws.FILTER(_xlpm.occZ, (_xlpm.cost="OCC")*_xlpm.capOK*_xlpm.unitOK*(_xlpm.ct="MCF")*(_xlpm.fam="Mirror")*(_xlpm.rd="10th-OAK")),
    NA()
  )
)</f>
        <v>10528.958851803813</v>
      </c>
      <c r="CC2">
        <f>MATCH(BM2,$BM$2:$BM$14,0)</f>
        <v>1</v>
      </c>
      <c r="CD2" s="26" cm="1">
        <f t="array" aca="1" ref="CD2" ca="1">_xlfn.LET(
  _xlpm.r,OFFSET($BP$2,0,ROW(A1)-1,ROWS($BP$2:$BP$1000),1),
  _xlpm.v,_xlfn._xlws.FILTER(_xlpm.r,ISNUMBER(_xlpm.r)),
  IF(COUNT(_xlpm.v)=0,NA(),_xlfn.PERCENTILE.INC(_xlpm.v,0.975))
)</f>
        <v>29120.809725499665</v>
      </c>
      <c r="CE2" s="26" cm="1">
        <f t="array" ref="CE2">_xlfn.LET(
  _xlpm.hdr, $BP$1:$CB$1,               _xlpm.k,   _xlfn.XMATCH($BM2,_xlpm.hdr,0),
  _xlpm.col, INDEX($BP$2:$CB$1000,,_xlpm.k),
  _xlpm.v,   _xlfn._xlws.FILTER(_xlpm.col,ISNUMBER(_xlpm.col)),
  IF(COUNT(_xlpm.v)=0, NA(), AVERAGE(_xlpm.v))
)</f>
        <v>12592.491302957611</v>
      </c>
      <c r="CF2" cm="1">
        <f t="array" aca="1" ref="CF2" ca="1">_xlfn.LET(
  _xlpm.k,ROW(A1)-1,
  _xlpm.r,OFFSET($BP$2,0,_xlpm.k,ROWS($BP$2:$BP$1000),1),
  _xlpm.v,_xlfn._xlws.FILTER(_xlpm.r,ISNUMBER(_xlpm.r)),
  IF(COUNT(_xlpm.v)=0,NA(),MIN(_xlpm.v))
)</f>
        <v>6113.909565217391</v>
      </c>
      <c r="CG2" cm="1">
        <f t="array" aca="1" ref="CG2" ca="1">_xlfn.LET(
  _xlpm.k,ROW(A1)-1,
  _xlpm.r,OFFSET($BP$2,0,_xlpm.k,ROWS($BP$2:$BP$1000),1),
  _xlpm.v,_xlfn._xlws.FILTER(_xlpm.r,ISNUMBER(_xlpm.r)),
  IF(COUNT(_xlpm.v)=0,NA(),_xlfn.PERCENTILE.INC(_xlpm.v,0.25))
)</f>
        <v>8472.4900087569913</v>
      </c>
      <c r="CH2" cm="1">
        <f t="array" aca="1" ref="CH2" ca="1">_xlfn.LET(
  _xlpm.k,ROW(A1)-1,
  _xlpm.r,OFFSET($BP$2,0,_xlpm.k,ROWS($BP$2:$BP$1000),1),
  _xlpm.v,_xlfn._xlws.FILTER(_xlpm.r,ISNUMBER(_xlpm.r)),
  IF(COUNT(_xlpm.v)=0,NA(),_xlfn.PERCENTILE.INC(_xlpm.v,0.5))
)</f>
        <v>11606.754049520958</v>
      </c>
      <c r="CI2" cm="1">
        <f t="array" aca="1" ref="CI2" ca="1">_xlfn.LET(
  _xlpm.k,ROW(A1)-1,
  _xlpm.r,OFFSET($BP$2,0,_xlpm.k,ROWS($BP$2:$BP$1000),1),
  _xlpm.v,_xlfn._xlws.FILTER(_xlpm.r,ISNUMBER(_xlpm.r)),
  IF(COUNT(_xlpm.v)=0,NA(),_xlfn.PERCENTILE.INC(_xlpm.v,0.75))
)</f>
        <v>13334.008402701764</v>
      </c>
      <c r="CJ2" cm="1">
        <f t="array" aca="1" ref="CJ2" ca="1">_xlfn.LET(
  _xlpm.k,ROW(A1)-1,
  _xlpm.r,OFFSET($BP$2,0,_xlpm.k,ROWS($BP$2:$BP$1000),1),
  _xlpm.v,_xlfn._xlws.FILTER(_xlpm.r,ISNUMBER(_xlpm.r)),
  IF(COUNT(_xlpm.v)=0,NA(),MAX(_xlpm.v))
)</f>
        <v>29131.021988792512</v>
      </c>
      <c r="CK2" cm="1">
        <f t="array" aca="1" ref="CK2" ca="1">_xlfn.LET(_xlpm.r,OFFSET($BP$2,0,ROW(A1)-1,ROWS($BP$2:$BP$1000),1),
    _xlpm.v,_xlfn._xlws.FILTER(_xlpm.r,ISNUMBER(_xlpm.r)),
    _xlfn.PERCENTILE.INC(_xlpm.v,0.25))</f>
        <v>8472.4900087569913</v>
      </c>
      <c r="CL2" cm="1">
        <f t="array" aca="1" ref="CL2" ca="1">_xlfn.LET(
  _xlpm.k, ROW(A1)-1,
  _xlpm.r, OFFSET($BP$2,0,_xlpm.k,ROWS($BP$2:$BP$1000),1),
  _xlpm.v, _xlfn._xlws.FILTER(_xlpm.r, ISNUMBER(_xlpm.r)),
  IF(COUNT(_xlpm.v)=0, NA(), _xlfn.PERCENTILE.INC(_xlpm.v,0.5)-_xlfn.PERCENTILE.INC(_xlpm.v,0.25))
)</f>
        <v>3134.2640407639665</v>
      </c>
      <c r="CM2" cm="1">
        <f t="array" aca="1" ref="CM2" ca="1">_xlfn.LET(_xlpm.r,OFFSET($BP$2,0,ROW(A1)-1,ROWS($BP$2:$BP$1000),1),
    _xlpm.v,_xlfn._xlws.FILTER(_xlpm.r,ISNUMBER(_xlpm.r)),
    _xlfn.PERCENTILE.INC(_xlpm.v,0.75)-_xlfn.PERCENTILE.INC(_xlpm.v,0.5))</f>
        <v>1727.254353180806</v>
      </c>
      <c r="CN2" cm="1">
        <f t="array" aca="1" ref="CN2" ca="1">_xlfn.LET(_xlpm.r,OFFSET($BP$2,0,ROW(A1)-1,ROWS($BP$2:$BP$1000),1),
    _xlpm.v,_xlfn._xlws.FILTER(_xlpm.r,ISNUMBER(_xlpm.r)),
    MAX(_xlpm.v)-_xlfn.PERCENTILE.INC(_xlpm.v,0.75))</f>
        <v>15797.013586090749</v>
      </c>
      <c r="CO2">
        <f t="shared" ref="CO2:CO14" ca="1" si="6">CI2-CG2</f>
        <v>4861.5183939447725</v>
      </c>
      <c r="CP2">
        <f ca="1">IFERROR( MAX(0, CG2 - 1.5*CO2), NA() )</f>
        <v>1180.2124178398326</v>
      </c>
      <c r="CQ2">
        <f ca="1">IFERROR( CI2 + 1.5*CO2, NA() )</f>
        <v>20626.285993618923</v>
      </c>
      <c r="CR2" s="13" cm="1">
        <f t="array" aca="1" ref="CR2" ca="1">_xlfn.LET(
  _xlpm.Data, $BP$2:$CB$1000,
  _xlpm.col,  $CC2,
  _xlpm.vec,  INDEX(_xlpm.Data,,_xlpm.col),
  _xlpm.v,    _xlfn._xlws.FILTER(_xlpm.vec, ISNUMBER(_xlpm.vec)),
  _xlpm.f,    CP2,
  IF(COUNT(_xlpm.v)=0, NA(),
    IF(NOT(ISNUMBER(_xlpm.f)), NA(),
      _xlfn.LET(
        _xlpm.cand, _xlfn._xlws.FILTER(_xlpm.v, _xlpm.v&gt;=_xlpm.f),
        IF(COUNT(_xlpm.cand)=0, MAX(0, MIN(_xlpm.v)), MAX(0, MIN(_xlpm.cand)))
      )
    )
  )
)</f>
        <v>6113.909565217391</v>
      </c>
      <c r="CS2" cm="1">
        <f t="array" aca="1" ref="CS2" ca="1">_xlfn.LET(
  _xlpm.Data, $BP$2:$CB$1000,
  _xlpm.col,  $CC2,
  _xlpm.vec,  INDEX(_xlpm.Data,,_xlpm.col),
  _xlpm.v,    _xlfn._xlws.FILTER(_xlpm.vec, ISNUMBER(_xlpm.vec)),
  _xlpm.f,    CQ2,
  IF(COUNT(_xlpm.v)=0, NA(),
    IF(NOT(ISNUMBER(_xlpm.f)), NA(),
      _xlfn.LET(
        _xlpm.cand, _xlfn._xlws.FILTER(_xlpm.v, _xlpm.v&lt;=_xlpm.f),
        IF(COUNT(_xlpm.cand)=0, MAX(_xlpm.v), MAX(_xlpm.cand))
      )
    )
  )
)</f>
        <v>15974.702436322583</v>
      </c>
      <c r="CT2">
        <f t="shared" ref="CT2:CT14" ca="1" si="7">MAX(0, CS2 - CH2)</f>
        <v>4367.948386801625</v>
      </c>
      <c r="CU2">
        <f t="shared" ref="CU2:CU14" ca="1" si="8">MAX(0, CH2 - CR2)</f>
        <v>5492.8444843035668</v>
      </c>
      <c r="CV2">
        <f ca="1">CG2-CR2</f>
        <v>2358.5804435396003</v>
      </c>
      <c r="CW2">
        <f ca="1">CS2-CI2</f>
        <v>2640.694033620819</v>
      </c>
      <c r="CX2">
        <f t="shared" ref="CX2:CX14" ca="1" si="9">CG2-CF2</f>
        <v>2358.5804435396003</v>
      </c>
      <c r="CY2">
        <v>0</v>
      </c>
      <c r="CZ2">
        <f t="shared" ref="CZ2:CZ14" ca="1" si="10">CJ2-CI2</f>
        <v>15797.013586090749</v>
      </c>
      <c r="DA2" cm="1">
        <f t="array" aca="1" ref="DA2:DA87" ca="1">_xlfn.LET(
  _xlpm.rng, $BP$2:$CB$1000,
  _xlpm.v,   _xlfn.TOCOL(_xlpm.rng, 3, 1),
  _xlfn._xlws.FILTER(_xlpm.v, ISNUMBER(_xlpm.v))
)</f>
        <v>12441.316506252808</v>
      </c>
      <c r="DB2" cm="1">
        <f t="array" aca="1" ref="DB2:DB87" ca="1">_xlfn.LET(
  _xlpm.rng,   BP$2:CB$1000,
  _xlpm.idx2D, COLUMN(_xlpm.rng)-MIN(COLUMN(_xlpm.rng))+1,
  _xlpm.mask,  ISNUMBER(_xlpm.rng),
  _xlpm.idx2D_masked, IF(_xlpm.mask, _xlpm.idx2D, NA()),
  _xlpm.v,  _xlfn.TOCOL(_xlpm.rng, 3, 1),
  _xlpm.x,  _xlfn.TOCOL(_xlpm.idx2D_masked, 3, 1),
  _xlfn._xlws.FILTER(_xlpm.x, ISNUMBER(_xlpm.v))
)</f>
        <v>1</v>
      </c>
      <c r="DH2" t="s">
        <v>1032</v>
      </c>
      <c r="DI2" t="s">
        <v>796</v>
      </c>
      <c r="DJ2" t="s">
        <v>32</v>
      </c>
      <c r="DK2" s="13" t="e" cm="1">
        <f t="array" aca="1" ref="DK2" ca="1">_xlfn.LET(
  _xlpm.hdr, INDIRECT(ADDRESS(1,COLUMN())),
  _xlpm.famHdr, TRIM(_xlfn.TEXTBEFORE(_xlpm.hdr,"_")),
  _xlpm.rdHdr,  TRIM(_xlfn.TEXTAFTER(_xlpm.hdr,"_")),
  _xlpm.famCanon, IFERROR(
              _xlfn.XLOOKUP(LOWER(_xlpm.famHdr),
                {"direct drive";"indirect drive";"ion beam driver"},
                {"direct drive";"indirect drive";"ion beam driver"}
              ),
              ""
            ),
  _xlpm.rdNeedRaw, IFERROR(
               _xlfn.XLOOKUP(LOWER(_xlpm.rdHdr),
                 {"foak";"noak";"10th-oak";"10th of a kind";"10th oak";"advanced noak";"advanced"},
                 {"FOAK";"NOAK";"10th-OAK";"10th-OAK";"10th-OAK";"NOAK";"NOAK"}
               ),
               _xlpm.rdHdr
             ),
  _xlpm.rdNeed, LOWER(_xlpm.rdNeedRaw),
    _xlpm.H,Fusion[#Headers],
  _xlpm.iSpec, IFERROR(
           _xlfn.XMATCH("Specific OCC Cost [USD/kW, 2018] with Contingency",_xlpm.H,0),
           _xlfn.XMATCH("Specific OCC Cost [USD/kW, 2018]",_xlpm.H,0)
         ),
  _xlpm.iCT,   _xlfn.XMATCH("Confinement*",_xlpm.H,2),
  _xlpm.iRT,   IFERROR(_xlfn.XMATCH("Reactor Type*",_xlpm.H,2),_xlfn.XMATCH("Reactor*",_xlpm.H,2)),
  _xlpm.iRD,   _xlfn.XMATCH("Readiness*",_xlpm.H,2),
  _xlpm.iCost, _xlfn.XMATCH("Cost Type*",_xlpm.H,2),
  _xlpm.spec, INDEX(Fusion[],,_xlpm.iSpec),
  _xlpm.ctN,  LOWER(CLEAN(TRIM(INDEX(Fusion[],,_xlpm.iCT)))),
  _xlpm.rtN,  LOWER(CLEAN(TRIM(INDEX(Fusion[],,_xlpm.iRT)))),
  _xlpm.rdN,  LOWER(CLEAN(TRIM(INDEX(Fusion[],,_xlpm.iRD)))),
  _xlpm.costN,LOWER(CLEAN(TRIM(INDEX(Fusion[],,_xlpm.iCost)))),
  _xlpm.onlyICF,   OR(_xlpm.ctN="inertia", _xlpm.ctN="icf"),
  _xlpm.onlyOCC,   _xlpm.costN="occ",
  _xlpm.famOK,     IF(_xlpm.famCanon="", FALSE, _xlpm.rtN=_xlpm.famCanon),
  _xlpm.rdOK,      _xlpm.rdN=_xlpm.rdNeed,
  IFERROR( _xlfn._xlws.FILTER(_xlpm.spec, _xlpm.onlyICF*_xlpm.onlyOCC*_xlpm.famOK*_xlpm.rdOK), NA() )
)</f>
        <v>#N/A</v>
      </c>
      <c r="DL2" s="13" t="e" cm="1">
        <f t="array" aca="1" ref="DL2" ca="1">_xlfn.LET(
  _xlpm.hdr, INDIRECT(ADDRESS(1,COLUMN())),
  _xlpm.famHdr, TRIM(_xlfn.TEXTBEFORE(_xlpm.hdr,"_")),
  _xlpm.rdHdr,  TRIM(_xlfn.TEXTAFTER(_xlpm.hdr,"_")),
  _xlpm.famCanon, IFERROR(
              _xlfn.XLOOKUP(LOWER(_xlpm.famHdr),
                {"direct drive";"indirect drive";"ion beam driver"},
                {"direct drive";"indirect drive";"ion beam driver"}
              ),
              ""
            ),
  _xlpm.rdNeedRaw, IFERROR(
               _xlfn.XLOOKUP(LOWER(_xlpm.rdHdr),
                 {"foak";"noak";"10th-oak";"10th of a kind";"10th oak";"advanced noak";"advanced"},
                 {"FOAK";"NOAK";"10th-OAK";"10th-OAK";"10th-OAK";"NOAK";"NOAK"}
               ),
               _xlpm.rdHdr
             ),
  _xlpm.rdNeed, LOWER(_xlpm.rdNeedRaw),
    _xlpm.H,Fusion[#Headers],
  _xlpm.iSpec, IFERROR(
           _xlfn.XMATCH("Specific OCC Cost [USD/kW, 2018] with Contingency",_xlpm.H,0),
           _xlfn.XMATCH("Specific OCC Cost [USD/kW, 2018]",_xlpm.H,0)
         ),
  _xlpm.iCT,   _xlfn.XMATCH("Confinement*",_xlpm.H,2),
  _xlpm.iRT,   IFERROR(_xlfn.XMATCH("Reactor Type*",_xlpm.H,2),_xlfn.XMATCH("Reactor*",_xlpm.H,2)),
  _xlpm.iRD,   _xlfn.XMATCH("Readiness*",_xlpm.H,2),
  _xlpm.iCost, _xlfn.XMATCH("Cost Type*",_xlpm.H,2),
  _xlpm.spec, INDEX(Fusion[],,_xlpm.iSpec),
  _xlpm.ctN,  LOWER(CLEAN(TRIM(INDEX(Fusion[],,_xlpm.iCT)))),
  _xlpm.rtN,  LOWER(CLEAN(TRIM(INDEX(Fusion[],,_xlpm.iRT)))),
  _xlpm.rdN,  LOWER(CLEAN(TRIM(INDEX(Fusion[],,_xlpm.iRD)))),
  _xlpm.costN,LOWER(CLEAN(TRIM(INDEX(Fusion[],,_xlpm.iCost)))),
  _xlpm.onlyICF,   OR(_xlpm.ctN="inertia", _xlpm.ctN="icf"),
  _xlpm.onlyOCC,   _xlpm.costN="occ",
  _xlpm.famOK,     IF(_xlpm.famCanon="", FALSE, _xlpm.rtN=_xlpm.famCanon),
  _xlpm.rdOK,      _xlpm.rdN=_xlpm.rdNeed,
  IFERROR( _xlfn._xlws.FILTER(_xlpm.spec, _xlpm.onlyICF*_xlpm.onlyOCC*_xlpm.famOK*_xlpm.rdOK), NA() )
)</f>
        <v>#N/A</v>
      </c>
      <c r="DM2" s="13" cm="1">
        <f t="array" aca="1" ref="DM2:DM6" ca="1">_xlfn.LET(
  _xlpm.hdr, INDIRECT(ADDRESS(1,COLUMN())),
  _xlpm.famHdr, TRIM(_xlfn.TEXTBEFORE(_xlpm.hdr,"_")),
  _xlpm.rdHdr,  TRIM(_xlfn.TEXTAFTER(_xlpm.hdr,"_")),
  _xlpm.famCanon, IFERROR(
              _xlfn.XLOOKUP(LOWER(_xlpm.famHdr),
                {"direct drive";"indirect drive";"ion beam driver"},
                {"direct drive";"indirect drive";"ion beam driver"}
              ),
              ""
            ),
  _xlpm.rdNeedRaw, IFERROR(
               _xlfn.XLOOKUP(LOWER(_xlpm.rdHdr),
                 {"foak";"noak";"10th-oak";"10th of a kind";"10th oak";"advanced noak";"advanced"},
                 {"FOAK";"NOAK";"10th-OAK";"10th-OAK";"10th-OAK";"NOAK";"NOAK"}
               ),
               _xlpm.rdHdr
             ),
  _xlpm.rdNeed, LOWER(_xlpm.rdNeedRaw),
    _xlpm.H,Fusion[#Headers],
  _xlpm.iSpec, IFERROR(
           _xlfn.XMATCH("Specific OCC Cost [USD/kW, 2018] with Contingency",_xlpm.H,0),
           _xlfn.XMATCH("Specific OCC Cost [USD/kW, 2018]",_xlpm.H,0)
         ),
  _xlpm.iCT,   _xlfn.XMATCH("Confinement*",_xlpm.H,2),
  _xlpm.iRT,   IFERROR(_xlfn.XMATCH("Reactor Type*",_xlpm.H,2),_xlfn.XMATCH("Reactor*",_xlpm.H,2)),
  _xlpm.iRD,   _xlfn.XMATCH("Readiness*",_xlpm.H,2),
  _xlpm.iCost, _xlfn.XMATCH("Cost Type*",_xlpm.H,2),
  _xlpm.spec, INDEX(Fusion[],,_xlpm.iSpec),
  _xlpm.ctN,  LOWER(CLEAN(TRIM(INDEX(Fusion[],,_xlpm.iCT)))),
  _xlpm.rtN,  LOWER(CLEAN(TRIM(INDEX(Fusion[],,_xlpm.iRT)))),
  _xlpm.rdN,  LOWER(CLEAN(TRIM(INDEX(Fusion[],,_xlpm.iRD)))),
  _xlpm.costN,LOWER(CLEAN(TRIM(INDEX(Fusion[],,_xlpm.iCost)))),
  _xlpm.onlyICF,   OR(_xlpm.ctN="inertia", _xlpm.ctN="icf"),
  _xlpm.onlyOCC,   _xlpm.costN="occ",
  _xlpm.famOK,     IF(_xlpm.famCanon="", FALSE, _xlpm.rtN=_xlpm.famCanon),
  _xlpm.rdOK,      _xlpm.rdN=_xlpm.rdNeed,
  IFERROR( _xlfn._xlws.FILTER(_xlpm.spec, _xlpm.onlyICF*_xlpm.onlyOCC*_xlpm.famOK*_xlpm.rdOK), NA() )
)</f>
        <v>1718.16687248996</v>
      </c>
      <c r="DN2" s="13" t="e" cm="1">
        <f t="array" aca="1" ref="DN2" ca="1">_xlfn.LET(
  _xlpm.hdr, INDIRECT(ADDRESS(1,COLUMN())),
  _xlpm.famHdr, TRIM(_xlfn.TEXTBEFORE(_xlpm.hdr,"_")),
  _xlpm.rdHdr,  TRIM(_xlfn.TEXTAFTER(_xlpm.hdr,"_")),
  _xlpm.famCanon, IFERROR(
              _xlfn.XLOOKUP(LOWER(_xlpm.famHdr),
                {"direct drive";"indirect drive";"ion beam driver"},
                {"direct drive";"indirect drive";"ion beam driver"}
              ),
              ""
            ),
  _xlpm.rdNeedRaw, IFERROR(
               _xlfn.XLOOKUP(LOWER(_xlpm.rdHdr),
                 {"foak";"noak";"10th-oak";"10th of a kind";"10th oak";"advanced noak";"advanced"},
                 {"FOAK";"NOAK";"10th-OAK";"10th-OAK";"10th-OAK";"NOAK";"NOAK"}
               ),
               _xlpm.rdHdr
             ),
  _xlpm.rdNeed, LOWER(_xlpm.rdNeedRaw),
    _xlpm.H,Fusion[#Headers],
  _xlpm.iSpec, IFERROR(
           _xlfn.XMATCH("Specific OCC Cost [USD/kW, 2018] with Contingency",_xlpm.H,0),
           _xlfn.XMATCH("Specific OCC Cost [USD/kW, 2018]",_xlpm.H,0)
         ),
  _xlpm.iCT,   _xlfn.XMATCH("Confinement*",_xlpm.H,2),
  _xlpm.iRT,   IFERROR(_xlfn.XMATCH("Reactor Type*",_xlpm.H,2),_xlfn.XMATCH("Reactor*",_xlpm.H,2)),
  _xlpm.iRD,   _xlfn.XMATCH("Readiness*",_xlpm.H,2),
  _xlpm.iCost, _xlfn.XMATCH("Cost Type*",_xlpm.H,2),
  _xlpm.spec, INDEX(Fusion[],,_xlpm.iSpec),
  _xlpm.ctN,  LOWER(CLEAN(TRIM(INDEX(Fusion[],,_xlpm.iCT)))),
  _xlpm.rtN,  LOWER(CLEAN(TRIM(INDEX(Fusion[],,_xlpm.iRT)))),
  _xlpm.rdN,  LOWER(CLEAN(TRIM(INDEX(Fusion[],,_xlpm.iRD)))),
  _xlpm.costN,LOWER(CLEAN(TRIM(INDEX(Fusion[],,_xlpm.iCost)))),
  _xlpm.onlyICF,   OR(_xlpm.ctN="inertia", _xlpm.ctN="icf"),
  _xlpm.onlyOCC,   _xlpm.costN="occ",
  _xlpm.famOK,     IF(_xlpm.famCanon="", FALSE, _xlpm.rtN=_xlpm.famCanon),
  _xlpm.rdOK,      _xlpm.rdN=_xlpm.rdNeed,
  IFERROR( _xlfn._xlws.FILTER(_xlpm.spec, _xlpm.onlyICF*_xlpm.onlyOCC*_xlpm.famOK*_xlpm.rdOK), NA() )
)</f>
        <v>#N/A</v>
      </c>
      <c r="DO2" s="13" t="e" cm="1">
        <f t="array" aca="1" ref="DO2" ca="1">_xlfn.LET(
  _xlpm.hdr, INDIRECT(ADDRESS(1,COLUMN())),
  _xlpm.famHdr, TRIM(_xlfn.TEXTBEFORE(_xlpm.hdr,"_")),
  _xlpm.rdHdr,  TRIM(_xlfn.TEXTAFTER(_xlpm.hdr,"_")),
  _xlpm.famCanon, IFERROR(
              _xlfn.XLOOKUP(LOWER(_xlpm.famHdr),
                {"direct drive";"indirect drive";"ion beam driver"},
                {"direct drive";"indirect drive";"ion beam driver"}
              ),
              ""
            ),
  _xlpm.rdNeedRaw, IFERROR(
               _xlfn.XLOOKUP(LOWER(_xlpm.rdHdr),
                 {"foak";"noak";"10th-oak";"10th of a kind";"10th oak";"advanced noak";"advanced"},
                 {"FOAK";"NOAK";"10th-OAK";"10th-OAK";"10th-OAK";"NOAK";"NOAK"}
               ),
               _xlpm.rdHdr
             ),
  _xlpm.rdNeed, LOWER(_xlpm.rdNeedRaw),
    _xlpm.H,Fusion[#Headers],
  _xlpm.iSpec, IFERROR(
           _xlfn.XMATCH("Specific OCC Cost [USD/kW, 2018] with Contingency",_xlpm.H,0),
           _xlfn.XMATCH("Specific OCC Cost [USD/kW, 2018]",_xlpm.H,0)
         ),
  _xlpm.iCT,   _xlfn.XMATCH("Confinement*",_xlpm.H,2),
  _xlpm.iRT,   IFERROR(_xlfn.XMATCH("Reactor Type*",_xlpm.H,2),_xlfn.XMATCH("Reactor*",_xlpm.H,2)),
  _xlpm.iRD,   _xlfn.XMATCH("Readiness*",_xlpm.H,2),
  _xlpm.iCost, _xlfn.XMATCH("Cost Type*",_xlpm.H,2),
  _xlpm.spec, INDEX(Fusion[],,_xlpm.iSpec),
  _xlpm.ctN,  LOWER(CLEAN(TRIM(INDEX(Fusion[],,_xlpm.iCT)))),
  _xlpm.rtN,  LOWER(CLEAN(TRIM(INDEX(Fusion[],,_xlpm.iRT)))),
  _xlpm.rdN,  LOWER(CLEAN(TRIM(INDEX(Fusion[],,_xlpm.iRD)))),
  _xlpm.costN,LOWER(CLEAN(TRIM(INDEX(Fusion[],,_xlpm.iCost)))),
  _xlpm.onlyICF,   OR(_xlpm.ctN="inertia", _xlpm.ctN="icf"),
  _xlpm.onlyOCC,   _xlpm.costN="occ",
  _xlpm.famOK,     IF(_xlpm.famCanon="", FALSE, _xlpm.rtN=_xlpm.famCanon),
  _xlpm.rdOK,      _xlpm.rdN=_xlpm.rdNeed,
  IFERROR( _xlfn._xlws.FILTER(_xlpm.spec, _xlpm.onlyICF*_xlpm.onlyOCC*_xlpm.famOK*_xlpm.rdOK), NA() )
)</f>
        <v>#N/A</v>
      </c>
      <c r="DP2" s="13" cm="1">
        <f t="array" aca="1" ref="DP2" ca="1">_xlfn.LET(
  _xlpm.hdr, INDIRECT(ADDRESS(1,COLUMN())),
  _xlpm.famHdr, TRIM(_xlfn.TEXTBEFORE(_xlpm.hdr,"_")),
  _xlpm.rdHdr,  TRIM(_xlfn.TEXTAFTER(_xlpm.hdr,"_")),
  _xlpm.famCanon, IFERROR(
              _xlfn.XLOOKUP(LOWER(_xlpm.famHdr),
                {"direct drive";"indirect drive";"ion beam driver"},
                {"direct drive";"indirect drive";"ion beam driver"}
              ),
              ""
            ),
  _xlpm.rdNeedRaw, IFERROR(
               _xlfn.XLOOKUP(LOWER(_xlpm.rdHdr),
                 {"foak";"noak";"10th-oak";"10th of a kind";"10th oak";"advanced noak";"advanced"},
                 {"FOAK";"NOAK";"10th-OAK";"10th-OAK";"10th-OAK";"NOAK";"NOAK"}
               ),
               _xlpm.rdHdr
             ),
  _xlpm.rdNeed, LOWER(_xlpm.rdNeedRaw),
    _xlpm.H,Fusion[#Headers],
  _xlpm.iSpec, IFERROR(
           _xlfn.XMATCH("Specific OCC Cost [USD/kW, 2018] with Contingency",_xlpm.H,0),
           _xlfn.XMATCH("Specific OCC Cost [USD/kW, 2018]",_xlpm.H,0)
         ),
  _xlpm.iCT,   _xlfn.XMATCH("Confinement*",_xlpm.H,2),
  _xlpm.iRT,   IFERROR(_xlfn.XMATCH("Reactor Type*",_xlpm.H,2),_xlfn.XMATCH("Reactor*",_xlpm.H,2)),
  _xlpm.iRD,   _xlfn.XMATCH("Readiness*",_xlpm.H,2),
  _xlpm.iCost, _xlfn.XMATCH("Cost Type*",_xlpm.H,2),
  _xlpm.spec, INDEX(Fusion[],,_xlpm.iSpec),
  _xlpm.ctN,  LOWER(CLEAN(TRIM(INDEX(Fusion[],,_xlpm.iCT)))),
  _xlpm.rtN,  LOWER(CLEAN(TRIM(INDEX(Fusion[],,_xlpm.iRT)))),
  _xlpm.rdN,  LOWER(CLEAN(TRIM(INDEX(Fusion[],,_xlpm.iRD)))),
  _xlpm.costN,LOWER(CLEAN(TRIM(INDEX(Fusion[],,_xlpm.iCost)))),
  _xlpm.onlyICF,   OR(_xlpm.ctN="inertia", _xlpm.ctN="icf"),
  _xlpm.onlyOCC,   _xlpm.costN="occ",
  _xlpm.famOK,     IF(_xlpm.famCanon="", FALSE, _xlpm.rtN=_xlpm.famCanon),
  _xlpm.rdOK,      _xlpm.rdN=_xlpm.rdNeed,
  IFERROR( _xlfn._xlws.FILTER(_xlpm.spec, _xlpm.onlyICF*_xlpm.onlyOCC*_xlpm.famOK*_xlpm.rdOK), NA() )
)</f>
        <v>5746.7681296568235</v>
      </c>
      <c r="DQ2" s="13" t="e" cm="1">
        <f t="array" aca="1" ref="DQ2" ca="1">_xlfn.LET(
  _xlpm.hdr, INDIRECT(ADDRESS(1,COLUMN())),
  _xlpm.famHdr, TRIM(_xlfn.TEXTBEFORE(_xlpm.hdr,"_")),
  _xlpm.rdHdr,  TRIM(_xlfn.TEXTAFTER(_xlpm.hdr,"_")),
  _xlpm.famCanon, IFERROR(
              _xlfn.XLOOKUP(LOWER(_xlpm.famHdr),
                {"direct drive";"indirect drive";"ion beam driver"},
                {"direct drive";"indirect drive";"ion beam driver"}
              ),
              ""
            ),
  _xlpm.rdNeedRaw, IFERROR(
               _xlfn.XLOOKUP(LOWER(_xlpm.rdHdr),
                 {"foak";"noak";"10th-oak";"10th of a kind";"10th oak";"advanced noak";"advanced"},
                 {"FOAK";"NOAK";"10th-OAK";"10th-OAK";"10th-OAK";"NOAK";"NOAK"}
               ),
               _xlpm.rdHdr
             ),
  _xlpm.rdNeed, LOWER(_xlpm.rdNeedRaw),
    _xlpm.H,Fusion[#Headers],
  _xlpm.iSpec, IFERROR(
           _xlfn.XMATCH("Specific OCC Cost [USD/kW, 2018] with Contingency",_xlpm.H,0),
           _xlfn.XMATCH("Specific OCC Cost [USD/kW, 2018]",_xlpm.H,0)
         ),
  _xlpm.iCT,   _xlfn.XMATCH("Confinement*",_xlpm.H,2),
  _xlpm.iRT,   IFERROR(_xlfn.XMATCH("Reactor Type*",_xlpm.H,2),_xlfn.XMATCH("Reactor*",_xlpm.H,2)),
  _xlpm.iRD,   _xlfn.XMATCH("Readiness*",_xlpm.H,2),
  _xlpm.iCost, _xlfn.XMATCH("Cost Type*",_xlpm.H,2),
  _xlpm.spec, INDEX(Fusion[],,_xlpm.iSpec),
  _xlpm.ctN,  LOWER(CLEAN(TRIM(INDEX(Fusion[],,_xlpm.iCT)))),
  _xlpm.rtN,  LOWER(CLEAN(TRIM(INDEX(Fusion[],,_xlpm.iRT)))),
  _xlpm.rdN,  LOWER(CLEAN(TRIM(INDEX(Fusion[],,_xlpm.iRD)))),
  _xlpm.costN,LOWER(CLEAN(TRIM(INDEX(Fusion[],,_xlpm.iCost)))),
  _xlpm.onlyICF,   OR(_xlpm.ctN="inertia", _xlpm.ctN="icf"),
  _xlpm.onlyOCC,   _xlpm.costN="occ",
  _xlpm.famOK,     IF(_xlpm.famCanon="", FALSE, _xlpm.rtN=_xlpm.famCanon),
  _xlpm.rdOK,      _xlpm.rdN=_xlpm.rdNeed,
  IFERROR( _xlfn._xlws.FILTER(_xlpm.spec, _xlpm.onlyICF*_xlpm.onlyOCC*_xlpm.famOK*_xlpm.rdOK), NA() )
)</f>
        <v>#N/A</v>
      </c>
      <c r="DR2" s="13" cm="1">
        <f t="array" aca="1" ref="DR2" ca="1">_xlfn.LET(
  _xlpm.hdr, INDIRECT(ADDRESS(1,COLUMN())),
  _xlpm.famHdr, TRIM(_xlfn.TEXTBEFORE(_xlpm.hdr,"_")),
  _xlpm.rdHdr,  TRIM(_xlfn.TEXTAFTER(_xlpm.hdr,"_")),
  _xlpm.famCanon, IFERROR(
              _xlfn.XLOOKUP(LOWER(_xlpm.famHdr),
                {"direct drive";"indirect drive";"ion beam driver"},
                {"direct drive";"indirect drive";"ion beam driver"}
              ),
              ""
            ),
  _xlpm.rdNeedRaw, IFERROR(
               _xlfn.XLOOKUP(LOWER(_xlpm.rdHdr),
                 {"foak";"noak";"10th-oak";"10th of a kind";"10th oak";"advanced noak";"advanced"},
                 {"FOAK";"NOAK";"10th-OAK";"10th-OAK";"10th-OAK";"NOAK";"NOAK"}
               ),
               _xlpm.rdHdr
             ),
  _xlpm.rdNeed, LOWER(_xlpm.rdNeedRaw),
    _xlpm.H,Fusion[#Headers],
  _xlpm.iSpec, IFERROR(
           _xlfn.XMATCH("Specific OCC Cost [USD/kW, 2018] with Contingency",_xlpm.H,0),
           _xlfn.XMATCH("Specific OCC Cost [USD/kW, 2018]",_xlpm.H,0)
         ),
  _xlpm.iCT,   _xlfn.XMATCH("Confinement*",_xlpm.H,2),
  _xlpm.iRT,   IFERROR(_xlfn.XMATCH("Reactor Type*",_xlpm.H,2),_xlfn.XMATCH("Reactor*",_xlpm.H,2)),
  _xlpm.iRD,   _xlfn.XMATCH("Readiness*",_xlpm.H,2),
  _xlpm.iCost, _xlfn.XMATCH("Cost Type*",_xlpm.H,2),
  _xlpm.spec, INDEX(Fusion[],,_xlpm.iSpec),
  _xlpm.ctN,  LOWER(CLEAN(TRIM(INDEX(Fusion[],,_xlpm.iCT)))),
  _xlpm.rtN,  LOWER(CLEAN(TRIM(INDEX(Fusion[],,_xlpm.iRT)))),
  _xlpm.rdN,  LOWER(CLEAN(TRIM(INDEX(Fusion[],,_xlpm.iRD)))),
  _xlpm.costN,LOWER(CLEAN(TRIM(INDEX(Fusion[],,_xlpm.iCost)))),
  _xlpm.onlyICF,   OR(_xlpm.ctN="inertia", _xlpm.ctN="icf"),
  _xlpm.onlyOCC,   _xlpm.costN="occ",
  _xlpm.famOK,     IF(_xlpm.famCanon="", FALSE, _xlpm.rtN=_xlpm.famCanon),
  _xlpm.rdOK,      _xlpm.rdN=_xlpm.rdNeed,
  IFERROR( _xlfn._xlws.FILTER(_xlpm.spec, _xlpm.onlyICF*_xlpm.onlyOCC*_xlpm.famOK*_xlpm.rdOK), NA() )
)</f>
        <v>2100.4187138060079</v>
      </c>
      <c r="DS2" s="13" cm="1">
        <f t="array" aca="1" ref="DS2" ca="1">_xlfn.LET(
  _xlpm.hdr, INDIRECT(ADDRESS(1,COLUMN())),
  _xlpm.famHdr, TRIM(_xlfn.TEXTBEFORE(_xlpm.hdr,"_")),
  _xlpm.rdHdr,  TRIM(_xlfn.TEXTAFTER(_xlpm.hdr,"_")),
  _xlpm.famCanon, IFERROR(
              _xlfn.XLOOKUP(LOWER(_xlpm.famHdr),
                {"direct drive";"indirect drive";"ion beam driver"},
                {"direct drive";"indirect drive";"ion beam driver"}
              ),
              ""
            ),
  _xlpm.rdNeedRaw, IFERROR(
               _xlfn.XLOOKUP(LOWER(_xlpm.rdHdr),
                 {"foak";"noak";"10th-oak";"10th of a kind";"10th oak";"advanced noak";"advanced"},
                 {"FOAK";"NOAK";"10th-OAK";"10th-OAK";"10th-OAK";"NOAK";"NOAK"}
               ),
               _xlpm.rdHdr
             ),
  _xlpm.rdNeed, LOWER(_xlpm.rdNeedRaw),
    _xlpm.H,Fusion[#Headers],
  _xlpm.iSpec, IFERROR(
           _xlfn.XMATCH("Specific OCC Cost [USD/kW, 2018] with Contingency",_xlpm.H,0),
           _xlfn.XMATCH("Specific OCC Cost [USD/kW, 2018]",_xlpm.H,0)
         ),
  _xlpm.iCT,   _xlfn.XMATCH("Confinement*",_xlpm.H,2),
  _xlpm.iRT,   IFERROR(_xlfn.XMATCH("Reactor Type*",_xlpm.H,2),_xlfn.XMATCH("Reactor*",_xlpm.H,2)),
  _xlpm.iRD,   _xlfn.XMATCH("Readiness*",_xlpm.H,2),
  _xlpm.iCost, _xlfn.XMATCH("Cost Type*",_xlpm.H,2),
  _xlpm.spec, INDEX(Fusion[],,_xlpm.iSpec),
  _xlpm.ctN,  LOWER(CLEAN(TRIM(INDEX(Fusion[],,_xlpm.iCT)))),
  _xlpm.rtN,  LOWER(CLEAN(TRIM(INDEX(Fusion[],,_xlpm.iRT)))),
  _xlpm.rdN,  LOWER(CLEAN(TRIM(INDEX(Fusion[],,_xlpm.iRD)))),
  _xlpm.costN,LOWER(CLEAN(TRIM(INDEX(Fusion[],,_xlpm.iCost)))),
  _xlpm.onlyICF,   OR(_xlpm.ctN="inertia", _xlpm.ctN="icf"),
  _xlpm.onlyOCC,   _xlpm.costN="occ",
  _xlpm.famOK,     IF(_xlpm.famCanon="", FALSE, _xlpm.rtN=_xlpm.famCanon),
  _xlpm.rdOK,      _xlpm.rdN=_xlpm.rdNeed,
  IFERROR( _xlfn._xlws.FILTER(_xlpm.spec, _xlpm.onlyICF*_xlpm.onlyOCC*_xlpm.famOK*_xlpm.rdOK), NA() )
)</f>
        <v>9122.992414858385</v>
      </c>
      <c r="DT2">
        <f>MATCH(DH2,$DH$2:$DH$10,0)</f>
        <v>1</v>
      </c>
      <c r="DU2" s="26" t="e" cm="1">
        <f t="array" aca="1" ref="DU2" ca="1">_xlfn.LET(
  _xlpm.r,OFFSET($DK$2,0,ROW(A1)-1,ROWS($DK$2:$DK$1000),1),
  _xlpm.v,_xlfn._xlws.FILTER(_xlpm.r,ISNUMBER(_xlpm.r)),
  IF(COUNT(_xlpm.v)=0,NA(),_xlfn.PERCENTILE.INC(_xlpm.v,0.975))
)</f>
        <v>#N/A</v>
      </c>
      <c r="DV2" s="26" t="e" cm="1">
        <f t="array" aca="1" ref="DV2" ca="1">_xlfn.LET(
  _xlpm.hdr, $DK$1:$DS$1,               _xlpm.k,   _xlfn.XMATCH($DH2,_xlpm.hdr,0),
  _xlpm.col, INDEX($DK$2:$DS$1000,,_xlpm.k),
  _xlpm.v,   _xlfn._xlws.FILTER(_xlpm.col,ISNUMBER(_xlpm.col)),
  IF(COUNT(_xlpm.v)=0, NA(), AVERAGE(_xlpm.v))
)</f>
        <v>#N/A</v>
      </c>
      <c r="DW2" t="e" cm="1">
        <f t="array" aca="1" ref="DW2" ca="1">_xlfn.LET(
  _xlpm.k,ROW(A1)-1,
  _xlpm.r,OFFSET($DK$2,0,_xlpm.k,ROWS($DK$2:$DK$1000),1),
  _xlpm.v,_xlfn._xlws.FILTER(_xlpm.r,ISNUMBER(_xlpm.r)),
  IF(COUNT(_xlpm.v)=0,NA(),MIN(_xlpm.v))
)</f>
        <v>#N/A</v>
      </c>
      <c r="DX2" t="e" cm="1">
        <f t="array" aca="1" ref="DX2" ca="1">_xlfn.LET(
  _xlpm.k,ROW(A1)-1,
  _xlpm.r,OFFSET($DK$2,0,_xlpm.k,ROWS($DK$2:$DK$1000),1),
  _xlpm.v,_xlfn._xlws.FILTER(_xlpm.r,ISNUMBER(_xlpm.r)),
  IF(COUNT(_xlpm.v)=0,NA(),_xlfn.PERCENTILE.INC(_xlpm.v,0.25))
)</f>
        <v>#N/A</v>
      </c>
      <c r="DY2" t="e" cm="1">
        <f t="array" aca="1" ref="DY2" ca="1">_xlfn.LET(
  _xlpm.k,ROW(A1)-1,
  _xlpm.r,OFFSET($DK$2,0,_xlpm.k,ROWS($DK$2:$DK$1000),1),
  _xlpm.v,_xlfn._xlws.FILTER(_xlpm.r,ISNUMBER(_xlpm.r)),
  IF(COUNT(_xlpm.v)=0,NA(),_xlfn.PERCENTILE.INC(_xlpm.v,0.5))
)</f>
        <v>#N/A</v>
      </c>
      <c r="DZ2" t="e" cm="1">
        <f t="array" aca="1" ref="DZ2" ca="1">_xlfn.LET(
  _xlpm.k,ROW(A1)-1,
  _xlpm.r,OFFSET($DK$2,0,_xlpm.k,ROWS($DK$2:$DK$1000),1),
  _xlpm.v,_xlfn._xlws.FILTER(_xlpm.r,ISNUMBER(_xlpm.r)),
  IF(COUNT(_xlpm.v)=0,NA(),_xlfn.PERCENTILE.INC(_xlpm.v,0.75))
)</f>
        <v>#N/A</v>
      </c>
      <c r="EA2" t="e" cm="1">
        <f t="array" aca="1" ref="EA2" ca="1">_xlfn.LET(
  _xlpm.k,ROW(A1)-1,
  _xlpm.r,OFFSET($DK$2,0,_xlpm.k,ROWS($DK$2:$DK$1000),1),
  _xlpm.v,_xlfn._xlws.FILTER(_xlpm.r,ISNUMBER(_xlpm.r)),
  IF(COUNT(_xlpm.v)=0,NA(),MAX(_xlpm.v))
)</f>
        <v>#N/A</v>
      </c>
      <c r="EB2" t="e" cm="1" vm="1">
        <f t="array" aca="1" ref="EB2" ca="1">_xlfn.LET(_xlpm.r,OFFSET($DK$2,0,ROW(A1)-1,ROWS($DK$2:$DK$1000),1),
    _xlpm.v,_xlfn._xlws.FILTER(_xlpm.r,ISNUMBER(_xlpm.r)),
    _xlfn.PERCENTILE.INC(_xlpm.v,0.25))</f>
        <v>#VALUE!</v>
      </c>
      <c r="EC2" t="e" cm="1">
        <f t="array" aca="1" ref="EC2" ca="1">_xlfn.LET(
  _xlpm.k, ROW(A1)-1,
  _xlpm.r, OFFSET($DK$2,0,_xlpm.k,ROWS($DK$2:$DK$1000),1),
  _xlpm.v, _xlfn._xlws.FILTER(_xlpm.r, ISNUMBER(_xlpm.r)),
  IF(COUNT(_xlpm.v)=0, NA(), _xlfn.PERCENTILE.INC(_xlpm.v,0.5)-_xlfn.PERCENTILE.INC(_xlpm.v,0.25))
)</f>
        <v>#N/A</v>
      </c>
      <c r="ED2" t="e" cm="1" vm="1">
        <f t="array" aca="1" ref="ED2" ca="1">_xlfn.LET(_xlpm.r,OFFSET($DK$2,0,ROW(A1)-1,ROWS($DK$2:$DK$1000),1),
    _xlpm.v,_xlfn._xlws.FILTER(_xlpm.r,ISNUMBER(_xlpm.r)),
    _xlfn.PERCENTILE.INC(_xlpm.v,0.75)-_xlfn.PERCENTILE.INC(_xlpm.v,0.5))</f>
        <v>#VALUE!</v>
      </c>
      <c r="EE2" t="e" cm="1" vm="1">
        <f t="array" aca="1" ref="EE2" ca="1">_xlfn.LET(_xlpm.r,OFFSET($DK$2,0,ROW(A1)-1,ROWS($DK$2:$DK$1000),1),
    _xlpm.v,_xlfn._xlws.FILTER(_xlpm.r,ISNUMBER(_xlpm.r)),
    MAX(_xlpm.v)-_xlfn.PERCENTILE.INC(_xlpm.v,0.75))</f>
        <v>#VALUE!</v>
      </c>
      <c r="EF2" t="e">
        <f t="shared" ref="EF2:EF10" ca="1" si="11">DZ2-DX2</f>
        <v>#N/A</v>
      </c>
      <c r="EG2" t="e">
        <f ca="1">IFERROR( MAX(0, DX2 - 1.5*EF2), NA() )</f>
        <v>#N/A</v>
      </c>
      <c r="EH2" t="e">
        <f ca="1">IFERROR( DZ2 + 1.5*EF2, NA() )</f>
        <v>#N/A</v>
      </c>
      <c r="EI2" s="13" t="e" cm="1">
        <f t="array" aca="1" ref="EI2" ca="1">_xlfn.LET(
  _xlpm.Data, $DK$2:$DS$1000,
  _xlpm.col,  $DT2,
  _xlpm.vec,  INDEX(_xlpm.Data,,_xlpm.col),
  _xlpm.v,    _xlfn._xlws.FILTER(_xlpm.vec, ISNUMBER(_xlpm.vec)),
  _xlpm.f,    EG2,
  IF(COUNT(_xlpm.v)=0, NA(),
    IF(NOT(ISNUMBER(_xlpm.f)), NA(),
      _xlfn.LET(
        _xlpm.cand, _xlfn._xlws.FILTER(_xlpm.v, _xlpm.v&gt;=_xlpm.f),
        IF(COUNT(_xlpm.cand)=0, MAX(0, MIN(_xlpm.v)), MAX(0, MIN(_xlpm.cand)))
      )
    )
  )
)</f>
        <v>#N/A</v>
      </c>
      <c r="EJ2" t="e" cm="1">
        <f t="array" aca="1" ref="EJ2" ca="1">_xlfn.LET(
  _xlpm.Data, $DK$2:$DS$1000,
  _xlpm.col,  $DT2,
  _xlpm.vec,  INDEX(_xlpm.Data,,_xlpm.col),
  _xlpm.v,    _xlfn._xlws.FILTER(_xlpm.vec, ISNUMBER(_xlpm.vec)),
  _xlpm.f,    EH2,
  IF(COUNT(_xlpm.v)=0, NA(),
    IF(NOT(ISNUMBER(_xlpm.f)), NA(),
      _xlfn.LET(
        _xlpm.cand, _xlfn._xlws.FILTER(_xlpm.v, _xlpm.v&lt;=_xlpm.f),
        IF(COUNT(_xlpm.cand)=0, MAX(_xlpm.v), MAX(_xlpm.cand))
      )
    )
  )
)</f>
        <v>#N/A</v>
      </c>
      <c r="EK2" t="e">
        <f t="shared" ref="EK2:EK10" ca="1" si="12">MAX(0, EJ2 - DY2)</f>
        <v>#N/A</v>
      </c>
      <c r="EL2" t="e">
        <f t="shared" ref="EL2:EL10" ca="1" si="13">MAX(0, DY2 - EI2)</f>
        <v>#N/A</v>
      </c>
      <c r="EM2" t="e">
        <f ca="1">DX2-EI2</f>
        <v>#N/A</v>
      </c>
      <c r="EN2" t="e">
        <f ca="1">EJ2-DZ2</f>
        <v>#N/A</v>
      </c>
      <c r="EO2" t="e">
        <f t="shared" ref="EO2:EO10" ca="1" si="14">DX2-DW2</f>
        <v>#N/A</v>
      </c>
      <c r="EP2">
        <v>0</v>
      </c>
      <c r="EQ2" t="e">
        <f t="shared" ref="EQ2:EQ10" ca="1" si="15">EA2-DZ2</f>
        <v>#N/A</v>
      </c>
      <c r="ER2" cm="1">
        <f t="array" aca="1" ref="ER2:ER9" ca="1">_xlfn.LET(
  _xlpm.rng, $DK$2:$DS$1000,
  _xlpm.v,   _xlfn.TOCOL(_xlpm.rng, 3, 1),
  _xlfn._xlws.FILTER(_xlpm.v, ISNUMBER(_xlpm.v))
)</f>
        <v>1718.16687248996</v>
      </c>
      <c r="ES2" cm="1">
        <f t="array" aca="1" ref="ES2:ES9" ca="1">_xlfn.LET(
  _xlpm.rng,   DK$2:DS$1000,
  _xlpm.idx2D, COLUMN(_xlpm.rng)-MIN(COLUMN(_xlpm.rng))+1,
  _xlpm.mask,  ISNUMBER(_xlpm.rng),
  _xlpm.idx2D_masked, IF(_xlpm.mask, _xlpm.idx2D, NA()),
  _xlpm.v,  _xlfn.TOCOL(_xlpm.rng, 3, 1),
  _xlpm.x,  _xlfn.TOCOL(_xlpm.idx2D_masked, 3, 1),
  _xlfn._xlws.FILTER(_xlpm.x, ISNUMBER(_xlpm.v))
)</f>
        <v>3</v>
      </c>
      <c r="FB2" s="13"/>
      <c r="FC2" s="13"/>
      <c r="FD2" s="13"/>
      <c r="FE2" s="13"/>
      <c r="FF2" s="13"/>
      <c r="FG2" s="13"/>
      <c r="FH2" s="13"/>
      <c r="FI2" s="13"/>
      <c r="FJ2" s="13"/>
      <c r="FL2" s="26"/>
      <c r="FM2" s="26"/>
      <c r="FZ2" s="13"/>
    </row>
    <row r="3" spans="1:192">
      <c r="A3" t="s">
        <v>519</v>
      </c>
      <c r="B3" t="s">
        <v>388</v>
      </c>
      <c r="C3" t="s">
        <v>57</v>
      </c>
      <c r="D3" cm="1">
        <f t="array" ref="D3">_xlfn.LET(
 _xlpm.A,$A3,_xlpm.B,$B3,_xlpm.C,$C3,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2100.3070606742936</v>
      </c>
      <c r="E3" cm="1">
        <f t="array" ref="E3">_xlfn.LET(
 _xlpm.A,$A3,_xlpm.B,$B3,_xlpm.C,$C3,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2100.3070606742936</v>
      </c>
      <c r="F3" cm="1">
        <f t="array" ref="F3">_xlfn.LET(
 _xlpm.A,$A3,_xlpm.B,$B3,_xlpm.C,$C3,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2100.3070606742936</v>
      </c>
      <c r="G3" cm="1">
        <f t="array" ref="G3">_xlfn.LET(
 _xlpm.A,$A3,_xlpm.B,$B3,_xlpm.C,$C3,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2100.3070606742936</v>
      </c>
      <c r="H3">
        <f t="shared" ref="H3:H17" si="16">MAX($D3-$G3,0)</f>
        <v>0</v>
      </c>
      <c r="I3">
        <f t="shared" ref="I3:I20" si="17">ROW()-ROW($A$2)+1</f>
        <v>2</v>
      </c>
      <c r="J3" t="e">
        <f t="shared" ref="J3:J20" si="18">IF($C3="FOAK", $G3, NA())</f>
        <v>#N/A</v>
      </c>
      <c r="K3">
        <f t="shared" ref="K3:K20" si="19">IF($C3="NOAK", $G3, NA())</f>
        <v>2100.3070606742936</v>
      </c>
      <c r="L3" t="e">
        <f t="shared" ref="L3:L20" si="20">IF($C3="10th-OAK", $G3, NA())</f>
        <v>#N/A</v>
      </c>
      <c r="M3" t="e">
        <f t="shared" ref="M3:M20" si="21">IF($C3="75th-OAK", $G3, NA())</f>
        <v>#N/A</v>
      </c>
      <c r="N3" t="e">
        <f t="shared" ref="N3:N20" si="22">IF($C3="100th-OAK", $G3, NA())</f>
        <v>#N/A</v>
      </c>
      <c r="O3" cm="1">
        <f t="array" ref="O3">_xlfn.LET(
 _xlpm.A,$A3,_xlpm.B,$B3,_xlpm.C,$C3,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1</v>
      </c>
      <c r="P3" t="str">
        <f t="shared" ref="P3:P20" si="23">IFERROR("n="&amp;O3,"")</f>
        <v>n=1</v>
      </c>
      <c r="V3" t="s">
        <v>533</v>
      </c>
      <c r="W3" t="s">
        <v>519</v>
      </c>
      <c r="X3" t="s">
        <v>57</v>
      </c>
      <c r="AA3">
        <v>2196.6495685713148</v>
      </c>
      <c r="AB3">
        <v>15974.702436322583</v>
      </c>
      <c r="AC3">
        <v>4421.9798661567875</v>
      </c>
      <c r="AD3">
        <v>10528.958851803813</v>
      </c>
      <c r="AE3">
        <v>4301.7749709639957</v>
      </c>
      <c r="AH3">
        <v>10235.799303075883</v>
      </c>
      <c r="AI3">
        <v>2025.5610465989603</v>
      </c>
      <c r="AJ3">
        <f>MATCH(V3,$V$2:$V$12,0)</f>
        <v>2</v>
      </c>
      <c r="AK3" s="26" cm="1">
        <f t="array" aca="1" ref="AK3" ca="1">_xlfn.LET(
  _xlpm.r,OFFSET($Y$2,0,ROW(A2)-1,ROWS($Y$2:$Y$1000),1),
  _xlpm.v,_xlfn._xlws.FILTER(_xlpm.r,ISNUMBER(_xlpm.r)),
  IF(COUNT(_xlpm.v)=0,NA(),_xlfn.PERCENTILE.INC(_xlpm.v,0.975))
)</f>
        <v>2100.4187138060079</v>
      </c>
      <c r="AL3" s="26" cm="1">
        <f t="array" ref="AL3">_xlfn.LET(
  _xlpm.hdr, $Y$1:$AI$1,               _xlpm.k,   _xlfn.XMATCH($V3,_xlpm.hdr,0),
  _xlpm.col, INDEX($Y$2:$AI$1000,,_xlpm.k),
  _xlpm.v,   _xlfn._xlws.FILTER(_xlpm.col,ISNUMBER(_xlpm.col)),
  IF(COUNT(_xlpm.v)=0, NA(), AVERAGE(_xlpm.v))
)</f>
        <v>2100.4187138060079</v>
      </c>
      <c r="AM3" cm="1">
        <f t="array" aca="1" ref="AM3" ca="1">_xlfn.LET(
  _xlpm.k,ROW(A2)-1,
  _xlpm.r,OFFSET($Y$2,0,_xlpm.k,ROWS($Y$2:$Y$1000),1),
  _xlpm.v,_xlfn._xlws.FILTER(_xlpm.r,ISNUMBER(_xlpm.r)),
  IF(COUNT(_xlpm.v)=0,NA(),MIN(_xlpm.v))
)</f>
        <v>2100.4187138060079</v>
      </c>
      <c r="AN3" cm="1">
        <f t="array" aca="1" ref="AN3" ca="1">_xlfn.LET(
  _xlpm.k,ROW(A2)-1,
  _xlpm.r,OFFSET($Y$2,0,_xlpm.k,ROWS($Y$2:$Y$1000),1),
  _xlpm.v,_xlfn._xlws.FILTER(_xlpm.r,ISNUMBER(_xlpm.r)),
  IF(COUNT(_xlpm.v)=0,NA(),_xlfn.PERCENTILE.INC(_xlpm.v,0.25))
)</f>
        <v>2100.4187138060079</v>
      </c>
      <c r="AO3" cm="1">
        <f t="array" aca="1" ref="AO3" ca="1">_xlfn.LET(
  _xlpm.k,ROW(A2)-1,
  _xlpm.r,OFFSET($Y$2,0,_xlpm.k,ROWS($Y$2:$Y$1000),1),
  _xlpm.v,_xlfn._xlws.FILTER(_xlpm.r,ISNUMBER(_xlpm.r)),
  IF(COUNT(_xlpm.v)=0,NA(),_xlfn.PERCENTILE.INC(_xlpm.v,0.5))
)</f>
        <v>2100.4187138060079</v>
      </c>
      <c r="AP3" cm="1">
        <f t="array" ref="AP3">_xlfn.LET(
  _xlpm.Data, $Y$2:$AI$1000,
  _xlpm.col,  $AJ3,
  _xlpm.vec,  INDEX(_xlpm.Data,,_xlpm.col),
  _xlpm.v,    _xlfn._xlws.FILTER(_xlpm.vec, ISNUMBER(_xlpm.vec)),
  IF(COUNT(_xlpm.v)=0, NA(), _xlfn.PERCENTILE.INC(_xlpm.v, 0.75))
)</f>
        <v>2100.4187138060079</v>
      </c>
      <c r="AQ3" cm="1">
        <f t="array" aca="1" ref="AQ3" ca="1">_xlfn.LET(
  _xlpm.k,ROW(A2)-1,
  _xlpm.r,OFFSET($Y$2,0,_xlpm.k,ROWS($Y$2:$Y$1000),1),
  _xlpm.v,_xlfn._xlws.FILTER(_xlpm.r,ISNUMBER(_xlpm.r)),
  IF(COUNT(_xlpm.v)=0,NA(),MAX(_xlpm.v))
)</f>
        <v>2100.4187138060079</v>
      </c>
      <c r="AR3" cm="1">
        <f t="array" aca="1" ref="AR3" ca="1">_xlfn.LET(_xlpm.r,OFFSET($Y$2,0,ROW(A2)-1,ROWS($Y$2:$Y$1000),1),
    _xlpm.v,_xlfn._xlws.FILTER(_xlpm.r,ISNUMBER(_xlpm.r)),
    _xlfn.PERCENTILE.INC(_xlpm.v,0.25))</f>
        <v>2100.4187138060079</v>
      </c>
      <c r="AS3" cm="1">
        <f t="array" aca="1" ref="AS3" ca="1">_xlfn.LET(
  _xlpm.k, ROW(A2)-1,
  _xlpm.r, OFFSET($Y$2,0,_xlpm.k,ROWS($Y$2:$Y$1000),1),
  _xlpm.v, _xlfn._xlws.FILTER(_xlpm.r, ISNUMBER(_xlpm.r)),
  IF(COUNT(_xlpm.v)=0, NA(), _xlfn.PERCENTILE.INC(_xlpm.v,0.5)-_xlfn.PERCENTILE.INC(_xlpm.v,0.25))
)</f>
        <v>0</v>
      </c>
      <c r="AT3" cm="1">
        <f t="array" aca="1" ref="AT3" ca="1">_xlfn.LET(_xlpm.r,OFFSET($Y$2,0,ROW(A2)-1,ROWS($Y$2:$Y$1000),1),
    _xlpm.v,_xlfn._xlws.FILTER(_xlpm.r,ISNUMBER(_xlpm.r)),
    _xlfn.PERCENTILE.INC(_xlpm.v,0.75)-_xlfn.PERCENTILE.INC(_xlpm.v,0.5))</f>
        <v>0</v>
      </c>
      <c r="AU3" cm="1">
        <f t="array" aca="1" ref="AU3" ca="1">_xlfn.LET(_xlpm.r,OFFSET($Y$2,0,ROW(A2)-1,ROWS($Y$2:$Y$1000),1),
    _xlpm.v,_xlfn._xlws.FILTER(_xlpm.r,ISNUMBER(_xlpm.r)),
    MAX(_xlpm.v)-_xlfn.PERCENTILE.INC(_xlpm.v,0.75))</f>
        <v>0</v>
      </c>
      <c r="AV3">
        <f t="shared" ca="1" si="0"/>
        <v>0</v>
      </c>
      <c r="AW3">
        <f t="shared" ref="AW3:AW12" ca="1" si="24" xml:space="preserve"> IF(AND(ISNUMBER(AN3), ISNUMBER(AV3)), AN3 - 1.5*AV3, NA())</f>
        <v>2100.4187138060079</v>
      </c>
      <c r="AX3">
        <f t="shared" ref="AX3:AX12" ca="1" si="25" xml:space="preserve"> IF(AND(ISNUMBER(AP3), ISNUMBER(AV3)), AP3 + 1.5*AV3, NA())</f>
        <v>2100.4187138060079</v>
      </c>
      <c r="AY3" s="13" cm="1">
        <f t="array" aca="1" ref="AY3" ca="1">_xlfn.LET(
  _xlpm.Data, $Y$2:$AI$1000,
  _xlpm.col,  $AJ3,
  _xlpm.vec,  INDEX(_xlpm.Data,,_xlpm.col),
  _xlpm.v,    _xlfn._xlws.FILTER(_xlpm.vec, ISNUMBER(_xlpm.vec)),
  _xlpm.f,    AW3,
  IF(OR(COUNT(_xlpm.v)=0, NOT(ISNUMBER(_xlpm.f))),
      NA(),
      IF(COUNT(_xlfn._xlws.FILTER(_xlpm.v, _xlpm.v&gt;=_xlpm.f))=0, MIN(_xlpm.v), MIN(_xlfn._xlws.FILTER(_xlpm.v, _xlpm.v&gt;=_xlpm.f)))
  )
)</f>
        <v>2100.4187138060079</v>
      </c>
      <c r="AZ3" cm="1">
        <f t="array" aca="1" ref="AZ3" ca="1">_xlfn.LET(
  _xlpm.Data, $Y$2:$AI$1000,
  _xlpm.col,  $AJ3,
  _xlpm.vec,  INDEX(_xlpm.Data,,_xlpm.col),
  _xlpm.v,    _xlfn._xlws.FILTER(_xlpm.vec, ISNUMBER(_xlpm.vec)),
  _xlpm.f,    AX3,
  IF(OR(COUNT(_xlpm.v)=0, NOT(ISNUMBER(_xlpm.f))),
      NA(),
      IF(COUNT(_xlfn._xlws.FILTER(_xlpm.v, _xlpm.v&lt;=_xlpm.f))=0, MAX(_xlpm.v), MAX(_xlfn._xlws.FILTER(_xlpm.v, _xlpm.v&lt;=_xlpm.f)))
  )
)</f>
        <v>2100.4187138060079</v>
      </c>
      <c r="BA3">
        <f t="shared" ca="1" si="1"/>
        <v>0</v>
      </c>
      <c r="BB3">
        <f t="shared" ca="1" si="2"/>
        <v>0</v>
      </c>
      <c r="BC3">
        <f t="shared" ref="BC3:BC12" ca="1" si="26">AN3-AY3</f>
        <v>0</v>
      </c>
      <c r="BD3">
        <f t="shared" ca="1" si="3"/>
        <v>0</v>
      </c>
      <c r="BE3">
        <f t="shared" ca="1" si="4"/>
        <v>0</v>
      </c>
      <c r="BF3">
        <v>0</v>
      </c>
      <c r="BG3">
        <f t="shared" ca="1" si="5"/>
        <v>0</v>
      </c>
      <c r="BH3">
        <v>1718.16687248996</v>
      </c>
      <c r="BI3">
        <v>3</v>
      </c>
      <c r="BM3" t="s">
        <v>543</v>
      </c>
      <c r="BN3" t="s">
        <v>62</v>
      </c>
      <c r="BO3" t="s">
        <v>57</v>
      </c>
      <c r="BP3">
        <v>15974.702436322583</v>
      </c>
      <c r="BQ3">
        <v>8940.4134892889124</v>
      </c>
      <c r="BR3">
        <v>5392.8326455299357</v>
      </c>
      <c r="BS3">
        <v>4301.7749709639957</v>
      </c>
      <c r="BU3">
        <v>5882.8595673719446</v>
      </c>
      <c r="BY3">
        <v>3489.3792062043799</v>
      </c>
      <c r="CB3">
        <f ca="1"/>
        <v>8603.6378615167214</v>
      </c>
      <c r="CC3">
        <f t="shared" ref="CC3:CC14" si="27">MATCH(BM3,$BM$2:$BM$14,0)</f>
        <v>2</v>
      </c>
      <c r="CD3" s="26" cm="1">
        <f t="array" aca="1" ref="CD3" ca="1">_xlfn.LET(
  _xlpm.r,OFFSET($BP$2,0,ROW(A2)-1,ROWS($BP$2:$BP$1000),1),
  _xlpm.v,_xlfn._xlws.FILTER(_xlpm.r,ISNUMBER(_xlpm.r)),
  IF(COUNT(_xlpm.v)=0,NA(),_xlfn.PERCENTILE.INC(_xlpm.v,0.975))
)</f>
        <v>15163.336584805127</v>
      </c>
      <c r="CE3" s="26" cm="1">
        <f t="array" ref="CE3">_xlfn.LET(
  _xlpm.hdr, $BP$1:$CB$1,               _xlpm.k,   _xlfn.XMATCH($BM3,_xlpm.hdr,0),
  _xlpm.col, INDEX($BP$2:$CB$1000,,_xlpm.k),
  _xlpm.v,   _xlfn._xlws.FILTER(_xlpm.col,ISNUMBER(_xlpm.col)),
  IF(COUNT(_xlpm.v)=0, NA(), AVERAGE(_xlpm.v))
)</f>
        <v>7678.8150836011937</v>
      </c>
      <c r="CF3" cm="1">
        <f t="array" aca="1" ref="CF3" ca="1">_xlfn.LET(
  _xlpm.k,ROW(A2)-1,
  _xlpm.r,OFFSET($BP$2,0,_xlpm.k,ROWS($BP$2:$BP$1000),1),
  _xlpm.v,_xlfn._xlws.FILTER(_xlpm.r,ISNUMBER(_xlpm.r)),
  IF(COUNT(_xlpm.v)=0,NA(),MIN(_xlpm.v))
)</f>
        <v>2519.3719612638824</v>
      </c>
      <c r="CG3" cm="1">
        <f t="array" aca="1" ref="CG3" ca="1">_xlfn.LET(
  _xlpm.k,ROW(A2)-1,
  _xlpm.r,OFFSET($BP$2,0,_xlpm.k,ROWS($BP$2:$BP$1000),1),
  _xlpm.v,_xlfn._xlws.FILTER(_xlpm.r,ISNUMBER(_xlpm.r)),
  IF(COUNT(_xlpm.v)=0,NA(),_xlfn.PERCENTILE.INC(_xlpm.v,0.25))
)</f>
        <v>3848.6442809044806</v>
      </c>
      <c r="CH3" cm="1">
        <f t="array" aca="1" ref="CH3" ca="1">_xlfn.LET(
  _xlpm.k,ROW(A2)-1,
  _xlpm.r,OFFSET($BP$2,0,_xlpm.k,ROWS($BP$2:$BP$1000),1),
  _xlpm.v,_xlfn._xlws.FILTER(_xlpm.r,ISNUMBER(_xlpm.r)),
  IF(COUNT(_xlpm.v)=0,NA(),_xlfn.PERCENTILE.INC(_xlpm.v,0.5))
)</f>
        <v>7502.812596837075</v>
      </c>
      <c r="CI3" cm="1">
        <f t="array" aca="1" ref="CI3" ca="1">_xlfn.LET(
  _xlpm.k,ROW(A2)-1,
  _xlpm.r,OFFSET($BP$2,0,_xlpm.k,ROWS($BP$2:$BP$1000),1),
  _xlpm.v,_xlfn._xlws.FILTER(_xlpm.r,ISNUMBER(_xlpm.r)),
  IF(COUNT(_xlpm.v)=0,NA(),_xlfn.PERCENTILE.INC(_xlpm.v,0.75))
)</f>
        <v>10087.856419503718</v>
      </c>
      <c r="CJ3" cm="1">
        <f t="array" aca="1" ref="CJ3" ca="1">_xlfn.LET(
  _xlpm.k,ROW(A2)-1,
  _xlpm.r,OFFSET($BP$2,0,_xlpm.k,ROWS($BP$2:$BP$1000),1),
  _xlpm.v,_xlfn._xlws.FILTER(_xlpm.r,ISNUMBER(_xlpm.r)),
  IF(COUNT(_xlpm.v)=0,NA(),MAX(_xlpm.v))
)</f>
        <v>15856.519626291001</v>
      </c>
      <c r="CK3" cm="1">
        <f t="array" aca="1" ref="CK3" ca="1">_xlfn.LET(_xlpm.r,OFFSET($BP$2,0,ROW(A2)-1,ROWS($BP$2:$BP$1000),1),
    _xlpm.v,_xlfn._xlws.FILTER(_xlpm.r,ISNUMBER(_xlpm.r)),
    _xlfn.PERCENTILE.INC(_xlpm.v,0.25))</f>
        <v>3848.6442809044806</v>
      </c>
      <c r="CL3" cm="1">
        <f t="array" aca="1" ref="CL3" ca="1">_xlfn.LET(
  _xlpm.k, ROW(A2)-1,
  _xlpm.r, OFFSET($BP$2,0,_xlpm.k,ROWS($BP$2:$BP$1000),1),
  _xlpm.v, _xlfn._xlws.FILTER(_xlpm.r, ISNUMBER(_xlpm.r)),
  IF(COUNT(_xlpm.v)=0, NA(), _xlfn.PERCENTILE.INC(_xlpm.v,0.5)-_xlfn.PERCENTILE.INC(_xlpm.v,0.25))
)</f>
        <v>3654.1683159325944</v>
      </c>
      <c r="CM3" cm="1">
        <f t="array" aca="1" ref="CM3" ca="1">_xlfn.LET(_xlpm.r,OFFSET($BP$2,0,ROW(A2)-1,ROWS($BP$2:$BP$1000),1),
    _xlpm.v,_xlfn._xlws.FILTER(_xlpm.r,ISNUMBER(_xlpm.r)),
    _xlfn.PERCENTILE.INC(_xlpm.v,0.75)-_xlfn.PERCENTILE.INC(_xlpm.v,0.5))</f>
        <v>2585.0438226666429</v>
      </c>
      <c r="CN3" cm="1">
        <f t="array" aca="1" ref="CN3" ca="1">_xlfn.LET(_xlpm.r,OFFSET($BP$2,0,ROW(A2)-1,ROWS($BP$2:$BP$1000),1),
    _xlpm.v,_xlfn._xlws.FILTER(_xlpm.r,ISNUMBER(_xlpm.r)),
    MAX(_xlpm.v)-_xlfn.PERCENTILE.INC(_xlpm.v,0.75))</f>
        <v>5768.6632067872833</v>
      </c>
      <c r="CO3">
        <f t="shared" ca="1" si="6"/>
        <v>6239.2121385992377</v>
      </c>
      <c r="CP3">
        <f t="shared" ref="CP3:CP14" ca="1" si="28">IFERROR( MAX(0, CG3 - 1.5*CO3), NA() )</f>
        <v>0</v>
      </c>
      <c r="CQ3">
        <f t="shared" ref="CQ3:CQ14" ca="1" si="29">IFERROR( CI3 + 1.5*CO3, NA() )</f>
        <v>19446.674627402575</v>
      </c>
      <c r="CR3" s="13" cm="1">
        <f t="array" aca="1" ref="CR3" ca="1">_xlfn.LET(
  _xlpm.Data, $BP$2:$CB$1000,
  _xlpm.col,  $CC3,
  _xlpm.vec,  INDEX(_xlpm.Data,,_xlpm.col),
  _xlpm.v,    _xlfn._xlws.FILTER(_xlpm.vec, ISNUMBER(_xlpm.vec)),
  _xlpm.f,    CP3,
  IF(COUNT(_xlpm.v)=0, NA(),
    IF(NOT(ISNUMBER(_xlpm.f)), NA(),
      _xlfn.LET(
        _xlpm.cand, _xlfn._xlws.FILTER(_xlpm.v, _xlpm.v&gt;=_xlpm.f),
        IF(COUNT(_xlpm.cand)=0, MAX(0, MIN(_xlpm.v)), MAX(0, MIN(_xlpm.cand)))
      )
    )
  )
)</f>
        <v>2519.3719612638824</v>
      </c>
      <c r="CS3" cm="1">
        <f t="array" aca="1" ref="CS3" ca="1">_xlfn.LET(
  _xlpm.Data, $BP$2:$CB$1000,
  _xlpm.col,  $CC3,
  _xlpm.vec,  INDEX(_xlpm.Data,,_xlpm.col),
  _xlpm.v,    _xlfn._xlws.FILTER(_xlpm.vec, ISNUMBER(_xlpm.vec)),
  _xlpm.f,    CQ3,
  IF(COUNT(_xlpm.v)=0, NA(),
    IF(NOT(ISNUMBER(_xlpm.f)), NA(),
      _xlfn.LET(
        _xlpm.cand, _xlfn._xlws.FILTER(_xlpm.v, _xlpm.v&lt;=_xlpm.f),
        IF(COUNT(_xlpm.cand)=0, MAX(_xlpm.v), MAX(_xlpm.cand))
      )
    )
  )
)</f>
        <v>15856.519626291001</v>
      </c>
      <c r="CT3">
        <f t="shared" ca="1" si="7"/>
        <v>8353.7070294539262</v>
      </c>
      <c r="CU3">
        <f t="shared" ca="1" si="8"/>
        <v>4983.4406355731926</v>
      </c>
      <c r="CV3">
        <f t="shared" ref="CV3:CV14" ca="1" si="30">CG3-CR3</f>
        <v>1329.2723196405982</v>
      </c>
      <c r="CW3">
        <f t="shared" ref="CW3:CW14" ca="1" si="31">CS3-CI3</f>
        <v>5768.6632067872833</v>
      </c>
      <c r="CX3">
        <f t="shared" ca="1" si="9"/>
        <v>1329.2723196405982</v>
      </c>
      <c r="CY3">
        <v>0</v>
      </c>
      <c r="CZ3">
        <f t="shared" ca="1" si="10"/>
        <v>5768.6632067872833</v>
      </c>
      <c r="DA3">
        <f ca="1"/>
        <v>15974.702436322583</v>
      </c>
      <c r="DB3">
        <f ca="1"/>
        <v>1</v>
      </c>
      <c r="DH3" t="s">
        <v>1033</v>
      </c>
      <c r="DI3" t="s">
        <v>796</v>
      </c>
      <c r="DJ3" t="s">
        <v>57</v>
      </c>
      <c r="DM3">
        <f ca="1"/>
        <v>2196.6495685713148</v>
      </c>
      <c r="DT3">
        <f t="shared" ref="DT3:DT10" si="32">MATCH(DH3,$DH$2:$DH$10,0)</f>
        <v>2</v>
      </c>
      <c r="DU3" s="26" t="e" cm="1">
        <f t="array" aca="1" ref="DU3" ca="1">_xlfn.LET(
  _xlpm.r,OFFSET($DK$2,0,ROW(A2)-1,ROWS($DK$2:$DK$1000),1),
  _xlpm.v,_xlfn._xlws.FILTER(_xlpm.r,ISNUMBER(_xlpm.r)),
  IF(COUNT(_xlpm.v)=0,NA(),_xlfn.PERCENTILE.INC(_xlpm.v,0.975))
)</f>
        <v>#N/A</v>
      </c>
      <c r="DV3" s="26" t="e" cm="1">
        <f t="array" aca="1" ref="DV3" ca="1">_xlfn.LET(
  _xlpm.hdr, $DK$1:$DS$1,               _xlpm.k,   _xlfn.XMATCH($DH3,_xlpm.hdr,0),
  _xlpm.col, INDEX($DK$2:$DS$1000,,_xlpm.k),
  _xlpm.v,   _xlfn._xlws.FILTER(_xlpm.col,ISNUMBER(_xlpm.col)),
  IF(COUNT(_xlpm.v)=0, NA(), AVERAGE(_xlpm.v))
)</f>
        <v>#N/A</v>
      </c>
      <c r="DW3" t="e" cm="1">
        <f t="array" aca="1" ref="DW3" ca="1">_xlfn.LET(
  _xlpm.k,ROW(A2)-1,
  _xlpm.r,OFFSET($DK$2,0,_xlpm.k,ROWS($DK$2:$DK$1000),1),
  _xlpm.v,_xlfn._xlws.FILTER(_xlpm.r,ISNUMBER(_xlpm.r)),
  IF(COUNT(_xlpm.v)=0,NA(),MIN(_xlpm.v))
)</f>
        <v>#N/A</v>
      </c>
      <c r="DX3" t="e" cm="1">
        <f t="array" aca="1" ref="DX3" ca="1">_xlfn.LET(
  _xlpm.k,ROW(A2)-1,
  _xlpm.r,OFFSET($DK$2,0,_xlpm.k,ROWS($DK$2:$DK$1000),1),
  _xlpm.v,_xlfn._xlws.FILTER(_xlpm.r,ISNUMBER(_xlpm.r)),
  IF(COUNT(_xlpm.v)=0,NA(),_xlfn.PERCENTILE.INC(_xlpm.v,0.25))
)</f>
        <v>#N/A</v>
      </c>
      <c r="DY3" t="e" cm="1">
        <f t="array" aca="1" ref="DY3" ca="1">_xlfn.LET(
  _xlpm.k,ROW(A2)-1,
  _xlpm.r,OFFSET($DK$2,0,_xlpm.k,ROWS($DK$2:$DK$1000),1),
  _xlpm.v,_xlfn._xlws.FILTER(_xlpm.r,ISNUMBER(_xlpm.r)),
  IF(COUNT(_xlpm.v)=0,NA(),_xlfn.PERCENTILE.INC(_xlpm.v,0.5))
)</f>
        <v>#N/A</v>
      </c>
      <c r="DZ3" t="e" cm="1">
        <f t="array" aca="1" ref="DZ3" ca="1">_xlfn.LET(
  _xlpm.k,ROW(A2)-1,
  _xlpm.r,OFFSET($DK$2,0,_xlpm.k,ROWS($DK$2:$DK$1000),1),
  _xlpm.v,_xlfn._xlws.FILTER(_xlpm.r,ISNUMBER(_xlpm.r)),
  IF(COUNT(_xlpm.v)=0,NA(),_xlfn.PERCENTILE.INC(_xlpm.v,0.75))
)</f>
        <v>#N/A</v>
      </c>
      <c r="EA3" t="e" cm="1">
        <f t="array" aca="1" ref="EA3" ca="1">_xlfn.LET(
  _xlpm.k,ROW(A2)-1,
  _xlpm.r,OFFSET($DK$2,0,_xlpm.k,ROWS($DK$2:$DK$1000),1),
  _xlpm.v,_xlfn._xlws.FILTER(_xlpm.r,ISNUMBER(_xlpm.r)),
  IF(COUNT(_xlpm.v)=0,NA(),MAX(_xlpm.v))
)</f>
        <v>#N/A</v>
      </c>
      <c r="EB3" t="e" cm="1" vm="1">
        <f t="array" aca="1" ref="EB3" ca="1">_xlfn.LET(_xlpm.r,OFFSET($DK$2,0,ROW(A2)-1,ROWS($DK$2:$DK$1000),1),
    _xlpm.v,_xlfn._xlws.FILTER(_xlpm.r,ISNUMBER(_xlpm.r)),
    _xlfn.PERCENTILE.INC(_xlpm.v,0.25))</f>
        <v>#VALUE!</v>
      </c>
      <c r="EC3" t="e" cm="1">
        <f t="array" aca="1" ref="EC3" ca="1">_xlfn.LET(
  _xlpm.k, ROW(A2)-1,
  _xlpm.r, OFFSET($DK$2,0,_xlpm.k,ROWS($DK$2:$DK$1000),1),
  _xlpm.v, _xlfn._xlws.FILTER(_xlpm.r, ISNUMBER(_xlpm.r)),
  IF(COUNT(_xlpm.v)=0, NA(), _xlfn.PERCENTILE.INC(_xlpm.v,0.5)-_xlfn.PERCENTILE.INC(_xlpm.v,0.25))
)</f>
        <v>#N/A</v>
      </c>
      <c r="ED3" t="e" cm="1" vm="1">
        <f t="array" aca="1" ref="ED3" ca="1">_xlfn.LET(_xlpm.r,OFFSET($DK$2,0,ROW(A2)-1,ROWS($DK$2:$DK$1000),1),
    _xlpm.v,_xlfn._xlws.FILTER(_xlpm.r,ISNUMBER(_xlpm.r)),
    _xlfn.PERCENTILE.INC(_xlpm.v,0.75)-_xlfn.PERCENTILE.INC(_xlpm.v,0.5))</f>
        <v>#VALUE!</v>
      </c>
      <c r="EE3" t="e" cm="1" vm="1">
        <f t="array" aca="1" ref="EE3" ca="1">_xlfn.LET(_xlpm.r,OFFSET($DK$2,0,ROW(A2)-1,ROWS($DK$2:$DK$1000),1),
    _xlpm.v,_xlfn._xlws.FILTER(_xlpm.r,ISNUMBER(_xlpm.r)),
    MAX(_xlpm.v)-_xlfn.PERCENTILE.INC(_xlpm.v,0.75))</f>
        <v>#VALUE!</v>
      </c>
      <c r="EF3" t="e">
        <f t="shared" ca="1" si="11"/>
        <v>#N/A</v>
      </c>
      <c r="EG3" t="e">
        <f t="shared" ref="EG3:EG10" ca="1" si="33">IFERROR( MAX(0, DX3 - 1.5*EF3), NA() )</f>
        <v>#N/A</v>
      </c>
      <c r="EH3" t="e">
        <f t="shared" ref="EH3:EH10" ca="1" si="34">IFERROR( DZ3 + 1.5*EF3, NA() )</f>
        <v>#N/A</v>
      </c>
      <c r="EI3" s="13" t="e" cm="1">
        <f t="array" aca="1" ref="EI3" ca="1">_xlfn.LET(
  _xlpm.Data, $DK$2:$DS$1000,
  _xlpm.col,  $DT3,
  _xlpm.vec,  INDEX(_xlpm.Data,,_xlpm.col),
  _xlpm.v,    _xlfn._xlws.FILTER(_xlpm.vec, ISNUMBER(_xlpm.vec)),
  _xlpm.f,    EG3,
  IF(COUNT(_xlpm.v)=0, NA(),
    IF(NOT(ISNUMBER(_xlpm.f)), NA(),
      _xlfn.LET(
        _xlpm.cand, _xlfn._xlws.FILTER(_xlpm.v, _xlpm.v&gt;=_xlpm.f),
        IF(COUNT(_xlpm.cand)=0, MAX(0, MIN(_xlpm.v)), MAX(0, MIN(_xlpm.cand)))
      )
    )
  )
)</f>
        <v>#N/A</v>
      </c>
      <c r="EJ3" t="e" cm="1">
        <f t="array" aca="1" ref="EJ3" ca="1">_xlfn.LET(
  _xlpm.Data, $DK$2:$DS$1000,
  _xlpm.col,  $DT3,
  _xlpm.vec,  INDEX(_xlpm.Data,,_xlpm.col),
  _xlpm.v,    _xlfn._xlws.FILTER(_xlpm.vec, ISNUMBER(_xlpm.vec)),
  _xlpm.f,    EH3,
  IF(COUNT(_xlpm.v)=0, NA(),
    IF(NOT(ISNUMBER(_xlpm.f)), NA(),
      _xlfn.LET(
        _xlpm.cand, _xlfn._xlws.FILTER(_xlpm.v, _xlpm.v&lt;=_xlpm.f),
        IF(COUNT(_xlpm.cand)=0, MAX(_xlpm.v), MAX(_xlpm.cand))
      )
    )
  )
)</f>
        <v>#N/A</v>
      </c>
      <c r="EK3" t="e">
        <f t="shared" ca="1" si="12"/>
        <v>#N/A</v>
      </c>
      <c r="EL3" t="e">
        <f t="shared" ca="1" si="13"/>
        <v>#N/A</v>
      </c>
      <c r="EM3" t="e">
        <f t="shared" ref="EM3:EM10" ca="1" si="35">DX3-EI3</f>
        <v>#N/A</v>
      </c>
      <c r="EN3" t="e">
        <f t="shared" ref="EN3:EN10" ca="1" si="36">EJ3-DZ3</f>
        <v>#N/A</v>
      </c>
      <c r="EO3" t="e">
        <f t="shared" ca="1" si="14"/>
        <v>#N/A</v>
      </c>
      <c r="EP3">
        <v>0</v>
      </c>
      <c r="EQ3" t="e">
        <f t="shared" ca="1" si="15"/>
        <v>#N/A</v>
      </c>
      <c r="ER3">
        <f ca="1"/>
        <v>2196.6495685713148</v>
      </c>
      <c r="ES3">
        <f ca="1"/>
        <v>3</v>
      </c>
      <c r="FL3" s="26"/>
      <c r="FM3" s="26"/>
      <c r="FZ3" s="13"/>
    </row>
    <row r="4" spans="1:192">
      <c r="A4" t="s">
        <v>519</v>
      </c>
      <c r="B4" t="s">
        <v>388</v>
      </c>
      <c r="C4" t="s">
        <v>52</v>
      </c>
      <c r="D4" cm="1">
        <f t="array" ref="D4">_xlfn.LET(
 _xlpm.A,$A4,_xlpm.B,$B4,_xlpm.C,$C4,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8293.5403792883008</v>
      </c>
      <c r="E4" cm="1">
        <f t="array" ref="E4">_xlfn.LET(
 _xlpm.A,$A4,_xlpm.B,$B4,_xlpm.C,$C4,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4458.9761418676444</v>
      </c>
      <c r="F4" cm="1">
        <f t="array" ref="F4">_xlfn.LET(
 _xlpm.A,$A4,_xlpm.B,$B4,_xlpm.C,$C4,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4466.4024745136494</v>
      </c>
      <c r="G4" cm="1">
        <f t="array" ref="G4">_xlfn.LET(
 _xlpm.A,$A4,_xlpm.B,$B4,_xlpm.C,$C4,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8167.628781002586</v>
      </c>
      <c r="H4">
        <f t="shared" si="16"/>
        <v>125.91159828571472</v>
      </c>
      <c r="I4">
        <f t="shared" si="17"/>
        <v>3</v>
      </c>
      <c r="J4" t="e">
        <f t="shared" si="18"/>
        <v>#N/A</v>
      </c>
      <c r="K4" t="e">
        <f t="shared" si="19"/>
        <v>#N/A</v>
      </c>
      <c r="L4">
        <f t="shared" si="20"/>
        <v>8167.628781002586</v>
      </c>
      <c r="M4" t="e">
        <f t="shared" si="21"/>
        <v>#N/A</v>
      </c>
      <c r="N4" t="e">
        <f t="shared" si="22"/>
        <v>#N/A</v>
      </c>
      <c r="O4" cm="1">
        <f t="array" ref="O4">_xlfn.LET(
 _xlpm.A,$A4,_xlpm.B,$B4,_xlpm.C,$C4,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7</v>
      </c>
      <c r="P4" t="str">
        <f t="shared" si="23"/>
        <v>n=7</v>
      </c>
      <c r="V4" t="s">
        <v>534</v>
      </c>
      <c r="W4" t="s">
        <v>519</v>
      </c>
      <c r="X4" t="s">
        <v>52</v>
      </c>
      <c r="AA4">
        <v>3883.6912913084134</v>
      </c>
      <c r="AB4">
        <v>29131.021988792512</v>
      </c>
      <c r="AC4">
        <v>5882.8595673719446</v>
      </c>
      <c r="AD4">
        <v>5392.8326455299357</v>
      </c>
      <c r="AE4">
        <v>4411.9741663617315</v>
      </c>
      <c r="AH4">
        <v>13426.85768887296</v>
      </c>
      <c r="AJ4">
        <f>MATCH(V4,$V$2:$V$12,0)</f>
        <v>3</v>
      </c>
      <c r="AK4" s="26" cm="1">
        <f t="array" aca="1" ref="AK4" ca="1">_xlfn.LET(
  _xlpm.r,OFFSET($Y$2,0,ROW(A3)-1,ROWS($Y$2:$Y$1000),1),
  _xlpm.v,_xlfn._xlws.FILTER(_xlpm.r,ISNUMBER(_xlpm.r)),
  IF(COUNT(_xlpm.v)=0,NA(),_xlfn.PERCENTILE.INC(_xlpm.v,0.975))
)</f>
        <v>8999.3494539797648</v>
      </c>
      <c r="AL4" s="26" cm="1">
        <f t="array" ref="AL4">_xlfn.LET(
  _xlpm.hdr, $Y$1:$AI$1,               _xlpm.k,   _xlfn.XMATCH($V4,_xlpm.hdr,0),
  _xlpm.col, INDEX($Y$2:$AI$1000,,_xlpm.k),
  _xlpm.v,   _xlfn._xlws.FILTER(_xlpm.col,ISNUMBER(_xlpm.col)),
  IF(COUNT(_xlpm.v)=0, NA(), AVERAGE(_xlpm.v))
)</f>
        <v>5147.8143343028369</v>
      </c>
      <c r="AM4" cm="1">
        <f t="array" aca="1" ref="AM4" ca="1">_xlfn.LET(
  _xlpm.k,ROW(A3)-1,
  _xlpm.r,OFFSET($Y$2,0,_xlpm.k,ROWS($Y$2:$Y$1000),1),
  _xlpm.v,_xlfn._xlws.FILTER(_xlpm.r,ISNUMBER(_xlpm.r)),
  IF(COUNT(_xlpm.v)=0,NA(),MIN(_xlpm.v))
)</f>
        <v>1718.16687248996</v>
      </c>
      <c r="AN4" cm="1">
        <f t="array" aca="1" ref="AN4" ca="1">_xlfn.LET(
  _xlpm.k,ROW(A3)-1,
  _xlpm.r,OFFSET($Y$2,0,_xlpm.k,ROWS($Y$2:$Y$1000),1),
  _xlpm.v,_xlfn._xlws.FILTER(_xlpm.r,ISNUMBER(_xlpm.r)),
  IF(COUNT(_xlpm.v)=0,NA(),_xlfn.PERCENTILE.INC(_xlpm.v,0.25))
)</f>
        <v>3040.1704299398643</v>
      </c>
      <c r="AO4" cm="1">
        <f t="array" aca="1" ref="AO4" ca="1">_xlfn.LET(
  _xlpm.k,ROW(A3)-1,
  _xlpm.r,OFFSET($Y$2,0,_xlpm.k,ROWS($Y$2:$Y$1000),1),
  _xlpm.v,_xlfn._xlws.FILTER(_xlpm.r,ISNUMBER(_xlpm.r)),
  IF(COUNT(_xlpm.v)=0,NA(),_xlfn.PERCENTILE.INC(_xlpm.v,0.5))
)</f>
        <v>5067.7260542340418</v>
      </c>
      <c r="AP4" cm="1">
        <f t="array" ref="AP4">_xlfn.LET(
  _xlpm.Data, $Y$2:$AI$1000,
  _xlpm.col,  $AJ4,
  _xlpm.vec,  INDEX(_xlpm.Data,,_xlpm.col),
  _xlpm.v,    _xlfn._xlws.FILTER(_xlpm.vec, ISNUMBER(_xlpm.vec)),
  IF(COUNT(_xlpm.v)=0, NA(), _xlfn.PERCENTILE.INC(_xlpm.v, 0.75))
)</f>
        <v>7022.737069328874</v>
      </c>
      <c r="AQ4" cm="1">
        <f t="array" aca="1" ref="AQ4" ca="1">_xlfn.LET(
  _xlpm.k,ROW(A3)-1,
  _xlpm.r,OFFSET($Y$2,0,_xlpm.k,ROWS($Y$2:$Y$1000),1),
  _xlpm.v,_xlfn._xlws.FILTER(_xlpm.r,ISNUMBER(_xlpm.r)),
  IF(COUNT(_xlpm.v)=0,NA(),MAX(_xlpm.v))
)</f>
        <v>9122.992414858385</v>
      </c>
      <c r="AR4" cm="1">
        <f t="array" aca="1" ref="AR4" ca="1">_xlfn.LET(_xlpm.r,OFFSET($Y$2,0,ROW(A3)-1,ROWS($Y$2:$Y$1000),1),
    _xlpm.v,_xlfn._xlws.FILTER(_xlpm.r,ISNUMBER(_xlpm.r)),
    _xlfn.PERCENTILE.INC(_xlpm.v,0.25))</f>
        <v>3040.1704299398643</v>
      </c>
      <c r="AS4" cm="1">
        <f t="array" aca="1" ref="AS4" ca="1">_xlfn.LET(
  _xlpm.k, ROW(A3)-1,
  _xlpm.r, OFFSET($Y$2,0,_xlpm.k,ROWS($Y$2:$Y$1000),1),
  _xlpm.v, _xlfn._xlws.FILTER(_xlpm.r, ISNUMBER(_xlpm.r)),
  IF(COUNT(_xlpm.v)=0, NA(), _xlfn.PERCENTILE.INC(_xlpm.v,0.5)-_xlfn.PERCENTILE.INC(_xlpm.v,0.25))
)</f>
        <v>2027.5556242941775</v>
      </c>
      <c r="AT4" cm="1">
        <f t="array" aca="1" ref="AT4" ca="1">_xlfn.LET(_xlpm.r,OFFSET($Y$2,0,ROW(A3)-1,ROWS($Y$2:$Y$1000),1),
    _xlpm.v,_xlfn._xlws.FILTER(_xlpm.r,ISNUMBER(_xlpm.r)),
    _xlfn.PERCENTILE.INC(_xlpm.v,0.75)-_xlfn.PERCENTILE.INC(_xlpm.v,0.5))</f>
        <v>1955.0110150948321</v>
      </c>
      <c r="AU4" cm="1">
        <f t="array" aca="1" ref="AU4" ca="1">_xlfn.LET(_xlpm.r,OFFSET($Y$2,0,ROW(A3)-1,ROWS($Y$2:$Y$1000),1),
    _xlpm.v,_xlfn._xlws.FILTER(_xlpm.r,ISNUMBER(_xlpm.r)),
    MAX(_xlpm.v)-_xlfn.PERCENTILE.INC(_xlpm.v,0.75))</f>
        <v>2100.255345529511</v>
      </c>
      <c r="AV4">
        <f t="shared" ca="1" si="0"/>
        <v>3982.5666393890097</v>
      </c>
      <c r="AW4">
        <f t="shared" ca="1" si="24"/>
        <v>-2933.6795291436501</v>
      </c>
      <c r="AX4">
        <f t="shared" ca="1" si="25"/>
        <v>12996.587028412388</v>
      </c>
      <c r="AY4" s="13" cm="1">
        <f t="array" aca="1" ref="AY4" ca="1">_xlfn.LET(
  _xlpm.Data, $Y$2:$AI$1000,
  _xlpm.col,  $AJ4,
  _xlpm.vec,  INDEX(_xlpm.Data,,_xlpm.col),
  _xlpm.v,    _xlfn._xlws.FILTER(_xlpm.vec, ISNUMBER(_xlpm.vec)),
  _xlpm.f,    AW4,
  IF(OR(COUNT(_xlpm.v)=0, NOT(ISNUMBER(_xlpm.f))),
      NA(),
      IF(COUNT(_xlfn._xlws.FILTER(_xlpm.v, _xlpm.v&gt;=_xlpm.f))=0, MIN(_xlpm.v), MIN(_xlfn._xlws.FILTER(_xlpm.v, _xlpm.v&gt;=_xlpm.f)))
  )
)</f>
        <v>1718.16687248996</v>
      </c>
      <c r="AZ4" cm="1">
        <f t="array" aca="1" ref="AZ4" ca="1">_xlfn.LET(
  _xlpm.Data, $Y$2:$AI$1000,
  _xlpm.col,  $AJ4,
  _xlpm.vec,  INDEX(_xlpm.Data,,_xlpm.col),
  _xlpm.v,    _xlfn._xlws.FILTER(_xlpm.vec, ISNUMBER(_xlpm.vec)),
  _xlpm.f,    AX4,
  IF(OR(COUNT(_xlpm.v)=0, NOT(ISNUMBER(_xlpm.f))),
      NA(),
      IF(COUNT(_xlfn._xlws.FILTER(_xlpm.v, _xlpm.v&lt;=_xlpm.f))=0, MAX(_xlpm.v), MAX(_xlfn._xlws.FILTER(_xlpm.v, _xlpm.v&lt;=_xlpm.f)))
  )
)</f>
        <v>9122.992414858385</v>
      </c>
      <c r="BA4">
        <f t="shared" ca="1" si="1"/>
        <v>4055.2663606243432</v>
      </c>
      <c r="BB4">
        <f t="shared" ca="1" si="2"/>
        <v>3349.5591817440818</v>
      </c>
      <c r="BC4">
        <f t="shared" ca="1" si="26"/>
        <v>1322.0035574499043</v>
      </c>
      <c r="BD4">
        <f t="shared" ca="1" si="3"/>
        <v>2100.255345529511</v>
      </c>
      <c r="BE4">
        <f t="shared" ca="1" si="4"/>
        <v>1322.0035574499043</v>
      </c>
      <c r="BF4">
        <v>0</v>
      </c>
      <c r="BG4">
        <f t="shared" ca="1" si="5"/>
        <v>2100.255345529511</v>
      </c>
      <c r="BH4">
        <v>2196.6495685713148</v>
      </c>
      <c r="BI4">
        <v>3</v>
      </c>
      <c r="BM4" t="s">
        <v>544</v>
      </c>
      <c r="BN4" t="s">
        <v>62</v>
      </c>
      <c r="BO4" t="s">
        <v>52</v>
      </c>
      <c r="BP4">
        <v>29131.021988792512</v>
      </c>
      <c r="BQ4">
        <v>7502.812596837075</v>
      </c>
      <c r="BR4">
        <v>4828.7344554960473</v>
      </c>
      <c r="BS4">
        <v>4411.9741663617315</v>
      </c>
      <c r="BU4">
        <v>6326.4153748480385</v>
      </c>
      <c r="BY4">
        <v>3438.9745164233582</v>
      </c>
      <c r="CC4">
        <f t="shared" si="27"/>
        <v>3</v>
      </c>
      <c r="CD4" s="26" cm="1">
        <f t="array" aca="1" ref="CD4" ca="1">_xlfn.LET(
  _xlpm.r,OFFSET($BP$2,0,ROW(A3)-1,ROWS($BP$2:$BP$1000),1),
  _xlpm.v,_xlfn._xlws.FILTER(_xlpm.r,ISNUMBER(_xlpm.r)),
  IF(COUNT(_xlpm.v)=0,NA(),_xlfn.PERCENTILE.INC(_xlpm.v,0.975))
)</f>
        <v>11517.249326772338</v>
      </c>
      <c r="CE4" s="26" cm="1">
        <f t="array" ref="CE4">_xlfn.LET(
  _xlpm.hdr, $BP$1:$CB$1,               _xlpm.k,   _xlfn.XMATCH($BM4,_xlpm.hdr,0),
  _xlpm.col, INDEX($BP$2:$CB$1000,,_xlpm.k),
  _xlpm.v,   _xlfn._xlws.FILTER(_xlpm.col,ISNUMBER(_xlpm.col)),
  IF(COUNT(_xlpm.v)=0, NA(), AVERAGE(_xlpm.v))
)</f>
        <v>6163.014109957332</v>
      </c>
      <c r="CF4" cm="1">
        <f t="array" aca="1" ref="CF4" ca="1">_xlfn.LET(
  _xlpm.k,ROW(A3)-1,
  _xlpm.r,OFFSET($BP$2,0,_xlpm.k,ROWS($BP$2:$BP$1000),1),
  _xlpm.v,_xlfn._xlws.FILTER(_xlpm.r,ISNUMBER(_xlpm.r)),
  IF(COUNT(_xlpm.v)=0,NA(),MIN(_xlpm.v))
)</f>
        <v>3161.366868917275</v>
      </c>
      <c r="CG4" cm="1">
        <f t="array" aca="1" ref="CG4" ca="1">_xlfn.LET(
  _xlpm.k,ROW(A3)-1,
  _xlpm.r,OFFSET($BP$2,0,_xlpm.k,ROWS($BP$2:$BP$1000),1),
  _xlpm.v,_xlfn._xlws.FILTER(_xlpm.r,ISNUMBER(_xlpm.r)),
  IF(COUNT(_xlpm.v)=0,NA(),_xlfn.PERCENTILE.INC(_xlpm.v,0.25))
)</f>
        <v>4945.3197023384146</v>
      </c>
      <c r="CH4" cm="1">
        <f t="array" aca="1" ref="CH4" ca="1">_xlfn.LET(
  _xlpm.k,ROW(A3)-1,
  _xlpm.r,OFFSET($BP$2,0,_xlpm.k,ROWS($BP$2:$BP$1000),1),
  _xlpm.v,_xlfn._xlws.FILTER(_xlpm.r,ISNUMBER(_xlpm.r)),
  IF(COUNT(_xlpm.v)=0,NA(),_xlfn.PERCENTILE.INC(_xlpm.v,0.5))
)</f>
        <v>5872.7191400547454</v>
      </c>
      <c r="CI4" cm="1">
        <f t="array" aca="1" ref="CI4" ca="1">_xlfn.LET(
  _xlpm.k,ROW(A3)-1,
  _xlpm.r,OFFSET($BP$2,0,_xlpm.k,ROWS($BP$2:$BP$1000),1),
  _xlpm.v,_xlfn._xlws.FILTER(_xlpm.r,ISNUMBER(_xlpm.r)),
  IF(COUNT(_xlpm.v)=0,NA(),_xlfn.PERCENTILE.INC(_xlpm.v,0.75))
)</f>
        <v>6750.104014316953</v>
      </c>
      <c r="CJ4" cm="1">
        <f t="array" aca="1" ref="CJ4" ca="1">_xlfn.LET(
  _xlpm.k,ROW(A3)-1,
  _xlpm.r,OFFSET($BP$2,0,_xlpm.k,ROWS($BP$2:$BP$1000),1),
  _xlpm.v,_xlfn._xlws.FILTER(_xlpm.r,ISNUMBER(_xlpm.r)),
  IF(COUNT(_xlpm.v)=0,NA(),MAX(_xlpm.v))
)</f>
        <v>13440.489466307758</v>
      </c>
      <c r="CK4" cm="1">
        <f t="array" aca="1" ref="CK4" ca="1">_xlfn.LET(_xlpm.r,OFFSET($BP$2,0,ROW(A3)-1,ROWS($BP$2:$BP$1000),1),
    _xlpm.v,_xlfn._xlws.FILTER(_xlpm.r,ISNUMBER(_xlpm.r)),
    _xlfn.PERCENTILE.INC(_xlpm.v,0.25))</f>
        <v>4945.3197023384146</v>
      </c>
      <c r="CL4" cm="1">
        <f t="array" aca="1" ref="CL4" ca="1">_xlfn.LET(
  _xlpm.k, ROW(A3)-1,
  _xlpm.r, OFFSET($BP$2,0,_xlpm.k,ROWS($BP$2:$BP$1000),1),
  _xlpm.v, _xlfn._xlws.FILTER(_xlpm.r, ISNUMBER(_xlpm.r)),
  IF(COUNT(_xlpm.v)=0, NA(), _xlfn.PERCENTILE.INC(_xlpm.v,0.5)-_xlfn.PERCENTILE.INC(_xlpm.v,0.25))
)</f>
        <v>927.39943771633079</v>
      </c>
      <c r="CM4" cm="1">
        <f t="array" aca="1" ref="CM4" ca="1">_xlfn.LET(_xlpm.r,OFFSET($BP$2,0,ROW(A3)-1,ROWS($BP$2:$BP$1000),1),
    _xlpm.v,_xlfn._xlws.FILTER(_xlpm.r,ISNUMBER(_xlpm.r)),
    _xlfn.PERCENTILE.INC(_xlpm.v,0.75)-_xlfn.PERCENTILE.INC(_xlpm.v,0.5))</f>
        <v>877.38487426220763</v>
      </c>
      <c r="CN4" cm="1">
        <f t="array" aca="1" ref="CN4" ca="1">_xlfn.LET(_xlpm.r,OFFSET($BP$2,0,ROW(A3)-1,ROWS($BP$2:$BP$1000),1),
    _xlpm.v,_xlfn._xlws.FILTER(_xlpm.r,ISNUMBER(_xlpm.r)),
    MAX(_xlpm.v)-_xlfn.PERCENTILE.INC(_xlpm.v,0.75))</f>
        <v>6690.3854519908045</v>
      </c>
      <c r="CO4">
        <f t="shared" ca="1" si="6"/>
        <v>1804.7843119785384</v>
      </c>
      <c r="CP4">
        <f t="shared" ca="1" si="28"/>
        <v>2238.1432343706069</v>
      </c>
      <c r="CQ4">
        <f t="shared" ca="1" si="29"/>
        <v>9457.2804822847611</v>
      </c>
      <c r="CR4" s="13" cm="1">
        <f t="array" aca="1" ref="CR4" ca="1">_xlfn.LET(
  _xlpm.Data, $BP$2:$CB$1000,
  _xlpm.col,  $CC4,
  _xlpm.vec,  INDEX(_xlpm.Data,,_xlpm.col),
  _xlpm.v,    _xlfn._xlws.FILTER(_xlpm.vec, ISNUMBER(_xlpm.vec)),
  _xlpm.f,    CP4,
  IF(COUNT(_xlpm.v)=0, NA(),
    IF(NOT(ISNUMBER(_xlpm.f)), NA(),
      _xlfn.LET(
        _xlpm.cand, _xlfn._xlws.FILTER(_xlpm.v, _xlpm.v&gt;=_xlpm.f),
        IF(COUNT(_xlpm.cand)=0, MAX(0, MIN(_xlpm.v)), MAX(0, MIN(_xlpm.cand)))
      )
    )
  )
)</f>
        <v>3161.366868917275</v>
      </c>
      <c r="CS4" cm="1">
        <f t="array" aca="1" ref="CS4" ca="1">_xlfn.LET(
  _xlpm.Data, $BP$2:$CB$1000,
  _xlpm.col,  $CC4,
  _xlpm.vec,  INDEX(_xlpm.Data,,_xlpm.col),
  _xlpm.v,    _xlfn._xlws.FILTER(_xlpm.vec, ISNUMBER(_xlpm.vec)),
  _xlpm.f,    CQ4,
  IF(COUNT(_xlpm.v)=0, NA(),
    IF(NOT(ISNUMBER(_xlpm.f)), NA(),
      _xlfn.LET(
        _xlpm.cand, _xlfn._xlws.FILTER(_xlpm.v, _xlpm.v&lt;=_xlpm.f),
        IF(COUNT(_xlpm.cand)=0, MAX(_xlpm.v), MAX(_xlpm.cand))
      )
    )
  )
)</f>
        <v>8732.0979401957429</v>
      </c>
      <c r="CT4">
        <f t="shared" ca="1" si="7"/>
        <v>2859.3788001409976</v>
      </c>
      <c r="CU4">
        <f t="shared" ca="1" si="8"/>
        <v>2711.3522711374703</v>
      </c>
      <c r="CV4">
        <f t="shared" ca="1" si="30"/>
        <v>1783.9528334211395</v>
      </c>
      <c r="CW4">
        <f t="shared" ca="1" si="31"/>
        <v>1981.9939258787899</v>
      </c>
      <c r="CX4">
        <f t="shared" ca="1" si="9"/>
        <v>1783.9528334211395</v>
      </c>
      <c r="CY4">
        <v>0</v>
      </c>
      <c r="CZ4">
        <f t="shared" ca="1" si="10"/>
        <v>6690.3854519908045</v>
      </c>
      <c r="DA4">
        <f ca="1"/>
        <v>29131.021988792512</v>
      </c>
      <c r="DB4">
        <f ca="1"/>
        <v>1</v>
      </c>
      <c r="DH4" t="s">
        <v>1034</v>
      </c>
      <c r="DI4" t="s">
        <v>796</v>
      </c>
      <c r="DJ4" t="s">
        <v>52</v>
      </c>
      <c r="DM4">
        <f ca="1"/>
        <v>3883.6912913084134</v>
      </c>
      <c r="DT4">
        <f t="shared" si="32"/>
        <v>3</v>
      </c>
      <c r="DU4" s="26" cm="1">
        <f t="array" aca="1" ref="DU4" ca="1">_xlfn.LET(
  _xlpm.r,OFFSET($DK$2,0,ROW(A3)-1,ROWS($DK$2:$DK$1000),1),
  _xlpm.v,_xlfn._xlws.FILTER(_xlpm.r,ISNUMBER(_xlpm.r)),
  IF(COUNT(_xlpm.v)=0,NA(),_xlfn.PERCENTILE.INC(_xlpm.v,0.975))
)</f>
        <v>7975.6080135242364</v>
      </c>
      <c r="DV4" s="26" cm="1">
        <f t="array" aca="1" ref="DV4" ca="1">_xlfn.LET(
  _xlpm.hdr, $DK$1:$DS$1,               _xlpm.k,   _xlfn.XMATCH($DH4,_xlpm.hdr,0),
  _xlpm.col, INDEX($DK$2:$DS$1000,,_xlpm.k),
  _xlpm.v,   _xlfn._xlws.FILTER(_xlpm.col,ISNUMBER(_xlpm.col)),
  IF(COUNT(_xlpm.v)=0, NA(), AVERAGE(_xlpm.v))
)</f>
        <v>4232.9879591209301</v>
      </c>
      <c r="DW4" cm="1">
        <f t="array" aca="1" ref="DW4" ca="1">_xlfn.LET(
  _xlpm.k,ROW(A3)-1,
  _xlpm.r,OFFSET($DK$2,0,_xlpm.k,ROWS($DK$2:$DK$1000),1),
  _xlpm.v,_xlfn._xlws.FILTER(_xlpm.r,ISNUMBER(_xlpm.r)),
  IF(COUNT(_xlpm.v)=0,NA(),MIN(_xlpm.v))
)</f>
        <v>1718.16687248996</v>
      </c>
      <c r="DX4" cm="1">
        <f t="array" aca="1" ref="DX4" ca="1">_xlfn.LET(
  _xlpm.k,ROW(A3)-1,
  _xlpm.r,OFFSET($DK$2,0,_xlpm.k,ROWS($DK$2:$DK$1000),1),
  _xlpm.v,_xlfn._xlws.FILTER(_xlpm.r,ISNUMBER(_xlpm.r)),
  IF(COUNT(_xlpm.v)=0,NA(),_xlfn.PERCENTILE.INC(_xlpm.v,0.25))
)</f>
        <v>2196.6495685713148</v>
      </c>
      <c r="DY4" cm="1">
        <f t="array" aca="1" ref="DY4" ca="1">_xlfn.LET(
  _xlpm.k,ROW(A3)-1,
  _xlpm.r,OFFSET($DK$2,0,_xlpm.k,ROWS($DK$2:$DK$1000),1),
  _xlpm.v,_xlfn._xlws.FILTER(_xlpm.r,ISNUMBER(_xlpm.r)),
  IF(COUNT(_xlpm.v)=0,NA(),_xlfn.PERCENTILE.INC(_xlpm.v,0.5))
)</f>
        <v>3883.6912913084134</v>
      </c>
      <c r="DZ4" cm="1">
        <f t="array" aca="1" ref="DZ4" ca="1">_xlfn.LET(
  _xlpm.k,ROW(A3)-1,
  _xlpm.r,OFFSET($DK$2,0,_xlpm.k,ROWS($DK$2:$DK$1000),1),
  _xlpm.v,_xlfn._xlws.FILTER(_xlpm.r,ISNUMBER(_xlpm.r)),
  IF(COUNT(_xlpm.v)=0,NA(),_xlfn.PERCENTILE.INC(_xlpm.v,0.75))
)</f>
        <v>5067.7260542340418</v>
      </c>
      <c r="EA4" cm="1">
        <f t="array" aca="1" ref="EA4" ca="1">_xlfn.LET(
  _xlpm.k,ROW(A3)-1,
  _xlpm.r,OFFSET($DK$2,0,_xlpm.k,ROWS($DK$2:$DK$1000),1),
  _xlpm.v,_xlfn._xlws.FILTER(_xlpm.r,ISNUMBER(_xlpm.r)),
  IF(COUNT(_xlpm.v)=0,NA(),MAX(_xlpm.v))
)</f>
        <v>8298.7060090009236</v>
      </c>
      <c r="EB4" cm="1">
        <f t="array" aca="1" ref="EB4" ca="1">_xlfn.LET(_xlpm.r,OFFSET($DK$2,0,ROW(A3)-1,ROWS($DK$2:$DK$1000),1),
    _xlpm.v,_xlfn._xlws.FILTER(_xlpm.r,ISNUMBER(_xlpm.r)),
    _xlfn.PERCENTILE.INC(_xlpm.v,0.25))</f>
        <v>2196.6495685713148</v>
      </c>
      <c r="EC4" cm="1">
        <f t="array" aca="1" ref="EC4" ca="1">_xlfn.LET(
  _xlpm.k, ROW(A3)-1,
  _xlpm.r, OFFSET($DK$2,0,_xlpm.k,ROWS($DK$2:$DK$1000),1),
  _xlpm.v, _xlfn._xlws.FILTER(_xlpm.r, ISNUMBER(_xlpm.r)),
  IF(COUNT(_xlpm.v)=0, NA(), _xlfn.PERCENTILE.INC(_xlpm.v,0.5)-_xlfn.PERCENTILE.INC(_xlpm.v,0.25))
)</f>
        <v>1687.0417227370986</v>
      </c>
      <c r="ED4" cm="1">
        <f t="array" aca="1" ref="ED4" ca="1">_xlfn.LET(_xlpm.r,OFFSET($DK$2,0,ROW(A3)-1,ROWS($DK$2:$DK$1000),1),
    _xlpm.v,_xlfn._xlws.FILTER(_xlpm.r,ISNUMBER(_xlpm.r)),
    _xlfn.PERCENTILE.INC(_xlpm.v,0.75)-_xlfn.PERCENTILE.INC(_xlpm.v,0.5))</f>
        <v>1184.0347629256285</v>
      </c>
      <c r="EE4" cm="1">
        <f t="array" aca="1" ref="EE4" ca="1">_xlfn.LET(_xlpm.r,OFFSET($DK$2,0,ROW(A3)-1,ROWS($DK$2:$DK$1000),1),
    _xlpm.v,_xlfn._xlws.FILTER(_xlpm.r,ISNUMBER(_xlpm.r)),
    MAX(_xlpm.v)-_xlfn.PERCENTILE.INC(_xlpm.v,0.75))</f>
        <v>3230.9799547668817</v>
      </c>
      <c r="EF4">
        <f t="shared" ca="1" si="11"/>
        <v>2871.076485662727</v>
      </c>
      <c r="EG4">
        <f t="shared" ca="1" si="33"/>
        <v>0</v>
      </c>
      <c r="EH4">
        <f t="shared" ca="1" si="34"/>
        <v>9374.3407827281335</v>
      </c>
      <c r="EI4" s="13" cm="1">
        <f t="array" aca="1" ref="EI4" ca="1">_xlfn.LET(
  _xlpm.Data, $DK$2:$DS$1000,
  _xlpm.col,  $DT4,
  _xlpm.vec,  INDEX(_xlpm.Data,,_xlpm.col),
  _xlpm.v,    _xlfn._xlws.FILTER(_xlpm.vec, ISNUMBER(_xlpm.vec)),
  _xlpm.f,    EG4,
  IF(COUNT(_xlpm.v)=0, NA(),
    IF(NOT(ISNUMBER(_xlpm.f)), NA(),
      _xlfn.LET(
        _xlpm.cand, _xlfn._xlws.FILTER(_xlpm.v, _xlpm.v&gt;=_xlpm.f),
        IF(COUNT(_xlpm.cand)=0, MAX(0, MIN(_xlpm.v)), MAX(0, MIN(_xlpm.cand)))
      )
    )
  )
)</f>
        <v>1718.16687248996</v>
      </c>
      <c r="EJ4" cm="1">
        <f t="array" aca="1" ref="EJ4" ca="1">_xlfn.LET(
  _xlpm.Data, $DK$2:$DS$1000,
  _xlpm.col,  $DT4,
  _xlpm.vec,  INDEX(_xlpm.Data,,_xlpm.col),
  _xlpm.v,    _xlfn._xlws.FILTER(_xlpm.vec, ISNUMBER(_xlpm.vec)),
  _xlpm.f,    EH4,
  IF(COUNT(_xlpm.v)=0, NA(),
    IF(NOT(ISNUMBER(_xlpm.f)), NA(),
      _xlfn.LET(
        _xlpm.cand, _xlfn._xlws.FILTER(_xlpm.v, _xlpm.v&lt;=_xlpm.f),
        IF(COUNT(_xlpm.cand)=0, MAX(_xlpm.v), MAX(_xlpm.cand))
      )
    )
  )
)</f>
        <v>8298.7060090009236</v>
      </c>
      <c r="EK4">
        <f t="shared" ca="1" si="12"/>
        <v>4415.0147176925102</v>
      </c>
      <c r="EL4">
        <f t="shared" ca="1" si="13"/>
        <v>2165.5244188184533</v>
      </c>
      <c r="EM4">
        <f t="shared" ca="1" si="35"/>
        <v>478.48269608135479</v>
      </c>
      <c r="EN4">
        <f t="shared" ca="1" si="36"/>
        <v>3230.9799547668817</v>
      </c>
      <c r="EO4">
        <f t="shared" ca="1" si="14"/>
        <v>478.48269608135479</v>
      </c>
      <c r="EP4">
        <v>0</v>
      </c>
      <c r="EQ4">
        <f t="shared" ca="1" si="15"/>
        <v>3230.9799547668817</v>
      </c>
      <c r="ER4">
        <f ca="1"/>
        <v>3883.6912913084134</v>
      </c>
      <c r="ES4">
        <f ca="1"/>
        <v>3</v>
      </c>
      <c r="FL4" s="26"/>
      <c r="FM4" s="26"/>
      <c r="FZ4" s="13"/>
    </row>
    <row r="5" spans="1:192">
      <c r="A5" t="s">
        <v>518</v>
      </c>
      <c r="B5" t="s">
        <v>62</v>
      </c>
      <c r="C5" t="s">
        <v>32</v>
      </c>
      <c r="D5" cm="1">
        <f t="array" ref="D5">_xlfn.LET(
 _xlpm.A,$A5,_xlpm.B,$B5,_xlpm.C,$C5,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29106.993133985809</v>
      </c>
      <c r="E5" cm="1">
        <f t="array" ref="E5">_xlfn.LET(
 _xlpm.A,$A5,_xlpm.B,$B5,_xlpm.C,$C5,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11915.65033208227</v>
      </c>
      <c r="F5" cm="1">
        <f t="array" ref="F5">_xlfn.LET(
 _xlpm.A,$A5,_xlpm.B,$B5,_xlpm.C,$C5,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11606.754049520958</v>
      </c>
      <c r="G5" cm="1">
        <f t="array" ref="G5">_xlfn.LET(
 _xlpm.A,$A5,_xlpm.B,$B5,_xlpm.C,$C5,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27331.987939932962</v>
      </c>
      <c r="H5">
        <f t="shared" si="16"/>
        <v>1775.0051940528465</v>
      </c>
      <c r="I5">
        <f t="shared" si="17"/>
        <v>4</v>
      </c>
      <c r="J5">
        <f t="shared" si="18"/>
        <v>27331.987939932962</v>
      </c>
      <c r="K5" t="e">
        <f t="shared" si="19"/>
        <v>#N/A</v>
      </c>
      <c r="L5" t="e">
        <f t="shared" si="20"/>
        <v>#N/A</v>
      </c>
      <c r="M5" t="e">
        <f t="shared" si="21"/>
        <v>#N/A</v>
      </c>
      <c r="N5" t="e">
        <f t="shared" si="22"/>
        <v>#N/A</v>
      </c>
      <c r="O5" cm="1">
        <f t="array" ref="O5">_xlfn.LET(
 _xlpm.A,$A5,_xlpm.B,$B5,_xlpm.C,$C5,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18</v>
      </c>
      <c r="P5" t="str">
        <f t="shared" si="23"/>
        <v>n=18</v>
      </c>
      <c r="V5" t="s">
        <v>535</v>
      </c>
      <c r="W5" t="s">
        <v>518</v>
      </c>
      <c r="X5" t="s">
        <v>32</v>
      </c>
      <c r="AA5">
        <v>5067.7260542340418</v>
      </c>
      <c r="AB5">
        <v>9477.2166713718052</v>
      </c>
      <c r="AC5">
        <v>6326.4153748480385</v>
      </c>
      <c r="AD5">
        <v>4828.7344554960473</v>
      </c>
      <c r="AE5">
        <v>7004.1127811414517</v>
      </c>
      <c r="AJ5">
        <f>MATCH(V5,$V$2:$V$12,0)</f>
        <v>4</v>
      </c>
      <c r="AK5" s="26" cm="1">
        <f t="array" aca="1" ref="AK5" ca="1">_xlfn.LET(
  _xlpm.r,OFFSET($Y$2,0,ROW(A4)-1,ROWS($Y$2:$Y$1000),1),
  _xlpm.v,_xlfn._xlws.FILTER(_xlpm.r,ISNUMBER(_xlpm.r)),
  IF(COUNT(_xlpm.v)=0,NA(),_xlfn.PERCENTILE.INC(_xlpm.v,0.975))
)</f>
        <v>29120.809725499665</v>
      </c>
      <c r="AL5" s="26" cm="1">
        <f t="array" ref="AL5">_xlfn.LET(
  _xlpm.hdr, $Y$1:$AI$1,               _xlpm.k,   _xlfn.XMATCH($V5,_xlpm.hdr,0),
  _xlpm.col, INDEX($Y$2:$AI$1000,,_xlpm.k),
  _xlpm.v,   _xlfn._xlws.FILTER(_xlpm.col,ISNUMBER(_xlpm.col)),
  IF(COUNT(_xlpm.v)=0, NA(), AVERAGE(_xlpm.v))
)</f>
        <v>12592.491302957611</v>
      </c>
      <c r="AM5" cm="1">
        <f t="array" aca="1" ref="AM5" ca="1">_xlfn.LET(
  _xlpm.k,ROW(A4)-1,
  _xlpm.r,OFFSET($Y$2,0,_xlpm.k,ROWS($Y$2:$Y$1000),1),
  _xlpm.v,_xlfn._xlws.FILTER(_xlpm.r,ISNUMBER(_xlpm.r)),
  IF(COUNT(_xlpm.v)=0,NA(),MIN(_xlpm.v))
)</f>
        <v>6113.909565217391</v>
      </c>
      <c r="AN5" cm="1">
        <f t="array" aca="1" ref="AN5" ca="1">_xlfn.LET(
  _xlpm.k,ROW(A4)-1,
  _xlpm.r,OFFSET($Y$2,0,_xlpm.k,ROWS($Y$2:$Y$1000),1),
  _xlpm.v,_xlfn._xlws.FILTER(_xlpm.r,ISNUMBER(_xlpm.r)),
  IF(COUNT(_xlpm.v)=0,NA(),_xlfn.PERCENTILE.INC(_xlpm.v,0.25))
)</f>
        <v>8472.4900087569913</v>
      </c>
      <c r="AO5" cm="1">
        <f t="array" aca="1" ref="AO5" ca="1">_xlfn.LET(
  _xlpm.k,ROW(A4)-1,
  _xlpm.r,OFFSET($Y$2,0,_xlpm.k,ROWS($Y$2:$Y$1000),1),
  _xlpm.v,_xlfn._xlws.FILTER(_xlpm.r,ISNUMBER(_xlpm.r)),
  IF(COUNT(_xlpm.v)=0,NA(),_xlfn.PERCENTILE.INC(_xlpm.v,0.5))
)</f>
        <v>11606.754049520958</v>
      </c>
      <c r="AP5" cm="1">
        <f t="array" ref="AP5">_xlfn.LET(
  _xlpm.Data, $Y$2:$AI$1000,
  _xlpm.col,  $AJ5,
  _xlpm.vec,  INDEX(_xlpm.Data,,_xlpm.col),
  _xlpm.v,    _xlfn._xlws.FILTER(_xlpm.vec, ISNUMBER(_xlpm.vec)),
  IF(COUNT(_xlpm.v)=0, NA(), _xlfn.PERCENTILE.INC(_xlpm.v, 0.75))
)</f>
        <v>13334.008402701764</v>
      </c>
      <c r="AQ5" cm="1">
        <f t="array" aca="1" ref="AQ5" ca="1">_xlfn.LET(
  _xlpm.k,ROW(A4)-1,
  _xlpm.r,OFFSET($Y$2,0,_xlpm.k,ROWS($Y$2:$Y$1000),1),
  _xlpm.v,_xlfn._xlws.FILTER(_xlpm.r,ISNUMBER(_xlpm.r)),
  IF(COUNT(_xlpm.v)=0,NA(),MAX(_xlpm.v))
)</f>
        <v>29131.021988792512</v>
      </c>
      <c r="AR5" cm="1">
        <f t="array" aca="1" ref="AR5" ca="1">_xlfn.LET(_xlpm.r,OFFSET($Y$2,0,ROW(A4)-1,ROWS($Y$2:$Y$1000),1),
    _xlpm.v,_xlfn._xlws.FILTER(_xlpm.r,ISNUMBER(_xlpm.r)),
    _xlfn.PERCENTILE.INC(_xlpm.v,0.25))</f>
        <v>8472.4900087569913</v>
      </c>
      <c r="AS5" cm="1">
        <f t="array" aca="1" ref="AS5" ca="1">_xlfn.LET(
  _xlpm.k, ROW(A4)-1,
  _xlpm.r, OFFSET($Y$2,0,_xlpm.k,ROWS($Y$2:$Y$1000),1),
  _xlpm.v, _xlfn._xlws.FILTER(_xlpm.r, ISNUMBER(_xlpm.r)),
  IF(COUNT(_xlpm.v)=0, NA(), _xlfn.PERCENTILE.INC(_xlpm.v,0.5)-_xlfn.PERCENTILE.INC(_xlpm.v,0.25))
)</f>
        <v>3134.2640407639665</v>
      </c>
      <c r="AT5" cm="1">
        <f t="array" aca="1" ref="AT5" ca="1">_xlfn.LET(_xlpm.r,OFFSET($Y$2,0,ROW(A4)-1,ROWS($Y$2:$Y$1000),1),
    _xlpm.v,_xlfn._xlws.FILTER(_xlpm.r,ISNUMBER(_xlpm.r)),
    _xlfn.PERCENTILE.INC(_xlpm.v,0.75)-_xlfn.PERCENTILE.INC(_xlpm.v,0.5))</f>
        <v>1727.254353180806</v>
      </c>
      <c r="AU5" cm="1">
        <f t="array" aca="1" ref="AU5" ca="1">_xlfn.LET(_xlpm.r,OFFSET($Y$2,0,ROW(A4)-1,ROWS($Y$2:$Y$1000),1),
    _xlpm.v,_xlfn._xlws.FILTER(_xlpm.r,ISNUMBER(_xlpm.r)),
    MAX(_xlpm.v)-_xlfn.PERCENTILE.INC(_xlpm.v,0.75))</f>
        <v>15797.013586090749</v>
      </c>
      <c r="AV5">
        <f t="shared" ca="1" si="0"/>
        <v>4861.5183939447725</v>
      </c>
      <c r="AW5">
        <f t="shared" ca="1" si="24"/>
        <v>1180.2124178398326</v>
      </c>
      <c r="AX5">
        <f t="shared" ca="1" si="25"/>
        <v>20626.285993618923</v>
      </c>
      <c r="AY5" s="13" cm="1">
        <f t="array" aca="1" ref="AY5" ca="1">_xlfn.LET(
  _xlpm.Data, $Y$2:$AI$1000,
  _xlpm.col,  $AJ5,
  _xlpm.vec,  INDEX(_xlpm.Data,,_xlpm.col),
  _xlpm.v,    _xlfn._xlws.FILTER(_xlpm.vec, ISNUMBER(_xlpm.vec)),
  _xlpm.f,    AW5,
  IF(OR(COUNT(_xlpm.v)=0, NOT(ISNUMBER(_xlpm.f))),
      NA(),
      IF(COUNT(_xlfn._xlws.FILTER(_xlpm.v, _xlpm.v&gt;=_xlpm.f))=0, MIN(_xlpm.v), MIN(_xlfn._xlws.FILTER(_xlpm.v, _xlpm.v&gt;=_xlpm.f)))
  )
)</f>
        <v>6113.909565217391</v>
      </c>
      <c r="AZ5" cm="1">
        <f t="array" aca="1" ref="AZ5" ca="1">_xlfn.LET(
  _xlpm.Data, $Y$2:$AI$1000,
  _xlpm.col,  $AJ5,
  _xlpm.vec,  INDEX(_xlpm.Data,,_xlpm.col),
  _xlpm.v,    _xlfn._xlws.FILTER(_xlpm.vec, ISNUMBER(_xlpm.vec)),
  _xlpm.f,    AX5,
  IF(OR(COUNT(_xlpm.v)=0, NOT(ISNUMBER(_xlpm.f))),
      NA(),
      IF(COUNT(_xlfn._xlws.FILTER(_xlpm.v, _xlpm.v&lt;=_xlpm.f))=0, MAX(_xlpm.v), MAX(_xlfn._xlws.FILTER(_xlpm.v, _xlpm.v&lt;=_xlpm.f)))
  )
)</f>
        <v>15974.702436322583</v>
      </c>
      <c r="BA5">
        <f t="shared" ca="1" si="1"/>
        <v>4367.948386801625</v>
      </c>
      <c r="BB5">
        <f t="shared" ca="1" si="2"/>
        <v>5492.8444843035668</v>
      </c>
      <c r="BC5">
        <f t="shared" ca="1" si="26"/>
        <v>2358.5804435396003</v>
      </c>
      <c r="BD5">
        <f t="shared" ca="1" si="3"/>
        <v>2640.694033620819</v>
      </c>
      <c r="BE5">
        <f t="shared" ca="1" si="4"/>
        <v>2358.5804435396003</v>
      </c>
      <c r="BF5">
        <v>0</v>
      </c>
      <c r="BG5">
        <f t="shared" ca="1" si="5"/>
        <v>15797.013586090749</v>
      </c>
      <c r="BH5">
        <v>3883.6912913084134</v>
      </c>
      <c r="BI5">
        <v>3</v>
      </c>
      <c r="BM5" t="s">
        <v>1090</v>
      </c>
      <c r="BN5" t="s">
        <v>62</v>
      </c>
      <c r="BO5" t="s">
        <v>1074</v>
      </c>
      <c r="BP5">
        <v>9477.2166713718052</v>
      </c>
      <c r="BQ5">
        <v>11235.299349718522</v>
      </c>
      <c r="BR5">
        <v>5459.5439301198676</v>
      </c>
      <c r="BS5">
        <v>7004.1127811414517</v>
      </c>
      <c r="BU5">
        <v>6445.5061993980289</v>
      </c>
      <c r="BY5">
        <v>3489.3792062043799</v>
      </c>
      <c r="CC5">
        <f t="shared" si="27"/>
        <v>4</v>
      </c>
      <c r="CD5" s="26" cm="1">
        <f t="array" aca="1" ref="CD5" ca="1">_xlfn.LET(
  _xlpm.r,OFFSET($BP$2,0,ROW(A4)-1,ROWS($BP$2:$BP$1000),1),
  _xlpm.v,_xlfn._xlws.FILTER(_xlpm.r,ISNUMBER(_xlpm.r)),
  IF(COUNT(_xlpm.v)=0,NA(),_xlfn.PERCENTILE.INC(_xlpm.v,0.975))
)</f>
        <v>6809.7023850329724</v>
      </c>
      <c r="CE5" s="26" cm="1">
        <f t="array" ref="CE5">_xlfn.LET(
  _xlpm.hdr, $BP$1:$CB$1,               _xlpm.k,   _xlfn.XMATCH($BM5,_xlpm.hdr,0),
  _xlpm.col, INDEX($BP$2:$CB$1000,,_xlpm.k),
  _xlpm.v,   _xlfn._xlws.FILTER(_xlpm.col,ISNUMBER(_xlpm.col)),
  IF(COUNT(_xlpm.v)=0, NA(), AVERAGE(_xlpm.v))
)</f>
        <v>4720.554605633055</v>
      </c>
      <c r="CF5" cm="1">
        <f t="array" aca="1" ref="CF5" ca="1">_xlfn.LET(
  _xlpm.k,ROW(A4)-1,
  _xlpm.r,OFFSET($BP$2,0,_xlpm.k,ROWS($BP$2:$BP$1000),1),
  _xlpm.v,_xlfn._xlws.FILTER(_xlpm.r,ISNUMBER(_xlpm.r)),
  IF(COUNT(_xlpm.v)=0,NA(),MIN(_xlpm.v))
)</f>
        <v>3164.356504065041</v>
      </c>
      <c r="CG5" cm="1">
        <f t="array" aca="1" ref="CG5" ca="1">_xlfn.LET(
  _xlpm.k,ROW(A4)-1,
  _xlpm.r,OFFSET($BP$2,0,_xlpm.k,ROWS($BP$2:$BP$1000),1),
  _xlpm.v,_xlfn._xlws.FILTER(_xlpm.r,ISNUMBER(_xlpm.r)),
  IF(COUNT(_xlpm.v)=0,NA(),_xlfn.PERCENTILE.INC(_xlpm.v,0.25))
)</f>
        <v>4017.420354239257</v>
      </c>
      <c r="CH5" cm="1">
        <f t="array" aca="1" ref="CH5" ca="1">_xlfn.LET(
  _xlpm.k,ROW(A4)-1,
  _xlpm.r,OFFSET($BP$2,0,_xlpm.k,ROWS($BP$2:$BP$1000),1),
  _xlpm.v,_xlfn._xlws.FILTER(_xlpm.r,ISNUMBER(_xlpm.r)),
  IF(COUNT(_xlpm.v)=0,NA(),_xlfn.PERCENTILE.INC(_xlpm.v,0.5))
)</f>
        <v>4356.8745686628636</v>
      </c>
      <c r="CI5" cm="1">
        <f t="array" aca="1" ref="CI5" ca="1">_xlfn.LET(
  _xlpm.k,ROW(A4)-1,
  _xlpm.r,OFFSET($BP$2,0,_xlpm.k,ROWS($BP$2:$BP$1000),1),
  _xlpm.v,_xlfn._xlws.FILTER(_xlpm.r,ISNUMBER(_xlpm.r)),
  IF(COUNT(_xlpm.v)=0,NA(),_xlfn.PERCENTILE.INC(_xlpm.v,0.75))
)</f>
        <v>5060.0088200566615</v>
      </c>
      <c r="CJ5" cm="1">
        <f t="array" aca="1" ref="CJ5" ca="1">_xlfn.LET(
  _xlpm.k,ROW(A4)-1,
  _xlpm.r,OFFSET($BP$2,0,_xlpm.k,ROWS($BP$2:$BP$1000),1),
  _xlpm.v,_xlfn._xlws.FILTER(_xlpm.r,ISNUMBER(_xlpm.r)),
  IF(COUNT(_xlpm.v)=0,NA(),MAX(_xlpm.v))
)</f>
        <v>7004.1127811414517</v>
      </c>
      <c r="CK5" cm="1">
        <f t="array" aca="1" ref="CK5" ca="1">_xlfn.LET(_xlpm.r,OFFSET($BP$2,0,ROW(A4)-1,ROWS($BP$2:$BP$1000),1),
    _xlpm.v,_xlfn._xlws.FILTER(_xlpm.r,ISNUMBER(_xlpm.r)),
    _xlfn.PERCENTILE.INC(_xlpm.v,0.25))</f>
        <v>4017.420354239257</v>
      </c>
      <c r="CL5" cm="1">
        <f t="array" aca="1" ref="CL5" ca="1">_xlfn.LET(
  _xlpm.k, ROW(A4)-1,
  _xlpm.r, OFFSET($BP$2,0,_xlpm.k,ROWS($BP$2:$BP$1000),1),
  _xlpm.v, _xlfn._xlws.FILTER(_xlpm.r, ISNUMBER(_xlpm.r)),
  IF(COUNT(_xlpm.v)=0, NA(), _xlfn.PERCENTILE.INC(_xlpm.v,0.5)-_xlfn.PERCENTILE.INC(_xlpm.v,0.25))
)</f>
        <v>339.45421442360657</v>
      </c>
      <c r="CM5" cm="1">
        <f t="array" aca="1" ref="CM5" ca="1">_xlfn.LET(_xlpm.r,OFFSET($BP$2,0,ROW(A4)-1,ROWS($BP$2:$BP$1000),1),
    _xlpm.v,_xlfn._xlws.FILTER(_xlpm.r,ISNUMBER(_xlpm.r)),
    _xlfn.PERCENTILE.INC(_xlpm.v,0.75)-_xlfn.PERCENTILE.INC(_xlpm.v,0.5))</f>
        <v>703.13425139379797</v>
      </c>
      <c r="CN5" cm="1">
        <f t="array" aca="1" ref="CN5" ca="1">_xlfn.LET(_xlpm.r,OFFSET($BP$2,0,ROW(A4)-1,ROWS($BP$2:$BP$1000),1),
    _xlpm.v,_xlfn._xlws.FILTER(_xlpm.r,ISNUMBER(_xlpm.r)),
    MAX(_xlpm.v)-_xlfn.PERCENTILE.INC(_xlpm.v,0.75))</f>
        <v>1944.1039610847902</v>
      </c>
      <c r="CO5">
        <f t="shared" ca="1" si="6"/>
        <v>1042.5884658174045</v>
      </c>
      <c r="CP5">
        <f t="shared" ca="1" si="28"/>
        <v>2453.5376555131502</v>
      </c>
      <c r="CQ5">
        <f t="shared" ca="1" si="29"/>
        <v>6623.8915187827679</v>
      </c>
      <c r="CR5" s="13" cm="1">
        <f t="array" aca="1" ref="CR5" ca="1">_xlfn.LET(
  _xlpm.Data, $BP$2:$CB$1000,
  _xlpm.col,  $CC5,
  _xlpm.vec,  INDEX(_xlpm.Data,,_xlpm.col),
  _xlpm.v,    _xlfn._xlws.FILTER(_xlpm.vec, ISNUMBER(_xlpm.vec)),
  _xlpm.f,    CP5,
  IF(COUNT(_xlpm.v)=0, NA(),
    IF(NOT(ISNUMBER(_xlpm.f)), NA(),
      _xlfn.LET(
        _xlpm.cand, _xlfn._xlws.FILTER(_xlpm.v, _xlpm.v&gt;=_xlpm.f),
        IF(COUNT(_xlpm.cand)=0, MAX(0, MIN(_xlpm.v)), MAX(0, MIN(_xlpm.cand)))
      )
    )
  )
)</f>
        <v>3164.356504065041</v>
      </c>
      <c r="CS5" cm="1">
        <f t="array" aca="1" ref="CS5" ca="1">_xlfn.LET(
  _xlpm.Data, $BP$2:$CB$1000,
  _xlpm.col,  $CC5,
  _xlpm.vec,  INDEX(_xlpm.Data,,_xlpm.col),
  _xlpm.v,    _xlfn._xlws.FILTER(_xlpm.vec, ISNUMBER(_xlpm.vec)),
  _xlpm.f,    CQ5,
  IF(COUNT(_xlpm.v)=0, NA(),
    IF(NOT(ISNUMBER(_xlpm.f)), NA(),
      _xlfn.LET(
        _xlpm.cand, _xlfn._xlws.FILTER(_xlpm.v, _xlpm.v&lt;=_xlpm.f),
        IF(COUNT(_xlpm.cand)=0, MAX(_xlpm.v), MAX(_xlpm.cand))
      )
    )
  )
)</f>
        <v>4411.9741663617315</v>
      </c>
      <c r="CT5">
        <f t="shared" ca="1" si="7"/>
        <v>55.09959769886791</v>
      </c>
      <c r="CU5">
        <f t="shared" ca="1" si="8"/>
        <v>1192.5180645978226</v>
      </c>
      <c r="CV5">
        <f t="shared" ca="1" si="30"/>
        <v>853.06385017421599</v>
      </c>
      <c r="CW5">
        <f t="shared" ca="1" si="31"/>
        <v>-648.03465369493006</v>
      </c>
      <c r="CX5">
        <f t="shared" ca="1" si="9"/>
        <v>853.06385017421599</v>
      </c>
      <c r="CY5">
        <v>0</v>
      </c>
      <c r="CZ5">
        <f t="shared" ca="1" si="10"/>
        <v>1944.1039610847902</v>
      </c>
      <c r="DA5">
        <f ca="1"/>
        <v>9477.2166713718052</v>
      </c>
      <c r="DB5">
        <f ca="1"/>
        <v>1</v>
      </c>
      <c r="DH5" t="s">
        <v>1035</v>
      </c>
      <c r="DI5" t="s">
        <v>798</v>
      </c>
      <c r="DJ5" t="s">
        <v>32</v>
      </c>
      <c r="DM5">
        <f ca="1"/>
        <v>5067.7260542340418</v>
      </c>
      <c r="DT5">
        <f t="shared" si="32"/>
        <v>4</v>
      </c>
      <c r="DU5" s="26" t="e" cm="1">
        <f t="array" aca="1" ref="DU5" ca="1">_xlfn.LET(
  _xlpm.r,OFFSET($DK$2,0,ROW(A4)-1,ROWS($DK$2:$DK$1000),1),
  _xlpm.v,_xlfn._xlws.FILTER(_xlpm.r,ISNUMBER(_xlpm.r)),
  IF(COUNT(_xlpm.v)=0,NA(),_xlfn.PERCENTILE.INC(_xlpm.v,0.975))
)</f>
        <v>#N/A</v>
      </c>
      <c r="DV5" s="26" t="e" cm="1">
        <f t="array" aca="1" ref="DV5" ca="1">_xlfn.LET(
  _xlpm.hdr, $DK$1:$DS$1,               _xlpm.k,   _xlfn.XMATCH($DH5,_xlpm.hdr,0),
  _xlpm.col, INDEX($DK$2:$DS$1000,,_xlpm.k),
  _xlpm.v,   _xlfn._xlws.FILTER(_xlpm.col,ISNUMBER(_xlpm.col)),
  IF(COUNT(_xlpm.v)=0, NA(), AVERAGE(_xlpm.v))
)</f>
        <v>#N/A</v>
      </c>
      <c r="DW5" t="e" cm="1">
        <f t="array" aca="1" ref="DW5" ca="1">_xlfn.LET(
  _xlpm.k,ROW(A4)-1,
  _xlpm.r,OFFSET($DK$2,0,_xlpm.k,ROWS($DK$2:$DK$1000),1),
  _xlpm.v,_xlfn._xlws.FILTER(_xlpm.r,ISNUMBER(_xlpm.r)),
  IF(COUNT(_xlpm.v)=0,NA(),MIN(_xlpm.v))
)</f>
        <v>#N/A</v>
      </c>
      <c r="DX5" t="e" cm="1">
        <f t="array" aca="1" ref="DX5" ca="1">_xlfn.LET(
  _xlpm.k,ROW(A4)-1,
  _xlpm.r,OFFSET($DK$2,0,_xlpm.k,ROWS($DK$2:$DK$1000),1),
  _xlpm.v,_xlfn._xlws.FILTER(_xlpm.r,ISNUMBER(_xlpm.r)),
  IF(COUNT(_xlpm.v)=0,NA(),_xlfn.PERCENTILE.INC(_xlpm.v,0.25))
)</f>
        <v>#N/A</v>
      </c>
      <c r="DY5" t="e" cm="1">
        <f t="array" aca="1" ref="DY5" ca="1">_xlfn.LET(
  _xlpm.k,ROW(A4)-1,
  _xlpm.r,OFFSET($DK$2,0,_xlpm.k,ROWS($DK$2:$DK$1000),1),
  _xlpm.v,_xlfn._xlws.FILTER(_xlpm.r,ISNUMBER(_xlpm.r)),
  IF(COUNT(_xlpm.v)=0,NA(),_xlfn.PERCENTILE.INC(_xlpm.v,0.5))
)</f>
        <v>#N/A</v>
      </c>
      <c r="DZ5" t="e" cm="1">
        <f t="array" aca="1" ref="DZ5" ca="1">_xlfn.LET(
  _xlpm.k,ROW(A4)-1,
  _xlpm.r,OFFSET($DK$2,0,_xlpm.k,ROWS($DK$2:$DK$1000),1),
  _xlpm.v,_xlfn._xlws.FILTER(_xlpm.r,ISNUMBER(_xlpm.r)),
  IF(COUNT(_xlpm.v)=0,NA(),_xlfn.PERCENTILE.INC(_xlpm.v,0.75))
)</f>
        <v>#N/A</v>
      </c>
      <c r="EA5" t="e" cm="1">
        <f t="array" aca="1" ref="EA5" ca="1">_xlfn.LET(
  _xlpm.k,ROW(A4)-1,
  _xlpm.r,OFFSET($DK$2,0,_xlpm.k,ROWS($DK$2:$DK$1000),1),
  _xlpm.v,_xlfn._xlws.FILTER(_xlpm.r,ISNUMBER(_xlpm.r)),
  IF(COUNT(_xlpm.v)=0,NA(),MAX(_xlpm.v))
)</f>
        <v>#N/A</v>
      </c>
      <c r="EB5" t="e" cm="1" vm="1">
        <f t="array" aca="1" ref="EB5" ca="1">_xlfn.LET(_xlpm.r,OFFSET($DK$2,0,ROW(A4)-1,ROWS($DK$2:$DK$1000),1),
    _xlpm.v,_xlfn._xlws.FILTER(_xlpm.r,ISNUMBER(_xlpm.r)),
    _xlfn.PERCENTILE.INC(_xlpm.v,0.25))</f>
        <v>#VALUE!</v>
      </c>
      <c r="EC5" t="e" cm="1">
        <f t="array" aca="1" ref="EC5" ca="1">_xlfn.LET(
  _xlpm.k, ROW(A4)-1,
  _xlpm.r, OFFSET($DK$2,0,_xlpm.k,ROWS($DK$2:$DK$1000),1),
  _xlpm.v, _xlfn._xlws.FILTER(_xlpm.r, ISNUMBER(_xlpm.r)),
  IF(COUNT(_xlpm.v)=0, NA(), _xlfn.PERCENTILE.INC(_xlpm.v,0.5)-_xlfn.PERCENTILE.INC(_xlpm.v,0.25))
)</f>
        <v>#N/A</v>
      </c>
      <c r="ED5" t="e" cm="1" vm="1">
        <f t="array" aca="1" ref="ED5" ca="1">_xlfn.LET(_xlpm.r,OFFSET($DK$2,0,ROW(A4)-1,ROWS($DK$2:$DK$1000),1),
    _xlpm.v,_xlfn._xlws.FILTER(_xlpm.r,ISNUMBER(_xlpm.r)),
    _xlfn.PERCENTILE.INC(_xlpm.v,0.75)-_xlfn.PERCENTILE.INC(_xlpm.v,0.5))</f>
        <v>#VALUE!</v>
      </c>
      <c r="EE5" t="e" cm="1" vm="1">
        <f t="array" aca="1" ref="EE5" ca="1">_xlfn.LET(_xlpm.r,OFFSET($DK$2,0,ROW(A4)-1,ROWS($DK$2:$DK$1000),1),
    _xlpm.v,_xlfn._xlws.FILTER(_xlpm.r,ISNUMBER(_xlpm.r)),
    MAX(_xlpm.v)-_xlfn.PERCENTILE.INC(_xlpm.v,0.75))</f>
        <v>#VALUE!</v>
      </c>
      <c r="EF5" t="e">
        <f t="shared" ca="1" si="11"/>
        <v>#N/A</v>
      </c>
      <c r="EG5" t="e">
        <f t="shared" ca="1" si="33"/>
        <v>#N/A</v>
      </c>
      <c r="EH5" t="e">
        <f t="shared" ca="1" si="34"/>
        <v>#N/A</v>
      </c>
      <c r="EI5" s="13" t="e" cm="1">
        <f t="array" aca="1" ref="EI5" ca="1">_xlfn.LET(
  _xlpm.Data, $DK$2:$DS$1000,
  _xlpm.col,  $DT5,
  _xlpm.vec,  INDEX(_xlpm.Data,,_xlpm.col),
  _xlpm.v,    _xlfn._xlws.FILTER(_xlpm.vec, ISNUMBER(_xlpm.vec)),
  _xlpm.f,    EG5,
  IF(COUNT(_xlpm.v)=0, NA(),
    IF(NOT(ISNUMBER(_xlpm.f)), NA(),
      _xlfn.LET(
        _xlpm.cand, _xlfn._xlws.FILTER(_xlpm.v, _xlpm.v&gt;=_xlpm.f),
        IF(COUNT(_xlpm.cand)=0, MAX(0, MIN(_xlpm.v)), MAX(0, MIN(_xlpm.cand)))
      )
    )
  )
)</f>
        <v>#N/A</v>
      </c>
      <c r="EJ5" t="e" cm="1">
        <f t="array" aca="1" ref="EJ5" ca="1">_xlfn.LET(
  _xlpm.Data, $DK$2:$DS$1000,
  _xlpm.col,  $DT5,
  _xlpm.vec,  INDEX(_xlpm.Data,,_xlpm.col),
  _xlpm.v,    _xlfn._xlws.FILTER(_xlpm.vec, ISNUMBER(_xlpm.vec)),
  _xlpm.f,    EH5,
  IF(COUNT(_xlpm.v)=0, NA(),
    IF(NOT(ISNUMBER(_xlpm.f)), NA(),
      _xlfn.LET(
        _xlpm.cand, _xlfn._xlws.FILTER(_xlpm.v, _xlpm.v&lt;=_xlpm.f),
        IF(COUNT(_xlpm.cand)=0, MAX(_xlpm.v), MAX(_xlpm.cand))
      )
    )
  )
)</f>
        <v>#N/A</v>
      </c>
      <c r="EK5" t="e">
        <f t="shared" ca="1" si="12"/>
        <v>#N/A</v>
      </c>
      <c r="EL5" t="e">
        <f t="shared" ca="1" si="13"/>
        <v>#N/A</v>
      </c>
      <c r="EM5" t="e">
        <f t="shared" ca="1" si="35"/>
        <v>#N/A</v>
      </c>
      <c r="EN5" t="e">
        <f t="shared" ca="1" si="36"/>
        <v>#N/A</v>
      </c>
      <c r="EO5" t="e">
        <f t="shared" ca="1" si="14"/>
        <v>#N/A</v>
      </c>
      <c r="EP5">
        <v>0</v>
      </c>
      <c r="EQ5" t="e">
        <f t="shared" ca="1" si="15"/>
        <v>#N/A</v>
      </c>
      <c r="ER5">
        <f ca="1"/>
        <v>5067.7260542340418</v>
      </c>
      <c r="ES5">
        <f ca="1"/>
        <v>3</v>
      </c>
      <c r="FL5" s="26"/>
      <c r="FM5" s="26"/>
      <c r="FZ5" s="13"/>
    </row>
    <row r="6" spans="1:192">
      <c r="A6" t="s">
        <v>518</v>
      </c>
      <c r="B6" t="s">
        <v>62</v>
      </c>
      <c r="C6" t="s">
        <v>57</v>
      </c>
      <c r="D6" cm="1">
        <f t="array" ref="D6">_xlfn.LET(
 _xlpm.A,$A6,_xlpm.B,$B6,_xlpm.C,$C6,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15856.519626291001</v>
      </c>
      <c r="E6" cm="1">
        <f t="array" ref="E6">_xlfn.LET(
 _xlpm.A,$A6,_xlpm.B,$B6,_xlpm.C,$C6,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7678.8150836011937</v>
      </c>
      <c r="F6" cm="1">
        <f t="array" ref="F6">_xlfn.LET(
 _xlpm.A,$A6,_xlpm.B,$B6,_xlpm.C,$C6,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7502.812596837075</v>
      </c>
      <c r="G6" cm="1">
        <f t="array" ref="G6">_xlfn.LET(
 _xlpm.A,$A6,_xlpm.B,$B6,_xlpm.C,$C6,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15163.336584805127</v>
      </c>
      <c r="H6">
        <f t="shared" si="16"/>
        <v>693.18304148587413</v>
      </c>
      <c r="I6">
        <f t="shared" si="17"/>
        <v>5</v>
      </c>
      <c r="J6" t="e">
        <f t="shared" si="18"/>
        <v>#N/A</v>
      </c>
      <c r="K6">
        <f t="shared" si="19"/>
        <v>15163.336584805127</v>
      </c>
      <c r="L6" t="e">
        <f t="shared" si="20"/>
        <v>#N/A</v>
      </c>
      <c r="M6" t="e">
        <f t="shared" si="21"/>
        <v>#N/A</v>
      </c>
      <c r="N6" t="e">
        <f t="shared" si="22"/>
        <v>#N/A</v>
      </c>
      <c r="O6" cm="1">
        <f t="array" ref="O6">_xlfn.LET(
 _xlpm.A,$A6,_xlpm.B,$B6,_xlpm.C,$C6,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7</v>
      </c>
      <c r="P6" t="str">
        <f t="shared" si="23"/>
        <v>n=7</v>
      </c>
      <c r="V6" t="s">
        <v>536</v>
      </c>
      <c r="W6" t="s">
        <v>518</v>
      </c>
      <c r="X6" t="s">
        <v>57</v>
      </c>
      <c r="AA6">
        <v>9122.992414858385</v>
      </c>
      <c r="AB6">
        <v>7837.9776810335725</v>
      </c>
      <c r="AC6">
        <v>6445.5061993980289</v>
      </c>
      <c r="AD6">
        <v>5459.5439301198676</v>
      </c>
      <c r="AJ6">
        <f t="shared" ref="AJ6:AJ12" si="37">MATCH(V6,$V$2:$V$12,0)</f>
        <v>5</v>
      </c>
      <c r="AK6" s="26" cm="1">
        <f t="array" aca="1" ref="AK6" ca="1">_xlfn.LET(
  _xlpm.r,OFFSET($Y$2,0,ROW(A5)-1,ROWS($Y$2:$Y$1000),1),
  _xlpm.v,_xlfn._xlws.FILTER(_xlpm.r,ISNUMBER(_xlpm.r)),
  IF(COUNT(_xlpm.v)=0,NA(),_xlfn.PERCENTILE.INC(_xlpm.v,0.975))
)</f>
        <v>14585.684050233567</v>
      </c>
      <c r="AL6" s="26" cm="1">
        <f t="array" ref="AL6">_xlfn.LET(
  _xlpm.hdr, $Y$1:$AI$1,               _xlpm.k,   _xlfn.XMATCH($V6,_xlpm.hdr,0),
  _xlpm.col, INDEX($Y$2:$AI$1000,,_xlpm.k),
  _xlpm.v,   _xlfn._xlws.FILTER(_xlpm.col,ISNUMBER(_xlpm.col)),
  IF(COUNT(_xlpm.v)=0, NA(), AVERAGE(_xlpm.v))
)</f>
        <v>6991.3287714527505</v>
      </c>
      <c r="AM6" cm="1">
        <f t="array" aca="1" ref="AM6" ca="1">_xlfn.LET(
  _xlpm.k,ROW(A5)-1,
  _xlpm.r,OFFSET($Y$2,0,_xlpm.k,ROWS($Y$2:$Y$1000),1),
  _xlpm.v,_xlfn._xlws.FILTER(_xlpm.r,ISNUMBER(_xlpm.r)),
  IF(COUNT(_xlpm.v)=0,NA(),MIN(_xlpm.v))
)</f>
        <v>2519.3719612638824</v>
      </c>
      <c r="AN6" cm="1">
        <f t="array" aca="1" ref="AN6" ca="1">_xlfn.LET(
  _xlpm.k,ROW(A5)-1,
  _xlpm.r,OFFSET($Y$2,0,_xlpm.k,ROWS($Y$2:$Y$1000),1),
  _xlpm.v,_xlfn._xlws.FILTER(_xlpm.r,ISNUMBER(_xlpm.r)),
  IF(COUNT(_xlpm.v)=0,NA(),_xlfn.PERCENTILE.INC(_xlpm.v,0.25))
)</f>
        <v>4674.9905385920883</v>
      </c>
      <c r="AO6" cm="1">
        <f t="array" aca="1" ref="AO6" ca="1">_xlfn.LET(
  _xlpm.k,ROW(A5)-1,
  _xlpm.r,OFFSET($Y$2,0,_xlpm.k,ROWS($Y$2:$Y$1000),1),
  _xlpm.v,_xlfn._xlws.FILTER(_xlpm.r,ISNUMBER(_xlpm.r)),
  IF(COUNT(_xlpm.v)=0,NA(),_xlfn.PERCENTILE.INC(_xlpm.v,0.5))
)</f>
        <v>6385.9607871230337</v>
      </c>
      <c r="AP6" cm="1">
        <f t="array" ref="AP6">_xlfn.LET(
  _xlpm.Data, $Y$2:$AI$1000,
  _xlpm.col,  $AJ6,
  _xlpm.vec,  INDEX(_xlpm.Data,,_xlpm.col),
  _xlpm.v,    _xlfn._xlws.FILTER(_xlpm.vec, ISNUMBER(_xlpm.vec)),
  IF(COUNT(_xlpm.v)=0, NA(), _xlfn.PERCENTILE.INC(_xlpm.v, 0.75))
)</f>
        <v>7862.2128199500348</v>
      </c>
      <c r="AQ6" cm="1">
        <f t="array" aca="1" ref="AQ6" ca="1">_xlfn.LET(
  _xlpm.k,ROW(A5)-1,
  _xlpm.r,OFFSET($Y$2,0,_xlpm.k,ROWS($Y$2:$Y$1000),1),
  _xlpm.v,_xlfn._xlws.FILTER(_xlpm.r,ISNUMBER(_xlpm.r)),
  IF(COUNT(_xlpm.v)=0,NA(),MAX(_xlpm.v))
)</f>
        <v>15856.519626291001</v>
      </c>
      <c r="AR6" cm="1">
        <f t="array" aca="1" ref="AR6" ca="1">_xlfn.LET(_xlpm.r,OFFSET($Y$2,0,ROW(A5)-1,ROWS($Y$2:$Y$1000),1),
    _xlpm.v,_xlfn._xlws.FILTER(_xlpm.r,ISNUMBER(_xlpm.r)),
    _xlfn.PERCENTILE.INC(_xlpm.v,0.25))</f>
        <v>4674.9905385920883</v>
      </c>
      <c r="AS6" cm="1">
        <f t="array" aca="1" ref="AS6" ca="1">_xlfn.LET(
  _xlpm.k, ROW(A5)-1,
  _xlpm.r, OFFSET($Y$2,0,_xlpm.k,ROWS($Y$2:$Y$1000),1),
  _xlpm.v, _xlfn._xlws.FILTER(_xlpm.r, ISNUMBER(_xlpm.r)),
  IF(COUNT(_xlpm.v)=0, NA(), _xlfn.PERCENTILE.INC(_xlpm.v,0.5)-_xlfn.PERCENTILE.INC(_xlpm.v,0.25))
)</f>
        <v>1710.9702485309454</v>
      </c>
      <c r="AT6" cm="1">
        <f t="array" aca="1" ref="AT6" ca="1">_xlfn.LET(_xlpm.r,OFFSET($Y$2,0,ROW(A5)-1,ROWS($Y$2:$Y$1000),1),
    _xlpm.v,_xlfn._xlws.FILTER(_xlpm.r,ISNUMBER(_xlpm.r)),
    _xlfn.PERCENTILE.INC(_xlpm.v,0.75)-_xlfn.PERCENTILE.INC(_xlpm.v,0.5))</f>
        <v>1476.2520328270011</v>
      </c>
      <c r="AU6" cm="1">
        <f t="array" aca="1" ref="AU6" ca="1">_xlfn.LET(_xlpm.r,OFFSET($Y$2,0,ROW(A5)-1,ROWS($Y$2:$Y$1000),1),
    _xlpm.v,_xlfn._xlws.FILTER(_xlpm.r,ISNUMBER(_xlpm.r)),
    MAX(_xlpm.v)-_xlfn.PERCENTILE.INC(_xlpm.v,0.75))</f>
        <v>7994.3068063409664</v>
      </c>
      <c r="AV6">
        <f t="shared" ca="1" si="0"/>
        <v>3187.2222813579465</v>
      </c>
      <c r="AW6">
        <f t="shared" ca="1" si="24"/>
        <v>-105.84288344483139</v>
      </c>
      <c r="AX6">
        <f t="shared" ca="1" si="25"/>
        <v>12643.046241986955</v>
      </c>
      <c r="AY6" s="13" cm="1">
        <f t="array" aca="1" ref="AY6" ca="1">_xlfn.LET(
  _xlpm.Data, $Y$2:$AI$1000,
  _xlpm.col,  $AJ6,
  _xlpm.vec,  INDEX(_xlpm.Data,,_xlpm.col),
  _xlpm.v,    _xlfn._xlws.FILTER(_xlpm.vec, ISNUMBER(_xlpm.vec)),
  _xlpm.f,    AW6,
  IF(OR(COUNT(_xlpm.v)=0, NOT(ISNUMBER(_xlpm.f))),
      NA(),
      IF(COUNT(_xlfn._xlws.FILTER(_xlpm.v, _xlpm.v&gt;=_xlpm.f))=0, MIN(_xlpm.v), MIN(_xlfn._xlws.FILTER(_xlpm.v, _xlpm.v&gt;=_xlpm.f)))
  )
)</f>
        <v>2519.3719612638824</v>
      </c>
      <c r="AZ6" cm="1">
        <f t="array" aca="1" ref="AZ6" ca="1">_xlfn.LET(
  _xlpm.Data, $Y$2:$AI$1000,
  _xlpm.col,  $AJ6,
  _xlpm.vec,  INDEX(_xlpm.Data,,_xlpm.col),
  _xlpm.v,    _xlfn._xlws.FILTER(_xlpm.vec, ISNUMBER(_xlpm.vec)),
  _xlpm.f,    AX6,
  IF(OR(COUNT(_xlpm.v)=0, NOT(ISNUMBER(_xlpm.f))),
      NA(),
      IF(COUNT(_xlfn._xlws.FILTER(_xlpm.v, _xlpm.v&lt;=_xlpm.f))=0, MAX(_xlpm.v), MAX(_xlfn._xlws.FILTER(_xlpm.v, _xlpm.v&lt;=_xlpm.f)))
  )
)</f>
        <v>11235.299349718522</v>
      </c>
      <c r="BA6">
        <f t="shared" ca="1" si="1"/>
        <v>4849.3385625954879</v>
      </c>
      <c r="BB6">
        <f t="shared" ca="1" si="2"/>
        <v>3866.5888258591513</v>
      </c>
      <c r="BC6">
        <f t="shared" ca="1" si="26"/>
        <v>2155.6185773282059</v>
      </c>
      <c r="BD6">
        <f t="shared" ca="1" si="3"/>
        <v>3373.0865297684868</v>
      </c>
      <c r="BE6">
        <f t="shared" ca="1" si="4"/>
        <v>2155.6185773282059</v>
      </c>
      <c r="BF6">
        <v>0</v>
      </c>
      <c r="BG6">
        <f t="shared" ca="1" si="5"/>
        <v>7994.3068063409664</v>
      </c>
      <c r="BH6">
        <v>5067.7260542340418</v>
      </c>
      <c r="BI6">
        <v>3</v>
      </c>
      <c r="BM6" t="s">
        <v>545</v>
      </c>
      <c r="BN6" t="s">
        <v>521</v>
      </c>
      <c r="BO6" t="s">
        <v>32</v>
      </c>
      <c r="BP6">
        <v>7837.9776810335725</v>
      </c>
      <c r="BQ6">
        <v>15856.519626291001</v>
      </c>
      <c r="BR6">
        <v>7569.7136954858461</v>
      </c>
      <c r="BU6">
        <v>6730.1311012027963</v>
      </c>
      <c r="CC6">
        <f t="shared" si="27"/>
        <v>5</v>
      </c>
      <c r="CD6" s="26" t="e" cm="1">
        <f t="array" aca="1" ref="CD6" ca="1">_xlfn.LET(
  _xlpm.r,OFFSET($BP$2,0,ROW(A5)-1,ROWS($BP$2:$BP$1000),1),
  _xlpm.v,_xlfn._xlws.FILTER(_xlpm.r,ISNUMBER(_xlpm.r)),
  IF(COUNT(_xlpm.v)=0,NA(),_xlfn.PERCENTILE.INC(_xlpm.v,0.975))
)</f>
        <v>#N/A</v>
      </c>
      <c r="CE6" s="26" t="e" cm="1">
        <f t="array" ref="CE6">_xlfn.LET(
  _xlpm.hdr, $BP$1:$CB$1,               _xlpm.k,   _xlfn.XMATCH($BM6,_xlpm.hdr,0),
  _xlpm.col, INDEX($BP$2:$CB$1000,,_xlpm.k),
  _xlpm.v,   _xlfn._xlws.FILTER(_xlpm.col,ISNUMBER(_xlpm.col)),
  IF(COUNT(_xlpm.v)=0, NA(), AVERAGE(_xlpm.v))
)</f>
        <v>#N/A</v>
      </c>
      <c r="CF6" t="e" cm="1">
        <f t="array" aca="1" ref="CF6" ca="1">_xlfn.LET(
  _xlpm.k,ROW(A5)-1,
  _xlpm.r,OFFSET($BP$2,0,_xlpm.k,ROWS($BP$2:$BP$1000),1),
  _xlpm.v,_xlfn._xlws.FILTER(_xlpm.r,ISNUMBER(_xlpm.r)),
  IF(COUNT(_xlpm.v)=0,NA(),MIN(_xlpm.v))
)</f>
        <v>#N/A</v>
      </c>
      <c r="CG6" t="e" cm="1">
        <f t="array" aca="1" ref="CG6" ca="1">_xlfn.LET(
  _xlpm.k,ROW(A5)-1,
  _xlpm.r,OFFSET($BP$2,0,_xlpm.k,ROWS($BP$2:$BP$1000),1),
  _xlpm.v,_xlfn._xlws.FILTER(_xlpm.r,ISNUMBER(_xlpm.r)),
  IF(COUNT(_xlpm.v)=0,NA(),_xlfn.PERCENTILE.INC(_xlpm.v,0.25))
)</f>
        <v>#N/A</v>
      </c>
      <c r="CH6" t="e" cm="1">
        <f t="array" aca="1" ref="CH6" ca="1">_xlfn.LET(
  _xlpm.k,ROW(A5)-1,
  _xlpm.r,OFFSET($BP$2,0,_xlpm.k,ROWS($BP$2:$BP$1000),1),
  _xlpm.v,_xlfn._xlws.FILTER(_xlpm.r,ISNUMBER(_xlpm.r)),
  IF(COUNT(_xlpm.v)=0,NA(),_xlfn.PERCENTILE.INC(_xlpm.v,0.5))
)</f>
        <v>#N/A</v>
      </c>
      <c r="CI6" t="e" cm="1">
        <f t="array" aca="1" ref="CI6" ca="1">_xlfn.LET(
  _xlpm.k,ROW(A5)-1,
  _xlpm.r,OFFSET($BP$2,0,_xlpm.k,ROWS($BP$2:$BP$1000),1),
  _xlpm.v,_xlfn._xlws.FILTER(_xlpm.r,ISNUMBER(_xlpm.r)),
  IF(COUNT(_xlpm.v)=0,NA(),_xlfn.PERCENTILE.INC(_xlpm.v,0.75))
)</f>
        <v>#N/A</v>
      </c>
      <c r="CJ6" t="e" cm="1">
        <f t="array" aca="1" ref="CJ6" ca="1">_xlfn.LET(
  _xlpm.k,ROW(A5)-1,
  _xlpm.r,OFFSET($BP$2,0,_xlpm.k,ROWS($BP$2:$BP$1000),1),
  _xlpm.v,_xlfn._xlws.FILTER(_xlpm.r,ISNUMBER(_xlpm.r)),
  IF(COUNT(_xlpm.v)=0,NA(),MAX(_xlpm.v))
)</f>
        <v>#N/A</v>
      </c>
      <c r="CK6" t="e" cm="1" vm="1">
        <f t="array" aca="1" ref="CK6" ca="1">_xlfn.LET(_xlpm.r,OFFSET($BP$2,0,ROW(A5)-1,ROWS($BP$2:$BP$1000),1),
    _xlpm.v,_xlfn._xlws.FILTER(_xlpm.r,ISNUMBER(_xlpm.r)),
    _xlfn.PERCENTILE.INC(_xlpm.v,0.25))</f>
        <v>#VALUE!</v>
      </c>
      <c r="CL6" t="e" cm="1">
        <f t="array" aca="1" ref="CL6" ca="1">_xlfn.LET(
  _xlpm.k, ROW(A5)-1,
  _xlpm.r, OFFSET($BP$2,0,_xlpm.k,ROWS($BP$2:$BP$1000),1),
  _xlpm.v, _xlfn._xlws.FILTER(_xlpm.r, ISNUMBER(_xlpm.r)),
  IF(COUNT(_xlpm.v)=0, NA(), _xlfn.PERCENTILE.INC(_xlpm.v,0.5)-_xlfn.PERCENTILE.INC(_xlpm.v,0.25))
)</f>
        <v>#N/A</v>
      </c>
      <c r="CM6" t="e" cm="1" vm="1">
        <f t="array" aca="1" ref="CM6" ca="1">_xlfn.LET(_xlpm.r,OFFSET($BP$2,0,ROW(A5)-1,ROWS($BP$2:$BP$1000),1),
    _xlpm.v,_xlfn._xlws.FILTER(_xlpm.r,ISNUMBER(_xlpm.r)),
    _xlfn.PERCENTILE.INC(_xlpm.v,0.75)-_xlfn.PERCENTILE.INC(_xlpm.v,0.5))</f>
        <v>#VALUE!</v>
      </c>
      <c r="CN6" t="e" cm="1" vm="1">
        <f t="array" aca="1" ref="CN6" ca="1">_xlfn.LET(_xlpm.r,OFFSET($BP$2,0,ROW(A5)-1,ROWS($BP$2:$BP$1000),1),
    _xlpm.v,_xlfn._xlws.FILTER(_xlpm.r,ISNUMBER(_xlpm.r)),
    MAX(_xlpm.v)-_xlfn.PERCENTILE.INC(_xlpm.v,0.75))</f>
        <v>#VALUE!</v>
      </c>
      <c r="CO6" t="e">
        <f t="shared" ca="1" si="6"/>
        <v>#N/A</v>
      </c>
      <c r="CP6" t="e">
        <f t="shared" ca="1" si="28"/>
        <v>#N/A</v>
      </c>
      <c r="CQ6" t="e">
        <f t="shared" ca="1" si="29"/>
        <v>#N/A</v>
      </c>
      <c r="CR6" s="13" t="e" cm="1">
        <f t="array" ref="CR6">_xlfn.LET(
  _xlpm.Data, $BP$2:$CB$1000,
  _xlpm.col,  $CC6,
  _xlpm.vec,  INDEX(_xlpm.Data,,_xlpm.col),
  _xlpm.v,    _xlfn._xlws.FILTER(_xlpm.vec, ISNUMBER(_xlpm.vec)),
  _xlpm.f,    CP6,
  IF(COUNT(_xlpm.v)=0, NA(),
    IF(NOT(ISNUMBER(_xlpm.f)), NA(),
      _xlfn.LET(
        _xlpm.cand, _xlfn._xlws.FILTER(_xlpm.v, _xlpm.v&gt;=_xlpm.f),
        IF(COUNT(_xlpm.cand)=0, MAX(0, MIN(_xlpm.v)), MAX(0, MIN(_xlpm.cand)))
      )
    )
  )
)</f>
        <v>#N/A</v>
      </c>
      <c r="CS6" t="e" cm="1">
        <f t="array" ref="CS6">_xlfn.LET(
  _xlpm.Data, $BP$2:$CB$1000,
  _xlpm.col,  $CC6,
  _xlpm.vec,  INDEX(_xlpm.Data,,_xlpm.col),
  _xlpm.v,    _xlfn._xlws.FILTER(_xlpm.vec, ISNUMBER(_xlpm.vec)),
  _xlpm.f,    CQ6,
  IF(COUNT(_xlpm.v)=0, NA(),
    IF(NOT(ISNUMBER(_xlpm.f)), NA(),
      _xlfn.LET(
        _xlpm.cand, _xlfn._xlws.FILTER(_xlpm.v, _xlpm.v&lt;=_xlpm.f),
        IF(COUNT(_xlpm.cand)=0, MAX(_xlpm.v), MAX(_xlpm.cand))
      )
    )
  )
)</f>
        <v>#N/A</v>
      </c>
      <c r="CT6" t="e">
        <f t="shared" ca="1" si="7"/>
        <v>#N/A</v>
      </c>
      <c r="CU6" t="e">
        <f t="shared" ca="1" si="8"/>
        <v>#N/A</v>
      </c>
      <c r="CV6" t="e">
        <f t="shared" ca="1" si="30"/>
        <v>#N/A</v>
      </c>
      <c r="CW6" t="e">
        <f t="shared" ca="1" si="31"/>
        <v>#N/A</v>
      </c>
      <c r="CX6" t="e">
        <f t="shared" ca="1" si="9"/>
        <v>#N/A</v>
      </c>
      <c r="CY6">
        <v>0</v>
      </c>
      <c r="CZ6" t="e">
        <f t="shared" ca="1" si="10"/>
        <v>#N/A</v>
      </c>
      <c r="DA6">
        <f ca="1"/>
        <v>7837.9776810335725</v>
      </c>
      <c r="DB6">
        <f ca="1"/>
        <v>1</v>
      </c>
      <c r="DH6" t="s">
        <v>1036</v>
      </c>
      <c r="DI6" t="s">
        <v>798</v>
      </c>
      <c r="DJ6" t="s">
        <v>57</v>
      </c>
      <c r="DM6">
        <f ca="1"/>
        <v>8298.7060090009236</v>
      </c>
      <c r="DT6">
        <f t="shared" si="32"/>
        <v>5</v>
      </c>
      <c r="DU6" s="26" t="e" cm="1">
        <f t="array" aca="1" ref="DU6" ca="1">_xlfn.LET(
  _xlpm.r,OFFSET($DK$2,0,ROW(A5)-1,ROWS($DK$2:$DK$1000),1),
  _xlpm.v,_xlfn._xlws.FILTER(_xlpm.r,ISNUMBER(_xlpm.r)),
  IF(COUNT(_xlpm.v)=0,NA(),_xlfn.PERCENTILE.INC(_xlpm.v,0.975))
)</f>
        <v>#N/A</v>
      </c>
      <c r="DV6" s="26" t="e" cm="1">
        <f t="array" aca="1" ref="DV6" ca="1">_xlfn.LET(
  _xlpm.hdr, $DK$1:$DS$1,               _xlpm.k,   _xlfn.XMATCH($DH6,_xlpm.hdr,0),
  _xlpm.col, INDEX($DK$2:$DS$1000,,_xlpm.k),
  _xlpm.v,   _xlfn._xlws.FILTER(_xlpm.col,ISNUMBER(_xlpm.col)),
  IF(COUNT(_xlpm.v)=0, NA(), AVERAGE(_xlpm.v))
)</f>
        <v>#N/A</v>
      </c>
      <c r="DW6" t="e" cm="1">
        <f t="array" aca="1" ref="DW6" ca="1">_xlfn.LET(
  _xlpm.k,ROW(A5)-1,
  _xlpm.r,OFFSET($DK$2,0,_xlpm.k,ROWS($DK$2:$DK$1000),1),
  _xlpm.v,_xlfn._xlws.FILTER(_xlpm.r,ISNUMBER(_xlpm.r)),
  IF(COUNT(_xlpm.v)=0,NA(),MIN(_xlpm.v))
)</f>
        <v>#N/A</v>
      </c>
      <c r="DX6" t="e" cm="1">
        <f t="array" aca="1" ref="DX6" ca="1">_xlfn.LET(
  _xlpm.k,ROW(A5)-1,
  _xlpm.r,OFFSET($DK$2,0,_xlpm.k,ROWS($DK$2:$DK$1000),1),
  _xlpm.v,_xlfn._xlws.FILTER(_xlpm.r,ISNUMBER(_xlpm.r)),
  IF(COUNT(_xlpm.v)=0,NA(),_xlfn.PERCENTILE.INC(_xlpm.v,0.25))
)</f>
        <v>#N/A</v>
      </c>
      <c r="DY6" t="e" cm="1">
        <f t="array" aca="1" ref="DY6" ca="1">_xlfn.LET(
  _xlpm.k,ROW(A5)-1,
  _xlpm.r,OFFSET($DK$2,0,_xlpm.k,ROWS($DK$2:$DK$1000),1),
  _xlpm.v,_xlfn._xlws.FILTER(_xlpm.r,ISNUMBER(_xlpm.r)),
  IF(COUNT(_xlpm.v)=0,NA(),_xlfn.PERCENTILE.INC(_xlpm.v,0.5))
)</f>
        <v>#N/A</v>
      </c>
      <c r="DZ6" t="e" cm="1">
        <f t="array" aca="1" ref="DZ6" ca="1">_xlfn.LET(
  _xlpm.k,ROW(A5)-1,
  _xlpm.r,OFFSET($DK$2,0,_xlpm.k,ROWS($DK$2:$DK$1000),1),
  _xlpm.v,_xlfn._xlws.FILTER(_xlpm.r,ISNUMBER(_xlpm.r)),
  IF(COUNT(_xlpm.v)=0,NA(),_xlfn.PERCENTILE.INC(_xlpm.v,0.75))
)</f>
        <v>#N/A</v>
      </c>
      <c r="EA6" t="e" cm="1">
        <f t="array" aca="1" ref="EA6" ca="1">_xlfn.LET(
  _xlpm.k,ROW(A5)-1,
  _xlpm.r,OFFSET($DK$2,0,_xlpm.k,ROWS($DK$2:$DK$1000),1),
  _xlpm.v,_xlfn._xlws.FILTER(_xlpm.r,ISNUMBER(_xlpm.r)),
  IF(COUNT(_xlpm.v)=0,NA(),MAX(_xlpm.v))
)</f>
        <v>#N/A</v>
      </c>
      <c r="EB6" t="e" cm="1" vm="1">
        <f t="array" aca="1" ref="EB6" ca="1">_xlfn.LET(_xlpm.r,OFFSET($DK$2,0,ROW(A5)-1,ROWS($DK$2:$DK$1000),1),
    _xlpm.v,_xlfn._xlws.FILTER(_xlpm.r,ISNUMBER(_xlpm.r)),
    _xlfn.PERCENTILE.INC(_xlpm.v,0.25))</f>
        <v>#VALUE!</v>
      </c>
      <c r="EC6" t="e" cm="1">
        <f t="array" aca="1" ref="EC6" ca="1">_xlfn.LET(
  _xlpm.k, ROW(A5)-1,
  _xlpm.r, OFFSET($DK$2,0,_xlpm.k,ROWS($DK$2:$DK$1000),1),
  _xlpm.v, _xlfn._xlws.FILTER(_xlpm.r, ISNUMBER(_xlpm.r)),
  IF(COUNT(_xlpm.v)=0, NA(), _xlfn.PERCENTILE.INC(_xlpm.v,0.5)-_xlfn.PERCENTILE.INC(_xlpm.v,0.25))
)</f>
        <v>#N/A</v>
      </c>
      <c r="ED6" t="e" cm="1" vm="1">
        <f t="array" aca="1" ref="ED6" ca="1">_xlfn.LET(_xlpm.r,OFFSET($DK$2,0,ROW(A5)-1,ROWS($DK$2:$DK$1000),1),
    _xlpm.v,_xlfn._xlws.FILTER(_xlpm.r,ISNUMBER(_xlpm.r)),
    _xlfn.PERCENTILE.INC(_xlpm.v,0.75)-_xlfn.PERCENTILE.INC(_xlpm.v,0.5))</f>
        <v>#VALUE!</v>
      </c>
      <c r="EE6" t="e" cm="1" vm="1">
        <f t="array" aca="1" ref="EE6" ca="1">_xlfn.LET(_xlpm.r,OFFSET($DK$2,0,ROW(A5)-1,ROWS($DK$2:$DK$1000),1),
    _xlpm.v,_xlfn._xlws.FILTER(_xlpm.r,ISNUMBER(_xlpm.r)),
    MAX(_xlpm.v)-_xlfn.PERCENTILE.INC(_xlpm.v,0.75))</f>
        <v>#VALUE!</v>
      </c>
      <c r="EF6" t="e">
        <f t="shared" ca="1" si="11"/>
        <v>#N/A</v>
      </c>
      <c r="EG6" t="e">
        <f t="shared" ca="1" si="33"/>
        <v>#N/A</v>
      </c>
      <c r="EH6" t="e">
        <f t="shared" ca="1" si="34"/>
        <v>#N/A</v>
      </c>
      <c r="EI6" s="13" t="e" cm="1">
        <f t="array" aca="1" ref="EI6" ca="1">_xlfn.LET(
  _xlpm.Data, $DK$2:$DS$1000,
  _xlpm.col,  $DT6,
  _xlpm.vec,  INDEX(_xlpm.Data,,_xlpm.col),
  _xlpm.v,    _xlfn._xlws.FILTER(_xlpm.vec, ISNUMBER(_xlpm.vec)),
  _xlpm.f,    EG6,
  IF(COUNT(_xlpm.v)=0, NA(),
    IF(NOT(ISNUMBER(_xlpm.f)), NA(),
      _xlfn.LET(
        _xlpm.cand, _xlfn._xlws.FILTER(_xlpm.v, _xlpm.v&gt;=_xlpm.f),
        IF(COUNT(_xlpm.cand)=0, MAX(0, MIN(_xlpm.v)), MAX(0, MIN(_xlpm.cand)))
      )
    )
  )
)</f>
        <v>#N/A</v>
      </c>
      <c r="EJ6" t="e" cm="1">
        <f t="array" aca="1" ref="EJ6" ca="1">_xlfn.LET(
  _xlpm.Data, $DK$2:$DS$1000,
  _xlpm.col,  $DT6,
  _xlpm.vec,  INDEX(_xlpm.Data,,_xlpm.col),
  _xlpm.v,    _xlfn._xlws.FILTER(_xlpm.vec, ISNUMBER(_xlpm.vec)),
  _xlpm.f,    EH6,
  IF(COUNT(_xlpm.v)=0, NA(),
    IF(NOT(ISNUMBER(_xlpm.f)), NA(),
      _xlfn.LET(
        _xlpm.cand, _xlfn._xlws.FILTER(_xlpm.v, _xlpm.v&lt;=_xlpm.f),
        IF(COUNT(_xlpm.cand)=0, MAX(_xlpm.v), MAX(_xlpm.cand))
      )
    )
  )
)</f>
        <v>#N/A</v>
      </c>
      <c r="EK6" t="e">
        <f t="shared" ca="1" si="12"/>
        <v>#N/A</v>
      </c>
      <c r="EL6" t="e">
        <f t="shared" ca="1" si="13"/>
        <v>#N/A</v>
      </c>
      <c r="EM6" t="e">
        <f t="shared" ca="1" si="35"/>
        <v>#N/A</v>
      </c>
      <c r="EN6" t="e">
        <f t="shared" ca="1" si="36"/>
        <v>#N/A</v>
      </c>
      <c r="EO6" t="e">
        <f t="shared" ca="1" si="14"/>
        <v>#N/A</v>
      </c>
      <c r="EP6">
        <v>0</v>
      </c>
      <c r="EQ6" t="e">
        <f t="shared" ca="1" si="15"/>
        <v>#N/A</v>
      </c>
      <c r="ER6">
        <f ca="1"/>
        <v>8298.7060090009236</v>
      </c>
      <c r="ES6">
        <f ca="1"/>
        <v>3</v>
      </c>
      <c r="FL6" s="26"/>
      <c r="FM6" s="26"/>
      <c r="FZ6" s="13"/>
    </row>
    <row r="7" spans="1:192">
      <c r="A7" t="s">
        <v>518</v>
      </c>
      <c r="B7" t="s">
        <v>62</v>
      </c>
      <c r="C7" t="s">
        <v>52</v>
      </c>
      <c r="D7" cm="1">
        <f t="array" ref="D7">_xlfn.LET(
 _xlpm.A,$A7,_xlpm.B,$B7,_xlpm.C,$C7,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13440.489466307758</v>
      </c>
      <c r="E7" cm="1">
        <f t="array" ref="E7">_xlfn.LET(
 _xlpm.A,$A7,_xlpm.B,$B7,_xlpm.C,$C7,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5715.4644368060463</v>
      </c>
      <c r="F7" cm="1">
        <f t="array" ref="F7">_xlfn.LET(
 _xlpm.A,$A7,_xlpm.B,$B7,_xlpm.C,$C7,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5514.9683324615162</v>
      </c>
      <c r="G7" cm="1">
        <f t="array" ref="G7">_xlfn.LET(
 _xlpm.A,$A7,_xlpm.B,$B7,_xlpm.C,$C7,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11359.610466228252</v>
      </c>
      <c r="H7">
        <f t="shared" si="16"/>
        <v>2080.8790000795052</v>
      </c>
      <c r="I7">
        <f t="shared" si="17"/>
        <v>6</v>
      </c>
      <c r="J7" t="e">
        <f t="shared" si="18"/>
        <v>#N/A</v>
      </c>
      <c r="K7" t="e">
        <f t="shared" si="19"/>
        <v>#N/A</v>
      </c>
      <c r="L7">
        <f t="shared" si="20"/>
        <v>11359.610466228252</v>
      </c>
      <c r="M7" t="e">
        <f t="shared" si="21"/>
        <v>#N/A</v>
      </c>
      <c r="N7" t="e">
        <f t="shared" si="22"/>
        <v>#N/A</v>
      </c>
      <c r="O7" cm="1">
        <f t="array" ref="O7">_xlfn.LET(
 _xlpm.A,$A7,_xlpm.B,$B7,_xlpm.C,$C7,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46</v>
      </c>
      <c r="P7" t="str">
        <f t="shared" si="23"/>
        <v>n=46</v>
      </c>
      <c r="V7" t="s">
        <v>537</v>
      </c>
      <c r="W7" t="s">
        <v>518</v>
      </c>
      <c r="X7" t="s">
        <v>52</v>
      </c>
      <c r="AA7">
        <v>5746.7681296568235</v>
      </c>
      <c r="AB7">
        <v>10125.764141478647</v>
      </c>
      <c r="AC7">
        <v>6730.1311012027963</v>
      </c>
      <c r="AD7">
        <v>7569.7136954858461</v>
      </c>
      <c r="AJ7">
        <f t="shared" si="37"/>
        <v>6</v>
      </c>
      <c r="AK7" s="26" cm="1">
        <f t="array" aca="1" ref="AK7" ca="1">_xlfn.LET(
  _xlpm.r,OFFSET($Y$2,0,ROW(A6)-1,ROWS($Y$2:$Y$1000),1),
  _xlpm.v,_xlfn._xlws.FILTER(_xlpm.r,ISNUMBER(_xlpm.r)),
  IF(COUNT(_xlpm.v)=0,NA(),_xlfn.PERCENTILE.INC(_xlpm.v,0.975))
)</f>
        <v>11403.316498172044</v>
      </c>
      <c r="AL7" s="26" cm="1">
        <f t="array" ref="AL7">_xlfn.LET(
  _xlpm.hdr, $Y$1:$AI$1,               _xlpm.k,   _xlfn.XMATCH($V7,_xlpm.hdr,0),
  _xlpm.col, INDEX($Y$2:$AI$1000,,_xlpm.k),
  _xlpm.v,   _xlfn._xlws.FILTER(_xlpm.col,ISNUMBER(_xlpm.col)),
  IF(COUNT(_xlpm.v)=0, NA(), AVERAGE(_xlpm.v))
)</f>
        <v>6086.3067926271779</v>
      </c>
      <c r="AM7" cm="1">
        <f t="array" aca="1" ref="AM7" ca="1">_xlfn.LET(
  _xlpm.k,ROW(A6)-1,
  _xlpm.r,OFFSET($Y$2,0,_xlpm.k,ROWS($Y$2:$Y$1000),1),
  _xlpm.v,_xlfn._xlws.FILTER(_xlpm.r,ISNUMBER(_xlpm.r)),
  IF(COUNT(_xlpm.v)=0,NA(),MIN(_xlpm.v))
)</f>
        <v>3161.366868917275</v>
      </c>
      <c r="AN7" cm="1">
        <f t="array" aca="1" ref="AN7" ca="1">_xlfn.LET(
  _xlpm.k,ROW(A6)-1,
  _xlpm.r,OFFSET($Y$2,0,_xlpm.k,ROWS($Y$2:$Y$1000),1),
  _xlpm.v,_xlfn._xlws.FILTER(_xlpm.r,ISNUMBER(_xlpm.r)),
  IF(COUNT(_xlpm.v)=0,NA(),_xlfn.PERCENTILE.INC(_xlpm.v,0.25))
)</f>
        <v>4356.3171715074841</v>
      </c>
      <c r="AO7" cm="1">
        <f t="array" aca="1" ref="AO7" ca="1">_xlfn.LET(
  _xlpm.k,ROW(A6)-1,
  _xlpm.r,OFFSET($Y$2,0,_xlpm.k,ROWS($Y$2:$Y$1000),1),
  _xlpm.v,_xlfn._xlws.FILTER(_xlpm.r,ISNUMBER(_xlpm.r)),
  IF(COUNT(_xlpm.v)=0,NA(),_xlfn.PERCENTILE.INC(_xlpm.v,0.5))
)</f>
        <v>5808.7839230662448</v>
      </c>
      <c r="AP7" cm="1">
        <f t="array" ref="AP7">_xlfn.LET(
  _xlpm.Data, $Y$2:$AI$1000,
  _xlpm.col,  $AJ7,
  _xlpm.vec,  INDEX(_xlpm.Data,,_xlpm.col),
  _xlpm.v,    _xlfn._xlws.FILTER(_xlpm.vec, ISNUMBER(_xlpm.vec)),
  IF(COUNT(_xlpm.v)=0, NA(), _xlfn.PERCENTILE.INC(_xlpm.v, 0.75))
)</f>
        <v>6817.9053582083579</v>
      </c>
      <c r="AQ7" cm="1">
        <f t="array" aca="1" ref="AQ7" ca="1">_xlfn.LET(
  _xlpm.k,ROW(A6)-1,
  _xlpm.r,OFFSET($Y$2,0,_xlpm.k,ROWS($Y$2:$Y$1000),1),
  _xlpm.v,_xlfn._xlws.FILTER(_xlpm.r,ISNUMBER(_xlpm.r)),
  IF(COUNT(_xlpm.v)=0,NA(),MAX(_xlpm.v))
)</f>
        <v>13440.489466307758</v>
      </c>
      <c r="AR7" cm="1">
        <f t="array" aca="1" ref="AR7" ca="1">_xlfn.LET(_xlpm.r,OFFSET($Y$2,0,ROW(A6)-1,ROWS($Y$2:$Y$1000),1),
    _xlpm.v,_xlfn._xlws.FILTER(_xlpm.r,ISNUMBER(_xlpm.r)),
    _xlfn.PERCENTILE.INC(_xlpm.v,0.25))</f>
        <v>4356.3171715074841</v>
      </c>
      <c r="AS7" cm="1">
        <f t="array" aca="1" ref="AS7" ca="1">_xlfn.LET(
  _xlpm.k, ROW(A6)-1,
  _xlpm.r, OFFSET($Y$2,0,_xlpm.k,ROWS($Y$2:$Y$1000),1),
  _xlpm.v, _xlfn._xlws.FILTER(_xlpm.r, ISNUMBER(_xlpm.r)),
  IF(COUNT(_xlpm.v)=0, NA(), _xlfn.PERCENTILE.INC(_xlpm.v,0.5)-_xlfn.PERCENTILE.INC(_xlpm.v,0.25))
)</f>
        <v>1452.4667515587607</v>
      </c>
      <c r="AT7" cm="1">
        <f t="array" aca="1" ref="AT7" ca="1">_xlfn.LET(_xlpm.r,OFFSET($Y$2,0,ROW(A6)-1,ROWS($Y$2:$Y$1000),1),
    _xlpm.v,_xlfn._xlws.FILTER(_xlpm.r,ISNUMBER(_xlpm.r)),
    _xlfn.PERCENTILE.INC(_xlpm.v,0.75)-_xlfn.PERCENTILE.INC(_xlpm.v,0.5))</f>
        <v>1009.1214351421131</v>
      </c>
      <c r="AU7" cm="1">
        <f t="array" aca="1" ref="AU7" ca="1">_xlfn.LET(_xlpm.r,OFFSET($Y$2,0,ROW(A6)-1,ROWS($Y$2:$Y$1000),1),
    _xlpm.v,_xlfn._xlws.FILTER(_xlpm.r,ISNUMBER(_xlpm.r)),
    MAX(_xlpm.v)-_xlfn.PERCENTILE.INC(_xlpm.v,0.75))</f>
        <v>6622.5841080993996</v>
      </c>
      <c r="AV7">
        <f t="shared" ca="1" si="0"/>
        <v>2461.5881867008738</v>
      </c>
      <c r="AW7">
        <f t="shared" ca="1" si="24"/>
        <v>663.93489145617332</v>
      </c>
      <c r="AX7">
        <f t="shared" ca="1" si="25"/>
        <v>10510.28763825967</v>
      </c>
      <c r="AY7" s="13" cm="1">
        <f t="array" aca="1" ref="AY7" ca="1">_xlfn.LET(
  _xlpm.Data, $Y$2:$AI$1000,
  _xlpm.col,  $AJ7,
  _xlpm.vec,  INDEX(_xlpm.Data,,_xlpm.col),
  _xlpm.v,    _xlfn._xlws.FILTER(_xlpm.vec, ISNUMBER(_xlpm.vec)),
  _xlpm.f,    AW7,
  IF(OR(COUNT(_xlpm.v)=0, NOT(ISNUMBER(_xlpm.f))),
      NA(),
      IF(COUNT(_xlfn._xlws.FILTER(_xlpm.v, _xlpm.v&gt;=_xlpm.f))=0, MIN(_xlpm.v), MIN(_xlfn._xlws.FILTER(_xlpm.v, _xlpm.v&gt;=_xlpm.f)))
  )
)</f>
        <v>3161.366868917275</v>
      </c>
      <c r="AZ7" cm="1">
        <f t="array" aca="1" ref="AZ7" ca="1">_xlfn.LET(
  _xlpm.Data, $Y$2:$AI$1000,
  _xlpm.col,  $AJ7,
  _xlpm.vec,  INDEX(_xlpm.Data,,_xlpm.col),
  _xlpm.v,    _xlfn._xlws.FILTER(_xlpm.vec, ISNUMBER(_xlpm.vec)),
  _xlpm.f,    AX7,
  IF(OR(COUNT(_xlpm.v)=0, NOT(ISNUMBER(_xlpm.f))),
      NA(),
      IF(COUNT(_xlfn._xlws.FILTER(_xlpm.v, _xlpm.v&lt;=_xlpm.f))=0, MAX(_xlpm.v), MAX(_xlfn._xlws.FILTER(_xlpm.v, _xlpm.v&lt;=_xlpm.f)))
  )
)</f>
        <v>9993.2088245484265</v>
      </c>
      <c r="BA7">
        <f t="shared" ca="1" si="1"/>
        <v>4184.4249014821817</v>
      </c>
      <c r="BB7">
        <f t="shared" ca="1" si="2"/>
        <v>2647.4170541489698</v>
      </c>
      <c r="BC7">
        <f t="shared" ca="1" si="26"/>
        <v>1194.950302590209</v>
      </c>
      <c r="BD7">
        <f t="shared" ca="1" si="3"/>
        <v>3175.3034663400686</v>
      </c>
      <c r="BE7">
        <f t="shared" ca="1" si="4"/>
        <v>1194.950302590209</v>
      </c>
      <c r="BF7">
        <v>0</v>
      </c>
      <c r="BG7">
        <f t="shared" ca="1" si="5"/>
        <v>6622.5841080993996</v>
      </c>
      <c r="BH7">
        <v>9122.992414858385</v>
      </c>
      <c r="BI7">
        <v>3</v>
      </c>
      <c r="BM7" t="s">
        <v>546</v>
      </c>
      <c r="BN7" t="s">
        <v>521</v>
      </c>
      <c r="BO7" t="s">
        <v>57</v>
      </c>
      <c r="BP7">
        <v>10125.764141478647</v>
      </c>
      <c r="BQ7">
        <v>2519.3719612638824</v>
      </c>
      <c r="BR7">
        <v>3161.366868917275</v>
      </c>
      <c r="CC7">
        <f t="shared" si="27"/>
        <v>6</v>
      </c>
      <c r="CD7" s="26" cm="1">
        <f t="array" aca="1" ref="CD7" ca="1">_xlfn.LET(
  _xlpm.r,OFFSET($BP$2,0,ROW(A6)-1,ROWS($BP$2:$BP$1000),1),
  _xlpm.v,_xlfn._xlws.FILTER(_xlpm.r,ISNUMBER(_xlpm.r)),
  IF(COUNT(_xlpm.v)=0,NA(),_xlfn.PERCENTILE.INC(_xlpm.v,0.975))
)</f>
        <v>6701.66861102232</v>
      </c>
      <c r="CE7" s="26" cm="1">
        <f t="array" ref="CE7">_xlfn.LET(
  _xlpm.hdr, $BP$1:$CB$1,               _xlpm.k,   _xlfn.XMATCH($BM7,_xlpm.hdr,0),
  _xlpm.col, INDEX($BP$2:$CB$1000,,_xlpm.k),
  _xlpm.v,   _xlfn._xlws.FILTER(_xlpm.col,ISNUMBER(_xlpm.col)),
  IF(COUNT(_xlpm.v)=0, NA(), AVERAGE(_xlpm.v))
)</f>
        <v>6028.8479344449324</v>
      </c>
      <c r="CF7" cm="1">
        <f t="array" aca="1" ref="CF7" ca="1">_xlfn.LET(
  _xlpm.k,ROW(A6)-1,
  _xlpm.r,OFFSET($BP$2,0,_xlpm.k,ROWS($BP$2:$BP$1000),1),
  _xlpm.v,_xlfn._xlws.FILTER(_xlpm.r,ISNUMBER(_xlpm.r)),
  IF(COUNT(_xlpm.v)=0,NA(),MIN(_xlpm.v))
)</f>
        <v>4759.3274294038556</v>
      </c>
      <c r="CG7" cm="1">
        <f t="array" aca="1" ref="CG7" ca="1">_xlfn.LET(
  _xlpm.k,ROW(A6)-1,
  _xlpm.r,OFFSET($BP$2,0,_xlpm.k,ROWS($BP$2:$BP$1000),1),
  _xlpm.v,_xlfn._xlws.FILTER(_xlpm.r,ISNUMBER(_xlpm.r)),
  IF(COUNT(_xlpm.v)=0,NA(),_xlfn.PERCENTILE.INC(_xlpm.v,0.25))
)</f>
        <v>5882.8595673719446</v>
      </c>
      <c r="CH7" cm="1">
        <f t="array" aca="1" ref="CH7" ca="1">_xlfn.LET(
  _xlpm.k,ROW(A6)-1,
  _xlpm.r,OFFSET($BP$2,0,_xlpm.k,ROWS($BP$2:$BP$1000),1),
  _xlpm.v,_xlfn._xlws.FILTER(_xlpm.r,ISNUMBER(_xlpm.r)),
  IF(COUNT(_xlpm.v)=0,NA(),_xlfn.PERCENTILE.INC(_xlpm.v,0.5))
)</f>
        <v>6326.4153748480385</v>
      </c>
      <c r="CI7" cm="1">
        <f t="array" aca="1" ref="CI7" ca="1">_xlfn.LET(
  _xlpm.k,ROW(A6)-1,
  _xlpm.r,OFFSET($BP$2,0,_xlpm.k,ROWS($BP$2:$BP$1000),1),
  _xlpm.v,_xlfn._xlws.FILTER(_xlpm.r,ISNUMBER(_xlpm.r)),
  IF(COUNT(_xlpm.v)=0,NA(),_xlfn.PERCENTILE.INC(_xlpm.v,0.75))
)</f>
        <v>6445.5061993980289</v>
      </c>
      <c r="CJ7" cm="1">
        <f t="array" aca="1" ref="CJ7" ca="1">_xlfn.LET(
  _xlpm.k,ROW(A6)-1,
  _xlpm.r,OFFSET($BP$2,0,_xlpm.k,ROWS($BP$2:$BP$1000),1),
  _xlpm.v,_xlfn._xlws.FILTER(_xlpm.r,ISNUMBER(_xlpm.r)),
  IF(COUNT(_xlpm.v)=0,NA(),MAX(_xlpm.v))
)</f>
        <v>6730.1311012027963</v>
      </c>
      <c r="CK7" cm="1">
        <f t="array" aca="1" ref="CK7" ca="1">_xlfn.LET(_xlpm.r,OFFSET($BP$2,0,ROW(A6)-1,ROWS($BP$2:$BP$1000),1),
    _xlpm.v,_xlfn._xlws.FILTER(_xlpm.r,ISNUMBER(_xlpm.r)),
    _xlfn.PERCENTILE.INC(_xlpm.v,0.25))</f>
        <v>5882.8595673719446</v>
      </c>
      <c r="CL7" cm="1">
        <f t="array" aca="1" ref="CL7" ca="1">_xlfn.LET(
  _xlpm.k, ROW(A6)-1,
  _xlpm.r, OFFSET($BP$2,0,_xlpm.k,ROWS($BP$2:$BP$1000),1),
  _xlpm.v, _xlfn._xlws.FILTER(_xlpm.r, ISNUMBER(_xlpm.r)),
  IF(COUNT(_xlpm.v)=0, NA(), _xlfn.PERCENTILE.INC(_xlpm.v,0.5)-_xlfn.PERCENTILE.INC(_xlpm.v,0.25))
)</f>
        <v>443.55580747609383</v>
      </c>
      <c r="CM7" cm="1">
        <f t="array" aca="1" ref="CM7" ca="1">_xlfn.LET(_xlpm.r,OFFSET($BP$2,0,ROW(A6)-1,ROWS($BP$2:$BP$1000),1),
    _xlpm.v,_xlfn._xlws.FILTER(_xlpm.r,ISNUMBER(_xlpm.r)),
    _xlfn.PERCENTILE.INC(_xlpm.v,0.75)-_xlfn.PERCENTILE.INC(_xlpm.v,0.5))</f>
        <v>119.09082454999043</v>
      </c>
      <c r="CN7" cm="1">
        <f t="array" aca="1" ref="CN7" ca="1">_xlfn.LET(_xlpm.r,OFFSET($BP$2,0,ROW(A6)-1,ROWS($BP$2:$BP$1000),1),
    _xlpm.v,_xlfn._xlws.FILTER(_xlpm.r,ISNUMBER(_xlpm.r)),
    MAX(_xlpm.v)-_xlfn.PERCENTILE.INC(_xlpm.v,0.75))</f>
        <v>284.62490180476743</v>
      </c>
      <c r="CO7">
        <f t="shared" ca="1" si="6"/>
        <v>562.64663202608426</v>
      </c>
      <c r="CP7">
        <f t="shared" ca="1" si="28"/>
        <v>5038.8896193328183</v>
      </c>
      <c r="CQ7">
        <f t="shared" ca="1" si="29"/>
        <v>7289.4761474371553</v>
      </c>
      <c r="CR7" s="13" cm="1">
        <f t="array" aca="1" ref="CR7" ca="1">_xlfn.LET(
  _xlpm.Data, $BP$2:$CB$1000,
  _xlpm.col,  $CC7,
  _xlpm.vec,  INDEX(_xlpm.Data,,_xlpm.col),
  _xlpm.v,    _xlfn._xlws.FILTER(_xlpm.vec, ISNUMBER(_xlpm.vec)),
  _xlpm.f,    CP7,
  IF(COUNT(_xlpm.v)=0, NA(),
    IF(NOT(ISNUMBER(_xlpm.f)), NA(),
      _xlfn.LET(
        _xlpm.cand, _xlfn._xlws.FILTER(_xlpm.v, _xlpm.v&gt;=_xlpm.f),
        IF(COUNT(_xlpm.cand)=0, MAX(0, MIN(_xlpm.v)), MAX(0, MIN(_xlpm.cand)))
      )
    )
  )
)</f>
        <v>5882.8595673719446</v>
      </c>
      <c r="CS7" cm="1">
        <f t="array" aca="1" ref="CS7" ca="1">_xlfn.LET(
  _xlpm.Data, $BP$2:$CB$1000,
  _xlpm.col,  $CC7,
  _xlpm.vec,  INDEX(_xlpm.Data,,_xlpm.col),
  _xlpm.v,    _xlfn._xlws.FILTER(_xlpm.vec, ISNUMBER(_xlpm.vec)),
  _xlpm.f,    CQ7,
  IF(COUNT(_xlpm.v)=0, NA(),
    IF(NOT(ISNUMBER(_xlpm.f)), NA(),
      _xlfn.LET(
        _xlpm.cand, _xlfn._xlws.FILTER(_xlpm.v, _xlpm.v&lt;=_xlpm.f),
        IF(COUNT(_xlpm.cand)=0, MAX(_xlpm.v), MAX(_xlpm.cand))
      )
    )
  )
)</f>
        <v>6730.1311012027963</v>
      </c>
      <c r="CT7">
        <f t="shared" ca="1" si="7"/>
        <v>403.71572635475786</v>
      </c>
      <c r="CU7">
        <f t="shared" ca="1" si="8"/>
        <v>443.55580747609383</v>
      </c>
      <c r="CV7">
        <f t="shared" ca="1" si="30"/>
        <v>0</v>
      </c>
      <c r="CW7">
        <f t="shared" ca="1" si="31"/>
        <v>284.62490180476743</v>
      </c>
      <c r="CX7">
        <f t="shared" ca="1" si="9"/>
        <v>1123.532137968089</v>
      </c>
      <c r="CY7">
        <v>0</v>
      </c>
      <c r="CZ7">
        <f t="shared" ca="1" si="10"/>
        <v>284.62490180476743</v>
      </c>
      <c r="DA7">
        <f ca="1"/>
        <v>10125.764141478647</v>
      </c>
      <c r="DB7">
        <f ca="1"/>
        <v>1</v>
      </c>
      <c r="DH7" t="s">
        <v>1037</v>
      </c>
      <c r="DI7" t="s">
        <v>798</v>
      </c>
      <c r="DJ7" t="s">
        <v>52</v>
      </c>
      <c r="DT7">
        <f t="shared" si="32"/>
        <v>6</v>
      </c>
      <c r="DU7" s="26" cm="1">
        <f t="array" aca="1" ref="DU7" ca="1">_xlfn.LET(
  _xlpm.r,OFFSET($DK$2,0,ROW(A6)-1,ROWS($DK$2:$DK$1000),1),
  _xlpm.v,_xlfn._xlws.FILTER(_xlpm.r,ISNUMBER(_xlpm.r)),
  IF(COUNT(_xlpm.v)=0,NA(),_xlfn.PERCENTILE.INC(_xlpm.v,0.975))
)</f>
        <v>5746.7681296568235</v>
      </c>
      <c r="DV7" s="26" cm="1">
        <f t="array" aca="1" ref="DV7" ca="1">_xlfn.LET(
  _xlpm.hdr, $DK$1:$DS$1,               _xlpm.k,   _xlfn.XMATCH($DH7,_xlpm.hdr,0),
  _xlpm.col, INDEX($DK$2:$DS$1000,,_xlpm.k),
  _xlpm.v,   _xlfn._xlws.FILTER(_xlpm.col,ISNUMBER(_xlpm.col)),
  IF(COUNT(_xlpm.v)=0, NA(), AVERAGE(_xlpm.v))
)</f>
        <v>5746.7681296568235</v>
      </c>
      <c r="DW7" cm="1">
        <f t="array" aca="1" ref="DW7" ca="1">_xlfn.LET(
  _xlpm.k,ROW(A6)-1,
  _xlpm.r,OFFSET($DK$2,0,_xlpm.k,ROWS($DK$2:$DK$1000),1),
  _xlpm.v,_xlfn._xlws.FILTER(_xlpm.r,ISNUMBER(_xlpm.r)),
  IF(COUNT(_xlpm.v)=0,NA(),MIN(_xlpm.v))
)</f>
        <v>5746.7681296568235</v>
      </c>
      <c r="DX7" cm="1">
        <f t="array" aca="1" ref="DX7" ca="1">_xlfn.LET(
  _xlpm.k,ROW(A6)-1,
  _xlpm.r,OFFSET($DK$2,0,_xlpm.k,ROWS($DK$2:$DK$1000),1),
  _xlpm.v,_xlfn._xlws.FILTER(_xlpm.r,ISNUMBER(_xlpm.r)),
  IF(COUNT(_xlpm.v)=0,NA(),_xlfn.PERCENTILE.INC(_xlpm.v,0.25))
)</f>
        <v>5746.7681296568235</v>
      </c>
      <c r="DY7" cm="1">
        <f t="array" aca="1" ref="DY7" ca="1">_xlfn.LET(
  _xlpm.k,ROW(A6)-1,
  _xlpm.r,OFFSET($DK$2,0,_xlpm.k,ROWS($DK$2:$DK$1000),1),
  _xlpm.v,_xlfn._xlws.FILTER(_xlpm.r,ISNUMBER(_xlpm.r)),
  IF(COUNT(_xlpm.v)=0,NA(),_xlfn.PERCENTILE.INC(_xlpm.v,0.5))
)</f>
        <v>5746.7681296568235</v>
      </c>
      <c r="DZ7" cm="1">
        <f t="array" aca="1" ref="DZ7" ca="1">_xlfn.LET(
  _xlpm.k,ROW(A6)-1,
  _xlpm.r,OFFSET($DK$2,0,_xlpm.k,ROWS($DK$2:$DK$1000),1),
  _xlpm.v,_xlfn._xlws.FILTER(_xlpm.r,ISNUMBER(_xlpm.r)),
  IF(COUNT(_xlpm.v)=0,NA(),_xlfn.PERCENTILE.INC(_xlpm.v,0.75))
)</f>
        <v>5746.7681296568235</v>
      </c>
      <c r="EA7" cm="1">
        <f t="array" aca="1" ref="EA7" ca="1">_xlfn.LET(
  _xlpm.k,ROW(A6)-1,
  _xlpm.r,OFFSET($DK$2,0,_xlpm.k,ROWS($DK$2:$DK$1000),1),
  _xlpm.v,_xlfn._xlws.FILTER(_xlpm.r,ISNUMBER(_xlpm.r)),
  IF(COUNT(_xlpm.v)=0,NA(),MAX(_xlpm.v))
)</f>
        <v>5746.7681296568235</v>
      </c>
      <c r="EB7" cm="1">
        <f t="array" aca="1" ref="EB7" ca="1">_xlfn.LET(_xlpm.r,OFFSET($DK$2,0,ROW(A6)-1,ROWS($DK$2:$DK$1000),1),
    _xlpm.v,_xlfn._xlws.FILTER(_xlpm.r,ISNUMBER(_xlpm.r)),
    _xlfn.PERCENTILE.INC(_xlpm.v,0.25))</f>
        <v>5746.7681296568235</v>
      </c>
      <c r="EC7" cm="1">
        <f t="array" aca="1" ref="EC7" ca="1">_xlfn.LET(
  _xlpm.k, ROW(A6)-1,
  _xlpm.r, OFFSET($DK$2,0,_xlpm.k,ROWS($DK$2:$DK$1000),1),
  _xlpm.v, _xlfn._xlws.FILTER(_xlpm.r, ISNUMBER(_xlpm.r)),
  IF(COUNT(_xlpm.v)=0, NA(), _xlfn.PERCENTILE.INC(_xlpm.v,0.5)-_xlfn.PERCENTILE.INC(_xlpm.v,0.25))
)</f>
        <v>0</v>
      </c>
      <c r="ED7" cm="1">
        <f t="array" aca="1" ref="ED7" ca="1">_xlfn.LET(_xlpm.r,OFFSET($DK$2,0,ROW(A6)-1,ROWS($DK$2:$DK$1000),1),
    _xlpm.v,_xlfn._xlws.FILTER(_xlpm.r,ISNUMBER(_xlpm.r)),
    _xlfn.PERCENTILE.INC(_xlpm.v,0.75)-_xlfn.PERCENTILE.INC(_xlpm.v,0.5))</f>
        <v>0</v>
      </c>
      <c r="EE7" cm="1">
        <f t="array" aca="1" ref="EE7" ca="1">_xlfn.LET(_xlpm.r,OFFSET($DK$2,0,ROW(A6)-1,ROWS($DK$2:$DK$1000),1),
    _xlpm.v,_xlfn._xlws.FILTER(_xlpm.r,ISNUMBER(_xlpm.r)),
    MAX(_xlpm.v)-_xlfn.PERCENTILE.INC(_xlpm.v,0.75))</f>
        <v>0</v>
      </c>
      <c r="EF7">
        <f t="shared" ca="1" si="11"/>
        <v>0</v>
      </c>
      <c r="EG7">
        <f t="shared" ca="1" si="33"/>
        <v>5746.7681296568235</v>
      </c>
      <c r="EH7">
        <f t="shared" ca="1" si="34"/>
        <v>5746.7681296568235</v>
      </c>
      <c r="EI7" s="13" cm="1">
        <f t="array" aca="1" ref="EI7" ca="1">_xlfn.LET(
  _xlpm.Data, $DK$2:$DS$1000,
  _xlpm.col,  $DT7,
  _xlpm.vec,  INDEX(_xlpm.Data,,_xlpm.col),
  _xlpm.v,    _xlfn._xlws.FILTER(_xlpm.vec, ISNUMBER(_xlpm.vec)),
  _xlpm.f,    EG7,
  IF(COUNT(_xlpm.v)=0, NA(),
    IF(NOT(ISNUMBER(_xlpm.f)), NA(),
      _xlfn.LET(
        _xlpm.cand, _xlfn._xlws.FILTER(_xlpm.v, _xlpm.v&gt;=_xlpm.f),
        IF(COUNT(_xlpm.cand)=0, MAX(0, MIN(_xlpm.v)), MAX(0, MIN(_xlpm.cand)))
      )
    )
  )
)</f>
        <v>5746.7681296568235</v>
      </c>
      <c r="EJ7" cm="1">
        <f t="array" aca="1" ref="EJ7" ca="1">_xlfn.LET(
  _xlpm.Data, $DK$2:$DS$1000,
  _xlpm.col,  $DT7,
  _xlpm.vec,  INDEX(_xlpm.Data,,_xlpm.col),
  _xlpm.v,    _xlfn._xlws.FILTER(_xlpm.vec, ISNUMBER(_xlpm.vec)),
  _xlpm.f,    EH7,
  IF(COUNT(_xlpm.v)=0, NA(),
    IF(NOT(ISNUMBER(_xlpm.f)), NA(),
      _xlfn.LET(
        _xlpm.cand, _xlfn._xlws.FILTER(_xlpm.v, _xlpm.v&lt;=_xlpm.f),
        IF(COUNT(_xlpm.cand)=0, MAX(_xlpm.v), MAX(_xlpm.cand))
      )
    )
  )
)</f>
        <v>5746.7681296568235</v>
      </c>
      <c r="EK7">
        <f t="shared" ca="1" si="12"/>
        <v>0</v>
      </c>
      <c r="EL7">
        <f t="shared" ca="1" si="13"/>
        <v>0</v>
      </c>
      <c r="EM7">
        <f t="shared" ca="1" si="35"/>
        <v>0</v>
      </c>
      <c r="EN7">
        <f t="shared" ca="1" si="36"/>
        <v>0</v>
      </c>
      <c r="EO7">
        <f t="shared" ca="1" si="14"/>
        <v>0</v>
      </c>
      <c r="EP7">
        <v>0</v>
      </c>
      <c r="EQ7">
        <f t="shared" ca="1" si="15"/>
        <v>0</v>
      </c>
      <c r="ER7">
        <f ca="1"/>
        <v>5746.7681296568235</v>
      </c>
      <c r="ES7">
        <f ca="1"/>
        <v>6</v>
      </c>
      <c r="FL7" s="26"/>
      <c r="FM7" s="26"/>
      <c r="FZ7" s="13"/>
    </row>
    <row r="8" spans="1:192" ht="25.8">
      <c r="A8" t="s">
        <v>518</v>
      </c>
      <c r="B8" t="s">
        <v>62</v>
      </c>
      <c r="C8" t="s">
        <v>754</v>
      </c>
      <c r="D8" cm="1">
        <f t="array" ref="D8">_xlfn.LET(
 _xlpm.A,$A8,_xlpm.B,$B8,_xlpm.C,$C8,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7004.1127811414517</v>
      </c>
      <c r="E8" cm="1">
        <f t="array" ref="E8">_xlfn.LET(
 _xlpm.A,$A8,_xlpm.B,$B8,_xlpm.C,$C8,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5708.0434737515916</v>
      </c>
      <c r="F8" cm="1">
        <f t="array" ref="F8">_xlfn.LET(
 _xlpm.A,$A8,_xlpm.B,$B8,_xlpm.C,$C8,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5708.0434737515916</v>
      </c>
      <c r="G8" cm="1">
        <f t="array" ref="G8">_xlfn.LET(
 _xlpm.A,$A8,_xlpm.B,$B8,_xlpm.C,$C8,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6939.3093157719595</v>
      </c>
      <c r="H8">
        <f t="shared" si="16"/>
        <v>64.803465369492187</v>
      </c>
      <c r="I8">
        <f t="shared" si="17"/>
        <v>7</v>
      </c>
      <c r="J8" t="e">
        <f t="shared" si="18"/>
        <v>#N/A</v>
      </c>
      <c r="K8" t="e">
        <f t="shared" si="19"/>
        <v>#N/A</v>
      </c>
      <c r="L8" t="e">
        <f t="shared" si="20"/>
        <v>#N/A</v>
      </c>
      <c r="M8" t="e">
        <f t="shared" si="21"/>
        <v>#N/A</v>
      </c>
      <c r="N8" t="e">
        <f t="shared" si="22"/>
        <v>#N/A</v>
      </c>
      <c r="O8" cm="1">
        <f t="array" ref="O8">_xlfn.LET(
 _xlpm.A,$A8,_xlpm.B,$B8,_xlpm.C,$C8,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2</v>
      </c>
      <c r="P8" t="str">
        <f t="shared" si="23"/>
        <v>n=2</v>
      </c>
      <c r="V8" t="s">
        <v>1073</v>
      </c>
      <c r="W8" t="s">
        <v>518</v>
      </c>
      <c r="X8" s="13" t="s">
        <v>1093</v>
      </c>
      <c r="AA8">
        <v>8298.7060090009236</v>
      </c>
      <c r="AB8">
        <v>13453.438306200078</v>
      </c>
      <c r="AC8">
        <v>8940.4134892889124</v>
      </c>
      <c r="AD8">
        <v>3161.366868917275</v>
      </c>
      <c r="AJ8">
        <f t="shared" si="37"/>
        <v>7</v>
      </c>
      <c r="AK8" s="26" cm="1">
        <f t="array" aca="1" ref="AK8" ca="1">_xlfn.LET(
  _xlpm.r,OFFSET($Y$2,0,ROW(A7)-1,ROWS($Y$2:$Y$1000),1),
  _xlpm.v,_xlfn._xlws.FILTER(_xlpm.r,ISNUMBER(_xlpm.r)),
  IF(COUNT(_xlpm.v)=0,NA(),_xlfn.PERCENTILE.INC(_xlpm.v,0.975))
)</f>
        <v>6809.7023850329724</v>
      </c>
      <c r="AL8" s="26" cm="1">
        <f t="array" ref="AL8">_xlfn.LET(
  _xlpm.hdr, $Y$1:$AI$1,               _xlpm.k,   _xlfn.XMATCH($V8,_xlpm.hdr,0),
  _xlpm.col, INDEX($Y$2:$AI$1000,,_xlpm.k),
  _xlpm.v,   _xlfn._xlws.FILTER(_xlpm.col,ISNUMBER(_xlpm.col)),
  IF(COUNT(_xlpm.v)=0, NA(), AVERAGE(_xlpm.v))
)</f>
        <v>4720.554605633055</v>
      </c>
      <c r="AM8" cm="1">
        <f t="array" aca="1" ref="AM8" ca="1">_xlfn.LET(
  _xlpm.k,ROW(A7)-1,
  _xlpm.r,OFFSET($Y$2,0,_xlpm.k,ROWS($Y$2:$Y$1000),1),
  _xlpm.v,_xlfn._xlws.FILTER(_xlpm.r,ISNUMBER(_xlpm.r)),
  IF(COUNT(_xlpm.v)=0,NA(),MIN(_xlpm.v))
)</f>
        <v>3164.356504065041</v>
      </c>
      <c r="AN8" cm="1">
        <f t="array" aca="1" ref="AN8" ca="1">_xlfn.LET(
  _xlpm.k,ROW(A7)-1,
  _xlpm.r,OFFSET($Y$2,0,_xlpm.k,ROWS($Y$2:$Y$1000),1),
  _xlpm.v,_xlfn._xlws.FILTER(_xlpm.r,ISNUMBER(_xlpm.r)),
  IF(COUNT(_xlpm.v)=0,NA(),_xlfn.PERCENTILE.INC(_xlpm.v,0.25))
)</f>
        <v>4017.420354239257</v>
      </c>
      <c r="AO8" cm="1">
        <f t="array" aca="1" ref="AO8" ca="1">_xlfn.LET(
  _xlpm.k,ROW(A7)-1,
  _xlpm.r,OFFSET($Y$2,0,_xlpm.k,ROWS($Y$2:$Y$1000),1),
  _xlpm.v,_xlfn._xlws.FILTER(_xlpm.r,ISNUMBER(_xlpm.r)),
  IF(COUNT(_xlpm.v)=0,NA(),_xlfn.PERCENTILE.INC(_xlpm.v,0.5))
)</f>
        <v>4356.8745686628636</v>
      </c>
      <c r="AP8" cm="1">
        <f t="array" ref="AP8">_xlfn.LET(
  _xlpm.Data, $Y$2:$AI$1000,
  _xlpm.col,  $AJ8,
  _xlpm.vec,  INDEX(_xlpm.Data,,_xlpm.col),
  _xlpm.v,    _xlfn._xlws.FILTER(_xlpm.vec, ISNUMBER(_xlpm.vec)),
  IF(COUNT(_xlpm.v)=0, NA(), _xlfn.PERCENTILE.INC(_xlpm.v, 0.75))
)</f>
        <v>5060.0088200566615</v>
      </c>
      <c r="AQ8" cm="1">
        <f t="array" aca="1" ref="AQ8" ca="1">_xlfn.LET(
  _xlpm.k,ROW(A7)-1,
  _xlpm.r,OFFSET($Y$2,0,_xlpm.k,ROWS($Y$2:$Y$1000),1),
  _xlpm.v,_xlfn._xlws.FILTER(_xlpm.r,ISNUMBER(_xlpm.r)),
  IF(COUNT(_xlpm.v)=0,NA(),MAX(_xlpm.v))
)</f>
        <v>7004.1127811414517</v>
      </c>
      <c r="AR8" cm="1">
        <f t="array" aca="1" ref="AR8" ca="1">_xlfn.LET(_xlpm.r,OFFSET($Y$2,0,ROW(A7)-1,ROWS($Y$2:$Y$1000),1),
    _xlpm.v,_xlfn._xlws.FILTER(_xlpm.r,ISNUMBER(_xlpm.r)),
    _xlfn.PERCENTILE.INC(_xlpm.v,0.25))</f>
        <v>4017.420354239257</v>
      </c>
      <c r="AS8" cm="1">
        <f t="array" aca="1" ref="AS8" ca="1">_xlfn.LET(
  _xlpm.k, ROW(A7)-1,
  _xlpm.r, OFFSET($Y$2,0,_xlpm.k,ROWS($Y$2:$Y$1000),1),
  _xlpm.v, _xlfn._xlws.FILTER(_xlpm.r, ISNUMBER(_xlpm.r)),
  IF(COUNT(_xlpm.v)=0, NA(), _xlfn.PERCENTILE.INC(_xlpm.v,0.5)-_xlfn.PERCENTILE.INC(_xlpm.v,0.25))
)</f>
        <v>339.45421442360657</v>
      </c>
      <c r="AT8" cm="1">
        <f t="array" aca="1" ref="AT8" ca="1">_xlfn.LET(_xlpm.r,OFFSET($Y$2,0,ROW(A7)-1,ROWS($Y$2:$Y$1000),1),
    _xlpm.v,_xlfn._xlws.FILTER(_xlpm.r,ISNUMBER(_xlpm.r)),
    _xlfn.PERCENTILE.INC(_xlpm.v,0.75)-_xlfn.PERCENTILE.INC(_xlpm.v,0.5))</f>
        <v>703.13425139379797</v>
      </c>
      <c r="AU8" cm="1">
        <f t="array" aca="1" ref="AU8" ca="1">_xlfn.LET(_xlpm.r,OFFSET($Y$2,0,ROW(A7)-1,ROWS($Y$2:$Y$1000),1),
    _xlpm.v,_xlfn._xlws.FILTER(_xlpm.r,ISNUMBER(_xlpm.r)),
    MAX(_xlpm.v)-_xlfn.PERCENTILE.INC(_xlpm.v,0.75))</f>
        <v>1944.1039610847902</v>
      </c>
      <c r="AV8">
        <f t="shared" ca="1" si="0"/>
        <v>1042.5884658174045</v>
      </c>
      <c r="AW8">
        <f t="shared" ca="1" si="24"/>
        <v>2453.5376555131502</v>
      </c>
      <c r="AX8">
        <f t="shared" ca="1" si="25"/>
        <v>6623.8915187827679</v>
      </c>
      <c r="AY8" s="13" cm="1">
        <f t="array" aca="1" ref="AY8" ca="1">_xlfn.LET(
  _xlpm.Data, $Y$2:$AI$1000,
  _xlpm.col,  $AJ8,
  _xlpm.vec,  INDEX(_xlpm.Data,,_xlpm.col),
  _xlpm.v,    _xlfn._xlws.FILTER(_xlpm.vec, ISNUMBER(_xlpm.vec)),
  _xlpm.f,    AW8,
  IF(OR(COUNT(_xlpm.v)=0, NOT(ISNUMBER(_xlpm.f))),
      NA(),
      IF(COUNT(_xlfn._xlws.FILTER(_xlpm.v, _xlpm.v&gt;=_xlpm.f))=0, MIN(_xlpm.v), MIN(_xlfn._xlws.FILTER(_xlpm.v, _xlpm.v&gt;=_xlpm.f)))
  )
)</f>
        <v>3164.356504065041</v>
      </c>
      <c r="AZ8" cm="1">
        <f t="array" aca="1" ref="AZ8" ca="1">_xlfn.LET(
  _xlpm.Data, $Y$2:$AI$1000,
  _xlpm.col,  $AJ8,
  _xlpm.vec,  INDEX(_xlpm.Data,,_xlpm.col),
  _xlpm.v,    _xlfn._xlws.FILTER(_xlpm.vec, ISNUMBER(_xlpm.vec)),
  _xlpm.f,    AX8,
  IF(OR(COUNT(_xlpm.v)=0, NOT(ISNUMBER(_xlpm.f))),
      NA(),
      IF(COUNT(_xlfn._xlws.FILTER(_xlpm.v, _xlpm.v&lt;=_xlpm.f))=0, MAX(_xlpm.v), MAX(_xlfn._xlws.FILTER(_xlpm.v, _xlpm.v&lt;=_xlpm.f)))
  )
)</f>
        <v>4411.9741663617315</v>
      </c>
      <c r="BA8">
        <f t="shared" ca="1" si="1"/>
        <v>55.09959769886791</v>
      </c>
      <c r="BB8">
        <f t="shared" ca="1" si="2"/>
        <v>1192.5180645978226</v>
      </c>
      <c r="BC8">
        <f t="shared" ca="1" si="26"/>
        <v>853.06385017421599</v>
      </c>
      <c r="BD8">
        <f t="shared" ca="1" si="3"/>
        <v>-648.03465369493006</v>
      </c>
      <c r="BE8">
        <f t="shared" ca="1" si="4"/>
        <v>853.06385017421599</v>
      </c>
      <c r="BF8">
        <v>0</v>
      </c>
      <c r="BG8">
        <f t="shared" ca="1" si="5"/>
        <v>1944.1039610847902</v>
      </c>
      <c r="BH8">
        <v>5746.7681296568235</v>
      </c>
      <c r="BI8">
        <v>3</v>
      </c>
      <c r="BM8" t="s">
        <v>547</v>
      </c>
      <c r="BN8" t="s">
        <v>521</v>
      </c>
      <c r="BO8" t="s">
        <v>52</v>
      </c>
      <c r="BP8">
        <v>13453.438306200078</v>
      </c>
      <c r="BQ8">
        <v>3275.3086956521738</v>
      </c>
      <c r="BR8">
        <v>4289.5536564781023</v>
      </c>
      <c r="CC8">
        <f t="shared" si="27"/>
        <v>7</v>
      </c>
      <c r="CD8" s="26" t="e" cm="1">
        <f t="array" aca="1" ref="CD8" ca="1">_xlfn.LET(
  _xlpm.r,OFFSET($BP$2,0,ROW(A7)-1,ROWS($BP$2:$BP$1000),1),
  _xlpm.v,_xlfn._xlws.FILTER(_xlpm.r,ISNUMBER(_xlpm.r)),
  IF(COUNT(_xlpm.v)=0,NA(),_xlfn.PERCENTILE.INC(_xlpm.v,0.975))
)</f>
        <v>#N/A</v>
      </c>
      <c r="CE8" s="26" t="e" cm="1">
        <f t="array" ref="CE8">_xlfn.LET(
  _xlpm.hdr, $BP$1:$CB$1,               _xlpm.k,   _xlfn.XMATCH($BM8,_xlpm.hdr,0),
  _xlpm.col, INDEX($BP$2:$CB$1000,,_xlpm.k),
  _xlpm.v,   _xlfn._xlws.FILTER(_xlpm.col,ISNUMBER(_xlpm.col)),
  IF(COUNT(_xlpm.v)=0, NA(), AVERAGE(_xlpm.v))
)</f>
        <v>#N/A</v>
      </c>
      <c r="CF8" t="e" cm="1">
        <f t="array" aca="1" ref="CF8" ca="1">_xlfn.LET(
  _xlpm.k,ROW(A7)-1,
  _xlpm.r,OFFSET($BP$2,0,_xlpm.k,ROWS($BP$2:$BP$1000),1),
  _xlpm.v,_xlfn._xlws.FILTER(_xlpm.r,ISNUMBER(_xlpm.r)),
  IF(COUNT(_xlpm.v)=0,NA(),MIN(_xlpm.v))
)</f>
        <v>#N/A</v>
      </c>
      <c r="CG8" t="e" cm="1">
        <f t="array" aca="1" ref="CG8" ca="1">_xlfn.LET(
  _xlpm.k,ROW(A7)-1,
  _xlpm.r,OFFSET($BP$2,0,_xlpm.k,ROWS($BP$2:$BP$1000),1),
  _xlpm.v,_xlfn._xlws.FILTER(_xlpm.r,ISNUMBER(_xlpm.r)),
  IF(COUNT(_xlpm.v)=0,NA(),_xlfn.PERCENTILE.INC(_xlpm.v,0.25))
)</f>
        <v>#N/A</v>
      </c>
      <c r="CH8" t="e" cm="1">
        <f t="array" aca="1" ref="CH8" ca="1">_xlfn.LET(
  _xlpm.k,ROW(A7)-1,
  _xlpm.r,OFFSET($BP$2,0,_xlpm.k,ROWS($BP$2:$BP$1000),1),
  _xlpm.v,_xlfn._xlws.FILTER(_xlpm.r,ISNUMBER(_xlpm.r)),
  IF(COUNT(_xlpm.v)=0,NA(),_xlfn.PERCENTILE.INC(_xlpm.v,0.5))
)</f>
        <v>#N/A</v>
      </c>
      <c r="CI8" t="e" cm="1">
        <f t="array" aca="1" ref="CI8" ca="1">_xlfn.LET(
  _xlpm.k,ROW(A7)-1,
  _xlpm.r,OFFSET($BP$2,0,_xlpm.k,ROWS($BP$2:$BP$1000),1),
  _xlpm.v,_xlfn._xlws.FILTER(_xlpm.r,ISNUMBER(_xlpm.r)),
  IF(COUNT(_xlpm.v)=0,NA(),_xlfn.PERCENTILE.INC(_xlpm.v,0.75))
)</f>
        <v>#N/A</v>
      </c>
      <c r="CJ8" t="e" cm="1">
        <f t="array" aca="1" ref="CJ8" ca="1">_xlfn.LET(
  _xlpm.k,ROW(A7)-1,
  _xlpm.r,OFFSET($BP$2,0,_xlpm.k,ROWS($BP$2:$BP$1000),1),
  _xlpm.v,_xlfn._xlws.FILTER(_xlpm.r,ISNUMBER(_xlpm.r)),
  IF(COUNT(_xlpm.v)=0,NA(),MAX(_xlpm.v))
)</f>
        <v>#N/A</v>
      </c>
      <c r="CK8" t="e" cm="1" vm="1">
        <f t="array" aca="1" ref="CK8" ca="1">_xlfn.LET(_xlpm.r,OFFSET($BP$2,0,ROW(A7)-1,ROWS($BP$2:$BP$1000),1),
    _xlpm.v,_xlfn._xlws.FILTER(_xlpm.r,ISNUMBER(_xlpm.r)),
    _xlfn.PERCENTILE.INC(_xlpm.v,0.25))</f>
        <v>#VALUE!</v>
      </c>
      <c r="CL8" t="e" cm="1">
        <f t="array" aca="1" ref="CL8" ca="1">_xlfn.LET(
  _xlpm.k, ROW(A7)-1,
  _xlpm.r, OFFSET($BP$2,0,_xlpm.k,ROWS($BP$2:$BP$1000),1),
  _xlpm.v, _xlfn._xlws.FILTER(_xlpm.r, ISNUMBER(_xlpm.r)),
  IF(COUNT(_xlpm.v)=0, NA(), _xlfn.PERCENTILE.INC(_xlpm.v,0.5)-_xlfn.PERCENTILE.INC(_xlpm.v,0.25))
)</f>
        <v>#N/A</v>
      </c>
      <c r="CM8" t="e" cm="1" vm="1">
        <f t="array" aca="1" ref="CM8" ca="1">_xlfn.LET(_xlpm.r,OFFSET($BP$2,0,ROW(A7)-1,ROWS($BP$2:$BP$1000),1),
    _xlpm.v,_xlfn._xlws.FILTER(_xlpm.r,ISNUMBER(_xlpm.r)),
    _xlfn.PERCENTILE.INC(_xlpm.v,0.75)-_xlfn.PERCENTILE.INC(_xlpm.v,0.5))</f>
        <v>#VALUE!</v>
      </c>
      <c r="CN8" t="e" cm="1" vm="1">
        <f t="array" aca="1" ref="CN8" ca="1">_xlfn.LET(_xlpm.r,OFFSET($BP$2,0,ROW(A7)-1,ROWS($BP$2:$BP$1000),1),
    _xlpm.v,_xlfn._xlws.FILTER(_xlpm.r,ISNUMBER(_xlpm.r)),
    MAX(_xlpm.v)-_xlfn.PERCENTILE.INC(_xlpm.v,0.75))</f>
        <v>#VALUE!</v>
      </c>
      <c r="CO8" t="e">
        <f t="shared" ca="1" si="6"/>
        <v>#N/A</v>
      </c>
      <c r="CP8" t="e">
        <f t="shared" ca="1" si="28"/>
        <v>#N/A</v>
      </c>
      <c r="CQ8" t="e">
        <f t="shared" ca="1" si="29"/>
        <v>#N/A</v>
      </c>
      <c r="CR8" s="13" t="e" cm="1">
        <f t="array" ref="CR8">_xlfn.LET(
  _xlpm.Data, $BP$2:$CB$1000,
  _xlpm.col,  $CC8,
  _xlpm.vec,  INDEX(_xlpm.Data,,_xlpm.col),
  _xlpm.v,    _xlfn._xlws.FILTER(_xlpm.vec, ISNUMBER(_xlpm.vec)),
  _xlpm.f,    CP8,
  IF(COUNT(_xlpm.v)=0, NA(),
    IF(NOT(ISNUMBER(_xlpm.f)), NA(),
      _xlfn.LET(
        _xlpm.cand, _xlfn._xlws.FILTER(_xlpm.v, _xlpm.v&gt;=_xlpm.f),
        IF(COUNT(_xlpm.cand)=0, MAX(0, MIN(_xlpm.v)), MAX(0, MIN(_xlpm.cand)))
      )
    )
  )
)</f>
        <v>#N/A</v>
      </c>
      <c r="CS8" t="e" cm="1">
        <f t="array" ref="CS8">_xlfn.LET(
  _xlpm.Data, $BP$2:$CB$1000,
  _xlpm.col,  $CC8,
  _xlpm.vec,  INDEX(_xlpm.Data,,_xlpm.col),
  _xlpm.v,    _xlfn._xlws.FILTER(_xlpm.vec, ISNUMBER(_xlpm.vec)),
  _xlpm.f,    CQ8,
  IF(COUNT(_xlpm.v)=0, NA(),
    IF(NOT(ISNUMBER(_xlpm.f)), NA(),
      _xlfn.LET(
        _xlpm.cand, _xlfn._xlws.FILTER(_xlpm.v, _xlpm.v&lt;=_xlpm.f),
        IF(COUNT(_xlpm.cand)=0, MAX(_xlpm.v), MAX(_xlpm.cand))
      )
    )
  )
)</f>
        <v>#N/A</v>
      </c>
      <c r="CT8" t="e">
        <f t="shared" ca="1" si="7"/>
        <v>#N/A</v>
      </c>
      <c r="CU8" t="e">
        <f t="shared" ca="1" si="8"/>
        <v>#N/A</v>
      </c>
      <c r="CV8" t="e">
        <f t="shared" ca="1" si="30"/>
        <v>#N/A</v>
      </c>
      <c r="CW8" t="e">
        <f t="shared" ca="1" si="31"/>
        <v>#N/A</v>
      </c>
      <c r="CX8" t="e">
        <f t="shared" ca="1" si="9"/>
        <v>#N/A</v>
      </c>
      <c r="CY8">
        <v>0</v>
      </c>
      <c r="CZ8" t="e">
        <f t="shared" ca="1" si="10"/>
        <v>#N/A</v>
      </c>
      <c r="DA8">
        <f ca="1"/>
        <v>13453.438306200078</v>
      </c>
      <c r="DB8">
        <f ca="1"/>
        <v>1</v>
      </c>
      <c r="DH8" t="s">
        <v>1040</v>
      </c>
      <c r="DI8" t="s">
        <v>815</v>
      </c>
      <c r="DJ8" t="s">
        <v>32</v>
      </c>
      <c r="DT8">
        <f t="shared" si="32"/>
        <v>7</v>
      </c>
      <c r="DU8" s="26" t="e" cm="1">
        <f t="array" aca="1" ref="DU8" ca="1">_xlfn.LET(
  _xlpm.r,OFFSET($DK$2,0,ROW(A7)-1,ROWS($DK$2:$DK$1000),1),
  _xlpm.v,_xlfn._xlws.FILTER(_xlpm.r,ISNUMBER(_xlpm.r)),
  IF(COUNT(_xlpm.v)=0,NA(),_xlfn.PERCENTILE.INC(_xlpm.v,0.975))
)</f>
        <v>#N/A</v>
      </c>
      <c r="DV8" s="26" t="e" cm="1">
        <f t="array" aca="1" ref="DV8" ca="1">_xlfn.LET(
  _xlpm.hdr, $DK$1:$DS$1,               _xlpm.k,   _xlfn.XMATCH($DH8,_xlpm.hdr,0),
  _xlpm.col, INDEX($DK$2:$DS$1000,,_xlpm.k),
  _xlpm.v,   _xlfn._xlws.FILTER(_xlpm.col,ISNUMBER(_xlpm.col)),
  IF(COUNT(_xlpm.v)=0, NA(), AVERAGE(_xlpm.v))
)</f>
        <v>#N/A</v>
      </c>
      <c r="DW8" t="e" cm="1">
        <f t="array" aca="1" ref="DW8" ca="1">_xlfn.LET(
  _xlpm.k,ROW(A7)-1,
  _xlpm.r,OFFSET($DK$2,0,_xlpm.k,ROWS($DK$2:$DK$1000),1),
  _xlpm.v,_xlfn._xlws.FILTER(_xlpm.r,ISNUMBER(_xlpm.r)),
  IF(COUNT(_xlpm.v)=0,NA(),MIN(_xlpm.v))
)</f>
        <v>#N/A</v>
      </c>
      <c r="DX8" t="e" cm="1">
        <f t="array" aca="1" ref="DX8" ca="1">_xlfn.LET(
  _xlpm.k,ROW(A7)-1,
  _xlpm.r,OFFSET($DK$2,0,_xlpm.k,ROWS($DK$2:$DK$1000),1),
  _xlpm.v,_xlfn._xlws.FILTER(_xlpm.r,ISNUMBER(_xlpm.r)),
  IF(COUNT(_xlpm.v)=0,NA(),_xlfn.PERCENTILE.INC(_xlpm.v,0.25))
)</f>
        <v>#N/A</v>
      </c>
      <c r="DY8" t="e" cm="1">
        <f t="array" aca="1" ref="DY8" ca="1">_xlfn.LET(
  _xlpm.k,ROW(A7)-1,
  _xlpm.r,OFFSET($DK$2,0,_xlpm.k,ROWS($DK$2:$DK$1000),1),
  _xlpm.v,_xlfn._xlws.FILTER(_xlpm.r,ISNUMBER(_xlpm.r)),
  IF(COUNT(_xlpm.v)=0,NA(),_xlfn.PERCENTILE.INC(_xlpm.v,0.5))
)</f>
        <v>#N/A</v>
      </c>
      <c r="DZ8" t="e" cm="1">
        <f t="array" aca="1" ref="DZ8" ca="1">_xlfn.LET(
  _xlpm.k,ROW(A7)-1,
  _xlpm.r,OFFSET($DK$2,0,_xlpm.k,ROWS($DK$2:$DK$1000),1),
  _xlpm.v,_xlfn._xlws.FILTER(_xlpm.r,ISNUMBER(_xlpm.r)),
  IF(COUNT(_xlpm.v)=0,NA(),_xlfn.PERCENTILE.INC(_xlpm.v,0.75))
)</f>
        <v>#N/A</v>
      </c>
      <c r="EA8" t="e" cm="1">
        <f t="array" aca="1" ref="EA8" ca="1">_xlfn.LET(
  _xlpm.k,ROW(A7)-1,
  _xlpm.r,OFFSET($DK$2,0,_xlpm.k,ROWS($DK$2:$DK$1000),1),
  _xlpm.v,_xlfn._xlws.FILTER(_xlpm.r,ISNUMBER(_xlpm.r)),
  IF(COUNT(_xlpm.v)=0,NA(),MAX(_xlpm.v))
)</f>
        <v>#N/A</v>
      </c>
      <c r="EB8" t="e" cm="1" vm="1">
        <f t="array" aca="1" ref="EB8" ca="1">_xlfn.LET(_xlpm.r,OFFSET($DK$2,0,ROW(A7)-1,ROWS($DK$2:$DK$1000),1),
    _xlpm.v,_xlfn._xlws.FILTER(_xlpm.r,ISNUMBER(_xlpm.r)),
    _xlfn.PERCENTILE.INC(_xlpm.v,0.25))</f>
        <v>#VALUE!</v>
      </c>
      <c r="EC8" t="e" cm="1">
        <f t="array" aca="1" ref="EC8" ca="1">_xlfn.LET(
  _xlpm.k, ROW(A7)-1,
  _xlpm.r, OFFSET($DK$2,0,_xlpm.k,ROWS($DK$2:$DK$1000),1),
  _xlpm.v, _xlfn._xlws.FILTER(_xlpm.r, ISNUMBER(_xlpm.r)),
  IF(COUNT(_xlpm.v)=0, NA(), _xlfn.PERCENTILE.INC(_xlpm.v,0.5)-_xlfn.PERCENTILE.INC(_xlpm.v,0.25))
)</f>
        <v>#N/A</v>
      </c>
      <c r="ED8" t="e" cm="1" vm="1">
        <f t="array" aca="1" ref="ED8" ca="1">_xlfn.LET(_xlpm.r,OFFSET($DK$2,0,ROW(A7)-1,ROWS($DK$2:$DK$1000),1),
    _xlpm.v,_xlfn._xlws.FILTER(_xlpm.r,ISNUMBER(_xlpm.r)),
    _xlfn.PERCENTILE.INC(_xlpm.v,0.75)-_xlfn.PERCENTILE.INC(_xlpm.v,0.5))</f>
        <v>#VALUE!</v>
      </c>
      <c r="EE8" t="e" cm="1" vm="1">
        <f t="array" aca="1" ref="EE8" ca="1">_xlfn.LET(_xlpm.r,OFFSET($DK$2,0,ROW(A7)-1,ROWS($DK$2:$DK$1000),1),
    _xlpm.v,_xlfn._xlws.FILTER(_xlpm.r,ISNUMBER(_xlpm.r)),
    MAX(_xlpm.v)-_xlfn.PERCENTILE.INC(_xlpm.v,0.75))</f>
        <v>#VALUE!</v>
      </c>
      <c r="EF8" t="e">
        <f t="shared" ca="1" si="11"/>
        <v>#N/A</v>
      </c>
      <c r="EG8" t="e">
        <f t="shared" ca="1" si="33"/>
        <v>#N/A</v>
      </c>
      <c r="EH8" t="e">
        <f t="shared" ca="1" si="34"/>
        <v>#N/A</v>
      </c>
      <c r="EI8" s="13" t="e" cm="1">
        <f t="array" aca="1" ref="EI8" ca="1">_xlfn.LET(
  _xlpm.Data, $DK$2:$DS$1000,
  _xlpm.col,  $DT8,
  _xlpm.vec,  INDEX(_xlpm.Data,,_xlpm.col),
  _xlpm.v,    _xlfn._xlws.FILTER(_xlpm.vec, ISNUMBER(_xlpm.vec)),
  _xlpm.f,    EG8,
  IF(COUNT(_xlpm.v)=0, NA(),
    IF(NOT(ISNUMBER(_xlpm.f)), NA(),
      _xlfn.LET(
        _xlpm.cand, _xlfn._xlws.FILTER(_xlpm.v, _xlpm.v&gt;=_xlpm.f),
        IF(COUNT(_xlpm.cand)=0, MAX(0, MIN(_xlpm.v)), MAX(0, MIN(_xlpm.cand)))
      )
    )
  )
)</f>
        <v>#N/A</v>
      </c>
      <c r="EJ8" t="e" cm="1">
        <f t="array" aca="1" ref="EJ8" ca="1">_xlfn.LET(
  _xlpm.Data, $DK$2:$DS$1000,
  _xlpm.col,  $DT8,
  _xlpm.vec,  INDEX(_xlpm.Data,,_xlpm.col),
  _xlpm.v,    _xlfn._xlws.FILTER(_xlpm.vec, ISNUMBER(_xlpm.vec)),
  _xlpm.f,    EH8,
  IF(COUNT(_xlpm.v)=0, NA(),
    IF(NOT(ISNUMBER(_xlpm.f)), NA(),
      _xlfn.LET(
        _xlpm.cand, _xlfn._xlws.FILTER(_xlpm.v, _xlpm.v&lt;=_xlpm.f),
        IF(COUNT(_xlpm.cand)=0, MAX(_xlpm.v), MAX(_xlpm.cand))
      )
    )
  )
)</f>
        <v>#N/A</v>
      </c>
      <c r="EK8" t="e">
        <f t="shared" ca="1" si="12"/>
        <v>#N/A</v>
      </c>
      <c r="EL8" t="e">
        <f t="shared" ca="1" si="13"/>
        <v>#N/A</v>
      </c>
      <c r="EM8" t="e">
        <f t="shared" ca="1" si="35"/>
        <v>#N/A</v>
      </c>
      <c r="EN8" t="e">
        <f t="shared" ca="1" si="36"/>
        <v>#N/A</v>
      </c>
      <c r="EO8" t="e">
        <f t="shared" ca="1" si="14"/>
        <v>#N/A</v>
      </c>
      <c r="EP8">
        <v>0</v>
      </c>
      <c r="EQ8" t="e">
        <f t="shared" ca="1" si="15"/>
        <v>#N/A</v>
      </c>
      <c r="ER8">
        <f ca="1"/>
        <v>2100.4187138060079</v>
      </c>
      <c r="ES8">
        <f ca="1"/>
        <v>8</v>
      </c>
      <c r="FL8" s="26"/>
      <c r="FM8" s="26"/>
      <c r="FZ8" s="13"/>
    </row>
    <row r="9" spans="1:192">
      <c r="A9" t="s">
        <v>518</v>
      </c>
      <c r="B9" t="s">
        <v>521</v>
      </c>
      <c r="C9" t="s">
        <v>32</v>
      </c>
      <c r="D9" t="e" cm="1">
        <f t="array" ref="D9">_xlfn.LET(
 _xlpm.A,$A9,_xlpm.B,$B9,_xlpm.C,$C9,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9" t="e" cm="1">
        <f t="array" ref="E9">_xlfn.LET(
 _xlpm.A,$A9,_xlpm.B,$B9,_xlpm.C,$C9,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9" t="e" cm="1">
        <f t="array" ref="F9">_xlfn.LET(
 _xlpm.A,$A9,_xlpm.B,$B9,_xlpm.C,$C9,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9" t="e" cm="1">
        <f t="array" ref="G9">_xlfn.LET(
 _xlpm.A,$A9,_xlpm.B,$B9,_xlpm.C,$C9,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9" t="e">
        <f t="shared" si="16"/>
        <v>#N/A</v>
      </c>
      <c r="I9">
        <f t="shared" si="17"/>
        <v>8</v>
      </c>
      <c r="J9" t="e">
        <f t="shared" si="18"/>
        <v>#N/A</v>
      </c>
      <c r="K9" t="e">
        <f t="shared" si="19"/>
        <v>#N/A</v>
      </c>
      <c r="L9" t="e">
        <f t="shared" si="20"/>
        <v>#N/A</v>
      </c>
      <c r="M9" t="e">
        <f t="shared" si="21"/>
        <v>#N/A</v>
      </c>
      <c r="N9" t="e">
        <f t="shared" si="22"/>
        <v>#N/A</v>
      </c>
      <c r="O9" t="e" cm="1">
        <f t="array" ref="O9">_xlfn.LET(
 _xlpm.A,$A9,_xlpm.B,$B9,_xlpm.C,$C9,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9" t="str">
        <f t="shared" si="23"/>
        <v/>
      </c>
      <c r="V9" t="s">
        <v>538</v>
      </c>
      <c r="W9" t="s">
        <v>520</v>
      </c>
      <c r="X9" t="s">
        <v>32</v>
      </c>
      <c r="AB9">
        <v>13540.787173624165</v>
      </c>
      <c r="AC9">
        <v>7502.812596837075</v>
      </c>
      <c r="AD9">
        <v>3438.9745164233582</v>
      </c>
      <c r="AJ9">
        <f t="shared" si="37"/>
        <v>8</v>
      </c>
      <c r="AK9" s="26" t="e" cm="1">
        <f t="array" aca="1" ref="AK9" ca="1">_xlfn.LET(
  _xlpm.r,OFFSET($Y$2,0,ROW(A8)-1,ROWS($Y$2:$Y$1000),1),
  _xlpm.v,_xlfn._xlws.FILTER(_xlpm.r,ISNUMBER(_xlpm.r)),
  IF(COUNT(_xlpm.v)=0,NA(),_xlfn.PERCENTILE.INC(_xlpm.v,0.975))
)</f>
        <v>#N/A</v>
      </c>
      <c r="AL9" s="26" t="e" cm="1">
        <f t="array" ref="AL9">_xlfn.LET(
  _xlpm.hdr, $Y$1:$AI$1,               _xlpm.k,   _xlfn.XMATCH($V9,_xlpm.hdr,0),
  _xlpm.col, INDEX($Y$2:$AI$1000,,_xlpm.k),
  _xlpm.v,   _xlfn._xlws.FILTER(_xlpm.col,ISNUMBER(_xlpm.col)),
  IF(COUNT(_xlpm.v)=0, NA(), AVERAGE(_xlpm.v))
)</f>
        <v>#N/A</v>
      </c>
      <c r="AM9" t="e" cm="1">
        <f t="array" aca="1" ref="AM9" ca="1">_xlfn.LET(
  _xlpm.k,ROW(#REF!)-1,
  _xlpm.r,OFFSET($Y$2,0,_xlpm.k,ROWS($Y$2:$Y$1000),1),
  _xlpm.v,_xlfn._xlws.FILTER(_xlpm.r,ISNUMBER(_xlpm.r)),
  IF(COUNT(_xlpm.v)=0,NA(),MIN(_xlpm.v))
)</f>
        <v>#N/A</v>
      </c>
      <c r="AN9" t="e" cm="1">
        <f t="array" aca="1" ref="AN9" ca="1">_xlfn.LET(
  _xlpm.k,ROW(A8)-1,
  _xlpm.r,OFFSET($Y$2,0,_xlpm.k,ROWS($Y$2:$Y$1000),1),
  _xlpm.v,_xlfn._xlws.FILTER(_xlpm.r,ISNUMBER(_xlpm.r)),
  IF(COUNT(_xlpm.v)=0,NA(),_xlfn.PERCENTILE.INC(_xlpm.v,0.25))
)</f>
        <v>#N/A</v>
      </c>
      <c r="AO9" t="e" cm="1">
        <f t="array" aca="1" ref="AO9" ca="1">_xlfn.LET(
  _xlpm.k,ROW(#REF!)-1,
  _xlpm.r,OFFSET($Y$2,0,_xlpm.k,ROWS($Y$2:$Y$1000),1),
  _xlpm.v,_xlfn._xlws.FILTER(_xlpm.r,ISNUMBER(_xlpm.r)),
  IF(COUNT(_xlpm.v)=0,NA(),_xlfn.PERCENTILE.INC(_xlpm.v,0.5))
)</f>
        <v>#N/A</v>
      </c>
      <c r="AP9" t="e" cm="1">
        <f t="array" ref="AP9">_xlfn.LET(
  _xlpm.Data, $Y$2:$AI$1000,
  _xlpm.col,  $AJ9,
  _xlpm.vec,  INDEX(_xlpm.Data,,_xlpm.col),
  _xlpm.v,    _xlfn._xlws.FILTER(_xlpm.vec, ISNUMBER(_xlpm.vec)),
  IF(COUNT(_xlpm.v)=0, NA(), _xlfn.PERCENTILE.INC(_xlpm.v, 0.75))
)</f>
        <v>#N/A</v>
      </c>
      <c r="AQ9" t="e" cm="1">
        <f t="array" aca="1" ref="AQ9" ca="1">_xlfn.LET(
  _xlpm.k,ROW(#REF!)-1,
  _xlpm.r,OFFSET($Y$2,0,_xlpm.k,ROWS($Y$2:$Y$1000),1),
  _xlpm.v,_xlfn._xlws.FILTER(_xlpm.r,ISNUMBER(_xlpm.r)),
  IF(COUNT(_xlpm.v)=0,NA(),MAX(_xlpm.v))
)</f>
        <v>#N/A</v>
      </c>
      <c r="AR9" t="e" cm="1">
        <f t="array" aca="1" ref="AR9" ca="1">_xlfn.LET(_xlpm.r,OFFSET($Y$2,0,ROW(#REF!)-1,ROWS($Y$2:$Y$1000),1),
    _xlpm.v,_xlfn._xlws.FILTER(_xlpm.r,ISNUMBER(_xlpm.r)),
    _xlfn.PERCENTILE.INC(_xlpm.v,0.25))</f>
        <v>#REF!</v>
      </c>
      <c r="AS9" t="e" cm="1">
        <f t="array" aca="1" ref="AS9" ca="1">_xlfn.LET(
  _xlpm.k, ROW(#REF!)-1,
  _xlpm.r, OFFSET($Y$2,0,_xlpm.k,ROWS($Y$2:$Y$1000),1),
  _xlpm.v, _xlfn._xlws.FILTER(_xlpm.r, ISNUMBER(_xlpm.r)),
  IF(COUNT(_xlpm.v)=0, NA(), _xlfn.PERCENTILE.INC(_xlpm.v,0.5)-_xlfn.PERCENTILE.INC(_xlpm.v,0.25))
)</f>
        <v>#N/A</v>
      </c>
      <c r="AT9" t="e" cm="1">
        <f t="array" aca="1" ref="AT9" ca="1">_xlfn.LET(_xlpm.r,OFFSET($Y$2,0,ROW(#REF!)-1,ROWS($Y$2:$Y$1000),1),
    _xlpm.v,_xlfn._xlws.FILTER(_xlpm.r,ISNUMBER(_xlpm.r)),
    _xlfn.PERCENTILE.INC(_xlpm.v,0.75)-_xlfn.PERCENTILE.INC(_xlpm.v,0.5))</f>
        <v>#REF!</v>
      </c>
      <c r="AU9" t="e" cm="1">
        <f t="array" aca="1" ref="AU9" ca="1">_xlfn.LET(_xlpm.r,OFFSET($Y$2,0,ROW(#REF!)-1,ROWS($Y$2:$Y$1000),1),
    _xlpm.v,_xlfn._xlws.FILTER(_xlpm.r,ISNUMBER(_xlpm.r)),
    MAX(_xlpm.v)-_xlfn.PERCENTILE.INC(_xlpm.v,0.75))</f>
        <v>#REF!</v>
      </c>
      <c r="AV9" t="e">
        <f t="shared" ca="1" si="0"/>
        <v>#N/A</v>
      </c>
      <c r="AW9" t="e">
        <f t="shared" ca="1" si="24"/>
        <v>#N/A</v>
      </c>
      <c r="AX9" t="e">
        <f t="shared" ca="1" si="25"/>
        <v>#N/A</v>
      </c>
      <c r="AY9" s="13" t="e" cm="1">
        <f t="array" aca="1" ref="AY9" ca="1">_xlfn.LET(
  _xlpm.Data, $Y$2:$AI$1000,
  _xlpm.col,  $AJ9,
  _xlpm.vec,  INDEX(_xlpm.Data,,_xlpm.col),
  _xlpm.v,    _xlfn._xlws.FILTER(_xlpm.vec, ISNUMBER(_xlpm.vec)),
  _xlpm.f,    AW9,
  IF(OR(COUNT(_xlpm.v)=0, NOT(ISNUMBER(_xlpm.f))),
      NA(),
      IF(COUNT(_xlfn._xlws.FILTER(_xlpm.v, _xlpm.v&gt;=_xlpm.f))=0, MIN(_xlpm.v), MIN(_xlfn._xlws.FILTER(_xlpm.v, _xlpm.v&gt;=_xlpm.f)))
  )
)</f>
        <v>#N/A</v>
      </c>
      <c r="AZ9" t="e" cm="1">
        <f t="array" aca="1" ref="AZ9" ca="1">_xlfn.LET(
  _xlpm.Data, $Y$2:$AI$1000,
  _xlpm.col,  $AJ9,
  _xlpm.vec,  INDEX(_xlpm.Data,,_xlpm.col),
  _xlpm.v,    _xlfn._xlws.FILTER(_xlpm.vec, ISNUMBER(_xlpm.vec)),
  _xlpm.f,    AX9,
  IF(OR(COUNT(_xlpm.v)=0, NOT(ISNUMBER(_xlpm.f))),
      NA(),
      IF(COUNT(_xlfn._xlws.FILTER(_xlpm.v, _xlpm.v&lt;=_xlpm.f))=0, MAX(_xlpm.v), MAX(_xlfn._xlws.FILTER(_xlpm.v, _xlpm.v&lt;=_xlpm.f)))
  )
)</f>
        <v>#N/A</v>
      </c>
      <c r="BA9" t="e">
        <f t="shared" ca="1" si="1"/>
        <v>#N/A</v>
      </c>
      <c r="BB9" t="e">
        <f t="shared" ca="1" si="2"/>
        <v>#N/A</v>
      </c>
      <c r="BC9" t="e">
        <f t="shared" ca="1" si="26"/>
        <v>#N/A</v>
      </c>
      <c r="BD9" t="e">
        <f t="shared" ca="1" si="3"/>
        <v>#N/A</v>
      </c>
      <c r="BE9" t="e">
        <f t="shared" ca="1" si="4"/>
        <v>#N/A</v>
      </c>
      <c r="BF9">
        <v>0</v>
      </c>
      <c r="BG9" t="e">
        <f t="shared" ca="1" si="5"/>
        <v>#N/A</v>
      </c>
      <c r="BH9">
        <v>8298.7060090009236</v>
      </c>
      <c r="BI9">
        <v>3</v>
      </c>
      <c r="BM9" t="s">
        <v>548</v>
      </c>
      <c r="BN9" t="s">
        <v>523</v>
      </c>
      <c r="BO9" t="s">
        <v>32</v>
      </c>
      <c r="BP9">
        <v>13540.787173624165</v>
      </c>
      <c r="BR9">
        <v>4991.0189225973236</v>
      </c>
      <c r="CC9">
        <f t="shared" si="27"/>
        <v>8</v>
      </c>
      <c r="CD9" s="26" t="e" cm="1">
        <f t="array" aca="1" ref="CD9" ca="1">_xlfn.LET(
  _xlpm.r,OFFSET($BP$2,0,ROW(A8)-1,ROWS($BP$2:$BP$1000),1),
  _xlpm.v,_xlfn._xlws.FILTER(_xlpm.r,ISNUMBER(_xlpm.r)),
  IF(COUNT(_xlpm.v)=0,NA(),_xlfn.PERCENTILE.INC(_xlpm.v,0.975))
)</f>
        <v>#N/A</v>
      </c>
      <c r="CE9" s="26" t="e" cm="1">
        <f t="array" ref="CE9">_xlfn.LET(
  _xlpm.hdr, $BP$1:$CB$1,               _xlpm.k,   _xlfn.XMATCH($BM9,_xlpm.hdr,0),
  _xlpm.col, INDEX($BP$2:$CB$1000,,_xlpm.k),
  _xlpm.v,   _xlfn._xlws.FILTER(_xlpm.col,ISNUMBER(_xlpm.col)),
  IF(COUNT(_xlpm.v)=0, NA(), AVERAGE(_xlpm.v))
)</f>
        <v>#N/A</v>
      </c>
      <c r="CF9" t="e" cm="1">
        <f t="array" aca="1" ref="CF9" ca="1">_xlfn.LET(
  _xlpm.k,ROW(A8)-1,
  _xlpm.r,OFFSET($BP$2,0,_xlpm.k,ROWS($BP$2:$BP$1000),1),
  _xlpm.v,_xlfn._xlws.FILTER(_xlpm.r,ISNUMBER(_xlpm.r)),
  IF(COUNT(_xlpm.v)=0,NA(),MIN(_xlpm.v))
)</f>
        <v>#N/A</v>
      </c>
      <c r="CG9" t="e" cm="1">
        <f t="array" aca="1" ref="CG9" ca="1">_xlfn.LET(
  _xlpm.k,ROW(A8)-1,
  _xlpm.r,OFFSET($BP$2,0,_xlpm.k,ROWS($BP$2:$BP$1000),1),
  _xlpm.v,_xlfn._xlws.FILTER(_xlpm.r,ISNUMBER(_xlpm.r)),
  IF(COUNT(_xlpm.v)=0,NA(),_xlfn.PERCENTILE.INC(_xlpm.v,0.25))
)</f>
        <v>#N/A</v>
      </c>
      <c r="CH9" t="e" cm="1">
        <f t="array" aca="1" ref="CH9" ca="1">_xlfn.LET(
  _xlpm.k,ROW(A8)-1,
  _xlpm.r,OFFSET($BP$2,0,_xlpm.k,ROWS($BP$2:$BP$1000),1),
  _xlpm.v,_xlfn._xlws.FILTER(_xlpm.r,ISNUMBER(_xlpm.r)),
  IF(COUNT(_xlpm.v)=0,NA(),_xlfn.PERCENTILE.INC(_xlpm.v,0.5))
)</f>
        <v>#N/A</v>
      </c>
      <c r="CI9" t="e" cm="1">
        <f t="array" aca="1" ref="CI9" ca="1">_xlfn.LET(
  _xlpm.k,ROW(A8)-1,
  _xlpm.r,OFFSET($BP$2,0,_xlpm.k,ROWS($BP$2:$BP$1000),1),
  _xlpm.v,_xlfn._xlws.FILTER(_xlpm.r,ISNUMBER(_xlpm.r)),
  IF(COUNT(_xlpm.v)=0,NA(),_xlfn.PERCENTILE.INC(_xlpm.v,0.75))
)</f>
        <v>#N/A</v>
      </c>
      <c r="CJ9" t="e" cm="1">
        <f t="array" aca="1" ref="CJ9" ca="1">_xlfn.LET(
  _xlpm.k,ROW(A8)-1,
  _xlpm.r,OFFSET($BP$2,0,_xlpm.k,ROWS($BP$2:$BP$1000),1),
  _xlpm.v,_xlfn._xlws.FILTER(_xlpm.r,ISNUMBER(_xlpm.r)),
  IF(COUNT(_xlpm.v)=0,NA(),MAX(_xlpm.v))
)</f>
        <v>#N/A</v>
      </c>
      <c r="CK9" t="e" cm="1" vm="1">
        <f t="array" aca="1" ref="CK9" ca="1">_xlfn.LET(_xlpm.r,OFFSET($BP$2,0,ROW(A8)-1,ROWS($BP$2:$BP$1000),1),
    _xlpm.v,_xlfn._xlws.FILTER(_xlpm.r,ISNUMBER(_xlpm.r)),
    _xlfn.PERCENTILE.INC(_xlpm.v,0.25))</f>
        <v>#VALUE!</v>
      </c>
      <c r="CL9" t="e" cm="1">
        <f t="array" aca="1" ref="CL9" ca="1">_xlfn.LET(
  _xlpm.k, ROW(A8)-1,
  _xlpm.r, OFFSET($BP$2,0,_xlpm.k,ROWS($BP$2:$BP$1000),1),
  _xlpm.v, _xlfn._xlws.FILTER(_xlpm.r, ISNUMBER(_xlpm.r)),
  IF(COUNT(_xlpm.v)=0, NA(), _xlfn.PERCENTILE.INC(_xlpm.v,0.5)-_xlfn.PERCENTILE.INC(_xlpm.v,0.25))
)</f>
        <v>#N/A</v>
      </c>
      <c r="CM9" t="e" cm="1" vm="1">
        <f t="array" aca="1" ref="CM9" ca="1">_xlfn.LET(_xlpm.r,OFFSET($BP$2,0,ROW(A8)-1,ROWS($BP$2:$BP$1000),1),
    _xlpm.v,_xlfn._xlws.FILTER(_xlpm.r,ISNUMBER(_xlpm.r)),
    _xlfn.PERCENTILE.INC(_xlpm.v,0.75)-_xlfn.PERCENTILE.INC(_xlpm.v,0.5))</f>
        <v>#VALUE!</v>
      </c>
      <c r="CN9" t="e" cm="1" vm="1">
        <f t="array" aca="1" ref="CN9" ca="1">_xlfn.LET(_xlpm.r,OFFSET($BP$2,0,ROW(A8)-1,ROWS($BP$2:$BP$1000),1),
    _xlpm.v,_xlfn._xlws.FILTER(_xlpm.r,ISNUMBER(_xlpm.r)),
    MAX(_xlpm.v)-_xlfn.PERCENTILE.INC(_xlpm.v,0.75))</f>
        <v>#VALUE!</v>
      </c>
      <c r="CO9" t="e">
        <f t="shared" ca="1" si="6"/>
        <v>#N/A</v>
      </c>
      <c r="CP9" t="e">
        <f t="shared" ca="1" si="28"/>
        <v>#N/A</v>
      </c>
      <c r="CQ9" t="e">
        <f t="shared" ca="1" si="29"/>
        <v>#N/A</v>
      </c>
      <c r="CR9" s="13" t="e" cm="1">
        <f t="array" ref="CR9">_xlfn.LET(
  _xlpm.Data, $BP$2:$CB$1000,
  _xlpm.col,  $CC9,
  _xlpm.vec,  INDEX(_xlpm.Data,,_xlpm.col),
  _xlpm.v,    _xlfn._xlws.FILTER(_xlpm.vec, ISNUMBER(_xlpm.vec)),
  _xlpm.f,    CP9,
  IF(COUNT(_xlpm.v)=0, NA(),
    IF(NOT(ISNUMBER(_xlpm.f)), NA(),
      _xlfn.LET(
        _xlpm.cand, _xlfn._xlws.FILTER(_xlpm.v, _xlpm.v&gt;=_xlpm.f),
        IF(COUNT(_xlpm.cand)=0, MAX(0, MIN(_xlpm.v)), MAX(0, MIN(_xlpm.cand)))
      )
    )
  )
)</f>
        <v>#N/A</v>
      </c>
      <c r="CS9" t="e" cm="1">
        <f t="array" ref="CS9">_xlfn.LET(
  _xlpm.Data, $BP$2:$CB$1000,
  _xlpm.col,  $CC9,
  _xlpm.vec,  INDEX(_xlpm.Data,,_xlpm.col),
  _xlpm.v,    _xlfn._xlws.FILTER(_xlpm.vec, ISNUMBER(_xlpm.vec)),
  _xlpm.f,    CQ9,
  IF(COUNT(_xlpm.v)=0, NA(),
    IF(NOT(ISNUMBER(_xlpm.f)), NA(),
      _xlfn.LET(
        _xlpm.cand, _xlfn._xlws.FILTER(_xlpm.v, _xlpm.v&lt;=_xlpm.f),
        IF(COUNT(_xlpm.cand)=0, MAX(_xlpm.v), MAX(_xlpm.cand))
      )
    )
  )
)</f>
        <v>#N/A</v>
      </c>
      <c r="CT9" t="e">
        <f t="shared" ca="1" si="7"/>
        <v>#N/A</v>
      </c>
      <c r="CU9" t="e">
        <f t="shared" ca="1" si="8"/>
        <v>#N/A</v>
      </c>
      <c r="CV9" t="e">
        <f t="shared" ca="1" si="30"/>
        <v>#N/A</v>
      </c>
      <c r="CW9" t="e">
        <f t="shared" ca="1" si="31"/>
        <v>#N/A</v>
      </c>
      <c r="CX9" t="e">
        <f t="shared" ca="1" si="9"/>
        <v>#N/A</v>
      </c>
      <c r="CY9">
        <v>0</v>
      </c>
      <c r="CZ9" t="e">
        <f t="shared" ca="1" si="10"/>
        <v>#N/A</v>
      </c>
      <c r="DA9">
        <f ca="1"/>
        <v>13540.787173624165</v>
      </c>
      <c r="DB9">
        <f ca="1"/>
        <v>1</v>
      </c>
      <c r="DH9" t="s">
        <v>1038</v>
      </c>
      <c r="DI9" t="s">
        <v>815</v>
      </c>
      <c r="DJ9" t="s">
        <v>57</v>
      </c>
      <c r="DT9">
        <f t="shared" si="32"/>
        <v>8</v>
      </c>
      <c r="DU9" s="26" cm="1">
        <f t="array" aca="1" ref="DU9" ca="1">_xlfn.LET(
  _xlpm.r,OFFSET($DK$2,0,ROW(A8)-1,ROWS($DK$2:$DK$1000),1),
  _xlpm.v,_xlfn._xlws.FILTER(_xlpm.r,ISNUMBER(_xlpm.r)),
  IF(COUNT(_xlpm.v)=0,NA(),_xlfn.PERCENTILE.INC(_xlpm.v,0.975))
)</f>
        <v>2100.4187138060079</v>
      </c>
      <c r="DV9" s="26" cm="1">
        <f t="array" aca="1" ref="DV9" ca="1">_xlfn.LET(
  _xlpm.hdr, $DK$1:$DS$1,               _xlpm.k,   _xlfn.XMATCH($DH9,_xlpm.hdr,0),
  _xlpm.col, INDEX($DK$2:$DS$1000,,_xlpm.k),
  _xlpm.v,   _xlfn._xlws.FILTER(_xlpm.col,ISNUMBER(_xlpm.col)),
  IF(COUNT(_xlpm.v)=0, NA(), AVERAGE(_xlpm.v))
)</f>
        <v>2100.4187138060079</v>
      </c>
      <c r="DW9" cm="1">
        <f t="array" aca="1" ref="DW9" ca="1">_xlfn.LET(
  _xlpm.k,ROW(A8)-1,
  _xlpm.r,OFFSET($DK$2,0,_xlpm.k,ROWS($DK$2:$DK$1000),1),
  _xlpm.v,_xlfn._xlws.FILTER(_xlpm.r,ISNUMBER(_xlpm.r)),
  IF(COUNT(_xlpm.v)=0,NA(),MIN(_xlpm.v))
)</f>
        <v>2100.4187138060079</v>
      </c>
      <c r="DX9" cm="1">
        <f t="array" aca="1" ref="DX9" ca="1">_xlfn.LET(
  _xlpm.k,ROW(A8)-1,
  _xlpm.r,OFFSET($DK$2,0,_xlpm.k,ROWS($DK$2:$DK$1000),1),
  _xlpm.v,_xlfn._xlws.FILTER(_xlpm.r,ISNUMBER(_xlpm.r)),
  IF(COUNT(_xlpm.v)=0,NA(),_xlfn.PERCENTILE.INC(_xlpm.v,0.25))
)</f>
        <v>2100.4187138060079</v>
      </c>
      <c r="DY9" cm="1">
        <f t="array" aca="1" ref="DY9" ca="1">_xlfn.LET(
  _xlpm.k,ROW(A8)-1,
  _xlpm.r,OFFSET($DK$2,0,_xlpm.k,ROWS($DK$2:$DK$1000),1),
  _xlpm.v,_xlfn._xlws.FILTER(_xlpm.r,ISNUMBER(_xlpm.r)),
  IF(COUNT(_xlpm.v)=0,NA(),_xlfn.PERCENTILE.INC(_xlpm.v,0.5))
)</f>
        <v>2100.4187138060079</v>
      </c>
      <c r="DZ9" cm="1">
        <f t="array" aca="1" ref="DZ9" ca="1">_xlfn.LET(
  _xlpm.k,ROW(A8)-1,
  _xlpm.r,OFFSET($DK$2,0,_xlpm.k,ROWS($DK$2:$DK$1000),1),
  _xlpm.v,_xlfn._xlws.FILTER(_xlpm.r,ISNUMBER(_xlpm.r)),
  IF(COUNT(_xlpm.v)=0,NA(),_xlfn.PERCENTILE.INC(_xlpm.v,0.75))
)</f>
        <v>2100.4187138060079</v>
      </c>
      <c r="EA9" cm="1">
        <f t="array" aca="1" ref="EA9" ca="1">_xlfn.LET(
  _xlpm.k,ROW(A8)-1,
  _xlpm.r,OFFSET($DK$2,0,_xlpm.k,ROWS($DK$2:$DK$1000),1),
  _xlpm.v,_xlfn._xlws.FILTER(_xlpm.r,ISNUMBER(_xlpm.r)),
  IF(COUNT(_xlpm.v)=0,NA(),MAX(_xlpm.v))
)</f>
        <v>2100.4187138060079</v>
      </c>
      <c r="EB9" cm="1">
        <f t="array" aca="1" ref="EB9" ca="1">_xlfn.LET(_xlpm.r,OFFSET($DK$2,0,ROW(A8)-1,ROWS($DK$2:$DK$1000),1),
    _xlpm.v,_xlfn._xlws.FILTER(_xlpm.r,ISNUMBER(_xlpm.r)),
    _xlfn.PERCENTILE.INC(_xlpm.v,0.25))</f>
        <v>2100.4187138060079</v>
      </c>
      <c r="EC9" cm="1">
        <f t="array" aca="1" ref="EC9" ca="1">_xlfn.LET(
  _xlpm.k, ROW(A8)-1,
  _xlpm.r, OFFSET($DK$2,0,_xlpm.k,ROWS($DK$2:$DK$1000),1),
  _xlpm.v, _xlfn._xlws.FILTER(_xlpm.r, ISNUMBER(_xlpm.r)),
  IF(COUNT(_xlpm.v)=0, NA(), _xlfn.PERCENTILE.INC(_xlpm.v,0.5)-_xlfn.PERCENTILE.INC(_xlpm.v,0.25))
)</f>
        <v>0</v>
      </c>
      <c r="ED9" cm="1">
        <f t="array" aca="1" ref="ED9" ca="1">_xlfn.LET(_xlpm.r,OFFSET($DK$2,0,ROW(A8)-1,ROWS($DK$2:$DK$1000),1),
    _xlpm.v,_xlfn._xlws.FILTER(_xlpm.r,ISNUMBER(_xlpm.r)),
    _xlfn.PERCENTILE.INC(_xlpm.v,0.75)-_xlfn.PERCENTILE.INC(_xlpm.v,0.5))</f>
        <v>0</v>
      </c>
      <c r="EE9" cm="1">
        <f t="array" aca="1" ref="EE9" ca="1">_xlfn.LET(_xlpm.r,OFFSET($DK$2,0,ROW(A8)-1,ROWS($DK$2:$DK$1000),1),
    _xlpm.v,_xlfn._xlws.FILTER(_xlpm.r,ISNUMBER(_xlpm.r)),
    MAX(_xlpm.v)-_xlfn.PERCENTILE.INC(_xlpm.v,0.75))</f>
        <v>0</v>
      </c>
      <c r="EF9">
        <f t="shared" ca="1" si="11"/>
        <v>0</v>
      </c>
      <c r="EG9">
        <f t="shared" ca="1" si="33"/>
        <v>2100.4187138060079</v>
      </c>
      <c r="EH9">
        <f t="shared" ca="1" si="34"/>
        <v>2100.4187138060079</v>
      </c>
      <c r="EI9" s="13" cm="1">
        <f t="array" aca="1" ref="EI9" ca="1">_xlfn.LET(
  _xlpm.Data, $DK$2:$DS$1000,
  _xlpm.col,  $DT9,
  _xlpm.vec,  INDEX(_xlpm.Data,,_xlpm.col),
  _xlpm.v,    _xlfn._xlws.FILTER(_xlpm.vec, ISNUMBER(_xlpm.vec)),
  _xlpm.f,    EG9,
  IF(COUNT(_xlpm.v)=0, NA(),
    IF(NOT(ISNUMBER(_xlpm.f)), NA(),
      _xlfn.LET(
        _xlpm.cand, _xlfn._xlws.FILTER(_xlpm.v, _xlpm.v&gt;=_xlpm.f),
        IF(COUNT(_xlpm.cand)=0, MAX(0, MIN(_xlpm.v)), MAX(0, MIN(_xlpm.cand)))
      )
    )
  )
)</f>
        <v>2100.4187138060079</v>
      </c>
      <c r="EJ9" cm="1">
        <f t="array" aca="1" ref="EJ9" ca="1">_xlfn.LET(
  _xlpm.Data, $DK$2:$DS$1000,
  _xlpm.col,  $DT9,
  _xlpm.vec,  INDEX(_xlpm.Data,,_xlpm.col),
  _xlpm.v,    _xlfn._xlws.FILTER(_xlpm.vec, ISNUMBER(_xlpm.vec)),
  _xlpm.f,    EH9,
  IF(COUNT(_xlpm.v)=0, NA(),
    IF(NOT(ISNUMBER(_xlpm.f)), NA(),
      _xlfn.LET(
        _xlpm.cand, _xlfn._xlws.FILTER(_xlpm.v, _xlpm.v&lt;=_xlpm.f),
        IF(COUNT(_xlpm.cand)=0, MAX(_xlpm.v), MAX(_xlpm.cand))
      )
    )
  )
)</f>
        <v>2100.4187138060079</v>
      </c>
      <c r="EK9">
        <f t="shared" ca="1" si="12"/>
        <v>0</v>
      </c>
      <c r="EL9">
        <f t="shared" ca="1" si="13"/>
        <v>0</v>
      </c>
      <c r="EM9">
        <f t="shared" ca="1" si="35"/>
        <v>0</v>
      </c>
      <c r="EN9">
        <f t="shared" ca="1" si="36"/>
        <v>0</v>
      </c>
      <c r="EO9">
        <f t="shared" ca="1" si="14"/>
        <v>0</v>
      </c>
      <c r="EP9">
        <v>0</v>
      </c>
      <c r="EQ9">
        <f t="shared" ca="1" si="15"/>
        <v>0</v>
      </c>
      <c r="ER9">
        <f ca="1"/>
        <v>9122.992414858385</v>
      </c>
      <c r="ES9">
        <f ca="1"/>
        <v>9</v>
      </c>
      <c r="FL9" s="26"/>
      <c r="FM9" s="26"/>
      <c r="FZ9" s="13"/>
    </row>
    <row r="10" spans="1:192">
      <c r="A10" t="s">
        <v>518</v>
      </c>
      <c r="B10" t="s">
        <v>521</v>
      </c>
      <c r="C10" t="s">
        <v>57</v>
      </c>
      <c r="D10" cm="1">
        <f t="array" ref="D10">_xlfn.LET(
 _xlpm.A,$A10,_xlpm.B,$B10,_xlpm.C,$C10,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6730.1311012027963</v>
      </c>
      <c r="E10" cm="1">
        <f t="array" ref="E10">_xlfn.LET(
 _xlpm.A,$A10,_xlpm.B,$B10,_xlpm.C,$C10,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5888.4655024637586</v>
      </c>
      <c r="F10" cm="1">
        <f t="array" ref="F10">_xlfn.LET(
 _xlpm.A,$A10,_xlpm.B,$B10,_xlpm.C,$C10,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6326.4153748480385</v>
      </c>
      <c r="G10" cm="1">
        <f t="array" ref="G10">_xlfn.LET(
 _xlpm.A,$A10,_xlpm.B,$B10,_xlpm.C,$C10,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6701.66861102232</v>
      </c>
      <c r="H10">
        <f t="shared" si="16"/>
        <v>28.462490180476379</v>
      </c>
      <c r="I10">
        <f t="shared" si="17"/>
        <v>9</v>
      </c>
      <c r="J10" t="e">
        <f t="shared" si="18"/>
        <v>#N/A</v>
      </c>
      <c r="K10">
        <f t="shared" si="19"/>
        <v>6701.66861102232</v>
      </c>
      <c r="L10" t="e">
        <f t="shared" si="20"/>
        <v>#N/A</v>
      </c>
      <c r="M10" t="e">
        <f t="shared" si="21"/>
        <v>#N/A</v>
      </c>
      <c r="N10" t="e">
        <f t="shared" si="22"/>
        <v>#N/A</v>
      </c>
      <c r="O10" cm="1">
        <f t="array" ref="O10">_xlfn.LET(
 _xlpm.A,$A10,_xlpm.B,$B10,_xlpm.C,$C10,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5</v>
      </c>
      <c r="P10" t="str">
        <f t="shared" si="23"/>
        <v>n=5</v>
      </c>
      <c r="V10" t="s">
        <v>539</v>
      </c>
      <c r="W10" t="s">
        <v>520</v>
      </c>
      <c r="X10" t="s">
        <v>57</v>
      </c>
      <c r="AB10">
        <v>11570.710845447591</v>
      </c>
      <c r="AC10">
        <v>11235.299349718522</v>
      </c>
      <c r="AD10">
        <v>3489.3792062043799</v>
      </c>
      <c r="AJ10">
        <f t="shared" si="37"/>
        <v>9</v>
      </c>
      <c r="AK10" s="26" t="e" cm="1">
        <f t="array" aca="1" ref="AK10" ca="1">_xlfn.LET(
  _xlpm.r,OFFSET($Y$2,0,ROW(A9)-1,ROWS($Y$2:$Y$1000),1),
  _xlpm.v,_xlfn._xlws.FILTER(_xlpm.r,ISNUMBER(_xlpm.r)),
  IF(COUNT(_xlpm.v)=0,NA(),_xlfn.PERCENTILE.INC(_xlpm.v,0.975))
)</f>
        <v>#N/A</v>
      </c>
      <c r="AL10" s="26" t="e" cm="1">
        <f t="array" ref="AL10">_xlfn.LET(
  _xlpm.hdr, $Y$1:$AI$1,               _xlpm.k,   _xlfn.XMATCH($V10,_xlpm.hdr,0),
  _xlpm.col, INDEX($Y$2:$AI$1000,,_xlpm.k),
  _xlpm.v,   _xlfn._xlws.FILTER(_xlpm.col,ISNUMBER(_xlpm.col)),
  IF(COUNT(_xlpm.v)=0, NA(), AVERAGE(_xlpm.v))
)</f>
        <v>#N/A</v>
      </c>
      <c r="AM10" t="e" cm="1">
        <f t="array" aca="1" ref="AM10" ca="1">_xlfn.LET(
  _xlpm.k,ROW(A9)-1,
  _xlpm.r,OFFSET($Y$2,0,_xlpm.k,ROWS($Y$2:$Y$1000),1),
  _xlpm.v,_xlfn._xlws.FILTER(_xlpm.r,ISNUMBER(_xlpm.r)),
  IF(COUNT(_xlpm.v)=0,NA(),MIN(_xlpm.v))
)</f>
        <v>#N/A</v>
      </c>
      <c r="AN10" t="e" cm="1">
        <f t="array" aca="1" ref="AN10" ca="1">_xlfn.LET(
  _xlpm.k,ROW(A9)-1,
  _xlpm.r,OFFSET($Y$2,0,_xlpm.k,ROWS($Y$2:$Y$1000),1),
  _xlpm.v,_xlfn._xlws.FILTER(_xlpm.r,ISNUMBER(_xlpm.r)),
  IF(COUNT(_xlpm.v)=0,NA(),_xlfn.PERCENTILE.INC(_xlpm.v,0.25))
)</f>
        <v>#N/A</v>
      </c>
      <c r="AO10" t="e" cm="1">
        <f t="array" aca="1" ref="AO10" ca="1">_xlfn.LET(
  _xlpm.k,ROW(A9)-1,
  _xlpm.r,OFFSET($Y$2,0,_xlpm.k,ROWS($Y$2:$Y$1000),1),
  _xlpm.v,_xlfn._xlws.FILTER(_xlpm.r,ISNUMBER(_xlpm.r)),
  IF(COUNT(_xlpm.v)=0,NA(),_xlfn.PERCENTILE.INC(_xlpm.v,0.5))
)</f>
        <v>#N/A</v>
      </c>
      <c r="AP10" t="e" cm="1">
        <f t="array" ref="AP10">_xlfn.LET(
  _xlpm.Data, $Y$2:$AI$1000,
  _xlpm.col,  $AJ10,
  _xlpm.vec,  INDEX(_xlpm.Data,,_xlpm.col),
  _xlpm.v,    _xlfn._xlws.FILTER(_xlpm.vec, ISNUMBER(_xlpm.vec)),
  IF(COUNT(_xlpm.v)=0, NA(), _xlfn.PERCENTILE.INC(_xlpm.v, 0.75))
)</f>
        <v>#N/A</v>
      </c>
      <c r="AQ10" t="e" cm="1">
        <f t="array" aca="1" ref="AQ10" ca="1">_xlfn.LET(
  _xlpm.k,ROW(A9)-1,
  _xlpm.r,OFFSET($Y$2,0,_xlpm.k,ROWS($Y$2:$Y$1000),1),
  _xlpm.v,_xlfn._xlws.FILTER(_xlpm.r,ISNUMBER(_xlpm.r)),
  IF(COUNT(_xlpm.v)=0,NA(),MAX(_xlpm.v))
)</f>
        <v>#N/A</v>
      </c>
      <c r="AR10" t="e" cm="1" vm="1">
        <f t="array" aca="1" ref="AR10" ca="1">_xlfn.LET(_xlpm.r,OFFSET($Y$2,0,ROW(A9)-1,ROWS($Y$2:$Y$1000),1),
    _xlpm.v,_xlfn._xlws.FILTER(_xlpm.r,ISNUMBER(_xlpm.r)),
    _xlfn.PERCENTILE.INC(_xlpm.v,0.25))</f>
        <v>#VALUE!</v>
      </c>
      <c r="AS10" t="e" cm="1">
        <f t="array" aca="1" ref="AS10" ca="1">_xlfn.LET(
  _xlpm.k, ROW(A9)-1,
  _xlpm.r, OFFSET($Y$2,0,_xlpm.k,ROWS($Y$2:$Y$1000),1),
  _xlpm.v, _xlfn._xlws.FILTER(_xlpm.r, ISNUMBER(_xlpm.r)),
  IF(COUNT(_xlpm.v)=0, NA(), _xlfn.PERCENTILE.INC(_xlpm.v,0.5)-_xlfn.PERCENTILE.INC(_xlpm.v,0.25))
)</f>
        <v>#N/A</v>
      </c>
      <c r="AT10" t="e" cm="1" vm="1">
        <f t="array" aca="1" ref="AT10" ca="1">_xlfn.LET(_xlpm.r,OFFSET($Y$2,0,ROW(A9)-1,ROWS($Y$2:$Y$1000),1),
    _xlpm.v,_xlfn._xlws.FILTER(_xlpm.r,ISNUMBER(_xlpm.r)),
    _xlfn.PERCENTILE.INC(_xlpm.v,0.75)-_xlfn.PERCENTILE.INC(_xlpm.v,0.5))</f>
        <v>#VALUE!</v>
      </c>
      <c r="AU10" t="e" cm="1" vm="1">
        <f t="array" aca="1" ref="AU10" ca="1">_xlfn.LET(_xlpm.r,OFFSET($Y$2,0,ROW(A9)-1,ROWS($Y$2:$Y$1000),1),
    _xlpm.v,_xlfn._xlws.FILTER(_xlpm.r,ISNUMBER(_xlpm.r)),
    MAX(_xlpm.v)-_xlfn.PERCENTILE.INC(_xlpm.v,0.75))</f>
        <v>#VALUE!</v>
      </c>
      <c r="AV10" t="e">
        <f t="shared" ca="1" si="0"/>
        <v>#N/A</v>
      </c>
      <c r="AW10" t="e">
        <f t="shared" ca="1" si="24"/>
        <v>#N/A</v>
      </c>
      <c r="AX10" t="e">
        <f t="shared" ca="1" si="25"/>
        <v>#N/A</v>
      </c>
      <c r="AY10" s="13" t="e" cm="1">
        <f t="array" aca="1" ref="AY10" ca="1">_xlfn.LET(
  _xlpm.Data, $Y$2:$AI$1000,
  _xlpm.col,  $AJ10,
  _xlpm.vec,  INDEX(_xlpm.Data,,_xlpm.col),
  _xlpm.v,    _xlfn._xlws.FILTER(_xlpm.vec, ISNUMBER(_xlpm.vec)),
  _xlpm.f,    AW10,
  IF(OR(COUNT(_xlpm.v)=0, NOT(ISNUMBER(_xlpm.f))),
      NA(),
      IF(COUNT(_xlfn._xlws.FILTER(_xlpm.v, _xlpm.v&gt;=_xlpm.f))=0, MIN(_xlpm.v), MIN(_xlfn._xlws.FILTER(_xlpm.v, _xlpm.v&gt;=_xlpm.f)))
  )
)</f>
        <v>#N/A</v>
      </c>
      <c r="AZ10" t="e" cm="1">
        <f t="array" aca="1" ref="AZ10" ca="1">_xlfn.LET(
  _xlpm.Data, $Y$2:$AI$1000,
  _xlpm.col,  $AJ10,
  _xlpm.vec,  INDEX(_xlpm.Data,,_xlpm.col),
  _xlpm.v,    _xlfn._xlws.FILTER(_xlpm.vec, ISNUMBER(_xlpm.vec)),
  _xlpm.f,    AX10,
  IF(OR(COUNT(_xlpm.v)=0, NOT(ISNUMBER(_xlpm.f))),
      NA(),
      IF(COUNT(_xlfn._xlws.FILTER(_xlpm.v, _xlpm.v&lt;=_xlpm.f))=0, MAX(_xlpm.v), MAX(_xlfn._xlws.FILTER(_xlpm.v, _xlpm.v&lt;=_xlpm.f)))
  )
)</f>
        <v>#N/A</v>
      </c>
      <c r="BA10" t="e">
        <f t="shared" ca="1" si="1"/>
        <v>#N/A</v>
      </c>
      <c r="BB10" t="e">
        <f t="shared" ca="1" si="2"/>
        <v>#N/A</v>
      </c>
      <c r="BC10" t="e">
        <f t="shared" ca="1" si="26"/>
        <v>#N/A</v>
      </c>
      <c r="BD10" t="e">
        <f t="shared" ca="1" si="3"/>
        <v>#N/A</v>
      </c>
      <c r="BE10" t="e">
        <f t="shared" ca="1" si="4"/>
        <v>#N/A</v>
      </c>
      <c r="BF10">
        <v>0</v>
      </c>
      <c r="BG10" t="e">
        <f t="shared" ca="1" si="5"/>
        <v>#N/A</v>
      </c>
      <c r="BH10">
        <v>12441.316506252808</v>
      </c>
      <c r="BI10">
        <v>4</v>
      </c>
      <c r="BM10" t="s">
        <v>549</v>
      </c>
      <c r="BN10" t="s">
        <v>523</v>
      </c>
      <c r="BO10" t="s">
        <v>57</v>
      </c>
      <c r="BP10">
        <v>11570.710845447591</v>
      </c>
      <c r="BR10">
        <v>5024.2401954075431</v>
      </c>
      <c r="CC10">
        <f t="shared" si="27"/>
        <v>9</v>
      </c>
      <c r="CD10" s="26" t="e" cm="1">
        <f t="array" aca="1" ref="CD10" ca="1">_xlfn.LET(
  _xlpm.r,OFFSET($BP$2,0,ROW(A9)-1,ROWS($BP$2:$BP$1000),1),
  _xlpm.v,_xlfn._xlws.FILTER(_xlpm.r,ISNUMBER(_xlpm.r)),
  IF(COUNT(_xlpm.v)=0,NA(),_xlfn.PERCENTILE.INC(_xlpm.v,0.975))
)</f>
        <v>#N/A</v>
      </c>
      <c r="CE10" s="26" t="e" cm="1">
        <f t="array" ref="CE10">_xlfn.LET(
  _xlpm.hdr, $BP$1:$CB$1,               _xlpm.k,   _xlfn.XMATCH($BM10,_xlpm.hdr,0),
  _xlpm.col, INDEX($BP$2:$CB$1000,,_xlpm.k),
  _xlpm.v,   _xlfn._xlws.FILTER(_xlpm.col,ISNUMBER(_xlpm.col)),
  IF(COUNT(_xlpm.v)=0, NA(), AVERAGE(_xlpm.v))
)</f>
        <v>#N/A</v>
      </c>
      <c r="CF10" t="e" cm="1">
        <f t="array" aca="1" ref="CF10" ca="1">_xlfn.LET(
  _xlpm.k,ROW(A9)-1,
  _xlpm.r,OFFSET($BP$2,0,_xlpm.k,ROWS($BP$2:$BP$1000),1),
  _xlpm.v,_xlfn._xlws.FILTER(_xlpm.r,ISNUMBER(_xlpm.r)),
  IF(COUNT(_xlpm.v)=0,NA(),MIN(_xlpm.v))
)</f>
        <v>#N/A</v>
      </c>
      <c r="CG10" t="e" cm="1">
        <f t="array" aca="1" ref="CG10" ca="1">_xlfn.LET(
  _xlpm.k,ROW(A9)-1,
  _xlpm.r,OFFSET($BP$2,0,_xlpm.k,ROWS($BP$2:$BP$1000),1),
  _xlpm.v,_xlfn._xlws.FILTER(_xlpm.r,ISNUMBER(_xlpm.r)),
  IF(COUNT(_xlpm.v)=0,NA(),_xlfn.PERCENTILE.INC(_xlpm.v,0.25))
)</f>
        <v>#N/A</v>
      </c>
      <c r="CH10" t="e" cm="1">
        <f t="array" aca="1" ref="CH10" ca="1">_xlfn.LET(
  _xlpm.k,ROW(A9)-1,
  _xlpm.r,OFFSET($BP$2,0,_xlpm.k,ROWS($BP$2:$BP$1000),1),
  _xlpm.v,_xlfn._xlws.FILTER(_xlpm.r,ISNUMBER(_xlpm.r)),
  IF(COUNT(_xlpm.v)=0,NA(),_xlfn.PERCENTILE.INC(_xlpm.v,0.5))
)</f>
        <v>#N/A</v>
      </c>
      <c r="CI10" t="e" cm="1">
        <f t="array" aca="1" ref="CI10" ca="1">_xlfn.LET(
  _xlpm.k,ROW(A9)-1,
  _xlpm.r,OFFSET($BP$2,0,_xlpm.k,ROWS($BP$2:$BP$1000),1),
  _xlpm.v,_xlfn._xlws.FILTER(_xlpm.r,ISNUMBER(_xlpm.r)),
  IF(COUNT(_xlpm.v)=0,NA(),_xlfn.PERCENTILE.INC(_xlpm.v,0.75))
)</f>
        <v>#N/A</v>
      </c>
      <c r="CJ10" t="e" cm="1">
        <f t="array" aca="1" ref="CJ10" ca="1">_xlfn.LET(
  _xlpm.k,ROW(A9)-1,
  _xlpm.r,OFFSET($BP$2,0,_xlpm.k,ROWS($BP$2:$BP$1000),1),
  _xlpm.v,_xlfn._xlws.FILTER(_xlpm.r,ISNUMBER(_xlpm.r)),
  IF(COUNT(_xlpm.v)=0,NA(),MAX(_xlpm.v))
)</f>
        <v>#N/A</v>
      </c>
      <c r="CK10" t="e" cm="1" vm="1">
        <f t="array" aca="1" ref="CK10" ca="1">_xlfn.LET(_xlpm.r,OFFSET($BP$2,0,ROW(A9)-1,ROWS($BP$2:$BP$1000),1),
    _xlpm.v,_xlfn._xlws.FILTER(_xlpm.r,ISNUMBER(_xlpm.r)),
    _xlfn.PERCENTILE.INC(_xlpm.v,0.25))</f>
        <v>#VALUE!</v>
      </c>
      <c r="CL10" t="e" cm="1">
        <f t="array" aca="1" ref="CL10" ca="1">_xlfn.LET(
  _xlpm.k, ROW(A9)-1,
  _xlpm.r, OFFSET($BP$2,0,_xlpm.k,ROWS($BP$2:$BP$1000),1),
  _xlpm.v, _xlfn._xlws.FILTER(_xlpm.r, ISNUMBER(_xlpm.r)),
  IF(COUNT(_xlpm.v)=0, NA(), _xlfn.PERCENTILE.INC(_xlpm.v,0.5)-_xlfn.PERCENTILE.INC(_xlpm.v,0.25))
)</f>
        <v>#N/A</v>
      </c>
      <c r="CM10" t="e" cm="1" vm="1">
        <f t="array" aca="1" ref="CM10" ca="1">_xlfn.LET(_xlpm.r,OFFSET($BP$2,0,ROW(A9)-1,ROWS($BP$2:$BP$1000),1),
    _xlpm.v,_xlfn._xlws.FILTER(_xlpm.r,ISNUMBER(_xlpm.r)),
    _xlfn.PERCENTILE.INC(_xlpm.v,0.75)-_xlfn.PERCENTILE.INC(_xlpm.v,0.5))</f>
        <v>#VALUE!</v>
      </c>
      <c r="CN10" t="e" cm="1" vm="1">
        <f t="array" aca="1" ref="CN10" ca="1">_xlfn.LET(_xlpm.r,OFFSET($BP$2,0,ROW(A9)-1,ROWS($BP$2:$BP$1000),1),
    _xlpm.v,_xlfn._xlws.FILTER(_xlpm.r,ISNUMBER(_xlpm.r)),
    MAX(_xlpm.v)-_xlfn.PERCENTILE.INC(_xlpm.v,0.75))</f>
        <v>#VALUE!</v>
      </c>
      <c r="CO10" t="e">
        <f t="shared" ca="1" si="6"/>
        <v>#N/A</v>
      </c>
      <c r="CP10" t="e">
        <f t="shared" ca="1" si="28"/>
        <v>#N/A</v>
      </c>
      <c r="CQ10" t="e">
        <f t="shared" ca="1" si="29"/>
        <v>#N/A</v>
      </c>
      <c r="CR10" s="13" t="e" cm="1">
        <f t="array" ref="CR10">_xlfn.LET(
  _xlpm.Data, $BP$2:$CB$1000,
  _xlpm.col,  $CC10,
  _xlpm.vec,  INDEX(_xlpm.Data,,_xlpm.col),
  _xlpm.v,    _xlfn._xlws.FILTER(_xlpm.vec, ISNUMBER(_xlpm.vec)),
  _xlpm.f,    CP10,
  IF(COUNT(_xlpm.v)=0, NA(),
    IF(NOT(ISNUMBER(_xlpm.f)), NA(),
      _xlfn.LET(
        _xlpm.cand, _xlfn._xlws.FILTER(_xlpm.v, _xlpm.v&gt;=_xlpm.f),
        IF(COUNT(_xlpm.cand)=0, MAX(0, MIN(_xlpm.v)), MAX(0, MIN(_xlpm.cand)))
      )
    )
  )
)</f>
        <v>#N/A</v>
      </c>
      <c r="CS10" t="e" cm="1">
        <f t="array" ref="CS10">_xlfn.LET(
  _xlpm.Data, $BP$2:$CB$1000,
  _xlpm.col,  $CC10,
  _xlpm.vec,  INDEX(_xlpm.Data,,_xlpm.col),
  _xlpm.v,    _xlfn._xlws.FILTER(_xlpm.vec, ISNUMBER(_xlpm.vec)),
  _xlpm.f,    CQ10,
  IF(COUNT(_xlpm.v)=0, NA(),
    IF(NOT(ISNUMBER(_xlpm.f)), NA(),
      _xlfn.LET(
        _xlpm.cand, _xlfn._xlws.FILTER(_xlpm.v, _xlpm.v&lt;=_xlpm.f),
        IF(COUNT(_xlpm.cand)=0, MAX(_xlpm.v), MAX(_xlpm.cand))
      )
    )
  )
)</f>
        <v>#N/A</v>
      </c>
      <c r="CT10" t="e">
        <f t="shared" ca="1" si="7"/>
        <v>#N/A</v>
      </c>
      <c r="CU10" t="e">
        <f t="shared" ca="1" si="8"/>
        <v>#N/A</v>
      </c>
      <c r="CV10" t="e">
        <f t="shared" ca="1" si="30"/>
        <v>#N/A</v>
      </c>
      <c r="CW10" t="e">
        <f t="shared" ca="1" si="31"/>
        <v>#N/A</v>
      </c>
      <c r="CX10" t="e">
        <f t="shared" ca="1" si="9"/>
        <v>#N/A</v>
      </c>
      <c r="CY10">
        <v>0</v>
      </c>
      <c r="CZ10" t="e">
        <f t="shared" ca="1" si="10"/>
        <v>#N/A</v>
      </c>
      <c r="DA10">
        <f ca="1"/>
        <v>11570.710845447591</v>
      </c>
      <c r="DB10">
        <f ca="1"/>
        <v>1</v>
      </c>
      <c r="DH10" t="s">
        <v>1039</v>
      </c>
      <c r="DI10" t="s">
        <v>815</v>
      </c>
      <c r="DJ10" t="s">
        <v>52</v>
      </c>
      <c r="DT10">
        <f t="shared" si="32"/>
        <v>9</v>
      </c>
      <c r="DU10" s="26" cm="1">
        <f t="array" aca="1" ref="DU10" ca="1">_xlfn.LET(
  _xlpm.r,OFFSET($DK$2,0,ROW(A9)-1,ROWS($DK$2:$DK$1000),1),
  _xlpm.v,_xlfn._xlws.FILTER(_xlpm.r,ISNUMBER(_xlpm.r)),
  IF(COUNT(_xlpm.v)=0,NA(),_xlfn.PERCENTILE.INC(_xlpm.v,0.975))
)</f>
        <v>9122.992414858385</v>
      </c>
      <c r="DV10" s="26" cm="1">
        <f t="array" aca="1" ref="DV10" ca="1">_xlfn.LET(
  _xlpm.hdr, $DK$1:$DS$1,               _xlpm.k,   _xlfn.XMATCH($DH10,_xlpm.hdr,0),
  _xlpm.col, INDEX($DK$2:$DS$1000,,_xlpm.k),
  _xlpm.v,   _xlfn._xlws.FILTER(_xlpm.col,ISNUMBER(_xlpm.col)),
  IF(COUNT(_xlpm.v)=0, NA(), AVERAGE(_xlpm.v))
)</f>
        <v>9122.992414858385</v>
      </c>
      <c r="DW10" cm="1">
        <f t="array" aca="1" ref="DW10" ca="1">_xlfn.LET(
  _xlpm.k,ROW(A9)-1,
  _xlpm.r,OFFSET($DK$2,0,_xlpm.k,ROWS($DK$2:$DK$1000),1),
  _xlpm.v,_xlfn._xlws.FILTER(_xlpm.r,ISNUMBER(_xlpm.r)),
  IF(COUNT(_xlpm.v)=0,NA(),MIN(_xlpm.v))
)</f>
        <v>9122.992414858385</v>
      </c>
      <c r="DX10" cm="1">
        <f t="array" aca="1" ref="DX10" ca="1">_xlfn.LET(
  _xlpm.k,ROW(A9)-1,
  _xlpm.r,OFFSET($DK$2,0,_xlpm.k,ROWS($DK$2:$DK$1000),1),
  _xlpm.v,_xlfn._xlws.FILTER(_xlpm.r,ISNUMBER(_xlpm.r)),
  IF(COUNT(_xlpm.v)=0,NA(),_xlfn.PERCENTILE.INC(_xlpm.v,0.25))
)</f>
        <v>9122.992414858385</v>
      </c>
      <c r="DY10" cm="1">
        <f t="array" aca="1" ref="DY10" ca="1">_xlfn.LET(
  _xlpm.k,ROW(A9)-1,
  _xlpm.r,OFFSET($DK$2,0,_xlpm.k,ROWS($DK$2:$DK$1000),1),
  _xlpm.v,_xlfn._xlws.FILTER(_xlpm.r,ISNUMBER(_xlpm.r)),
  IF(COUNT(_xlpm.v)=0,NA(),_xlfn.PERCENTILE.INC(_xlpm.v,0.5))
)</f>
        <v>9122.992414858385</v>
      </c>
      <c r="DZ10" cm="1">
        <f t="array" aca="1" ref="DZ10" ca="1">_xlfn.LET(
  _xlpm.k,ROW(A9)-1,
  _xlpm.r,OFFSET($DK$2,0,_xlpm.k,ROWS($DK$2:$DK$1000),1),
  _xlpm.v,_xlfn._xlws.FILTER(_xlpm.r,ISNUMBER(_xlpm.r)),
  IF(COUNT(_xlpm.v)=0,NA(),_xlfn.PERCENTILE.INC(_xlpm.v,0.75))
)</f>
        <v>9122.992414858385</v>
      </c>
      <c r="EA10" cm="1">
        <f t="array" aca="1" ref="EA10" ca="1">_xlfn.LET(
  _xlpm.k,ROW(A9)-1,
  _xlpm.r,OFFSET($DK$2,0,_xlpm.k,ROWS($DK$2:$DK$1000),1),
  _xlpm.v,_xlfn._xlws.FILTER(_xlpm.r,ISNUMBER(_xlpm.r)),
  IF(COUNT(_xlpm.v)=0,NA(),MAX(_xlpm.v))
)</f>
        <v>9122.992414858385</v>
      </c>
      <c r="EB10" cm="1">
        <f t="array" aca="1" ref="EB10" ca="1">_xlfn.LET(_xlpm.r,OFFSET($DK$2,0,ROW(A9)-1,ROWS($DK$2:$DK$1000),1),
    _xlpm.v,_xlfn._xlws.FILTER(_xlpm.r,ISNUMBER(_xlpm.r)),
    _xlfn.PERCENTILE.INC(_xlpm.v,0.25))</f>
        <v>9122.992414858385</v>
      </c>
      <c r="EC10" cm="1">
        <f t="array" aca="1" ref="EC10" ca="1">_xlfn.LET(
  _xlpm.k, ROW(A9)-1,
  _xlpm.r, OFFSET($DK$2,0,_xlpm.k,ROWS($DK$2:$DK$1000),1),
  _xlpm.v, _xlfn._xlws.FILTER(_xlpm.r, ISNUMBER(_xlpm.r)),
  IF(COUNT(_xlpm.v)=0, NA(), _xlfn.PERCENTILE.INC(_xlpm.v,0.5)-_xlfn.PERCENTILE.INC(_xlpm.v,0.25))
)</f>
        <v>0</v>
      </c>
      <c r="ED10" cm="1">
        <f t="array" aca="1" ref="ED10" ca="1">_xlfn.LET(_xlpm.r,OFFSET($DK$2,0,ROW(A9)-1,ROWS($DK$2:$DK$1000),1),
    _xlpm.v,_xlfn._xlws.FILTER(_xlpm.r,ISNUMBER(_xlpm.r)),
    _xlfn.PERCENTILE.INC(_xlpm.v,0.75)-_xlfn.PERCENTILE.INC(_xlpm.v,0.5))</f>
        <v>0</v>
      </c>
      <c r="EE10" cm="1">
        <f t="array" aca="1" ref="EE10" ca="1">_xlfn.LET(_xlpm.r,OFFSET($DK$2,0,ROW(A9)-1,ROWS($DK$2:$DK$1000),1),
    _xlpm.v,_xlfn._xlws.FILTER(_xlpm.r,ISNUMBER(_xlpm.r)),
    MAX(_xlpm.v)-_xlfn.PERCENTILE.INC(_xlpm.v,0.75))</f>
        <v>0</v>
      </c>
      <c r="EF10">
        <f t="shared" ca="1" si="11"/>
        <v>0</v>
      </c>
      <c r="EG10">
        <f t="shared" ca="1" si="33"/>
        <v>9122.992414858385</v>
      </c>
      <c r="EH10">
        <f t="shared" ca="1" si="34"/>
        <v>9122.992414858385</v>
      </c>
      <c r="EI10" s="13" cm="1">
        <f t="array" aca="1" ref="EI10" ca="1">_xlfn.LET(
  _xlpm.Data, $DK$2:$DS$1000,
  _xlpm.col,  $DT10,
  _xlpm.vec,  INDEX(_xlpm.Data,,_xlpm.col),
  _xlpm.v,    _xlfn._xlws.FILTER(_xlpm.vec, ISNUMBER(_xlpm.vec)),
  _xlpm.f,    EG10,
  IF(COUNT(_xlpm.v)=0, NA(),
    IF(NOT(ISNUMBER(_xlpm.f)), NA(),
      _xlfn.LET(
        _xlpm.cand, _xlfn._xlws.FILTER(_xlpm.v, _xlpm.v&gt;=_xlpm.f),
        IF(COUNT(_xlpm.cand)=0, MAX(0, MIN(_xlpm.v)), MAX(0, MIN(_xlpm.cand)))
      )
    )
  )
)</f>
        <v>9122.992414858385</v>
      </c>
      <c r="EJ10" cm="1">
        <f t="array" aca="1" ref="EJ10" ca="1">_xlfn.LET(
  _xlpm.Data, $DK$2:$DS$1000,
  _xlpm.col,  $DT10,
  _xlpm.vec,  INDEX(_xlpm.Data,,_xlpm.col),
  _xlpm.v,    _xlfn._xlws.FILTER(_xlpm.vec, ISNUMBER(_xlpm.vec)),
  _xlpm.f,    EH10,
  IF(COUNT(_xlpm.v)=0, NA(),
    IF(NOT(ISNUMBER(_xlpm.f)), NA(),
      _xlfn.LET(
        _xlpm.cand, _xlfn._xlws.FILTER(_xlpm.v, _xlpm.v&lt;=_xlpm.f),
        IF(COUNT(_xlpm.cand)=0, MAX(_xlpm.v), MAX(_xlpm.cand))
      )
    )
  )
)</f>
        <v>9122.992414858385</v>
      </c>
      <c r="EK10">
        <f t="shared" ca="1" si="12"/>
        <v>0</v>
      </c>
      <c r="EL10">
        <f t="shared" ca="1" si="13"/>
        <v>0</v>
      </c>
      <c r="EM10">
        <f t="shared" ca="1" si="35"/>
        <v>0</v>
      </c>
      <c r="EN10">
        <f t="shared" ca="1" si="36"/>
        <v>0</v>
      </c>
      <c r="EO10">
        <f t="shared" ca="1" si="14"/>
        <v>0</v>
      </c>
      <c r="EP10">
        <v>0</v>
      </c>
      <c r="EQ10">
        <f t="shared" ca="1" si="15"/>
        <v>0</v>
      </c>
      <c r="FL10" s="26"/>
      <c r="FM10" s="26"/>
      <c r="FZ10" s="13"/>
    </row>
    <row r="11" spans="1:192">
      <c r="A11" t="s">
        <v>518</v>
      </c>
      <c r="B11" t="s">
        <v>521</v>
      </c>
      <c r="C11" t="s">
        <v>52</v>
      </c>
      <c r="D11" t="e" cm="1">
        <f t="array" ref="D11">_xlfn.LET(
 _xlpm.A,$A11,_xlpm.B,$B11,_xlpm.C,$C11,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1" t="e" cm="1">
        <f t="array" ref="E11">_xlfn.LET(
 _xlpm.A,$A11,_xlpm.B,$B11,_xlpm.C,$C11,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1" t="e" cm="1">
        <f t="array" ref="F11">_xlfn.LET(
 _xlpm.A,$A11,_xlpm.B,$B11,_xlpm.C,$C11,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1" t="e" cm="1">
        <f t="array" ref="G11">_xlfn.LET(
 _xlpm.A,$A11,_xlpm.B,$B11,_xlpm.C,$C11,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1" t="e">
        <f t="shared" si="16"/>
        <v>#N/A</v>
      </c>
      <c r="I11">
        <f t="shared" si="17"/>
        <v>10</v>
      </c>
      <c r="J11" t="e">
        <f t="shared" si="18"/>
        <v>#N/A</v>
      </c>
      <c r="K11" t="e">
        <f t="shared" si="19"/>
        <v>#N/A</v>
      </c>
      <c r="L11" t="e">
        <f t="shared" si="20"/>
        <v>#N/A</v>
      </c>
      <c r="M11" t="e">
        <f t="shared" si="21"/>
        <v>#N/A</v>
      </c>
      <c r="N11" t="e">
        <f t="shared" si="22"/>
        <v>#N/A</v>
      </c>
      <c r="O11" t="e" cm="1">
        <f t="array" ref="O11">_xlfn.LET(
 _xlpm.A,$A11,_xlpm.B,$B11,_xlpm.C,$C11,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1" t="str">
        <f t="shared" si="23"/>
        <v/>
      </c>
      <c r="V11" t="s">
        <v>540</v>
      </c>
      <c r="W11" t="s">
        <v>520</v>
      </c>
      <c r="X11" t="s">
        <v>52</v>
      </c>
      <c r="AB11">
        <v>6267.9451091988731</v>
      </c>
      <c r="AC11">
        <v>15856.519626291001</v>
      </c>
      <c r="AD11">
        <v>4289.5536564781023</v>
      </c>
      <c r="AJ11">
        <f t="shared" si="37"/>
        <v>10</v>
      </c>
      <c r="AK11" s="26" cm="1">
        <f t="array" aca="1" ref="AK11" ca="1">_xlfn.LET(
  _xlpm.r,OFFSET($Y$2,0,ROW(A10)-1,ROWS($Y$2:$Y$1000),1),
  _xlpm.v,_xlfn._xlws.FILTER(_xlpm.r,ISNUMBER(_xlpm.r)),
  IF(COUNT(_xlpm.v)=0,NA(),_xlfn.PERCENTILE.INC(_xlpm.v,0.975))
)</f>
        <v>13267.304769583106</v>
      </c>
      <c r="AL11" s="26" cm="1">
        <f t="array" ref="AL11">_xlfn.LET(
  _xlpm.hdr, $Y$1:$AI$1,               _xlpm.k,   _xlfn.XMATCH($V11,_xlpm.hdr,0),
  _xlpm.col, INDEX($Y$2:$AI$1000,,_xlpm.k),
  _xlpm.v,   _xlfn._xlws.FILTER(_xlpm.col,ISNUMBER(_xlpm.col)),
  IF(COUNT(_xlpm.v)=0, NA(), AVERAGE(_xlpm.v))
)</f>
        <v>9517.3752293335874</v>
      </c>
      <c r="AM11" cm="1">
        <f t="array" aca="1" ref="AM11" ca="1">_xlfn.LET(
  _xlpm.k,ROW(A10)-1,
  _xlpm.r,OFFSET($Y$2,0,_xlpm.k,ROWS($Y$2:$Y$1000),1),
  _xlpm.v,_xlfn._xlws.FILTER(_xlpm.r,ISNUMBER(_xlpm.r)),
  IF(COUNT(_xlpm.v)=0,NA(),MIN(_xlpm.v))
)</f>
        <v>4889.4686960519202</v>
      </c>
      <c r="AN11" cm="1">
        <f t="array" aca="1" ref="AN11" ca="1">_xlfn.LET(
  _xlpm.k,ROW(A10)-1,
  _xlpm.r,OFFSET($Y$2,0,_xlpm.k,ROWS($Y$2:$Y$1000),1),
  _xlpm.v,_xlfn._xlws.FILTER(_xlpm.r,ISNUMBER(_xlpm.r)),
  IF(COUNT(_xlpm.v)=0,NA(),_xlfn.PERCENTILE.INC(_xlpm.v,0.25))
)</f>
        <v>7562.6339995639009</v>
      </c>
      <c r="AO11" cm="1">
        <f t="array" aca="1" ref="AO11" ca="1">_xlfn.LET(
  _xlpm.k,ROW(A10)-1,
  _xlpm.r,OFFSET($Y$2,0,_xlpm.k,ROWS($Y$2:$Y$1000),1),
  _xlpm.v,_xlfn._xlws.FILTER(_xlpm.r,ISNUMBER(_xlpm.r)),
  IF(COUNT(_xlpm.v)=0,NA(),_xlfn.PERCENTILE.INC(_xlpm.v,0.5))
)</f>
        <v>10235.799303075883</v>
      </c>
      <c r="AP11" cm="1">
        <f t="array" ref="AP11">_xlfn.LET(
  _xlpm.Data, $Y$2:$AI$1000,
  _xlpm.col,  $AJ11,
  _xlpm.vec,  INDEX(_xlpm.Data,,_xlpm.col),
  _xlpm.v,    _xlfn._xlws.FILTER(_xlpm.vec, ISNUMBER(_xlpm.vec)),
  IF(COUNT(_xlpm.v)=0, NA(), _xlfn.PERCENTILE.INC(_xlpm.v, 0.75))
)</f>
        <v>11831.328495974421</v>
      </c>
      <c r="AQ11" cm="1">
        <f t="array" aca="1" ref="AQ11" ca="1">_xlfn.LET(
  _xlpm.k,ROW(A10)-1,
  _xlpm.r,OFFSET($Y$2,0,_xlpm.k,ROWS($Y$2:$Y$1000),1),
  _xlpm.v,_xlfn._xlws.FILTER(_xlpm.r,ISNUMBER(_xlpm.r)),
  IF(COUNT(_xlpm.v)=0,NA(),MAX(_xlpm.v))
)</f>
        <v>13426.85768887296</v>
      </c>
      <c r="AR11" cm="1">
        <f t="array" aca="1" ref="AR11" ca="1">_xlfn.LET(_xlpm.r,OFFSET($Y$2,0,ROW(A10)-1,ROWS($Y$2:$Y$1000),1),
    _xlpm.v,_xlfn._xlws.FILTER(_xlpm.r,ISNUMBER(_xlpm.r)),
    _xlfn.PERCENTILE.INC(_xlpm.v,0.25))</f>
        <v>7562.6339995639009</v>
      </c>
      <c r="AS11" cm="1">
        <f t="array" aca="1" ref="AS11" ca="1">_xlfn.LET(
  _xlpm.k, ROW(A10)-1,
  _xlpm.r, OFFSET($Y$2,0,_xlpm.k,ROWS($Y$2:$Y$1000),1),
  _xlpm.v, _xlfn._xlws.FILTER(_xlpm.r, ISNUMBER(_xlpm.r)),
  IF(COUNT(_xlpm.v)=0, NA(), _xlfn.PERCENTILE.INC(_xlpm.v,0.5)-_xlfn.PERCENTILE.INC(_xlpm.v,0.25))
)</f>
        <v>2673.1653035119816</v>
      </c>
      <c r="AT11" cm="1">
        <f t="array" aca="1" ref="AT11" ca="1">_xlfn.LET(_xlpm.r,OFFSET($Y$2,0,ROW(A10)-1,ROWS($Y$2:$Y$1000),1),
    _xlpm.v,_xlfn._xlws.FILTER(_xlpm.r,ISNUMBER(_xlpm.r)),
    _xlfn.PERCENTILE.INC(_xlpm.v,0.75)-_xlfn.PERCENTILE.INC(_xlpm.v,0.5))</f>
        <v>1595.5291928985389</v>
      </c>
      <c r="AU11" cm="1">
        <f t="array" aca="1" ref="AU11" ca="1">_xlfn.LET(_xlpm.r,OFFSET($Y$2,0,ROW(A10)-1,ROWS($Y$2:$Y$1000),1),
    _xlpm.v,_xlfn._xlws.FILTER(_xlpm.r,ISNUMBER(_xlpm.r)),
    MAX(_xlpm.v)-_xlfn.PERCENTILE.INC(_xlpm.v,0.75))</f>
        <v>1595.5291928985389</v>
      </c>
      <c r="AV11">
        <f t="shared" ca="1" si="0"/>
        <v>4268.6944964105205</v>
      </c>
      <c r="AW11">
        <f t="shared" ca="1" si="24"/>
        <v>1159.5922549481202</v>
      </c>
      <c r="AX11">
        <f t="shared" ca="1" si="25"/>
        <v>18234.3702405902</v>
      </c>
      <c r="AY11" s="13" cm="1">
        <f t="array" aca="1" ref="AY11" ca="1">_xlfn.LET(
  _xlpm.Data, $Y$2:$AI$1000,
  _xlpm.col,  $AJ11,
  _xlpm.vec,  INDEX(_xlpm.Data,,_xlpm.col),
  _xlpm.v,    _xlfn._xlws.FILTER(_xlpm.vec, ISNUMBER(_xlpm.vec)),
  _xlpm.f,    AW11,
  IF(OR(COUNT(_xlpm.v)=0, NOT(ISNUMBER(_xlpm.f))),
      NA(),
      IF(COUNT(_xlfn._xlws.FILTER(_xlpm.v, _xlpm.v&gt;=_xlpm.f))=0, MIN(_xlpm.v), MIN(_xlfn._xlws.FILTER(_xlpm.v, _xlpm.v&gt;=_xlpm.f)))
  )
)</f>
        <v>4889.4686960519202</v>
      </c>
      <c r="AZ11" cm="1">
        <f t="array" aca="1" ref="AZ11" ca="1">_xlfn.LET(
  _xlpm.Data, $Y$2:$AI$1000,
  _xlpm.col,  $AJ11,
  _xlpm.vec,  INDEX(_xlpm.Data,,_xlpm.col),
  _xlpm.v,    _xlfn._xlws.FILTER(_xlpm.vec, ISNUMBER(_xlpm.vec)),
  _xlpm.f,    AX11,
  IF(OR(COUNT(_xlpm.v)=0, NOT(ISNUMBER(_xlpm.f))),
      NA(),
      IF(COUNT(_xlfn._xlws.FILTER(_xlpm.v, _xlpm.v&lt;=_xlpm.f))=0, MAX(_xlpm.v), MAX(_xlfn._xlws.FILTER(_xlpm.v, _xlpm.v&lt;=_xlpm.f)))
  )
)</f>
        <v>13426.85768887296</v>
      </c>
      <c r="BA11">
        <f t="shared" ca="1" si="1"/>
        <v>3191.0583857970778</v>
      </c>
      <c r="BB11">
        <f t="shared" ca="1" si="2"/>
        <v>5346.3306070239623</v>
      </c>
      <c r="BC11">
        <f t="shared" ca="1" si="26"/>
        <v>2673.1653035119807</v>
      </c>
      <c r="BD11">
        <f t="shared" ca="1" si="3"/>
        <v>1595.5291928985389</v>
      </c>
      <c r="BE11">
        <f t="shared" ca="1" si="4"/>
        <v>2673.1653035119807</v>
      </c>
      <c r="BF11">
        <v>0</v>
      </c>
      <c r="BG11">
        <f t="shared" ca="1" si="5"/>
        <v>1595.5291928985389</v>
      </c>
      <c r="BH11">
        <v>15974.702436322583</v>
      </c>
      <c r="BI11">
        <v>4</v>
      </c>
      <c r="BM11" t="s">
        <v>550</v>
      </c>
      <c r="BN11" t="s">
        <v>523</v>
      </c>
      <c r="BO11" t="s">
        <v>52</v>
      </c>
      <c r="BP11">
        <v>6267.9451091988731</v>
      </c>
      <c r="BR11">
        <v>5873.2919206204388</v>
      </c>
      <c r="CC11">
        <f t="shared" si="27"/>
        <v>10</v>
      </c>
      <c r="CD11" s="26" cm="1">
        <f t="array" aca="1" ref="CD11" ca="1">_xlfn.LET(
  _xlpm.r,OFFSET($BP$2,0,ROW(A10)-1,ROWS($BP$2:$BP$1000),1),
  _xlpm.v,_xlfn._xlws.FILTER(_xlpm.r,ISNUMBER(_xlpm.r)),
  IF(COUNT(_xlpm.v)=0,NA(),_xlfn.PERCENTILE.INC(_xlpm.v,0.975))
)</f>
        <v>3489.3792062043799</v>
      </c>
      <c r="CE11" s="26" cm="1">
        <f t="array" ref="CE11">_xlfn.LET(
  _xlpm.hdr, $BP$1:$CB$1,               _xlpm.k,   _xlfn.XMATCH($BM11,_xlpm.hdr,0),
  _xlpm.col, INDEX($BP$2:$CB$1000,,_xlpm.k),
  _xlpm.v,   _xlfn._xlws.FILTER(_xlpm.col,ISNUMBER(_xlpm.col)),
  IF(COUNT(_xlpm.v)=0, NA(), AVERAGE(_xlpm.v))
)</f>
        <v>3464.1768613138693</v>
      </c>
      <c r="CF11" cm="1">
        <f t="array" aca="1" ref="CF11" ca="1">_xlfn.LET(
  _xlpm.k,ROW(A10)-1,
  _xlpm.r,OFFSET($BP$2,0,_xlpm.k,ROWS($BP$2:$BP$1000),1),
  _xlpm.v,_xlfn._xlws.FILTER(_xlpm.r,ISNUMBER(_xlpm.r)),
  IF(COUNT(_xlpm.v)=0,NA(),MIN(_xlpm.v))
)</f>
        <v>3438.9745164233582</v>
      </c>
      <c r="CG11" cm="1">
        <f t="array" aca="1" ref="CG11" ca="1">_xlfn.LET(
  _xlpm.k,ROW(A10)-1,
  _xlpm.r,OFFSET($BP$2,0,_xlpm.k,ROWS($BP$2:$BP$1000),1),
  _xlpm.v,_xlfn._xlws.FILTER(_xlpm.r,ISNUMBER(_xlpm.r)),
  IF(COUNT(_xlpm.v)=0,NA(),_xlfn.PERCENTILE.INC(_xlpm.v,0.25))
)</f>
        <v>3438.9745164233582</v>
      </c>
      <c r="CH11" cm="1">
        <f t="array" aca="1" ref="CH11" ca="1">_xlfn.LET(
  _xlpm.k,ROW(A10)-1,
  _xlpm.r,OFFSET($BP$2,0,_xlpm.k,ROWS($BP$2:$BP$1000),1),
  _xlpm.v,_xlfn._xlws.FILTER(_xlpm.r,ISNUMBER(_xlpm.r)),
  IF(COUNT(_xlpm.v)=0,NA(),_xlfn.PERCENTILE.INC(_xlpm.v,0.5))
)</f>
        <v>3464.1768613138693</v>
      </c>
      <c r="CI11" cm="1">
        <f t="array" aca="1" ref="CI11" ca="1">_xlfn.LET(
  _xlpm.k,ROW(A10)-1,
  _xlpm.r,OFFSET($BP$2,0,_xlpm.k,ROWS($BP$2:$BP$1000),1),
  _xlpm.v,_xlfn._xlws.FILTER(_xlpm.r,ISNUMBER(_xlpm.r)),
  IF(COUNT(_xlpm.v)=0,NA(),_xlfn.PERCENTILE.INC(_xlpm.v,0.75))
)</f>
        <v>3489.3792062043799</v>
      </c>
      <c r="CJ11" cm="1">
        <f t="array" aca="1" ref="CJ11" ca="1">_xlfn.LET(
  _xlpm.k,ROW(A10)-1,
  _xlpm.r,OFFSET($BP$2,0,_xlpm.k,ROWS($BP$2:$BP$1000),1),
  _xlpm.v,_xlfn._xlws.FILTER(_xlpm.r,ISNUMBER(_xlpm.r)),
  IF(COUNT(_xlpm.v)=0,NA(),MAX(_xlpm.v))
)</f>
        <v>3489.3792062043799</v>
      </c>
      <c r="CK11" cm="1">
        <f t="array" aca="1" ref="CK11" ca="1">_xlfn.LET(_xlpm.r,OFFSET($BP$2,0,ROW(A10)-1,ROWS($BP$2:$BP$1000),1),
    _xlpm.v,_xlfn._xlws.FILTER(_xlpm.r,ISNUMBER(_xlpm.r)),
    _xlfn.PERCENTILE.INC(_xlpm.v,0.25))</f>
        <v>3438.9745164233582</v>
      </c>
      <c r="CL11" cm="1">
        <f t="array" aca="1" ref="CL11" ca="1">_xlfn.LET(
  _xlpm.k, ROW(A10)-1,
  _xlpm.r, OFFSET($BP$2,0,_xlpm.k,ROWS($BP$2:$BP$1000),1),
  _xlpm.v, _xlfn._xlws.FILTER(_xlpm.r, ISNUMBER(_xlpm.r)),
  IF(COUNT(_xlpm.v)=0, NA(), _xlfn.PERCENTILE.INC(_xlpm.v,0.5)-_xlfn.PERCENTILE.INC(_xlpm.v,0.25))
)</f>
        <v>25.202344890511085</v>
      </c>
      <c r="CM11" cm="1">
        <f t="array" aca="1" ref="CM11" ca="1">_xlfn.LET(_xlpm.r,OFFSET($BP$2,0,ROW(A10)-1,ROWS($BP$2:$BP$1000),1),
    _xlpm.v,_xlfn._xlws.FILTER(_xlpm.r,ISNUMBER(_xlpm.r)),
    _xlfn.PERCENTILE.INC(_xlpm.v,0.75)-_xlfn.PERCENTILE.INC(_xlpm.v,0.5))</f>
        <v>25.202344890510631</v>
      </c>
      <c r="CN11" cm="1">
        <f t="array" aca="1" ref="CN11" ca="1">_xlfn.LET(_xlpm.r,OFFSET($BP$2,0,ROW(A10)-1,ROWS($BP$2:$BP$1000),1),
    _xlpm.v,_xlfn._xlws.FILTER(_xlpm.r,ISNUMBER(_xlpm.r)),
    MAX(_xlpm.v)-_xlfn.PERCENTILE.INC(_xlpm.v,0.75))</f>
        <v>0</v>
      </c>
      <c r="CO11">
        <f t="shared" ca="1" si="6"/>
        <v>50.404689781021716</v>
      </c>
      <c r="CP11">
        <f t="shared" ca="1" si="28"/>
        <v>3363.3674817518258</v>
      </c>
      <c r="CQ11">
        <f t="shared" ca="1" si="29"/>
        <v>3564.9862408759127</v>
      </c>
      <c r="CR11" s="13" cm="1">
        <f t="array" aca="1" ref="CR11" ca="1">_xlfn.LET(
  _xlpm.Data, $BP$2:$CB$1000,
  _xlpm.col,  $CC11,
  _xlpm.vec,  INDEX(_xlpm.Data,,_xlpm.col),
  _xlpm.v,    _xlfn._xlws.FILTER(_xlpm.vec, ISNUMBER(_xlpm.vec)),
  _xlpm.f,    CP11,
  IF(COUNT(_xlpm.v)=0, NA(),
    IF(NOT(ISNUMBER(_xlpm.f)), NA(),
      _xlfn.LET(
        _xlpm.cand, _xlfn._xlws.FILTER(_xlpm.v, _xlpm.v&gt;=_xlpm.f),
        IF(COUNT(_xlpm.cand)=0, MAX(0, MIN(_xlpm.v)), MAX(0, MIN(_xlpm.cand)))
      )
    )
  )
)</f>
        <v>3438.9745164233582</v>
      </c>
      <c r="CS11" cm="1">
        <f t="array" aca="1" ref="CS11" ca="1">_xlfn.LET(
  _xlpm.Data, $BP$2:$CB$1000,
  _xlpm.col,  $CC11,
  _xlpm.vec,  INDEX(_xlpm.Data,,_xlpm.col),
  _xlpm.v,    _xlfn._xlws.FILTER(_xlpm.vec, ISNUMBER(_xlpm.vec)),
  _xlpm.f,    CQ11,
  IF(COUNT(_xlpm.v)=0, NA(),
    IF(NOT(ISNUMBER(_xlpm.f)), NA(),
      _xlfn.LET(
        _xlpm.cand, _xlfn._xlws.FILTER(_xlpm.v, _xlpm.v&lt;=_xlpm.f),
        IF(COUNT(_xlpm.cand)=0, MAX(_xlpm.v), MAX(_xlpm.cand))
      )
    )
  )
)</f>
        <v>3489.3792062043799</v>
      </c>
      <c r="CT11">
        <f t="shared" ca="1" si="7"/>
        <v>25.202344890510631</v>
      </c>
      <c r="CU11">
        <f t="shared" ca="1" si="8"/>
        <v>25.202344890511085</v>
      </c>
      <c r="CV11">
        <f t="shared" ca="1" si="30"/>
        <v>0</v>
      </c>
      <c r="CW11">
        <f t="shared" ca="1" si="31"/>
        <v>0</v>
      </c>
      <c r="CX11">
        <f t="shared" ca="1" si="9"/>
        <v>0</v>
      </c>
      <c r="CY11">
        <v>0</v>
      </c>
      <c r="CZ11">
        <f t="shared" ca="1" si="10"/>
        <v>0</v>
      </c>
      <c r="DA11">
        <f ca="1"/>
        <v>6267.9451091988731</v>
      </c>
      <c r="DB11">
        <f ca="1"/>
        <v>1</v>
      </c>
      <c r="DU11" s="26"/>
      <c r="DV11" s="26"/>
      <c r="EI11" s="13"/>
    </row>
    <row r="12" spans="1:192" ht="25.8">
      <c r="A12" t="s">
        <v>518</v>
      </c>
      <c r="B12" t="s">
        <v>523</v>
      </c>
      <c r="C12" t="s">
        <v>32</v>
      </c>
      <c r="D12" t="e" cm="1">
        <f t="array" ref="D12">_xlfn.LET(
 _xlpm.A,$A12,_xlpm.B,$B12,_xlpm.C,$C12,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2" t="e" cm="1">
        <f t="array" ref="E12">_xlfn.LET(
 _xlpm.A,$A12,_xlpm.B,$B12,_xlpm.C,$C12,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2" t="e" cm="1">
        <f t="array" ref="F12">_xlfn.LET(
 _xlpm.A,$A12,_xlpm.B,$B12,_xlpm.C,$C12,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2" t="e" cm="1">
        <f t="array" ref="G12">_xlfn.LET(
 _xlpm.A,$A12,_xlpm.B,$B12,_xlpm.C,$C12,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2" t="e">
        <f t="shared" si="16"/>
        <v>#N/A</v>
      </c>
      <c r="I12">
        <f t="shared" si="17"/>
        <v>11</v>
      </c>
      <c r="J12" t="e">
        <f t="shared" si="18"/>
        <v>#N/A</v>
      </c>
      <c r="K12" t="e">
        <f t="shared" si="19"/>
        <v>#N/A</v>
      </c>
      <c r="L12" t="e">
        <f t="shared" si="20"/>
        <v>#N/A</v>
      </c>
      <c r="M12" t="e">
        <f t="shared" si="21"/>
        <v>#N/A</v>
      </c>
      <c r="N12" t="e">
        <f t="shared" si="22"/>
        <v>#N/A</v>
      </c>
      <c r="O12" t="e" cm="1">
        <f t="array" ref="O12">_xlfn.LET(
 _xlpm.A,$A12,_xlpm.B,$B12,_xlpm.C,$C12,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2" t="str">
        <f t="shared" si="23"/>
        <v/>
      </c>
      <c r="V12" t="s">
        <v>1072</v>
      </c>
      <c r="W12" t="s">
        <v>520</v>
      </c>
      <c r="X12" s="13" t="s">
        <v>1093</v>
      </c>
      <c r="AB12">
        <v>6697.3395729776639</v>
      </c>
      <c r="AC12">
        <v>2519.3719612638824</v>
      </c>
      <c r="AD12">
        <v>4991.0189225973236</v>
      </c>
      <c r="AJ12">
        <f t="shared" si="37"/>
        <v>11</v>
      </c>
      <c r="AK12" s="26" cm="1">
        <f t="array" aca="1" ref="AK12" ca="1">_xlfn.LET(
  _xlpm.r,OFFSET($Y$2,0,ROW(A11)-1,ROWS($Y$2:$Y$1000),1),
  _xlpm.v,_xlfn._xlws.FILTER(_xlpm.r,ISNUMBER(_xlpm.r)),
  IF(COUNT(_xlpm.v)=0,NA(),_xlfn.PERCENTILE.INC(_xlpm.v,0.975))
)</f>
        <v>2021.7419627295676</v>
      </c>
      <c r="AL12" s="26" cm="1">
        <f t="array" ref="AL12">_xlfn.LET(
  _xlpm.hdr, $Y$1:$AI$1,               _xlpm.k,   _xlfn.XMATCH($V12,_xlpm.hdr,0),
  _xlpm.col, INDEX($Y$2:$AI$1000,,_xlpm.k),
  _xlpm.v,   _xlfn._xlws.FILTER(_xlpm.col,ISNUMBER(_xlpm.col)),
  IF(COUNT(_xlpm.v)=0, NA(), AVERAGE(_xlpm.v))
)</f>
        <v>1949.1793692111059</v>
      </c>
      <c r="AM12" cm="1">
        <f t="array" aca="1" ref="AM12" ca="1">_xlfn.LET(
  _xlpm.k,ROW(A11)-1,
  _xlpm.r,OFFSET($Y$2,0,_xlpm.k,ROWS($Y$2:$Y$1000),1),
  _xlpm.v,_xlfn._xlws.FILTER(_xlpm.r,ISNUMBER(_xlpm.r)),
  IF(COUNT(_xlpm.v)=0,NA(),MIN(_xlpm.v))
)</f>
        <v>1872.7976918232519</v>
      </c>
      <c r="AN12" cm="1">
        <f t="array" aca="1" ref="AN12" ca="1">_xlfn.LET(
  _xlpm.k,ROW(A11)-1,
  _xlpm.r,OFFSET($Y$2,0,_xlpm.k,ROWS($Y$2:$Y$1000),1),
  _xlpm.v,_xlfn._xlws.FILTER(_xlpm.r,ISNUMBER(_xlpm.r)),
  IF(COUNT(_xlpm.v)=0,NA(),_xlfn.PERCENTILE.INC(_xlpm.v,0.25))
)</f>
        <v>1910.988530517179</v>
      </c>
      <c r="AO12" cm="1">
        <f t="array" aca="1" ref="AO12" ca="1">_xlfn.LET(
  _xlpm.k,ROW(A11)-1,
  _xlpm.r,OFFSET($Y$2,0,_xlpm.k,ROWS($Y$2:$Y$1000),1),
  _xlpm.v,_xlfn._xlws.FILTER(_xlpm.r,ISNUMBER(_xlpm.r)),
  IF(COUNT(_xlpm.v)=0,NA(),_xlfn.PERCENTILE.INC(_xlpm.v,0.5))
)</f>
        <v>1949.1793692111059</v>
      </c>
      <c r="AP12" cm="1">
        <f t="array" ref="AP12">_xlfn.LET(
  _xlpm.Data, $Y$2:$AI$1000,
  _xlpm.col,  $AJ12,
  _xlpm.vec,  INDEX(_xlpm.Data,,_xlpm.col),
  _xlpm.v,    _xlfn._xlws.FILTER(_xlpm.vec, ISNUMBER(_xlpm.vec)),
  IF(COUNT(_xlpm.v)=0, NA(), _xlfn.PERCENTILE.INC(_xlpm.v, 0.75))
)</f>
        <v>1987.3702079050331</v>
      </c>
      <c r="AQ12" cm="1">
        <f t="array" aca="1" ref="AQ12" ca="1">_xlfn.LET(
  _xlpm.k,ROW(A11)-1,
  _xlpm.r,OFFSET($Y$2,0,_xlpm.k,ROWS($Y$2:$Y$1000),1),
  _xlpm.v,_xlfn._xlws.FILTER(_xlpm.r,ISNUMBER(_xlpm.r)),
  IF(COUNT(_xlpm.v)=0,NA(),MAX(_xlpm.v))
)</f>
        <v>2025.5610465989603</v>
      </c>
      <c r="AR12" cm="1">
        <f t="array" aca="1" ref="AR12" ca="1">_xlfn.LET(_xlpm.r,OFFSET($Y$2,0,ROW(A11)-1,ROWS($Y$2:$Y$1000),1),
    _xlpm.v,_xlfn._xlws.FILTER(_xlpm.r,ISNUMBER(_xlpm.r)),
    _xlfn.PERCENTILE.INC(_xlpm.v,0.25))</f>
        <v>1910.988530517179</v>
      </c>
      <c r="AS12" cm="1">
        <f t="array" aca="1" ref="AS12" ca="1">_xlfn.LET(
  _xlpm.k, ROW(A11)-1,
  _xlpm.r, OFFSET($Y$2,0,_xlpm.k,ROWS($Y$2:$Y$1000),1),
  _xlpm.v, _xlfn._xlws.FILTER(_xlpm.r, ISNUMBER(_xlpm.r)),
  IF(COUNT(_xlpm.v)=0, NA(), _xlfn.PERCENTILE.INC(_xlpm.v,0.5)-_xlfn.PERCENTILE.INC(_xlpm.v,0.25))
)</f>
        <v>38.190838693926935</v>
      </c>
      <c r="AT12" cm="1">
        <f t="array" aca="1" ref="AT12" ca="1">_xlfn.LET(_xlpm.r,OFFSET($Y$2,0,ROW(A11)-1,ROWS($Y$2:$Y$1000),1),
    _xlpm.v,_xlfn._xlws.FILTER(_xlpm.r,ISNUMBER(_xlpm.r)),
    _xlfn.PERCENTILE.INC(_xlpm.v,0.75)-_xlfn.PERCENTILE.INC(_xlpm.v,0.5))</f>
        <v>38.190838693927162</v>
      </c>
      <c r="AU12" cm="1">
        <f t="array" aca="1" ref="AU12" ca="1">_xlfn.LET(_xlpm.r,OFFSET($Y$2,0,ROW(A11)-1,ROWS($Y$2:$Y$1000),1),
    _xlpm.v,_xlfn._xlws.FILTER(_xlpm.r,ISNUMBER(_xlpm.r)),
    MAX(_xlpm.v)-_xlfn.PERCENTILE.INC(_xlpm.v,0.75))</f>
        <v>38.190838693927162</v>
      </c>
      <c r="AV12">
        <f t="shared" ca="1" si="0"/>
        <v>76.381677387854097</v>
      </c>
      <c r="AW12">
        <f t="shared" ca="1" si="24"/>
        <v>1796.4160144353978</v>
      </c>
      <c r="AX12">
        <f t="shared" ca="1" si="25"/>
        <v>2101.9427239868141</v>
      </c>
      <c r="AY12" s="13" cm="1">
        <f t="array" aca="1" ref="AY12" ca="1">_xlfn.LET(
  _xlpm.Data, $Y$2:$AI$1000,
  _xlpm.col,  $AJ12,
  _xlpm.vec,  INDEX(_xlpm.Data,,_xlpm.col),
  _xlpm.v,    _xlfn._xlws.FILTER(_xlpm.vec, ISNUMBER(_xlpm.vec)),
  _xlpm.f,    AW12,
  IF(OR(COUNT(_xlpm.v)=0, NOT(ISNUMBER(_xlpm.f))),
      NA(),
      IF(COUNT(_xlfn._xlws.FILTER(_xlpm.v, _xlpm.v&gt;=_xlpm.f))=0, MIN(_xlpm.v), MIN(_xlfn._xlws.FILTER(_xlpm.v, _xlpm.v&gt;=_xlpm.f)))
  )
)</f>
        <v>1872.7976918232519</v>
      </c>
      <c r="AZ12" cm="1">
        <f t="array" aca="1" ref="AZ12" ca="1">_xlfn.LET(
  _xlpm.Data, $Y$2:$AI$1000,
  _xlpm.col,  $AJ12,
  _xlpm.vec,  INDEX(_xlpm.Data,,_xlpm.col),
  _xlpm.v,    _xlfn._xlws.FILTER(_xlpm.vec, ISNUMBER(_xlpm.vec)),
  _xlpm.f,    AX12,
  IF(OR(COUNT(_xlpm.v)=0, NOT(ISNUMBER(_xlpm.f))),
      NA(),
      IF(COUNT(_xlfn._xlws.FILTER(_xlpm.v, _xlpm.v&lt;=_xlpm.f))=0, MAX(_xlpm.v), MAX(_xlfn._xlws.FILTER(_xlpm.v, _xlpm.v&lt;=_xlpm.f)))
  )
)</f>
        <v>2025.5610465989603</v>
      </c>
      <c r="BA12">
        <f t="shared" ca="1" si="1"/>
        <v>76.381677387854324</v>
      </c>
      <c r="BB12">
        <f t="shared" ca="1" si="2"/>
        <v>76.381677387854097</v>
      </c>
      <c r="BC12">
        <f t="shared" ca="1" si="26"/>
        <v>38.190838693927162</v>
      </c>
      <c r="BD12">
        <f t="shared" ca="1" si="3"/>
        <v>38.190838693927162</v>
      </c>
      <c r="BE12">
        <f t="shared" ca="1" si="4"/>
        <v>38.190838693927162</v>
      </c>
      <c r="BF12">
        <v>0</v>
      </c>
      <c r="BG12">
        <f t="shared" ca="1" si="5"/>
        <v>38.190838693927162</v>
      </c>
      <c r="BH12">
        <v>29131.021988792512</v>
      </c>
      <c r="BI12">
        <v>4</v>
      </c>
      <c r="BM12" t="s">
        <v>551</v>
      </c>
      <c r="BN12" t="s">
        <v>522</v>
      </c>
      <c r="BO12" t="s">
        <v>32</v>
      </c>
      <c r="BP12">
        <v>6697.3395729776639</v>
      </c>
      <c r="BR12">
        <v>6384.4031120742102</v>
      </c>
      <c r="CC12">
        <f t="shared" si="27"/>
        <v>11</v>
      </c>
      <c r="CD12" s="26" t="e" cm="1">
        <f t="array" aca="1" ref="CD12" ca="1">_xlfn.LET(
  _xlpm.r,OFFSET($BP$2,0,ROW(A11)-1,ROWS($BP$2:$BP$1000),1),
  _xlpm.v,_xlfn._xlws.FILTER(_xlpm.r,ISNUMBER(_xlpm.r)),
  IF(COUNT(_xlpm.v)=0,NA(),_xlfn.PERCENTILE.INC(_xlpm.v,0.975))
)</f>
        <v>#N/A</v>
      </c>
      <c r="CE12" s="26" t="e" cm="1">
        <f t="array" ref="CE12">_xlfn.LET(
  _xlpm.hdr, $BP$1:$CB$1,               _xlpm.k,   _xlfn.XMATCH($BM12,_xlpm.hdr,0),
  _xlpm.col, INDEX($BP$2:$CB$1000,,_xlpm.k),
  _xlpm.v,   _xlfn._xlws.FILTER(_xlpm.col,ISNUMBER(_xlpm.col)),
  IF(COUNT(_xlpm.v)=0, NA(), AVERAGE(_xlpm.v))
)</f>
        <v>#N/A</v>
      </c>
      <c r="CF12" t="e" cm="1">
        <f t="array" aca="1" ref="CF12" ca="1">_xlfn.LET(
  _xlpm.k,ROW(A11)-1,
  _xlpm.r,OFFSET($BP$2,0,_xlpm.k,ROWS($BP$2:$BP$1000),1),
  _xlpm.v,_xlfn._xlws.FILTER(_xlpm.r,ISNUMBER(_xlpm.r)),
  IF(COUNT(_xlpm.v)=0,NA(),MIN(_xlpm.v))
)</f>
        <v>#N/A</v>
      </c>
      <c r="CG12" t="e" cm="1">
        <f t="array" aca="1" ref="CG12" ca="1">_xlfn.LET(
  _xlpm.k,ROW(A11)-1,
  _xlpm.r,OFFSET($BP$2,0,_xlpm.k,ROWS($BP$2:$BP$1000),1),
  _xlpm.v,_xlfn._xlws.FILTER(_xlpm.r,ISNUMBER(_xlpm.r)),
  IF(COUNT(_xlpm.v)=0,NA(),_xlfn.PERCENTILE.INC(_xlpm.v,0.25))
)</f>
        <v>#N/A</v>
      </c>
      <c r="CH12" t="e" cm="1">
        <f t="array" aca="1" ref="CH12" ca="1">_xlfn.LET(
  _xlpm.k,ROW(A11)-1,
  _xlpm.r,OFFSET($BP$2,0,_xlpm.k,ROWS($BP$2:$BP$1000),1),
  _xlpm.v,_xlfn._xlws.FILTER(_xlpm.r,ISNUMBER(_xlpm.r)),
  IF(COUNT(_xlpm.v)=0,NA(),_xlfn.PERCENTILE.INC(_xlpm.v,0.5))
)</f>
        <v>#N/A</v>
      </c>
      <c r="CI12" t="e" cm="1">
        <f t="array" aca="1" ref="CI12" ca="1">_xlfn.LET(
  _xlpm.k,ROW(A11)-1,
  _xlpm.r,OFFSET($BP$2,0,_xlpm.k,ROWS($BP$2:$BP$1000),1),
  _xlpm.v,_xlfn._xlws.FILTER(_xlpm.r,ISNUMBER(_xlpm.r)),
  IF(COUNT(_xlpm.v)=0,NA(),_xlfn.PERCENTILE.INC(_xlpm.v,0.75))
)</f>
        <v>#N/A</v>
      </c>
      <c r="CJ12" t="e" cm="1">
        <f t="array" aca="1" ref="CJ12" ca="1">_xlfn.LET(
  _xlpm.k,ROW(A11)-1,
  _xlpm.r,OFFSET($BP$2,0,_xlpm.k,ROWS($BP$2:$BP$1000),1),
  _xlpm.v,_xlfn._xlws.FILTER(_xlpm.r,ISNUMBER(_xlpm.r)),
  IF(COUNT(_xlpm.v)=0,NA(),MAX(_xlpm.v))
)</f>
        <v>#N/A</v>
      </c>
      <c r="CK12" t="e" cm="1" vm="1">
        <f t="array" aca="1" ref="CK12" ca="1">_xlfn.LET(_xlpm.r,OFFSET($BP$2,0,ROW(A11)-1,ROWS($BP$2:$BP$1000),1),
    _xlpm.v,_xlfn._xlws.FILTER(_xlpm.r,ISNUMBER(_xlpm.r)),
    _xlfn.PERCENTILE.INC(_xlpm.v,0.25))</f>
        <v>#VALUE!</v>
      </c>
      <c r="CL12" t="e" cm="1">
        <f t="array" aca="1" ref="CL12" ca="1">_xlfn.LET(
  _xlpm.k, ROW(A11)-1,
  _xlpm.r, OFFSET($BP$2,0,_xlpm.k,ROWS($BP$2:$BP$1000),1),
  _xlpm.v, _xlfn._xlws.FILTER(_xlpm.r, ISNUMBER(_xlpm.r)),
  IF(COUNT(_xlpm.v)=0, NA(), _xlfn.PERCENTILE.INC(_xlpm.v,0.5)-_xlfn.PERCENTILE.INC(_xlpm.v,0.25))
)</f>
        <v>#N/A</v>
      </c>
      <c r="CM12" t="e" cm="1" vm="1">
        <f t="array" aca="1" ref="CM12" ca="1">_xlfn.LET(_xlpm.r,OFFSET($BP$2,0,ROW(A11)-1,ROWS($BP$2:$BP$1000),1),
    _xlpm.v,_xlfn._xlws.FILTER(_xlpm.r,ISNUMBER(_xlpm.r)),
    _xlfn.PERCENTILE.INC(_xlpm.v,0.75)-_xlfn.PERCENTILE.INC(_xlpm.v,0.5))</f>
        <v>#VALUE!</v>
      </c>
      <c r="CN12" t="e" cm="1" vm="1">
        <f t="array" aca="1" ref="CN12" ca="1">_xlfn.LET(_xlpm.r,OFFSET($BP$2,0,ROW(A11)-1,ROWS($BP$2:$BP$1000),1),
    _xlpm.v,_xlfn._xlws.FILTER(_xlpm.r,ISNUMBER(_xlpm.r)),
    MAX(_xlpm.v)-_xlfn.PERCENTILE.INC(_xlpm.v,0.75))</f>
        <v>#VALUE!</v>
      </c>
      <c r="CO12" t="e">
        <f t="shared" ca="1" si="6"/>
        <v>#N/A</v>
      </c>
      <c r="CP12" t="e">
        <f t="shared" ca="1" si="28"/>
        <v>#N/A</v>
      </c>
      <c r="CQ12" t="e">
        <f t="shared" ca="1" si="29"/>
        <v>#N/A</v>
      </c>
      <c r="CR12" s="13" t="e" cm="1">
        <f t="array" ref="CR12">_xlfn.LET(
  _xlpm.Data, $BP$2:$CB$1000,
  _xlpm.col,  $CC12,
  _xlpm.vec,  INDEX(_xlpm.Data,,_xlpm.col),
  _xlpm.v,    _xlfn._xlws.FILTER(_xlpm.vec, ISNUMBER(_xlpm.vec)),
  _xlpm.f,    CP12,
  IF(COUNT(_xlpm.v)=0, NA(),
    IF(NOT(ISNUMBER(_xlpm.f)), NA(),
      _xlfn.LET(
        _xlpm.cand, _xlfn._xlws.FILTER(_xlpm.v, _xlpm.v&gt;=_xlpm.f),
        IF(COUNT(_xlpm.cand)=0, MAX(0, MIN(_xlpm.v)), MAX(0, MIN(_xlpm.cand)))
      )
    )
  )
)</f>
        <v>#N/A</v>
      </c>
      <c r="CS12" t="e" cm="1">
        <f t="array" ref="CS12">_xlfn.LET(
  _xlpm.Data, $BP$2:$CB$1000,
  _xlpm.col,  $CC12,
  _xlpm.vec,  INDEX(_xlpm.Data,,_xlpm.col),
  _xlpm.v,    _xlfn._xlws.FILTER(_xlpm.vec, ISNUMBER(_xlpm.vec)),
  _xlpm.f,    CQ12,
  IF(COUNT(_xlpm.v)=0, NA(),
    IF(NOT(ISNUMBER(_xlpm.f)), NA(),
      _xlfn.LET(
        _xlpm.cand, _xlfn._xlws.FILTER(_xlpm.v, _xlpm.v&lt;=_xlpm.f),
        IF(COUNT(_xlpm.cand)=0, MAX(_xlpm.v), MAX(_xlpm.cand))
      )
    )
  )
)</f>
        <v>#N/A</v>
      </c>
      <c r="CT12" t="e">
        <f t="shared" ca="1" si="7"/>
        <v>#N/A</v>
      </c>
      <c r="CU12" t="e">
        <f t="shared" ca="1" si="8"/>
        <v>#N/A</v>
      </c>
      <c r="CV12" t="e">
        <f t="shared" ca="1" si="30"/>
        <v>#N/A</v>
      </c>
      <c r="CW12" t="e">
        <f t="shared" ca="1" si="31"/>
        <v>#N/A</v>
      </c>
      <c r="CX12" t="e">
        <f t="shared" ca="1" si="9"/>
        <v>#N/A</v>
      </c>
      <c r="CY12">
        <v>0</v>
      </c>
      <c r="CZ12" t="e">
        <f t="shared" ca="1" si="10"/>
        <v>#N/A</v>
      </c>
      <c r="DA12">
        <f ca="1"/>
        <v>6697.3395729776639</v>
      </c>
      <c r="DB12">
        <f ca="1"/>
        <v>1</v>
      </c>
      <c r="DU12" s="26"/>
      <c r="DV12" s="26"/>
      <c r="EI12" s="13"/>
    </row>
    <row r="13" spans="1:192">
      <c r="A13" t="s">
        <v>518</v>
      </c>
      <c r="B13" t="s">
        <v>523</v>
      </c>
      <c r="C13" t="s">
        <v>57</v>
      </c>
      <c r="D13" t="e" cm="1">
        <f t="array" ref="D13">_xlfn.LET(
 _xlpm.A,$A13,_xlpm.B,$B13,_xlpm.C,$C13,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3" t="e" cm="1">
        <f t="array" ref="E13">_xlfn.LET(
 _xlpm.A,$A13,_xlpm.B,$B13,_xlpm.C,$C13,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 t="e" cm="1">
        <f t="array" ref="F13">_xlfn.LET(
 _xlpm.A,$A13,_xlpm.B,$B13,_xlpm.C,$C13,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 t="e" cm="1">
        <f t="array" ref="G13">_xlfn.LET(
 _xlpm.A,$A13,_xlpm.B,$B13,_xlpm.C,$C13,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 t="e">
        <f t="shared" si="16"/>
        <v>#N/A</v>
      </c>
      <c r="I13">
        <f t="shared" si="17"/>
        <v>12</v>
      </c>
      <c r="J13" t="e">
        <f t="shared" si="18"/>
        <v>#N/A</v>
      </c>
      <c r="K13" t="e">
        <f t="shared" si="19"/>
        <v>#N/A</v>
      </c>
      <c r="L13" t="e">
        <f t="shared" si="20"/>
        <v>#N/A</v>
      </c>
      <c r="M13" t="e">
        <f t="shared" si="21"/>
        <v>#N/A</v>
      </c>
      <c r="N13" t="e">
        <f t="shared" si="22"/>
        <v>#N/A</v>
      </c>
      <c r="O13" t="e" cm="1">
        <f t="array" ref="O13">_xlfn.LET(
 _xlpm.A,$A13,_xlpm.B,$B13,_xlpm.C,$C13,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3" t="str">
        <f t="shared" si="23"/>
        <v/>
      </c>
      <c r="AB13">
        <v>8197.5598455096588</v>
      </c>
      <c r="AC13">
        <v>3275.3086956521738</v>
      </c>
      <c r="AD13">
        <v>5024.2401954075431</v>
      </c>
      <c r="AK13" s="120"/>
      <c r="AL13" s="120"/>
      <c r="BH13">
        <v>9477.2166713718052</v>
      </c>
      <c r="BI13">
        <v>4</v>
      </c>
      <c r="BM13" t="s">
        <v>552</v>
      </c>
      <c r="BN13" t="s">
        <v>522</v>
      </c>
      <c r="BO13" t="s">
        <v>57</v>
      </c>
      <c r="BP13">
        <v>8197.5598455096588</v>
      </c>
      <c r="BR13">
        <v>6368.8633163265304</v>
      </c>
      <c r="CC13">
        <f>MATCH(BM13,$BM$2:$BM$14,0)</f>
        <v>12</v>
      </c>
      <c r="CD13" s="26" t="e" cm="1">
        <f t="array" aca="1" ref="CD13" ca="1">_xlfn.LET(
  _xlpm.r,OFFSET($BP$2,0,ROW(A12)-1,ROWS($BP$2:$BP$1000),1),
  _xlpm.v,_xlfn._xlws.FILTER(_xlpm.r,ISNUMBER(_xlpm.r)),
  IF(COUNT(_xlpm.v)=0,NA(),_xlfn.PERCENTILE.INC(_xlpm.v,0.975))
)</f>
        <v>#N/A</v>
      </c>
      <c r="CE13" s="26" t="e" cm="1">
        <f t="array" ref="CE13">_xlfn.LET(
  _xlpm.hdr, $BP$1:$CB$1,               _xlpm.k,   _xlfn.XMATCH($BM13,_xlpm.hdr,0),
  _xlpm.col, INDEX($BP$2:$CB$1000,,_xlpm.k),
  _xlpm.v,   _xlfn._xlws.FILTER(_xlpm.col,ISNUMBER(_xlpm.col)),
  IF(COUNT(_xlpm.v)=0, NA(), AVERAGE(_xlpm.v))
)</f>
        <v>#N/A</v>
      </c>
      <c r="CF13" t="e" cm="1">
        <f t="array" aca="1" ref="CF13" ca="1">_xlfn.LET(
  _xlpm.k,ROW(A12)-1,
  _xlpm.r,OFFSET($BP$2,0,_xlpm.k,ROWS($BP$2:$BP$1000),1),
  _xlpm.v,_xlfn._xlws.FILTER(_xlpm.r,ISNUMBER(_xlpm.r)),
  IF(COUNT(_xlpm.v)=0,NA(),MIN(_xlpm.v))
)</f>
        <v>#N/A</v>
      </c>
      <c r="CG13" t="e" cm="1">
        <f t="array" aca="1" ref="CG13" ca="1">_xlfn.LET(
  _xlpm.k,ROW(A12)-1,
  _xlpm.r,OFFSET($BP$2,0,_xlpm.k,ROWS($BP$2:$BP$1000),1),
  _xlpm.v,_xlfn._xlws.FILTER(_xlpm.r,ISNUMBER(_xlpm.r)),
  IF(COUNT(_xlpm.v)=0,NA(),_xlfn.PERCENTILE.INC(_xlpm.v,0.25))
)</f>
        <v>#N/A</v>
      </c>
      <c r="CH13" t="e" cm="1">
        <f t="array" aca="1" ref="CH13" ca="1">_xlfn.LET(
  _xlpm.k,ROW(A12)-1,
  _xlpm.r,OFFSET($BP$2,0,_xlpm.k,ROWS($BP$2:$BP$1000),1),
  _xlpm.v,_xlfn._xlws.FILTER(_xlpm.r,ISNUMBER(_xlpm.r)),
  IF(COUNT(_xlpm.v)=0,NA(),_xlfn.PERCENTILE.INC(_xlpm.v,0.5))
)</f>
        <v>#N/A</v>
      </c>
      <c r="CI13" t="e" cm="1">
        <f t="array" aca="1" ref="CI13" ca="1">_xlfn.LET(
  _xlpm.k,ROW(A12)-1,
  _xlpm.r,OFFSET($BP$2,0,_xlpm.k,ROWS($BP$2:$BP$1000),1),
  _xlpm.v,_xlfn._xlws.FILTER(_xlpm.r,ISNUMBER(_xlpm.r)),
  IF(COUNT(_xlpm.v)=0,NA(),_xlfn.PERCENTILE.INC(_xlpm.v,0.75))
)</f>
        <v>#N/A</v>
      </c>
      <c r="CJ13" t="e" cm="1">
        <f t="array" aca="1" ref="CJ13" ca="1">_xlfn.LET(
  _xlpm.k,ROW(A12)-1,
  _xlpm.r,OFFSET($BP$2,0,_xlpm.k,ROWS($BP$2:$BP$1000),1),
  _xlpm.v,_xlfn._xlws.FILTER(_xlpm.r,ISNUMBER(_xlpm.r)),
  IF(COUNT(_xlpm.v)=0,NA(),MAX(_xlpm.v))
)</f>
        <v>#N/A</v>
      </c>
      <c r="CK13" t="e" cm="1" vm="1">
        <f t="array" aca="1" ref="CK13" ca="1">_xlfn.LET(_xlpm.r,OFFSET($BP$2,0,ROW(A12)-1,ROWS($BP$2:$BP$1000),1),
    _xlpm.v,_xlfn._xlws.FILTER(_xlpm.r,ISNUMBER(_xlpm.r)),
    _xlfn.PERCENTILE.INC(_xlpm.v,0.25))</f>
        <v>#VALUE!</v>
      </c>
      <c r="CL13" t="e" cm="1">
        <f t="array" aca="1" ref="CL13" ca="1">_xlfn.LET(
  _xlpm.k, ROW(A12)-1,
  _xlpm.r, OFFSET($BP$2,0,_xlpm.k,ROWS($BP$2:$BP$1000),1),
  _xlpm.v, _xlfn._xlws.FILTER(_xlpm.r, ISNUMBER(_xlpm.r)),
  IF(COUNT(_xlpm.v)=0, NA(), _xlfn.PERCENTILE.INC(_xlpm.v,0.5)-_xlfn.PERCENTILE.INC(_xlpm.v,0.25))
)</f>
        <v>#N/A</v>
      </c>
      <c r="CM13" t="e" cm="1" vm="1">
        <f t="array" aca="1" ref="CM13" ca="1">_xlfn.LET(_xlpm.r,OFFSET($BP$2,0,ROW(A12)-1,ROWS($BP$2:$BP$1000),1),
    _xlpm.v,_xlfn._xlws.FILTER(_xlpm.r,ISNUMBER(_xlpm.r)),
    _xlfn.PERCENTILE.INC(_xlpm.v,0.75)-_xlfn.PERCENTILE.INC(_xlpm.v,0.5))</f>
        <v>#VALUE!</v>
      </c>
      <c r="CN13" t="e" cm="1" vm="1">
        <f t="array" aca="1" ref="CN13" ca="1">_xlfn.LET(_xlpm.r,OFFSET($BP$2,0,ROW(A12)-1,ROWS($BP$2:$BP$1000),1),
    _xlpm.v,_xlfn._xlws.FILTER(_xlpm.r,ISNUMBER(_xlpm.r)),
    MAX(_xlpm.v)-_xlfn.PERCENTILE.INC(_xlpm.v,0.75))</f>
        <v>#VALUE!</v>
      </c>
      <c r="CO13" t="e">
        <f t="shared" ca="1" si="6"/>
        <v>#N/A</v>
      </c>
      <c r="CP13" t="e">
        <f t="shared" ca="1" si="28"/>
        <v>#N/A</v>
      </c>
      <c r="CQ13" t="e">
        <f t="shared" ca="1" si="29"/>
        <v>#N/A</v>
      </c>
      <c r="CR13" s="13" t="e" cm="1">
        <f t="array" ref="CR13">_xlfn.LET(
  _xlpm.Data, $BP$2:$CB$1000,
  _xlpm.col,  $CC13,
  _xlpm.vec,  INDEX(_xlpm.Data,,_xlpm.col),
  _xlpm.v,    _xlfn._xlws.FILTER(_xlpm.vec, ISNUMBER(_xlpm.vec)),
  _xlpm.f,    CP13,
  IF(COUNT(_xlpm.v)=0, NA(),
    IF(NOT(ISNUMBER(_xlpm.f)), NA(),
      _xlfn.LET(
        _xlpm.cand, _xlfn._xlws.FILTER(_xlpm.v, _xlpm.v&gt;=_xlpm.f),
        IF(COUNT(_xlpm.cand)=0, MAX(0, MIN(_xlpm.v)), MAX(0, MIN(_xlpm.cand)))
      )
    )
  )
)</f>
        <v>#N/A</v>
      </c>
      <c r="CS13" t="e" cm="1">
        <f t="array" ref="CS13">_xlfn.LET(
  _xlpm.Data, $BP$2:$CB$1000,
  _xlpm.col,  $CC13,
  _xlpm.vec,  INDEX(_xlpm.Data,,_xlpm.col),
  _xlpm.v,    _xlfn._xlws.FILTER(_xlpm.vec, ISNUMBER(_xlpm.vec)),
  _xlpm.f,    CQ13,
  IF(COUNT(_xlpm.v)=0, NA(),
    IF(NOT(ISNUMBER(_xlpm.f)), NA(),
      _xlfn.LET(
        _xlpm.cand, _xlfn._xlws.FILTER(_xlpm.v, _xlpm.v&lt;=_xlpm.f),
        IF(COUNT(_xlpm.cand)=0, MAX(_xlpm.v), MAX(_xlpm.cand))
      )
    )
  )
)</f>
        <v>#N/A</v>
      </c>
      <c r="CT13" t="e">
        <f t="shared" ca="1" si="7"/>
        <v>#N/A</v>
      </c>
      <c r="CU13" t="e">
        <f t="shared" ca="1" si="8"/>
        <v>#N/A</v>
      </c>
      <c r="CV13" t="e">
        <f t="shared" ca="1" si="30"/>
        <v>#N/A</v>
      </c>
      <c r="CW13" t="e">
        <f t="shared" ca="1" si="31"/>
        <v>#N/A</v>
      </c>
      <c r="CX13" t="e">
        <f t="shared" ca="1" si="9"/>
        <v>#N/A</v>
      </c>
      <c r="CY13">
        <v>0</v>
      </c>
      <c r="CZ13" t="e">
        <f t="shared" ca="1" si="10"/>
        <v>#N/A</v>
      </c>
      <c r="DA13">
        <f ca="1"/>
        <v>8197.5598455096588</v>
      </c>
      <c r="DB13">
        <f ca="1"/>
        <v>1</v>
      </c>
      <c r="DU13" s="26"/>
      <c r="DV13" s="26"/>
      <c r="EI13" s="13"/>
    </row>
    <row r="14" spans="1:192">
      <c r="A14" t="s">
        <v>518</v>
      </c>
      <c r="B14" t="s">
        <v>523</v>
      </c>
      <c r="C14" t="s">
        <v>52</v>
      </c>
      <c r="D14" cm="1">
        <f t="array" ref="D14">_xlfn.LET(
 _xlpm.A,$A14,_xlpm.B,$B14,_xlpm.C,$C14,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3489.3792062043799</v>
      </c>
      <c r="E14" cm="1">
        <f t="array" ref="E14">_xlfn.LET(
 _xlpm.A,$A14,_xlpm.B,$B14,_xlpm.C,$C14,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3238.262659861618</v>
      </c>
      <c r="F14" cm="1">
        <f t="array" ref="F14">_xlfn.LET(
 _xlpm.A,$A14,_xlpm.B,$B14,_xlpm.C,$C14,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3236.5920498783457</v>
      </c>
      <c r="G14" cm="1">
        <f t="array" ref="G14">_xlfn.LET(
 _xlpm.A,$A14,_xlpm.B,$B14,_xlpm.C,$C14,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3485.5988544708034</v>
      </c>
      <c r="H14">
        <f t="shared" si="16"/>
        <v>3.7803517335764809</v>
      </c>
      <c r="I14">
        <f t="shared" si="17"/>
        <v>13</v>
      </c>
      <c r="J14" t="e">
        <f t="shared" si="18"/>
        <v>#N/A</v>
      </c>
      <c r="K14" t="e">
        <f t="shared" si="19"/>
        <v>#N/A</v>
      </c>
      <c r="L14">
        <f t="shared" si="20"/>
        <v>3485.5988544708034</v>
      </c>
      <c r="M14" t="e">
        <f t="shared" si="21"/>
        <v>#N/A</v>
      </c>
      <c r="N14" t="e">
        <f t="shared" si="22"/>
        <v>#N/A</v>
      </c>
      <c r="O14" cm="1">
        <f t="array" ref="O14">_xlfn.LET(
 _xlpm.A,$A14,_xlpm.B,$B14,_xlpm.C,$C14,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4</v>
      </c>
      <c r="P14" t="str">
        <f t="shared" si="23"/>
        <v>n=4</v>
      </c>
      <c r="AB14">
        <v>9297.2804984989853</v>
      </c>
      <c r="AD14">
        <v>5873.2919206204388</v>
      </c>
      <c r="AK14" s="120"/>
      <c r="AL14" s="120"/>
      <c r="BH14">
        <v>7837.9776810335725</v>
      </c>
      <c r="BI14">
        <v>4</v>
      </c>
      <c r="BM14" t="s">
        <v>553</v>
      </c>
      <c r="BN14" t="s">
        <v>522</v>
      </c>
      <c r="BO14" t="s">
        <v>52</v>
      </c>
      <c r="BP14">
        <v>9297.2804984989853</v>
      </c>
      <c r="BR14">
        <v>7018.938040816327</v>
      </c>
      <c r="CC14">
        <f t="shared" si="27"/>
        <v>13</v>
      </c>
      <c r="CD14" s="26" cm="1">
        <f t="array" aca="1" ref="CD14" ca="1">_xlfn.LET(
  _xlpm.r,OFFSET($BP$2,0,ROW(A13)-1,ROWS($BP$2:$BP$1000),1),
  _xlpm.v,_xlfn._xlws.FILTER(_xlpm.r,ISNUMBER(_xlpm.r)),
  IF(COUNT(_xlpm.v)=0,NA(),_xlfn.PERCENTILE.INC(_xlpm.v,0.975))
)</f>
        <v>10480.825827046636</v>
      </c>
      <c r="CE14" s="26" cm="1">
        <f t="array" aca="1" ref="CE14" ca="1">_xlfn.LET(
  _xlpm.hdr, $BP$1:$CB$1,               _xlpm.k,   _xlfn.XMATCH($BM14,_xlpm.hdr,0),
  _xlpm.col, INDEX($BP$2:$CB$1000,,_xlpm.k),
  _xlpm.v,   _xlfn._xlws.FILTER(_xlpm.col,ISNUMBER(_xlpm.col)),
  IF(COUNT(_xlpm.v)=0, NA(), AVERAGE(_xlpm.v))
)</f>
        <v>9566.298356660267</v>
      </c>
      <c r="CF14" cm="1">
        <f t="array" aca="1" ref="CF14" ca="1">_xlfn.LET(
  _xlpm.k,ROW(A13)-1,
  _xlpm.r,OFFSET($BP$2,0,_xlpm.k,ROWS($BP$2:$BP$1000),1),
  _xlpm.v,_xlfn._xlws.FILTER(_xlpm.r,ISNUMBER(_xlpm.r)),
  IF(COUNT(_xlpm.v)=0,NA(),MIN(_xlpm.v))
)</f>
        <v>8603.6378615167214</v>
      </c>
      <c r="CG14" cm="1">
        <f t="array" aca="1" ref="CG14" ca="1">_xlfn.LET(
  _xlpm.k,ROW(A13)-1,
  _xlpm.r,OFFSET($BP$2,0,_xlpm.k,ROWS($BP$2:$BP$1000),1),
  _xlpm.v,_xlfn._xlws.FILTER(_xlpm.r,ISNUMBER(_xlpm.r)),
  IF(COUNT(_xlpm.v)=0,NA(),_xlfn.PERCENTILE.INC(_xlpm.v,0.25))
)</f>
        <v>9084.9681090884951</v>
      </c>
      <c r="CH14" cm="1">
        <f t="array" aca="1" ref="CH14" ca="1">_xlfn.LET(
  _xlpm.k,ROW(A13)-1,
  _xlpm.r,OFFSET($BP$2,0,_xlpm.k,ROWS($BP$2:$BP$1000),1),
  _xlpm.v,_xlfn._xlws.FILTER(_xlpm.r,ISNUMBER(_xlpm.r)),
  IF(COUNT(_xlpm.v)=0,NA(),_xlfn.PERCENTILE.INC(_xlpm.v,0.5))
)</f>
        <v>9566.298356660267</v>
      </c>
      <c r="CI14" cm="1">
        <f t="array" aca="1" ref="CI14" ca="1">_xlfn.LET(
  _xlpm.k,ROW(A13)-1,
  _xlpm.r,OFFSET($BP$2,0,_xlpm.k,ROWS($BP$2:$BP$1000),1),
  _xlpm.v,_xlfn._xlws.FILTER(_xlpm.r,ISNUMBER(_xlpm.r)),
  IF(COUNT(_xlpm.v)=0,NA(),_xlfn.PERCENTILE.INC(_xlpm.v,0.75))
)</f>
        <v>10047.628604232039</v>
      </c>
      <c r="CJ14" cm="1">
        <f t="array" aca="1" ref="CJ14" ca="1">_xlfn.LET(
  _xlpm.k,ROW(A13)-1,
  _xlpm.r,OFFSET($BP$2,0,_xlpm.k,ROWS($BP$2:$BP$1000),1),
  _xlpm.v,_xlfn._xlws.FILTER(_xlpm.r,ISNUMBER(_xlpm.r)),
  IF(COUNT(_xlpm.v)=0,NA(),MAX(_xlpm.v))
)</f>
        <v>10528.958851803813</v>
      </c>
      <c r="CK14" cm="1">
        <f t="array" aca="1" ref="CK14" ca="1">_xlfn.LET(_xlpm.r,OFFSET($BP$2,0,ROW(A13)-1,ROWS($BP$2:$BP$1000),1),
    _xlpm.v,_xlfn._xlws.FILTER(_xlpm.r,ISNUMBER(_xlpm.r)),
    _xlfn.PERCENTILE.INC(_xlpm.v,0.25))</f>
        <v>9084.9681090884951</v>
      </c>
      <c r="CL14" cm="1">
        <f t="array" aca="1" ref="CL14" ca="1">_xlfn.LET(
  _xlpm.k, ROW(A13)-1,
  _xlpm.r, OFFSET($BP$2,0,_xlpm.k,ROWS($BP$2:$BP$1000),1),
  _xlpm.v, _xlfn._xlws.FILTER(_xlpm.r, ISNUMBER(_xlpm.r)),
  IF(COUNT(_xlpm.v)=0, NA(), _xlfn.PERCENTILE.INC(_xlpm.v,0.5)-_xlfn.PERCENTILE.INC(_xlpm.v,0.25))
)</f>
        <v>481.33024757177191</v>
      </c>
      <c r="CM14" cm="1">
        <f t="array" aca="1" ref="CM14" ca="1">_xlfn.LET(_xlpm.r,OFFSET($BP$2,0,ROW(A13)-1,ROWS($BP$2:$BP$1000),1),
    _xlpm.v,_xlfn._xlws.FILTER(_xlpm.r,ISNUMBER(_xlpm.r)),
    _xlfn.PERCENTILE.INC(_xlpm.v,0.75)-_xlfn.PERCENTILE.INC(_xlpm.v,0.5))</f>
        <v>481.33024757177191</v>
      </c>
      <c r="CN14" cm="1">
        <f t="array" aca="1" ref="CN14" ca="1">_xlfn.LET(_xlpm.r,OFFSET($BP$2,0,ROW(A13)-1,ROWS($BP$2:$BP$1000),1),
    _xlpm.v,_xlfn._xlws.FILTER(_xlpm.r,ISNUMBER(_xlpm.r)),
    MAX(_xlpm.v)-_xlfn.PERCENTILE.INC(_xlpm.v,0.75))</f>
        <v>481.33024757177373</v>
      </c>
      <c r="CO14">
        <f t="shared" ca="1" si="6"/>
        <v>962.66049514354381</v>
      </c>
      <c r="CP14">
        <f t="shared" ca="1" si="28"/>
        <v>7640.9773663731794</v>
      </c>
      <c r="CQ14">
        <f t="shared" ca="1" si="29"/>
        <v>11491.619346947355</v>
      </c>
      <c r="CR14" s="13" cm="1">
        <f t="array" aca="1" ref="CR14" ca="1">_xlfn.LET(
  _xlpm.Data, $BP$2:$CB$1000,
  _xlpm.col,  $CC14,
  _xlpm.vec,  INDEX(_xlpm.Data,,_xlpm.col),
  _xlpm.v,    _xlfn._xlws.FILTER(_xlpm.vec, ISNUMBER(_xlpm.vec)),
  _xlpm.f,    CP14,
  IF(COUNT(_xlpm.v)=0, NA(),
    IF(NOT(ISNUMBER(_xlpm.f)), NA(),
      _xlfn.LET(
        _xlpm.cand, _xlfn._xlws.FILTER(_xlpm.v, _xlpm.v&gt;=_xlpm.f),
        IF(COUNT(_xlpm.cand)=0, MAX(0, MIN(_xlpm.v)), MAX(0, MIN(_xlpm.cand)))
      )
    )
  )
)</f>
        <v>8603.6378615167214</v>
      </c>
      <c r="CS14" cm="1">
        <f t="array" aca="1" ref="CS14" ca="1">_xlfn.LET(
  _xlpm.Data, $BP$2:$CB$1000,
  _xlpm.col,  $CC14,
  _xlpm.vec,  INDEX(_xlpm.Data,,_xlpm.col),
  _xlpm.v,    _xlfn._xlws.FILTER(_xlpm.vec, ISNUMBER(_xlpm.vec)),
  _xlpm.f,    CQ14,
  IF(COUNT(_xlpm.v)=0, NA(),
    IF(NOT(ISNUMBER(_xlpm.f)), NA(),
      _xlfn.LET(
        _xlpm.cand, _xlfn._xlws.FILTER(_xlpm.v, _xlpm.v&lt;=_xlpm.f),
        IF(COUNT(_xlpm.cand)=0, MAX(_xlpm.v), MAX(_xlpm.cand))
      )
    )
  )
)</f>
        <v>10528.958851803813</v>
      </c>
      <c r="CT14">
        <f t="shared" ca="1" si="7"/>
        <v>962.66049514354563</v>
      </c>
      <c r="CU14">
        <f t="shared" ca="1" si="8"/>
        <v>962.66049514354563</v>
      </c>
      <c r="CV14">
        <f t="shared" ca="1" si="30"/>
        <v>481.33024757177373</v>
      </c>
      <c r="CW14">
        <f t="shared" ca="1" si="31"/>
        <v>481.33024757177373</v>
      </c>
      <c r="CX14">
        <f t="shared" ca="1" si="9"/>
        <v>481.33024757177373</v>
      </c>
      <c r="CY14">
        <v>0</v>
      </c>
      <c r="CZ14">
        <f t="shared" ca="1" si="10"/>
        <v>481.33024757177373</v>
      </c>
      <c r="DA14">
        <f ca="1"/>
        <v>9297.2804984989853</v>
      </c>
      <c r="DB14">
        <f ca="1"/>
        <v>1</v>
      </c>
      <c r="DU14" s="26"/>
      <c r="DV14" s="26"/>
      <c r="EI14" s="13"/>
    </row>
    <row r="15" spans="1:192">
      <c r="A15" t="s">
        <v>518</v>
      </c>
      <c r="B15" t="s">
        <v>522</v>
      </c>
      <c r="C15" t="s">
        <v>32</v>
      </c>
      <c r="D15" t="e" cm="1">
        <f t="array" ref="D15">_xlfn.LET(
 _xlpm.A,$A15,_xlpm.B,$B15,_xlpm.C,$C15,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5" t="e" cm="1">
        <f t="array" ref="E15">_xlfn.LET(
 _xlpm.A,$A15,_xlpm.B,$B15,_xlpm.C,$C15,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5" t="e" cm="1">
        <f t="array" ref="F15">_xlfn.LET(
 _xlpm.A,$A15,_xlpm.B,$B15,_xlpm.C,$C15,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5" t="e" cm="1">
        <f t="array" ref="G15">_xlfn.LET(
 _xlpm.A,$A15,_xlpm.B,$B15,_xlpm.C,$C15,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5" t="e">
        <f t="shared" si="16"/>
        <v>#N/A</v>
      </c>
      <c r="I15">
        <f t="shared" si="17"/>
        <v>14</v>
      </c>
      <c r="J15" t="e">
        <f t="shared" si="18"/>
        <v>#N/A</v>
      </c>
      <c r="K15" t="e">
        <f t="shared" si="19"/>
        <v>#N/A</v>
      </c>
      <c r="L15" t="e">
        <f t="shared" si="20"/>
        <v>#N/A</v>
      </c>
      <c r="M15" t="e">
        <f t="shared" si="21"/>
        <v>#N/A</v>
      </c>
      <c r="N15" t="e">
        <f t="shared" si="22"/>
        <v>#N/A</v>
      </c>
      <c r="O15" t="e" cm="1">
        <f t="array" ref="O15">_xlfn.LET(
 _xlpm.A,$A15,_xlpm.B,$B15,_xlpm.C,$C15,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5" t="str">
        <f t="shared" si="23"/>
        <v/>
      </c>
      <c r="AB15">
        <v>12812.364031523692</v>
      </c>
      <c r="AD15">
        <v>6384.4031120742102</v>
      </c>
      <c r="AK15" s="120"/>
      <c r="AL15" s="120"/>
      <c r="BH15">
        <v>10125.764141478647</v>
      </c>
      <c r="BI15">
        <v>4</v>
      </c>
      <c r="BP15">
        <v>12812.364031523692</v>
      </c>
      <c r="BR15">
        <v>4319.7384166072698</v>
      </c>
      <c r="CD15" s="26"/>
      <c r="CX15" s="13"/>
      <c r="DA15">
        <f ca="1"/>
        <v>12812.364031523692</v>
      </c>
      <c r="DB15">
        <f ca="1"/>
        <v>1</v>
      </c>
    </row>
    <row r="16" spans="1:192">
      <c r="A16" t="s">
        <v>518</v>
      </c>
      <c r="B16" t="s">
        <v>522</v>
      </c>
      <c r="C16" t="s">
        <v>57</v>
      </c>
      <c r="D16" t="e" cm="1">
        <f t="array" ref="D16">_xlfn.LET(
 _xlpm.A,$A16,_xlpm.B,$B16,_xlpm.C,$C16,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6" t="e" cm="1">
        <f t="array" ref="E16">_xlfn.LET(
 _xlpm.A,$A16,_xlpm.B,$B16,_xlpm.C,$C16,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6" t="e" cm="1">
        <f t="array" ref="F16">_xlfn.LET(
 _xlpm.A,$A16,_xlpm.B,$B16,_xlpm.C,$C16,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6" t="e" cm="1">
        <f t="array" ref="G16">_xlfn.LET(
 _xlpm.A,$A16,_xlpm.B,$B16,_xlpm.C,$C16,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6" t="e">
        <f t="shared" si="16"/>
        <v>#N/A</v>
      </c>
      <c r="I16">
        <f t="shared" si="17"/>
        <v>15</v>
      </c>
      <c r="J16" t="e">
        <f t="shared" si="18"/>
        <v>#N/A</v>
      </c>
      <c r="K16" t="e">
        <f t="shared" si="19"/>
        <v>#N/A</v>
      </c>
      <c r="L16" t="e">
        <f t="shared" si="20"/>
        <v>#N/A</v>
      </c>
      <c r="M16" t="e">
        <f t="shared" si="21"/>
        <v>#N/A</v>
      </c>
      <c r="N16" t="e">
        <f t="shared" si="22"/>
        <v>#N/A</v>
      </c>
      <c r="O16" t="e" cm="1">
        <f t="array" ref="O16">_xlfn.LET(
 _xlpm.A,$A16,_xlpm.B,$B16,_xlpm.C,$C16,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6" t="str">
        <f t="shared" si="23"/>
        <v/>
      </c>
      <c r="AB16">
        <v>12975.718692206821</v>
      </c>
      <c r="AD16">
        <v>6368.8633163265304</v>
      </c>
      <c r="AK16" s="120"/>
      <c r="AL16" s="120"/>
      <c r="BH16">
        <v>13453.438306200078</v>
      </c>
      <c r="BI16">
        <v>4</v>
      </c>
      <c r="BP16">
        <v>12975.718692206821</v>
      </c>
      <c r="BR16">
        <v>4112.2052264808362</v>
      </c>
      <c r="CD16" s="26"/>
      <c r="CX16" s="13"/>
      <c r="DA16">
        <f ca="1"/>
        <v>12975.718692206821</v>
      </c>
      <c r="DB16">
        <f ca="1"/>
        <v>1</v>
      </c>
    </row>
    <row r="17" spans="1:106">
      <c r="A17" t="s">
        <v>518</v>
      </c>
      <c r="B17" t="s">
        <v>522</v>
      </c>
      <c r="C17" t="s">
        <v>52</v>
      </c>
      <c r="D17" cm="1">
        <f t="array" ref="D17">_xlfn.LET(
 _xlpm.A,$A17,_xlpm.B,$B17,_xlpm.C,$C17,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9679.6293311032641</v>
      </c>
      <c r="E17" cm="1">
        <f t="array" ref="E17">_xlfn.LET(
 _xlpm.A,$A17,_xlpm.B,$B17,_xlpm.C,$C17,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9141.6335963099918</v>
      </c>
      <c r="F17" cm="1">
        <f t="array" ref="F17">_xlfn.LET(
 _xlpm.A,$A17,_xlpm.B,$B17,_xlpm.C,$C17,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9141.6335963099918</v>
      </c>
      <c r="G17" cm="1">
        <f t="array" ref="G17">_xlfn.LET(
 _xlpm.A,$A17,_xlpm.B,$B17,_xlpm.C,$C17,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9652.7295443636012</v>
      </c>
      <c r="H17">
        <f t="shared" si="16"/>
        <v>26.899786739662886</v>
      </c>
      <c r="I17">
        <f t="shared" si="17"/>
        <v>16</v>
      </c>
      <c r="J17" t="e">
        <f t="shared" si="18"/>
        <v>#N/A</v>
      </c>
      <c r="K17" t="e">
        <f t="shared" si="19"/>
        <v>#N/A</v>
      </c>
      <c r="L17">
        <f t="shared" si="20"/>
        <v>9652.7295443636012</v>
      </c>
      <c r="M17" t="e">
        <f t="shared" si="21"/>
        <v>#N/A</v>
      </c>
      <c r="N17" t="e">
        <f t="shared" si="22"/>
        <v>#N/A</v>
      </c>
      <c r="O17" cm="1">
        <f t="array" ref="O17">_xlfn.LET(
 _xlpm.A,$A17,_xlpm.B,$B17,_xlpm.C,$C17,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2</v>
      </c>
      <c r="P17" t="str">
        <f t="shared" si="23"/>
        <v>n=2</v>
      </c>
      <c r="AB17">
        <v>6113.909565217391</v>
      </c>
      <c r="AD17">
        <v>7018.938040816327</v>
      </c>
      <c r="AK17" s="120"/>
      <c r="AL17" s="120"/>
      <c r="BH17">
        <v>13540.787173624165</v>
      </c>
      <c r="BI17">
        <v>4</v>
      </c>
      <c r="BP17">
        <v>6113.909565217391</v>
      </c>
      <c r="BR17">
        <v>4154.4938617886182</v>
      </c>
      <c r="CD17" s="26"/>
      <c r="CX17" s="13"/>
      <c r="DA17">
        <f ca="1"/>
        <v>6113.909565217391</v>
      </c>
      <c r="DB17">
        <f ca="1"/>
        <v>1</v>
      </c>
    </row>
    <row r="18" spans="1:106">
      <c r="A18" t="s">
        <v>520</v>
      </c>
      <c r="B18" t="s">
        <v>470</v>
      </c>
      <c r="C18" t="s">
        <v>32</v>
      </c>
      <c r="D18" t="e" cm="1">
        <f t="array" ref="D18">_xlfn.LET(
 _xlpm.A,$A18,_xlpm.B,$B18,_xlpm.C,$C18,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8" t="e" cm="1">
        <f t="array" ref="E18">_xlfn.LET(
 _xlpm.A,$A18,_xlpm.B,$B18,_xlpm.C,$C18,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8" t="e" cm="1">
        <f t="array" ref="F18">_xlfn.LET(
 _xlpm.A,$A18,_xlpm.B,$B18,_xlpm.C,$C18,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8" t="e" cm="1">
        <f t="array" ref="G18">_xlfn.LET(
 _xlpm.A,$A18,_xlpm.B,$B18,_xlpm.C,$C18,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8" t="e">
        <f>MAX($D18-$G18,0)</f>
        <v>#N/A</v>
      </c>
      <c r="I18">
        <f t="shared" si="17"/>
        <v>17</v>
      </c>
      <c r="J18" t="e">
        <f t="shared" si="18"/>
        <v>#N/A</v>
      </c>
      <c r="K18" t="e">
        <f t="shared" si="19"/>
        <v>#N/A</v>
      </c>
      <c r="L18" t="e">
        <f t="shared" si="20"/>
        <v>#N/A</v>
      </c>
      <c r="M18" t="e">
        <f t="shared" si="21"/>
        <v>#N/A</v>
      </c>
      <c r="N18" t="e">
        <f t="shared" si="22"/>
        <v>#N/A</v>
      </c>
      <c r="O18" t="e" cm="1">
        <f t="array" ref="O18">_xlfn.LET(
 _xlpm.A,$A18,_xlpm.B,$B18,_xlpm.C,$C18,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8" t="str">
        <f t="shared" si="23"/>
        <v/>
      </c>
      <c r="AB18">
        <v>11642.797253594323</v>
      </c>
      <c r="AD18">
        <v>4319.7384166072698</v>
      </c>
      <c r="AK18" s="120"/>
      <c r="AL18" s="120"/>
      <c r="BH18">
        <v>11570.710845447591</v>
      </c>
      <c r="BI18">
        <v>4</v>
      </c>
      <c r="BP18">
        <v>11642.797253594323</v>
      </c>
      <c r="BR18">
        <v>4182.2002090592341</v>
      </c>
      <c r="CD18" s="26"/>
      <c r="CX18" s="13"/>
      <c r="DA18">
        <f ca="1"/>
        <v>11642.797253594323</v>
      </c>
      <c r="DB18">
        <f ca="1"/>
        <v>1</v>
      </c>
    </row>
    <row r="19" spans="1:106">
      <c r="A19" t="s">
        <v>520</v>
      </c>
      <c r="B19" t="s">
        <v>470</v>
      </c>
      <c r="C19" t="s">
        <v>57</v>
      </c>
      <c r="D19" t="e" cm="1">
        <f t="array" ref="D19">_xlfn.LET(
 _xlpm.A,$A19,_xlpm.B,$B19,_xlpm.C,$C19,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9" t="e" cm="1">
        <f t="array" ref="E19">_xlfn.LET(
 _xlpm.A,$A19,_xlpm.B,$B19,_xlpm.C,$C19,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9" t="e" cm="1">
        <f t="array" ref="F19">_xlfn.LET(
 _xlpm.A,$A19,_xlpm.B,$B19,_xlpm.C,$C19,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9" t="e" cm="1">
        <f t="array" ref="G19">_xlfn.LET(
 _xlpm.A,$A19,_xlpm.B,$B19,_xlpm.C,$C19,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9" t="e">
        <f>MAX($D19-$G19,0)</f>
        <v>#N/A</v>
      </c>
      <c r="I19">
        <f t="shared" si="17"/>
        <v>18</v>
      </c>
      <c r="J19" t="e">
        <f t="shared" si="18"/>
        <v>#N/A</v>
      </c>
      <c r="K19" t="e">
        <f t="shared" si="19"/>
        <v>#N/A</v>
      </c>
      <c r="L19" t="e">
        <f t="shared" si="20"/>
        <v>#N/A</v>
      </c>
      <c r="M19" t="e">
        <f t="shared" si="21"/>
        <v>#N/A</v>
      </c>
      <c r="N19" t="e">
        <f t="shared" si="22"/>
        <v>#N/A</v>
      </c>
      <c r="O19" t="e" cm="1">
        <f t="array" ref="O19">_xlfn.LET(
 _xlpm.A,$A19,_xlpm.B,$B19,_xlpm.C,$C19,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9" t="str">
        <f t="shared" si="23"/>
        <v/>
      </c>
      <c r="AB19">
        <v>29106.993133985809</v>
      </c>
      <c r="AD19">
        <v>4112.2052264808362</v>
      </c>
      <c r="AK19" s="120"/>
      <c r="AL19" s="120"/>
      <c r="BH19">
        <v>6267.9451091988731</v>
      </c>
      <c r="BI19">
        <v>4</v>
      </c>
      <c r="BP19">
        <v>29106.993133985809</v>
      </c>
      <c r="BR19">
        <v>5745.4214866434386</v>
      </c>
      <c r="CD19" s="26"/>
      <c r="CX19" s="13"/>
      <c r="DA19">
        <f ca="1"/>
        <v>29106.993133985809</v>
      </c>
      <c r="DB19">
        <f ca="1"/>
        <v>1</v>
      </c>
    </row>
    <row r="20" spans="1:106">
      <c r="A20" t="s">
        <v>520</v>
      </c>
      <c r="B20" t="s">
        <v>470</v>
      </c>
      <c r="C20" t="s">
        <v>52</v>
      </c>
      <c r="D20" cm="1">
        <f t="array" ref="D20">_xlfn.LET(
 _xlpm.A,$A20,_xlpm.B,$B20,_xlpm.C,$C20,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11955.13458635234</v>
      </c>
      <c r="E20" cm="1">
        <f t="array" ref="E20">_xlfn.LET(
 _xlpm.A,$A20,_xlpm.B,$B20,_xlpm.C,$C20,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8439.7391187201483</v>
      </c>
      <c r="F20" cm="1">
        <f t="array" ref="F20">_xlfn.LET(
 _xlpm.A,$A20,_xlpm.B,$B20,_xlpm.C,$C20,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9158.1631924624417</v>
      </c>
      <c r="G20" cm="1">
        <f t="array" ref="G20">_xlfn.LET(
 _xlpm.A,$A20,_xlpm.B,$B20,_xlpm.C,$C20,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11815.286016657847</v>
      </c>
      <c r="H20">
        <f>MAX($D20-$G20,0)</f>
        <v>139.84856969449356</v>
      </c>
      <c r="I20">
        <f t="shared" si="17"/>
        <v>19</v>
      </c>
      <c r="J20" t="e">
        <f t="shared" si="18"/>
        <v>#N/A</v>
      </c>
      <c r="K20" t="e">
        <f t="shared" si="19"/>
        <v>#N/A</v>
      </c>
      <c r="L20">
        <f t="shared" si="20"/>
        <v>11815.286016657847</v>
      </c>
      <c r="M20" t="e">
        <f t="shared" si="21"/>
        <v>#N/A</v>
      </c>
      <c r="N20" t="e">
        <f t="shared" si="22"/>
        <v>#N/A</v>
      </c>
      <c r="O20" cm="1">
        <f t="array" ref="O20">_xlfn.LET(
 _xlpm.A,$A20,_xlpm.B,$B20,_xlpm.C,$C20,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3</v>
      </c>
      <c r="P20" t="str">
        <f t="shared" si="23"/>
        <v>n=3</v>
      </c>
      <c r="AD20">
        <v>4154.4938617886182</v>
      </c>
      <c r="AK20" s="120"/>
      <c r="AL20" s="120"/>
      <c r="BH20">
        <v>6697.3395729776639</v>
      </c>
      <c r="BI20">
        <v>4</v>
      </c>
      <c r="BR20">
        <v>6058.9406794425095</v>
      </c>
      <c r="CD20" s="26"/>
      <c r="CX20" s="13"/>
      <c r="DA20">
        <f ca="1"/>
        <v>4421.9798661567875</v>
      </c>
      <c r="DB20">
        <f ca="1"/>
        <v>2</v>
      </c>
    </row>
    <row r="21" spans="1:106">
      <c r="AD21">
        <v>4182.2002090592341</v>
      </c>
      <c r="AK21" s="13"/>
      <c r="AL21" s="13"/>
      <c r="BH21">
        <v>8197.5598455096588</v>
      </c>
      <c r="BI21">
        <v>4</v>
      </c>
      <c r="BR21">
        <v>7604.6632113821142</v>
      </c>
      <c r="CD21" s="26"/>
      <c r="CX21" s="13" t="str" cm="1">
        <f t="array" ref="CX21">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21">
        <f ca="1"/>
        <v>8940.4134892889124</v>
      </c>
      <c r="DB21">
        <f ca="1"/>
        <v>2</v>
      </c>
    </row>
    <row r="22" spans="1:106">
      <c r="AD22">
        <v>5745.4214866434386</v>
      </c>
      <c r="AK22" s="13"/>
      <c r="AL22" s="13"/>
      <c r="BH22">
        <v>9297.2804984989853</v>
      </c>
      <c r="BI22">
        <v>4</v>
      </c>
      <c r="BR22">
        <v>8202.5370209059238</v>
      </c>
      <c r="CD22" s="26"/>
      <c r="CX22" s="13" t="str" cm="1">
        <f t="array" ref="CX22">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22">
        <f ca="1"/>
        <v>7502.812596837075</v>
      </c>
      <c r="DB22">
        <f ca="1"/>
        <v>2</v>
      </c>
    </row>
    <row r="23" spans="1:106">
      <c r="AD23">
        <v>6058.9406794425095</v>
      </c>
      <c r="AK23" s="13"/>
      <c r="AL23" s="13"/>
      <c r="BH23">
        <v>12812.364031523692</v>
      </c>
      <c r="BI23">
        <v>4</v>
      </c>
      <c r="BR23">
        <v>6747.7326652507072</v>
      </c>
      <c r="CD23" s="26"/>
      <c r="CX23" s="13" t="str" cm="1">
        <f t="array" ref="CX23">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23">
        <f ca="1"/>
        <v>11235.299349718522</v>
      </c>
      <c r="DB23">
        <f ca="1"/>
        <v>2</v>
      </c>
    </row>
    <row r="24" spans="1:106">
      <c r="AD24">
        <v>7604.6632113821142</v>
      </c>
      <c r="AK24" s="13"/>
      <c r="AL24" s="13"/>
      <c r="BH24">
        <v>12975.718692206821</v>
      </c>
      <c r="BI24">
        <v>4</v>
      </c>
      <c r="BR24">
        <v>5635.4997213114757</v>
      </c>
      <c r="CD24" s="26"/>
      <c r="CX24" s="13" t="str" cm="1">
        <f t="array" ref="CX24">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24">
        <f ca="1"/>
        <v>15856.519626291001</v>
      </c>
      <c r="DB24">
        <f ca="1"/>
        <v>2</v>
      </c>
    </row>
    <row r="25" spans="1:106">
      <c r="AD25">
        <v>8202.5370209059238</v>
      </c>
      <c r="AK25" s="13"/>
      <c r="AL25" s="13"/>
      <c r="BH25">
        <v>6113.909565217391</v>
      </c>
      <c r="BI25">
        <v>4</v>
      </c>
      <c r="BR25">
        <v>6402.781053456878</v>
      </c>
      <c r="CD25" s="26"/>
      <c r="CX25" s="13" t="str" cm="1">
        <f t="array" ref="CX25">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25">
        <f ca="1"/>
        <v>2519.3719612638824</v>
      </c>
      <c r="DB25">
        <f ca="1"/>
        <v>2</v>
      </c>
    </row>
    <row r="26" spans="1:106">
      <c r="AD26">
        <v>6747.7326652507072</v>
      </c>
      <c r="BH26">
        <v>11642.797253594323</v>
      </c>
      <c r="BI26">
        <v>4</v>
      </c>
      <c r="BR26">
        <v>6515.7165609408394</v>
      </c>
      <c r="CD26" s="26"/>
      <c r="CX26" s="13" t="str" cm="1">
        <f t="array" ref="CX26">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26">
        <f ca="1"/>
        <v>3275.3086956521738</v>
      </c>
      <c r="DB26">
        <f ca="1"/>
        <v>2</v>
      </c>
    </row>
    <row r="27" spans="1:106">
      <c r="AD27">
        <v>5635.4997213114757</v>
      </c>
      <c r="BH27">
        <v>29106.993133985809</v>
      </c>
      <c r="BI27">
        <v>4</v>
      </c>
      <c r="BR27">
        <v>6750.8944640057016</v>
      </c>
      <c r="CX27" s="13" t="str" cm="1">
        <f t="array" ref="CX27">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27">
        <f ca="1"/>
        <v>9993.2088245484265</v>
      </c>
      <c r="DB27">
        <f ca="1"/>
        <v>3</v>
      </c>
    </row>
    <row r="28" spans="1:106">
      <c r="AD28">
        <v>6402.781053456878</v>
      </c>
      <c r="BH28">
        <v>4759.3274294038556</v>
      </c>
      <c r="BI28">
        <v>5</v>
      </c>
      <c r="BR28">
        <v>5575.9296513672143</v>
      </c>
      <c r="CX28" s="13" t="str" cm="1">
        <f t="array" ref="CX28">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28">
        <f ca="1"/>
        <v>5392.8326455299357</v>
      </c>
      <c r="DB28">
        <f ca="1"/>
        <v>3</v>
      </c>
    </row>
    <row r="29" spans="1:106">
      <c r="AD29">
        <v>6515.7165609408394</v>
      </c>
      <c r="BH29">
        <v>4421.9798661567875</v>
      </c>
      <c r="BI29">
        <v>5</v>
      </c>
      <c r="BR29">
        <v>7924.8639972798692</v>
      </c>
      <c r="CX29" s="13" t="str" cm="1">
        <f t="array" ref="CX29">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29">
        <f ca="1"/>
        <v>4828.7344554960473</v>
      </c>
      <c r="DB29">
        <f ca="1"/>
        <v>3</v>
      </c>
    </row>
    <row r="30" spans="1:106">
      <c r="AD30">
        <v>6750.8944640057016</v>
      </c>
      <c r="BH30">
        <v>5882.8595673719446</v>
      </c>
      <c r="BI30">
        <v>5</v>
      </c>
      <c r="BR30">
        <v>11734.969398518611</v>
      </c>
      <c r="CX30" s="13" t="str" cm="1">
        <f t="array" ref="CX30">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30">
        <f ca="1"/>
        <v>5459.5439301198676</v>
      </c>
      <c r="DB30">
        <f ca="1"/>
        <v>3</v>
      </c>
    </row>
    <row r="31" spans="1:106">
      <c r="AD31">
        <v>8603.6378615167214</v>
      </c>
      <c r="BH31">
        <v>6326.4153748480385</v>
      </c>
      <c r="BI31">
        <v>5</v>
      </c>
      <c r="BR31">
        <v>3161.7487226277376</v>
      </c>
      <c r="CX31" s="13" t="str" cm="1">
        <f t="array" ref="CX31">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31">
        <f ca="1"/>
        <v>7569.7136954858461</v>
      </c>
      <c r="DB31">
        <f ca="1"/>
        <v>3</v>
      </c>
    </row>
    <row r="32" spans="1:106">
      <c r="AD32">
        <v>5575.9296513672143</v>
      </c>
      <c r="BH32">
        <v>6445.5061993980289</v>
      </c>
      <c r="BI32">
        <v>5</v>
      </c>
      <c r="BR32">
        <v>4291.2719981751834</v>
      </c>
      <c r="CX32" s="13" t="str" cm="1">
        <f t="array" ref="CX32">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DA32">
        <f ca="1"/>
        <v>3161.366868917275</v>
      </c>
      <c r="DB32">
        <f ca="1"/>
        <v>3</v>
      </c>
    </row>
    <row r="33" spans="30:106">
      <c r="AD33">
        <v>7924.8639972798692</v>
      </c>
      <c r="BH33">
        <v>6730.1311012027963</v>
      </c>
      <c r="BI33">
        <v>5</v>
      </c>
      <c r="BR33">
        <v>4990.0642883211685</v>
      </c>
      <c r="DA33">
        <f ca="1"/>
        <v>4289.5536564781023</v>
      </c>
      <c r="DB33">
        <f ca="1"/>
        <v>3</v>
      </c>
    </row>
    <row r="34" spans="30:106">
      <c r="AD34">
        <v>11734.969398518611</v>
      </c>
      <c r="BH34">
        <v>8940.4134892889124</v>
      </c>
      <c r="BI34">
        <v>5</v>
      </c>
      <c r="BR34">
        <v>5024.4311222627739</v>
      </c>
      <c r="DA34">
        <f ca="1"/>
        <v>4991.0189225973236</v>
      </c>
      <c r="DB34">
        <f ca="1"/>
        <v>3</v>
      </c>
    </row>
    <row r="35" spans="30:106">
      <c r="AD35">
        <v>3438.9745164233582</v>
      </c>
      <c r="BH35">
        <v>7502.812596837075</v>
      </c>
      <c r="BI35">
        <v>5</v>
      </c>
      <c r="BR35">
        <v>5872.146359489052</v>
      </c>
      <c r="DA35">
        <f ca="1"/>
        <v>5024.2401954075431</v>
      </c>
      <c r="DB35">
        <f ca="1"/>
        <v>3</v>
      </c>
    </row>
    <row r="36" spans="30:106">
      <c r="AD36">
        <v>3489.3792062043799</v>
      </c>
      <c r="BH36">
        <v>11235.299349718522</v>
      </c>
      <c r="BI36">
        <v>5</v>
      </c>
      <c r="BR36">
        <v>6385.3577463503652</v>
      </c>
      <c r="DA36">
        <f ca="1"/>
        <v>5873.2919206204388</v>
      </c>
      <c r="DB36">
        <f ca="1"/>
        <v>3</v>
      </c>
    </row>
    <row r="37" spans="30:106">
      <c r="AD37">
        <v>3161.7487226277376</v>
      </c>
      <c r="BH37">
        <v>15856.519626291001</v>
      </c>
      <c r="BI37">
        <v>5</v>
      </c>
      <c r="BR37">
        <v>6269.6698036215257</v>
      </c>
      <c r="DA37">
        <f ca="1"/>
        <v>6384.4031120742102</v>
      </c>
      <c r="DB37">
        <f ca="1"/>
        <v>3</v>
      </c>
    </row>
    <row r="38" spans="30:106">
      <c r="AD38">
        <v>4291.2719981751834</v>
      </c>
      <c r="BH38">
        <v>2519.3719612638824</v>
      </c>
      <c r="BI38">
        <v>5</v>
      </c>
      <c r="BR38">
        <v>6588.8523981403214</v>
      </c>
      <c r="DA38">
        <f ca="1"/>
        <v>6368.8633163265304</v>
      </c>
      <c r="DB38">
        <f ca="1"/>
        <v>3</v>
      </c>
    </row>
    <row r="39" spans="30:106">
      <c r="AD39">
        <v>4990.0642883211685</v>
      </c>
      <c r="BH39">
        <v>3275.3086956521738</v>
      </c>
      <c r="BI39">
        <v>5</v>
      </c>
      <c r="BR39">
        <v>4368.5100898075552</v>
      </c>
      <c r="DA39">
        <f ca="1"/>
        <v>7018.938040816327</v>
      </c>
      <c r="DB39">
        <f ca="1"/>
        <v>3</v>
      </c>
    </row>
    <row r="40" spans="30:106">
      <c r="AD40">
        <v>5024.4311222627739</v>
      </c>
      <c r="BH40">
        <v>9993.2088245484265</v>
      </c>
      <c r="BI40">
        <v>6</v>
      </c>
      <c r="BR40">
        <v>4003.0410836087576</v>
      </c>
      <c r="DA40">
        <f ca="1"/>
        <v>4319.7384166072698</v>
      </c>
      <c r="DB40">
        <f ca="1"/>
        <v>3</v>
      </c>
    </row>
    <row r="41" spans="30:106">
      <c r="AD41">
        <v>5872.146359489052</v>
      </c>
      <c r="BH41">
        <v>10528.958851803813</v>
      </c>
      <c r="BI41">
        <v>6</v>
      </c>
      <c r="BR41">
        <v>4930.4048403441639</v>
      </c>
      <c r="DA41">
        <f ca="1"/>
        <v>4112.2052264808362</v>
      </c>
      <c r="DB41">
        <f ca="1"/>
        <v>3</v>
      </c>
    </row>
    <row r="42" spans="30:106">
      <c r="AD42">
        <v>6385.3577463503652</v>
      </c>
      <c r="BH42">
        <v>5392.8326455299357</v>
      </c>
      <c r="BI42">
        <v>6</v>
      </c>
      <c r="BR42">
        <v>6226.9853411269696</v>
      </c>
      <c r="DA42">
        <f ca="1"/>
        <v>4154.4938617886182</v>
      </c>
      <c r="DB42">
        <f ca="1"/>
        <v>3</v>
      </c>
    </row>
    <row r="43" spans="30:106">
      <c r="AD43">
        <v>6269.6698036215257</v>
      </c>
      <c r="BH43">
        <v>4828.7344554960473</v>
      </c>
      <c r="BI43">
        <v>6</v>
      </c>
      <c r="BR43">
        <v>7781.5816956501385</v>
      </c>
      <c r="DA43">
        <f ca="1"/>
        <v>4182.2002090592341</v>
      </c>
      <c r="DB43">
        <f ca="1"/>
        <v>3</v>
      </c>
    </row>
    <row r="44" spans="30:106">
      <c r="AD44">
        <v>6588.8523981403214</v>
      </c>
      <c r="BH44">
        <v>5459.5439301198676</v>
      </c>
      <c r="BI44">
        <v>6</v>
      </c>
      <c r="BR44">
        <v>7985.1155612479279</v>
      </c>
      <c r="DA44">
        <f ca="1"/>
        <v>5745.4214866434386</v>
      </c>
      <c r="DB44">
        <f ca="1"/>
        <v>3</v>
      </c>
    </row>
    <row r="45" spans="30:106">
      <c r="AD45">
        <v>4368.5100898075552</v>
      </c>
      <c r="BH45">
        <v>7569.7136954858461</v>
      </c>
      <c r="BI45">
        <v>6</v>
      </c>
      <c r="BR45">
        <v>5422.5833919009383</v>
      </c>
      <c r="DA45">
        <f ca="1"/>
        <v>6058.9406794425095</v>
      </c>
      <c r="DB45">
        <f ca="1"/>
        <v>3</v>
      </c>
    </row>
    <row r="46" spans="30:106">
      <c r="AD46">
        <v>4003.0410836087576</v>
      </c>
      <c r="BH46">
        <v>3161.366868917275</v>
      </c>
      <c r="BI46">
        <v>6</v>
      </c>
      <c r="BR46">
        <v>13440.489466307758</v>
      </c>
      <c r="DA46">
        <f ca="1"/>
        <v>7604.6632113821142</v>
      </c>
      <c r="DB46">
        <f ca="1"/>
        <v>3</v>
      </c>
    </row>
    <row r="47" spans="30:106">
      <c r="AD47">
        <v>4930.4048403441639</v>
      </c>
      <c r="BH47">
        <v>3438.9745164233582</v>
      </c>
      <c r="BI47">
        <v>6</v>
      </c>
      <c r="BR47">
        <v>8732.0979401957429</v>
      </c>
      <c r="DA47">
        <f ca="1"/>
        <v>8202.5370209059238</v>
      </c>
      <c r="DB47">
        <f ca="1"/>
        <v>3</v>
      </c>
    </row>
    <row r="48" spans="30:106">
      <c r="AD48">
        <v>6226.9853411269696</v>
      </c>
      <c r="BH48">
        <v>3489.3792062043799</v>
      </c>
      <c r="BI48">
        <v>6</v>
      </c>
      <c r="DA48">
        <f ca="1"/>
        <v>6747.7326652507072</v>
      </c>
      <c r="DB48">
        <f ca="1"/>
        <v>3</v>
      </c>
    </row>
    <row r="49" spans="3:106">
      <c r="AD49">
        <v>7781.5816956501385</v>
      </c>
      <c r="BH49">
        <v>4289.5536564781023</v>
      </c>
      <c r="BI49">
        <v>6</v>
      </c>
      <c r="DA49">
        <f ca="1"/>
        <v>5635.4997213114757</v>
      </c>
      <c r="DB49">
        <f ca="1"/>
        <v>3</v>
      </c>
    </row>
    <row r="50" spans="3:106">
      <c r="AD50">
        <v>7985.1155612479279</v>
      </c>
      <c r="BH50">
        <v>4991.0189225973236</v>
      </c>
      <c r="BI50">
        <v>6</v>
      </c>
      <c r="DA50">
        <f ca="1"/>
        <v>6402.781053456878</v>
      </c>
      <c r="DB50">
        <f ca="1"/>
        <v>3</v>
      </c>
    </row>
    <row r="51" spans="3:106">
      <c r="AD51">
        <v>5422.5833919009383</v>
      </c>
      <c r="BH51">
        <v>5024.2401954075431</v>
      </c>
      <c r="BI51">
        <v>6</v>
      </c>
      <c r="DA51">
        <f ca="1"/>
        <v>6515.7165609408394</v>
      </c>
      <c r="DB51">
        <f ca="1"/>
        <v>3</v>
      </c>
    </row>
    <row r="52" spans="3:106">
      <c r="C52" s="19"/>
      <c r="AD52">
        <v>13440.489466307758</v>
      </c>
      <c r="BH52">
        <v>5873.2919206204388</v>
      </c>
      <c r="BI52">
        <v>6</v>
      </c>
      <c r="DA52">
        <f ca="1"/>
        <v>6750.8944640057016</v>
      </c>
      <c r="DB52">
        <f ca="1"/>
        <v>3</v>
      </c>
    </row>
    <row r="53" spans="3:106">
      <c r="AD53">
        <v>8732.0979401957429</v>
      </c>
      <c r="BH53">
        <v>6384.4031120742102</v>
      </c>
      <c r="BI53">
        <v>6</v>
      </c>
      <c r="DA53">
        <f ca="1"/>
        <v>5575.9296513672143</v>
      </c>
      <c r="DB53">
        <f ca="1"/>
        <v>3</v>
      </c>
    </row>
    <row r="54" spans="3:106">
      <c r="BH54">
        <v>6368.8633163265304</v>
      </c>
      <c r="BI54">
        <v>6</v>
      </c>
      <c r="DA54">
        <f ca="1"/>
        <v>7924.8639972798692</v>
      </c>
      <c r="DB54">
        <f ca="1"/>
        <v>3</v>
      </c>
    </row>
    <row r="55" spans="3:106">
      <c r="N55" s="421"/>
      <c r="O55" s="421"/>
      <c r="BH55">
        <v>7018.938040816327</v>
      </c>
      <c r="BI55">
        <v>6</v>
      </c>
      <c r="DA55">
        <f ca="1"/>
        <v>11734.969398518611</v>
      </c>
      <c r="DB55">
        <f ca="1"/>
        <v>3</v>
      </c>
    </row>
    <row r="56" spans="3:106">
      <c r="D56" t="s">
        <v>729</v>
      </c>
      <c r="BH56">
        <v>4319.7384166072698</v>
      </c>
      <c r="BI56">
        <v>6</v>
      </c>
      <c r="DA56">
        <f ca="1"/>
        <v>3161.7487226277376</v>
      </c>
      <c r="DB56">
        <f ca="1"/>
        <v>3</v>
      </c>
    </row>
    <row r="57" spans="3:106">
      <c r="BH57">
        <v>4112.2052264808362</v>
      </c>
      <c r="BI57">
        <v>6</v>
      </c>
      <c r="DA57">
        <f ca="1"/>
        <v>4291.2719981751834</v>
      </c>
      <c r="DB57">
        <f ca="1"/>
        <v>3</v>
      </c>
    </row>
    <row r="58" spans="3:106">
      <c r="BH58">
        <v>4154.4938617886182</v>
      </c>
      <c r="BI58">
        <v>6</v>
      </c>
      <c r="DA58">
        <f ca="1"/>
        <v>4990.0642883211685</v>
      </c>
      <c r="DB58">
        <f ca="1"/>
        <v>3</v>
      </c>
    </row>
    <row r="59" spans="3:106">
      <c r="R59"/>
      <c r="BH59">
        <v>4182.2002090592341</v>
      </c>
      <c r="BI59">
        <v>6</v>
      </c>
      <c r="DA59">
        <f ca="1"/>
        <v>5024.4311222627739</v>
      </c>
      <c r="DB59">
        <f ca="1"/>
        <v>3</v>
      </c>
    </row>
    <row r="60" spans="3:106">
      <c r="R60"/>
      <c r="BH60">
        <v>5745.4214866434386</v>
      </c>
      <c r="BI60">
        <v>6</v>
      </c>
      <c r="DA60">
        <f ca="1"/>
        <v>5872.146359489052</v>
      </c>
      <c r="DB60">
        <f ca="1"/>
        <v>3</v>
      </c>
    </row>
    <row r="61" spans="3:106">
      <c r="R61"/>
      <c r="BH61">
        <v>6058.9406794425095</v>
      </c>
      <c r="BI61">
        <v>6</v>
      </c>
      <c r="DA61">
        <f ca="1"/>
        <v>6385.3577463503652</v>
      </c>
      <c r="DB61">
        <f ca="1"/>
        <v>3</v>
      </c>
    </row>
    <row r="62" spans="3:106">
      <c r="R62"/>
      <c r="BH62">
        <v>7604.6632113821142</v>
      </c>
      <c r="BI62">
        <v>6</v>
      </c>
      <c r="DA62">
        <f ca="1"/>
        <v>6269.6698036215257</v>
      </c>
      <c r="DB62">
        <f ca="1"/>
        <v>3</v>
      </c>
    </row>
    <row r="63" spans="3:106">
      <c r="R63"/>
      <c r="BH63">
        <v>8202.5370209059238</v>
      </c>
      <c r="BI63">
        <v>6</v>
      </c>
      <c r="DA63">
        <f ca="1"/>
        <v>6588.8523981403214</v>
      </c>
      <c r="DB63">
        <f ca="1"/>
        <v>3</v>
      </c>
    </row>
    <row r="64" spans="3:106">
      <c r="R64"/>
      <c r="BH64">
        <v>6747.7326652507072</v>
      </c>
      <c r="BI64">
        <v>6</v>
      </c>
      <c r="DA64">
        <f ca="1"/>
        <v>4368.5100898075552</v>
      </c>
      <c r="DB64">
        <f ca="1"/>
        <v>3</v>
      </c>
    </row>
    <row r="65" spans="2:106">
      <c r="R65"/>
      <c r="BH65">
        <v>5635.4997213114757</v>
      </c>
      <c r="BI65">
        <v>6</v>
      </c>
      <c r="DA65">
        <f ca="1"/>
        <v>4003.0410836087576</v>
      </c>
      <c r="DB65">
        <f ca="1"/>
        <v>3</v>
      </c>
    </row>
    <row r="66" spans="2:106">
      <c r="R66"/>
      <c r="BH66">
        <v>6402.781053456878</v>
      </c>
      <c r="BI66">
        <v>6</v>
      </c>
      <c r="DA66">
        <f ca="1"/>
        <v>4930.4048403441639</v>
      </c>
      <c r="DB66">
        <f ca="1"/>
        <v>3</v>
      </c>
    </row>
    <row r="67" spans="2:106">
      <c r="G67" s="1" t="s">
        <v>787</v>
      </c>
      <c r="R67"/>
      <c r="BH67">
        <v>6515.7165609408394</v>
      </c>
      <c r="BI67">
        <v>6</v>
      </c>
      <c r="DA67">
        <f ca="1"/>
        <v>6226.9853411269696</v>
      </c>
      <c r="DB67">
        <f ca="1"/>
        <v>3</v>
      </c>
    </row>
    <row r="68" spans="2:106">
      <c r="B68" t="s">
        <v>784</v>
      </c>
      <c r="R68"/>
      <c r="Y68" s="13"/>
      <c r="BH68">
        <v>6750.8944640057016</v>
      </c>
      <c r="BI68">
        <v>6</v>
      </c>
      <c r="DA68">
        <f ca="1"/>
        <v>7781.5816956501385</v>
      </c>
      <c r="DB68">
        <f ca="1"/>
        <v>3</v>
      </c>
    </row>
    <row r="69" spans="2:106">
      <c r="R69"/>
      <c r="BH69">
        <v>8603.6378615167214</v>
      </c>
      <c r="BI69">
        <v>6</v>
      </c>
      <c r="DA69">
        <f ca="1"/>
        <v>7985.1155612479279</v>
      </c>
      <c r="DB69">
        <f ca="1"/>
        <v>3</v>
      </c>
    </row>
    <row r="70" spans="2:106">
      <c r="C70" t="s">
        <v>785</v>
      </c>
      <c r="R70"/>
      <c r="BH70">
        <v>5575.9296513672143</v>
      </c>
      <c r="BI70">
        <v>6</v>
      </c>
      <c r="DA70">
        <f ca="1"/>
        <v>5422.5833919009383</v>
      </c>
      <c r="DB70">
        <f ca="1"/>
        <v>3</v>
      </c>
    </row>
    <row r="71" spans="2:106">
      <c r="R71"/>
      <c r="BH71">
        <v>7924.8639972798692</v>
      </c>
      <c r="BI71">
        <v>6</v>
      </c>
      <c r="DA71">
        <f ca="1"/>
        <v>13440.489466307758</v>
      </c>
      <c r="DB71">
        <f ca="1"/>
        <v>3</v>
      </c>
    </row>
    <row r="72" spans="2:106">
      <c r="C72" t="s">
        <v>786</v>
      </c>
      <c r="J72" t="s">
        <v>793</v>
      </c>
      <c r="R72"/>
      <c r="BH72">
        <v>11734.969398518611</v>
      </c>
      <c r="BI72">
        <v>6</v>
      </c>
      <c r="DA72">
        <f ca="1"/>
        <v>8732.0979401957429</v>
      </c>
      <c r="DB72">
        <f ca="1"/>
        <v>3</v>
      </c>
    </row>
    <row r="73" spans="2:106">
      <c r="R73"/>
      <c r="BH73">
        <v>3438.9745164233582</v>
      </c>
      <c r="BI73">
        <v>6</v>
      </c>
      <c r="DA73">
        <f ca="1"/>
        <v>3164.356504065041</v>
      </c>
      <c r="DB73">
        <f ca="1"/>
        <v>4</v>
      </c>
    </row>
    <row r="74" spans="2:106">
      <c r="R74"/>
      <c r="BH74">
        <v>3489.3792062043799</v>
      </c>
      <c r="BI74">
        <v>6</v>
      </c>
      <c r="DA74">
        <f ca="1"/>
        <v>4301.7749709639957</v>
      </c>
      <c r="DB74">
        <f ca="1"/>
        <v>4</v>
      </c>
    </row>
    <row r="75" spans="2:106">
      <c r="R75"/>
      <c r="BH75">
        <v>3161.7487226277376</v>
      </c>
      <c r="BI75">
        <v>6</v>
      </c>
      <c r="DA75">
        <f ca="1"/>
        <v>4411.9741663617315</v>
      </c>
      <c r="DB75">
        <f ca="1"/>
        <v>4</v>
      </c>
    </row>
    <row r="76" spans="2:106">
      <c r="R76"/>
      <c r="BH76">
        <v>4291.2719981751834</v>
      </c>
      <c r="BI76">
        <v>6</v>
      </c>
      <c r="DA76">
        <f ca="1"/>
        <v>7004.1127811414517</v>
      </c>
      <c r="DB76">
        <f ca="1"/>
        <v>4</v>
      </c>
    </row>
    <row r="77" spans="2:106">
      <c r="R77"/>
      <c r="BH77">
        <v>4990.0642883211685</v>
      </c>
      <c r="BI77">
        <v>6</v>
      </c>
      <c r="DA77">
        <f ca="1"/>
        <v>4759.3274294038556</v>
      </c>
      <c r="DB77">
        <f ca="1"/>
        <v>6</v>
      </c>
    </row>
    <row r="78" spans="2:106">
      <c r="R78"/>
      <c r="BH78">
        <v>5024.4311222627739</v>
      </c>
      <c r="BI78">
        <v>6</v>
      </c>
      <c r="DA78">
        <f ca="1"/>
        <v>5882.8595673719446</v>
      </c>
      <c r="DB78">
        <f ca="1"/>
        <v>6</v>
      </c>
    </row>
    <row r="79" spans="2:106">
      <c r="R79"/>
      <c r="BH79">
        <v>5872.146359489052</v>
      </c>
      <c r="BI79">
        <v>6</v>
      </c>
      <c r="DA79">
        <f ca="1"/>
        <v>6326.4153748480385</v>
      </c>
      <c r="DB79">
        <f ca="1"/>
        <v>6</v>
      </c>
    </row>
    <row r="80" spans="2:106">
      <c r="R80"/>
      <c r="BH80">
        <v>6385.3577463503652</v>
      </c>
      <c r="BI80">
        <v>6</v>
      </c>
      <c r="DA80">
        <f ca="1"/>
        <v>6445.5061993980289</v>
      </c>
      <c r="DB80">
        <f ca="1"/>
        <v>6</v>
      </c>
    </row>
    <row r="81" spans="60:106">
      <c r="BH81">
        <v>6269.6698036215257</v>
      </c>
      <c r="BI81">
        <v>6</v>
      </c>
      <c r="DA81">
        <f ca="1"/>
        <v>6730.1311012027963</v>
      </c>
      <c r="DB81">
        <f ca="1"/>
        <v>6</v>
      </c>
    </row>
    <row r="82" spans="60:106">
      <c r="BH82">
        <v>6588.8523981403214</v>
      </c>
      <c r="BI82">
        <v>6</v>
      </c>
      <c r="DA82">
        <f ca="1"/>
        <v>3438.9745164233582</v>
      </c>
      <c r="DB82">
        <f ca="1"/>
        <v>10</v>
      </c>
    </row>
    <row r="83" spans="60:106">
      <c r="BH83">
        <v>4368.5100898075552</v>
      </c>
      <c r="BI83">
        <v>6</v>
      </c>
      <c r="DA83">
        <f ca="1"/>
        <v>3489.3792062043799</v>
      </c>
      <c r="DB83">
        <f ca="1"/>
        <v>10</v>
      </c>
    </row>
    <row r="84" spans="60:106">
      <c r="BH84">
        <v>4003.0410836087576</v>
      </c>
      <c r="BI84">
        <v>6</v>
      </c>
      <c r="DA84">
        <f ca="1"/>
        <v>3438.9745164233582</v>
      </c>
      <c r="DB84">
        <f ca="1"/>
        <v>10</v>
      </c>
    </row>
    <row r="85" spans="60:106">
      <c r="BH85">
        <v>4930.4048403441639</v>
      </c>
      <c r="BI85">
        <v>6</v>
      </c>
      <c r="DA85">
        <f ca="1"/>
        <v>3489.3792062043799</v>
      </c>
      <c r="DB85">
        <f ca="1"/>
        <v>10</v>
      </c>
    </row>
    <row r="86" spans="60:106">
      <c r="BH86">
        <v>6226.9853411269696</v>
      </c>
      <c r="BI86">
        <v>6</v>
      </c>
      <c r="DA86">
        <f ca="1"/>
        <v>10528.958851803813</v>
      </c>
      <c r="DB86">
        <f ca="1"/>
        <v>13</v>
      </c>
    </row>
    <row r="87" spans="60:106">
      <c r="BH87">
        <v>7781.5816956501385</v>
      </c>
      <c r="BI87">
        <v>6</v>
      </c>
      <c r="DA87">
        <f ca="1"/>
        <v>8603.6378615167214</v>
      </c>
      <c r="DB87">
        <f ca="1"/>
        <v>13</v>
      </c>
    </row>
    <row r="88" spans="60:106">
      <c r="BH88">
        <v>7985.1155612479279</v>
      </c>
      <c r="BI88">
        <v>6</v>
      </c>
    </row>
    <row r="89" spans="60:106">
      <c r="BH89">
        <v>5422.5833919009383</v>
      </c>
      <c r="BI89">
        <v>6</v>
      </c>
    </row>
    <row r="90" spans="60:106">
      <c r="BH90">
        <v>13440.489466307758</v>
      </c>
      <c r="BI90">
        <v>6</v>
      </c>
    </row>
    <row r="91" spans="60:106">
      <c r="BH91">
        <v>8732.0979401957429</v>
      </c>
      <c r="BI91">
        <v>6</v>
      </c>
    </row>
    <row r="92" spans="60:106">
      <c r="BH92">
        <v>3164.356504065041</v>
      </c>
      <c r="BI92">
        <v>7</v>
      </c>
    </row>
    <row r="93" spans="60:106">
      <c r="BH93">
        <v>4301.7749709639957</v>
      </c>
      <c r="BI93">
        <v>7</v>
      </c>
    </row>
    <row r="94" spans="60:106">
      <c r="BH94">
        <v>4411.9741663617315</v>
      </c>
      <c r="BI94">
        <v>7</v>
      </c>
    </row>
    <row r="95" spans="60:106">
      <c r="BH95">
        <v>7004.1127811414517</v>
      </c>
      <c r="BI95">
        <v>7</v>
      </c>
    </row>
    <row r="96" spans="60:106">
      <c r="BH96">
        <v>4889.4686960519202</v>
      </c>
      <c r="BI96">
        <v>10</v>
      </c>
    </row>
    <row r="97" spans="60:61">
      <c r="BH97">
        <v>10235.799303075883</v>
      </c>
      <c r="BI97">
        <v>10</v>
      </c>
    </row>
    <row r="98" spans="60:61">
      <c r="BH98">
        <v>13426.85768887296</v>
      </c>
      <c r="BI98">
        <v>10</v>
      </c>
    </row>
    <row r="99" spans="60:61">
      <c r="BH99">
        <v>1872.7976918232519</v>
      </c>
      <c r="BI99">
        <v>11</v>
      </c>
    </row>
    <row r="100" spans="60:61">
      <c r="BH100">
        <v>2025.5610465989603</v>
      </c>
      <c r="BI100">
        <v>11</v>
      </c>
    </row>
    <row r="119" spans="1:153" s="81" customFormat="1" ht="20.399999999999999">
      <c r="A119" s="165" t="s">
        <v>723</v>
      </c>
      <c r="R119" s="164"/>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s="242"/>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s="234"/>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s="235"/>
      <c r="EV119"/>
      <c r="EW119"/>
    </row>
    <row r="121" spans="1:153">
      <c r="A121" s="81" t="s">
        <v>524</v>
      </c>
      <c r="B121" s="81" t="s">
        <v>3</v>
      </c>
      <c r="C121" s="81" t="s">
        <v>525</v>
      </c>
      <c r="D121" s="81" t="s">
        <v>526</v>
      </c>
      <c r="E121" s="81" t="s">
        <v>527</v>
      </c>
      <c r="F121" s="81" t="s">
        <v>528</v>
      </c>
      <c r="G121" s="81" t="s">
        <v>529</v>
      </c>
      <c r="H121" s="81" t="s">
        <v>530</v>
      </c>
      <c r="I121" s="81"/>
      <c r="J121" s="81" t="s">
        <v>661</v>
      </c>
      <c r="K121" s="81" t="s">
        <v>662</v>
      </c>
      <c r="L121" s="81" t="s">
        <v>663</v>
      </c>
      <c r="M121" s="81" t="s">
        <v>664</v>
      </c>
      <c r="N121" s="81" t="s">
        <v>703</v>
      </c>
      <c r="O121" s="504" t="s">
        <v>531</v>
      </c>
      <c r="P121" s="504"/>
    </row>
    <row r="122" spans="1:153">
      <c r="A122" t="s">
        <v>519</v>
      </c>
      <c r="B122" t="s">
        <v>388</v>
      </c>
      <c r="C122" t="s">
        <v>32</v>
      </c>
      <c r="D122" t="e" cm="1">
        <f t="array" ref="D122">_xlfn.LET(
 _xlpm.A,$A122,_xlpm.B,$B122,_xlpm.C,$C122,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22" t="e" cm="1">
        <f t="array" ref="E122">_xlfn.LET(
 _xlpm.A,$A122,_xlpm.B,$B122,_xlpm.C,$C122,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22" t="e" cm="1">
        <f t="array" ref="F122">_xlfn.LET(
 _xlpm.A,$A122,_xlpm.B,$B122,_xlpm.C,$C122,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22" t="e" cm="1">
        <f t="array" ref="G122">_xlfn.LET(
 _xlpm.A,$A122,_xlpm.B,$B122,_xlpm.C,$C122,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22" t="e">
        <f>MAX($D122-$G122,0)</f>
        <v>#N/A</v>
      </c>
      <c r="I122">
        <f>ROW()-ROW($A$122)+1</f>
        <v>1</v>
      </c>
      <c r="J122" t="e">
        <f>IF($C122="FOAK", $G122, NA())</f>
        <v>#N/A</v>
      </c>
      <c r="K122" t="e">
        <f>IF($C122="NOAK", $G122, NA())</f>
        <v>#N/A</v>
      </c>
      <c r="L122" t="e">
        <f>IF($C122="10th-OAK", $G122, NA())</f>
        <v>#N/A</v>
      </c>
      <c r="M122" t="e">
        <f>IF($C122="75th-OAK", $G122, NA())</f>
        <v>#N/A</v>
      </c>
      <c r="N122" t="e">
        <f>IF($C122="100th-OAK", $G122, NA())</f>
        <v>#N/A</v>
      </c>
      <c r="O122" t="e" cm="1">
        <f t="array" ref="O122">_xlfn.LET(
 _xlpm.A,$A122,_xlpm.B,$B122,_xlpm.C,$C122,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22" t="str">
        <f>IFERROR("n="&amp;O122,"")</f>
        <v/>
      </c>
    </row>
    <row r="123" spans="1:153">
      <c r="A123" t="s">
        <v>519</v>
      </c>
      <c r="B123" t="s">
        <v>388</v>
      </c>
      <c r="C123" t="s">
        <v>57</v>
      </c>
      <c r="D123" cm="1">
        <f t="array" ref="D123">_xlfn.LET(
 _xlpm.A,$A123,_xlpm.B,$B123,_xlpm.C,$C123,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2100.3070606742936</v>
      </c>
      <c r="E123" cm="1">
        <f t="array" ref="E123">_xlfn.LET(
 _xlpm.A,$A123,_xlpm.B,$B123,_xlpm.C,$C123,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2100.3070606742936</v>
      </c>
      <c r="F123" cm="1">
        <f t="array" ref="F123">_xlfn.LET(
 _xlpm.A,$A123,_xlpm.B,$B123,_xlpm.C,$C123,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2100.3070606742936</v>
      </c>
      <c r="G123" cm="1">
        <f t="array" ref="G123">_xlfn.LET(
 _xlpm.A,$A123,_xlpm.B,$B123,_xlpm.C,$C123,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2100.3070606742936</v>
      </c>
      <c r="H123">
        <f t="shared" ref="H123:H138" si="38">MAX($D123-$G123,0)</f>
        <v>0</v>
      </c>
      <c r="I123">
        <f t="shared" ref="I123:I141" si="39">ROW()-ROW($A$122)+1</f>
        <v>2</v>
      </c>
      <c r="J123" t="e">
        <f t="shared" ref="J123:J141" si="40">IF($C123="FOAK", $G123, NA())</f>
        <v>#N/A</v>
      </c>
      <c r="K123">
        <f t="shared" ref="K123:K141" si="41">IF($C123="NOAK", $G123, NA())</f>
        <v>2100.3070606742936</v>
      </c>
      <c r="L123" t="e">
        <f t="shared" ref="L123:L141" si="42">IF($C123="10th-OAK", $G123, NA())</f>
        <v>#N/A</v>
      </c>
      <c r="M123" t="e">
        <f t="shared" ref="M123:M141" si="43">IF($C123="75th-OAK", $G123, NA())</f>
        <v>#N/A</v>
      </c>
      <c r="N123" t="e">
        <f t="shared" ref="N123:N141" si="44">IF($C123="100th-OAK", $G123, NA())</f>
        <v>#N/A</v>
      </c>
      <c r="O123" cm="1">
        <f t="array" ref="O123">_xlfn.LET(
 _xlpm.A,$A123,_xlpm.B,$B123,_xlpm.C,$C123,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1</v>
      </c>
      <c r="P123" t="str">
        <f t="shared" ref="P123:P141" si="45">IFERROR("n="&amp;O123,"")</f>
        <v>n=1</v>
      </c>
    </row>
    <row r="124" spans="1:153">
      <c r="A124" t="s">
        <v>519</v>
      </c>
      <c r="B124" t="s">
        <v>388</v>
      </c>
      <c r="C124" t="s">
        <v>52</v>
      </c>
      <c r="D124" cm="1">
        <f t="array" ref="D124">_xlfn.LET(
 _xlpm.A,$A124,_xlpm.B,$B124,_xlpm.C,$C124,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8293.5403792883008</v>
      </c>
      <c r="E124" cm="1">
        <f t="array" ref="E124">_xlfn.LET(
 _xlpm.A,$A124,_xlpm.B,$B124,_xlpm.C,$C124,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4458.9761418676444</v>
      </c>
      <c r="F124" cm="1">
        <f t="array" ref="F124">_xlfn.LET(
 _xlpm.A,$A124,_xlpm.B,$B124,_xlpm.C,$C124,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4466.4024745136494</v>
      </c>
      <c r="G124" cm="1">
        <f t="array" ref="G124">_xlfn.LET(
 _xlpm.A,$A124,_xlpm.B,$B124,_xlpm.C,$C124,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8167.628781002586</v>
      </c>
      <c r="H124">
        <f t="shared" si="38"/>
        <v>125.91159828571472</v>
      </c>
      <c r="I124">
        <f t="shared" si="39"/>
        <v>3</v>
      </c>
      <c r="J124" t="e">
        <f t="shared" si="40"/>
        <v>#N/A</v>
      </c>
      <c r="K124" t="e">
        <f t="shared" si="41"/>
        <v>#N/A</v>
      </c>
      <c r="L124">
        <f t="shared" si="42"/>
        <v>8167.628781002586</v>
      </c>
      <c r="M124" t="e">
        <f t="shared" si="43"/>
        <v>#N/A</v>
      </c>
      <c r="N124" t="e">
        <f t="shared" si="44"/>
        <v>#N/A</v>
      </c>
      <c r="O124" cm="1">
        <f t="array" ref="O124">_xlfn.LET(
 _xlpm.A,$A124,_xlpm.B,$B124,_xlpm.C,$C124,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7</v>
      </c>
      <c r="P124" t="str">
        <f t="shared" si="45"/>
        <v>n=7</v>
      </c>
    </row>
    <row r="125" spans="1:153">
      <c r="A125" t="s">
        <v>518</v>
      </c>
      <c r="B125" t="s">
        <v>62</v>
      </c>
      <c r="C125" t="s">
        <v>32</v>
      </c>
      <c r="D125" cm="1">
        <f t="array" ref="D125">_xlfn.LET(
 _xlpm.A,$A125,_xlpm.B,$B125,_xlpm.C,$C125,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29106.993133985809</v>
      </c>
      <c r="E125" cm="1">
        <f t="array" ref="E125">_xlfn.LET(
 _xlpm.A,$A125,_xlpm.B,$B125,_xlpm.C,$C125,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11915.65033208227</v>
      </c>
      <c r="F125" cm="1">
        <f t="array" ref="F125">_xlfn.LET(
 _xlpm.A,$A125,_xlpm.B,$B125,_xlpm.C,$C125,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11606.754049520958</v>
      </c>
      <c r="G125" cm="1">
        <f t="array" ref="G125">_xlfn.LET(
 _xlpm.A,$A125,_xlpm.B,$B125,_xlpm.C,$C125,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27331.987939932962</v>
      </c>
      <c r="H125">
        <f t="shared" si="38"/>
        <v>1775.0051940528465</v>
      </c>
      <c r="I125">
        <f t="shared" si="39"/>
        <v>4</v>
      </c>
      <c r="J125">
        <f t="shared" si="40"/>
        <v>27331.987939932962</v>
      </c>
      <c r="K125" t="e">
        <f t="shared" si="41"/>
        <v>#N/A</v>
      </c>
      <c r="L125" t="e">
        <f t="shared" si="42"/>
        <v>#N/A</v>
      </c>
      <c r="M125" t="e">
        <f t="shared" si="43"/>
        <v>#N/A</v>
      </c>
      <c r="N125" t="e">
        <f t="shared" si="44"/>
        <v>#N/A</v>
      </c>
      <c r="O125" cm="1">
        <f t="array" ref="O125">_xlfn.LET(
 _xlpm.A,$A125,_xlpm.B,$B125,_xlpm.C,$C125,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18</v>
      </c>
      <c r="P125" t="str">
        <f t="shared" si="45"/>
        <v>n=18</v>
      </c>
    </row>
    <row r="126" spans="1:153">
      <c r="A126" t="s">
        <v>518</v>
      </c>
      <c r="B126" t="s">
        <v>62</v>
      </c>
      <c r="C126" t="s">
        <v>57</v>
      </c>
      <c r="D126" cm="1">
        <f t="array" ref="D126">_xlfn.LET(
 _xlpm.A,$A126,_xlpm.B,$B126,_xlpm.C,$C126,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15856.519626291001</v>
      </c>
      <c r="E126" cm="1">
        <f t="array" ref="E126">_xlfn.LET(
 _xlpm.A,$A126,_xlpm.B,$B126,_xlpm.C,$C126,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7678.8150836011937</v>
      </c>
      <c r="F126" cm="1">
        <f t="array" ref="F126">_xlfn.LET(
 _xlpm.A,$A126,_xlpm.B,$B126,_xlpm.C,$C126,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7502.812596837075</v>
      </c>
      <c r="G126" cm="1">
        <f t="array" ref="G126">_xlfn.LET(
 _xlpm.A,$A126,_xlpm.B,$B126,_xlpm.C,$C126,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15163.336584805127</v>
      </c>
      <c r="H126">
        <f t="shared" si="38"/>
        <v>693.18304148587413</v>
      </c>
      <c r="I126">
        <f t="shared" si="39"/>
        <v>5</v>
      </c>
      <c r="J126" t="e">
        <f t="shared" si="40"/>
        <v>#N/A</v>
      </c>
      <c r="K126">
        <f t="shared" si="41"/>
        <v>15163.336584805127</v>
      </c>
      <c r="L126" t="e">
        <f t="shared" si="42"/>
        <v>#N/A</v>
      </c>
      <c r="M126" t="e">
        <f t="shared" si="43"/>
        <v>#N/A</v>
      </c>
      <c r="N126" t="e">
        <f t="shared" si="44"/>
        <v>#N/A</v>
      </c>
      <c r="O126" cm="1">
        <f t="array" ref="O126">_xlfn.LET(
 _xlpm.A,$A126,_xlpm.B,$B126,_xlpm.C,$C126,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7</v>
      </c>
      <c r="P126" t="str">
        <f t="shared" si="45"/>
        <v>n=7</v>
      </c>
      <c r="BD126" t="s">
        <v>969</v>
      </c>
    </row>
    <row r="127" spans="1:153">
      <c r="A127" t="s">
        <v>518</v>
      </c>
      <c r="B127" t="s">
        <v>62</v>
      </c>
      <c r="C127" t="s">
        <v>52</v>
      </c>
      <c r="D127" cm="1">
        <f t="array" ref="D127">_xlfn.LET(
 _xlpm.A,$A127,_xlpm.B,$B127,_xlpm.C,$C127,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13440.489466307758</v>
      </c>
      <c r="E127" cm="1">
        <f t="array" ref="E127">_xlfn.LET(
 _xlpm.A,$A127,_xlpm.B,$B127,_xlpm.C,$C127,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5715.4644368060463</v>
      </c>
      <c r="F127" cm="1">
        <f t="array" ref="F127">_xlfn.LET(
 _xlpm.A,$A127,_xlpm.B,$B127,_xlpm.C,$C127,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5514.9683324615162</v>
      </c>
      <c r="G127" cm="1">
        <f t="array" ref="G127">_xlfn.LET(
 _xlpm.A,$A127,_xlpm.B,$B127,_xlpm.C,$C127,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11359.610466228252</v>
      </c>
      <c r="H127">
        <f t="shared" si="38"/>
        <v>2080.8790000795052</v>
      </c>
      <c r="I127">
        <f t="shared" si="39"/>
        <v>6</v>
      </c>
      <c r="J127" t="e">
        <f t="shared" si="40"/>
        <v>#N/A</v>
      </c>
      <c r="K127" t="e">
        <f t="shared" si="41"/>
        <v>#N/A</v>
      </c>
      <c r="L127">
        <f t="shared" si="42"/>
        <v>11359.610466228252</v>
      </c>
      <c r="M127" t="e">
        <f t="shared" si="43"/>
        <v>#N/A</v>
      </c>
      <c r="N127" t="e">
        <f t="shared" si="44"/>
        <v>#N/A</v>
      </c>
      <c r="O127" cm="1">
        <f t="array" ref="O127">_xlfn.LET(
 _xlpm.A,$A127,_xlpm.B,$B127,_xlpm.C,$C127,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46</v>
      </c>
      <c r="P127" t="str">
        <f t="shared" si="45"/>
        <v>n=46</v>
      </c>
    </row>
    <row r="128" spans="1:153">
      <c r="A128" t="s">
        <v>518</v>
      </c>
      <c r="B128" t="s">
        <v>62</v>
      </c>
      <c r="C128" t="s">
        <v>351</v>
      </c>
      <c r="D128" t="e" cm="1">
        <f t="array" ref="D128">_xlfn.LET(
 _xlpm.A,$A128,_xlpm.B,$B128,_xlpm.C,$C128,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28" t="e" cm="1">
        <f t="array" ref="E128">_xlfn.LET(
 _xlpm.A,$A128,_xlpm.B,$B128,_xlpm.C,$C128,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28" t="e" cm="1">
        <f t="array" ref="F128">_xlfn.LET(
 _xlpm.A,$A128,_xlpm.B,$B128,_xlpm.C,$C128,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28" t="e" cm="1">
        <f t="array" ref="G128">_xlfn.LET(
 _xlpm.A,$A128,_xlpm.B,$B128,_xlpm.C,$C128,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28" t="e">
        <f t="shared" si="38"/>
        <v>#N/A</v>
      </c>
      <c r="I128">
        <f t="shared" si="39"/>
        <v>7</v>
      </c>
      <c r="J128" t="e">
        <f t="shared" si="40"/>
        <v>#N/A</v>
      </c>
      <c r="K128" t="e">
        <f t="shared" si="41"/>
        <v>#N/A</v>
      </c>
      <c r="L128" t="e">
        <f t="shared" si="42"/>
        <v>#N/A</v>
      </c>
      <c r="M128" t="e">
        <f t="shared" si="43"/>
        <v>#N/A</v>
      </c>
      <c r="N128" t="e">
        <f t="shared" si="44"/>
        <v>#N/A</v>
      </c>
      <c r="O128" t="e" cm="1">
        <f t="array" ref="O128">_xlfn.LET(
 _xlpm.A,$A128,_xlpm.B,$B128,_xlpm.C,$C128,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28" t="str">
        <f t="shared" si="45"/>
        <v/>
      </c>
      <c r="BC128" t="s">
        <v>970</v>
      </c>
    </row>
    <row r="129" spans="1:41">
      <c r="A129" t="s">
        <v>518</v>
      </c>
      <c r="B129" t="s">
        <v>62</v>
      </c>
      <c r="C129" t="s">
        <v>702</v>
      </c>
      <c r="D129" t="e" cm="1">
        <f t="array" ref="D129">_xlfn.LET(
 _xlpm.A,$A129,_xlpm.B,$B129,_xlpm.C,$C129,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29" t="e" cm="1">
        <f t="array" ref="E129">_xlfn.LET(
 _xlpm.A,$A129,_xlpm.B,$B129,_xlpm.C,$C129,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29" t="e" cm="1">
        <f t="array" ref="F129">_xlfn.LET(
 _xlpm.A,$A129,_xlpm.B,$B129,_xlpm.C,$C129,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29" t="e" cm="1">
        <f t="array" ref="G129">_xlfn.LET(
 _xlpm.A,$A129,_xlpm.B,$B129,_xlpm.C,$C129,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29" t="e">
        <f t="shared" si="38"/>
        <v>#N/A</v>
      </c>
      <c r="I129">
        <f t="shared" si="39"/>
        <v>8</v>
      </c>
      <c r="J129" t="e">
        <f t="shared" si="40"/>
        <v>#N/A</v>
      </c>
      <c r="K129" t="e">
        <f t="shared" si="41"/>
        <v>#N/A</v>
      </c>
      <c r="L129" t="e">
        <f t="shared" si="42"/>
        <v>#N/A</v>
      </c>
      <c r="M129" t="e">
        <f t="shared" si="43"/>
        <v>#N/A</v>
      </c>
      <c r="N129" t="e">
        <f t="shared" si="44"/>
        <v>#N/A</v>
      </c>
      <c r="O129" t="e" cm="1">
        <f t="array" ref="O129">_xlfn.LET(
 _xlpm.A,$A129,_xlpm.B,$B129,_xlpm.C,$C129,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29" t="str">
        <f t="shared" si="45"/>
        <v/>
      </c>
    </row>
    <row r="130" spans="1:41">
      <c r="A130" t="s">
        <v>518</v>
      </c>
      <c r="B130" t="s">
        <v>521</v>
      </c>
      <c r="C130" t="s">
        <v>32</v>
      </c>
      <c r="D130" t="e" cm="1">
        <f t="array" ref="D130">_xlfn.LET(
 _xlpm.A,$A130,_xlpm.B,$B130,_xlpm.C,$C130,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0" t="e" cm="1">
        <f t="array" ref="E130">_xlfn.LET(
 _xlpm.A,$A130,_xlpm.B,$B130,_xlpm.C,$C130,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0" t="e" cm="1">
        <f t="array" ref="F130">_xlfn.LET(
 _xlpm.A,$A130,_xlpm.B,$B130,_xlpm.C,$C130,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0" t="e" cm="1">
        <f t="array" ref="G130">_xlfn.LET(
 _xlpm.A,$A130,_xlpm.B,$B130,_xlpm.C,$C130,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0" t="e">
        <f t="shared" si="38"/>
        <v>#N/A</v>
      </c>
      <c r="I130">
        <f t="shared" si="39"/>
        <v>9</v>
      </c>
      <c r="J130" t="e">
        <f t="shared" si="40"/>
        <v>#N/A</v>
      </c>
      <c r="K130" t="e">
        <f t="shared" si="41"/>
        <v>#N/A</v>
      </c>
      <c r="L130" t="e">
        <f t="shared" si="42"/>
        <v>#N/A</v>
      </c>
      <c r="M130" t="e">
        <f t="shared" si="43"/>
        <v>#N/A</v>
      </c>
      <c r="N130" t="e">
        <f t="shared" si="44"/>
        <v>#N/A</v>
      </c>
      <c r="O130" t="e" cm="1">
        <f t="array" ref="O130">_xlfn.LET(
 _xlpm.A,$A130,_xlpm.B,$B130,_xlpm.C,$C130,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0" t="str">
        <f t="shared" si="45"/>
        <v/>
      </c>
    </row>
    <row r="131" spans="1:41">
      <c r="A131" t="s">
        <v>518</v>
      </c>
      <c r="B131" t="s">
        <v>521</v>
      </c>
      <c r="C131" t="s">
        <v>57</v>
      </c>
      <c r="D131" cm="1">
        <f t="array" ref="D131">_xlfn.LET(
 _xlpm.A,$A131,_xlpm.B,$B131,_xlpm.C,$C131,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6730.1311012027963</v>
      </c>
      <c r="E131" cm="1">
        <f t="array" ref="E131">_xlfn.LET(
 _xlpm.A,$A131,_xlpm.B,$B131,_xlpm.C,$C131,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5888.4655024637586</v>
      </c>
      <c r="F131" cm="1">
        <f t="array" ref="F131">_xlfn.LET(
 _xlpm.A,$A131,_xlpm.B,$B131,_xlpm.C,$C131,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6326.4153748480385</v>
      </c>
      <c r="G131" cm="1">
        <f t="array" ref="G131">_xlfn.LET(
 _xlpm.A,$A131,_xlpm.B,$B131,_xlpm.C,$C131,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6701.66861102232</v>
      </c>
      <c r="H131">
        <f t="shared" si="38"/>
        <v>28.462490180476379</v>
      </c>
      <c r="I131">
        <f t="shared" si="39"/>
        <v>10</v>
      </c>
      <c r="J131" t="e">
        <f t="shared" si="40"/>
        <v>#N/A</v>
      </c>
      <c r="K131">
        <f t="shared" si="41"/>
        <v>6701.66861102232</v>
      </c>
      <c r="L131" t="e">
        <f t="shared" si="42"/>
        <v>#N/A</v>
      </c>
      <c r="M131" t="e">
        <f t="shared" si="43"/>
        <v>#N/A</v>
      </c>
      <c r="N131" t="e">
        <f t="shared" si="44"/>
        <v>#N/A</v>
      </c>
      <c r="O131" cm="1">
        <f t="array" ref="O131">_xlfn.LET(
 _xlpm.A,$A131,_xlpm.B,$B131,_xlpm.C,$C131,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5</v>
      </c>
      <c r="P131" t="str">
        <f t="shared" si="45"/>
        <v>n=5</v>
      </c>
    </row>
    <row r="132" spans="1:41">
      <c r="A132" t="s">
        <v>518</v>
      </c>
      <c r="B132" t="s">
        <v>521</v>
      </c>
      <c r="C132" t="s">
        <v>52</v>
      </c>
      <c r="D132" t="e" cm="1">
        <f t="array" ref="D132">_xlfn.LET(
 _xlpm.A,$A132,_xlpm.B,$B132,_xlpm.C,$C132,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2" t="e" cm="1">
        <f t="array" ref="E132">_xlfn.LET(
 _xlpm.A,$A132,_xlpm.B,$B132,_xlpm.C,$C132,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2" t="e" cm="1">
        <f t="array" ref="F132">_xlfn.LET(
 _xlpm.A,$A132,_xlpm.B,$B132,_xlpm.C,$C132,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2" t="e" cm="1">
        <f t="array" ref="G132">_xlfn.LET(
 _xlpm.A,$A132,_xlpm.B,$B132,_xlpm.C,$C132,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2" t="e">
        <f t="shared" si="38"/>
        <v>#N/A</v>
      </c>
      <c r="I132">
        <f t="shared" si="39"/>
        <v>11</v>
      </c>
      <c r="J132" t="e">
        <f t="shared" si="40"/>
        <v>#N/A</v>
      </c>
      <c r="K132" t="e">
        <f t="shared" si="41"/>
        <v>#N/A</v>
      </c>
      <c r="L132" t="e">
        <f t="shared" si="42"/>
        <v>#N/A</v>
      </c>
      <c r="M132" t="e">
        <f t="shared" si="43"/>
        <v>#N/A</v>
      </c>
      <c r="N132" t="e">
        <f t="shared" si="44"/>
        <v>#N/A</v>
      </c>
      <c r="O132" t="e" cm="1">
        <f t="array" ref="O132">_xlfn.LET(
 _xlpm.A,$A132,_xlpm.B,$B132,_xlpm.C,$C132,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2" t="str">
        <f t="shared" si="45"/>
        <v/>
      </c>
    </row>
    <row r="133" spans="1:41">
      <c r="A133" t="s">
        <v>518</v>
      </c>
      <c r="B133" t="s">
        <v>523</v>
      </c>
      <c r="C133" t="s">
        <v>32</v>
      </c>
      <c r="D133" t="e" cm="1">
        <f t="array" ref="D133">_xlfn.LET(
 _xlpm.A,$A133,_xlpm.B,$B133,_xlpm.C,$C133,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3" t="e" cm="1">
        <f t="array" ref="E133">_xlfn.LET(
 _xlpm.A,$A133,_xlpm.B,$B133,_xlpm.C,$C133,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3" t="e" cm="1">
        <f t="array" ref="F133">_xlfn.LET(
 _xlpm.A,$A133,_xlpm.B,$B133,_xlpm.C,$C133,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3" t="e" cm="1">
        <f t="array" ref="G133">_xlfn.LET(
 _xlpm.A,$A133,_xlpm.B,$B133,_xlpm.C,$C133,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3" t="e">
        <f t="shared" si="38"/>
        <v>#N/A</v>
      </c>
      <c r="I133">
        <f t="shared" si="39"/>
        <v>12</v>
      </c>
      <c r="J133" t="e">
        <f t="shared" si="40"/>
        <v>#N/A</v>
      </c>
      <c r="K133" t="e">
        <f t="shared" si="41"/>
        <v>#N/A</v>
      </c>
      <c r="L133" t="e">
        <f t="shared" si="42"/>
        <v>#N/A</v>
      </c>
      <c r="M133" t="e">
        <f t="shared" si="43"/>
        <v>#N/A</v>
      </c>
      <c r="N133" t="e">
        <f t="shared" si="44"/>
        <v>#N/A</v>
      </c>
      <c r="O133" t="e" cm="1">
        <f t="array" ref="O133">_xlfn.LET(
 _xlpm.A,$A133,_xlpm.B,$B133,_xlpm.C,$C133,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3" t="str">
        <f t="shared" si="45"/>
        <v/>
      </c>
      <c r="AO133" t="s">
        <v>971</v>
      </c>
    </row>
    <row r="134" spans="1:41">
      <c r="A134" t="s">
        <v>518</v>
      </c>
      <c r="B134" t="s">
        <v>523</v>
      </c>
      <c r="C134" t="s">
        <v>57</v>
      </c>
      <c r="D134" t="e" cm="1">
        <f t="array" ref="D134">_xlfn.LET(
 _xlpm.A,$A134,_xlpm.B,$B134,_xlpm.C,$C134,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4" t="e" cm="1">
        <f t="array" ref="E134">_xlfn.LET(
 _xlpm.A,$A134,_xlpm.B,$B134,_xlpm.C,$C134,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4" t="e" cm="1">
        <f t="array" ref="F134">_xlfn.LET(
 _xlpm.A,$A134,_xlpm.B,$B134,_xlpm.C,$C134,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4" t="e" cm="1">
        <f t="array" ref="G134">_xlfn.LET(
 _xlpm.A,$A134,_xlpm.B,$B134,_xlpm.C,$C134,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4" t="e">
        <f t="shared" si="38"/>
        <v>#N/A</v>
      </c>
      <c r="I134">
        <f t="shared" si="39"/>
        <v>13</v>
      </c>
      <c r="J134" t="e">
        <f t="shared" si="40"/>
        <v>#N/A</v>
      </c>
      <c r="K134" t="e">
        <f t="shared" si="41"/>
        <v>#N/A</v>
      </c>
      <c r="L134" t="e">
        <f t="shared" si="42"/>
        <v>#N/A</v>
      </c>
      <c r="M134" t="e">
        <f t="shared" si="43"/>
        <v>#N/A</v>
      </c>
      <c r="N134" t="e">
        <f t="shared" si="44"/>
        <v>#N/A</v>
      </c>
      <c r="O134" t="e" cm="1">
        <f t="array" ref="O134">_xlfn.LET(
 _xlpm.A,$A134,_xlpm.B,$B134,_xlpm.C,$C134,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4" t="str">
        <f t="shared" si="45"/>
        <v/>
      </c>
      <c r="AO134" t="s">
        <v>972</v>
      </c>
    </row>
    <row r="135" spans="1:41">
      <c r="A135" t="s">
        <v>518</v>
      </c>
      <c r="B135" t="s">
        <v>523</v>
      </c>
      <c r="C135" t="s">
        <v>52</v>
      </c>
      <c r="D135" cm="1">
        <f t="array" ref="D135">_xlfn.LET(
 _xlpm.A,$A135,_xlpm.B,$B135,_xlpm.C,$C135,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3489.3792062043799</v>
      </c>
      <c r="E135" cm="1">
        <f t="array" ref="E135">_xlfn.LET(
 _xlpm.A,$A135,_xlpm.B,$B135,_xlpm.C,$C135,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3238.262659861618</v>
      </c>
      <c r="F135" cm="1">
        <f t="array" ref="F135">_xlfn.LET(
 _xlpm.A,$A135,_xlpm.B,$B135,_xlpm.C,$C135,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3236.5920498783457</v>
      </c>
      <c r="G135" cm="1">
        <f t="array" ref="G135">_xlfn.LET(
 _xlpm.A,$A135,_xlpm.B,$B135,_xlpm.C,$C135,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3485.5988544708034</v>
      </c>
      <c r="H135">
        <f t="shared" si="38"/>
        <v>3.7803517335764809</v>
      </c>
      <c r="I135">
        <f t="shared" si="39"/>
        <v>14</v>
      </c>
      <c r="J135" t="e">
        <f t="shared" si="40"/>
        <v>#N/A</v>
      </c>
      <c r="K135" t="e">
        <f t="shared" si="41"/>
        <v>#N/A</v>
      </c>
      <c r="L135">
        <f t="shared" si="42"/>
        <v>3485.5988544708034</v>
      </c>
      <c r="M135" t="e">
        <f t="shared" si="43"/>
        <v>#N/A</v>
      </c>
      <c r="N135" t="e">
        <f t="shared" si="44"/>
        <v>#N/A</v>
      </c>
      <c r="O135" cm="1">
        <f t="array" ref="O135">_xlfn.LET(
 _xlpm.A,$A135,_xlpm.B,$B135,_xlpm.C,$C135,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4</v>
      </c>
      <c r="P135" t="str">
        <f t="shared" si="45"/>
        <v>n=4</v>
      </c>
      <c r="AO135" t="s">
        <v>973</v>
      </c>
    </row>
    <row r="136" spans="1:41">
      <c r="A136" t="s">
        <v>518</v>
      </c>
      <c r="B136" t="s">
        <v>522</v>
      </c>
      <c r="C136" t="s">
        <v>32</v>
      </c>
      <c r="D136" t="e" cm="1">
        <f t="array" ref="D136">_xlfn.LET(
 _xlpm.A,$A136,_xlpm.B,$B136,_xlpm.C,$C136,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6" t="e" cm="1">
        <f t="array" ref="E136">_xlfn.LET(
 _xlpm.A,$A136,_xlpm.B,$B136,_xlpm.C,$C136,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6" t="e" cm="1">
        <f t="array" ref="F136">_xlfn.LET(
 _xlpm.A,$A136,_xlpm.B,$B136,_xlpm.C,$C136,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6" t="e" cm="1">
        <f t="array" ref="G136">_xlfn.LET(
 _xlpm.A,$A136,_xlpm.B,$B136,_xlpm.C,$C136,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6" t="e">
        <f t="shared" si="38"/>
        <v>#N/A</v>
      </c>
      <c r="I136">
        <f t="shared" si="39"/>
        <v>15</v>
      </c>
      <c r="J136" t="e">
        <f t="shared" si="40"/>
        <v>#N/A</v>
      </c>
      <c r="K136" t="e">
        <f t="shared" si="41"/>
        <v>#N/A</v>
      </c>
      <c r="L136" t="e">
        <f t="shared" si="42"/>
        <v>#N/A</v>
      </c>
      <c r="M136" t="e">
        <f t="shared" si="43"/>
        <v>#N/A</v>
      </c>
      <c r="N136" t="e">
        <f t="shared" si="44"/>
        <v>#N/A</v>
      </c>
      <c r="O136" t="e" cm="1">
        <f t="array" ref="O136">_xlfn.LET(
 _xlpm.A,$A136,_xlpm.B,$B136,_xlpm.C,$C136,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6" t="str">
        <f t="shared" si="45"/>
        <v/>
      </c>
    </row>
    <row r="137" spans="1:41">
      <c r="A137" t="s">
        <v>518</v>
      </c>
      <c r="B137" t="s">
        <v>522</v>
      </c>
      <c r="C137" t="s">
        <v>57</v>
      </c>
      <c r="D137" t="e" cm="1">
        <f t="array" ref="D137">_xlfn.LET(
 _xlpm.A,$A137,_xlpm.B,$B137,_xlpm.C,$C137,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7" t="e" cm="1">
        <f t="array" ref="E137">_xlfn.LET(
 _xlpm.A,$A137,_xlpm.B,$B137,_xlpm.C,$C137,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7" t="e" cm="1">
        <f t="array" ref="F137">_xlfn.LET(
 _xlpm.A,$A137,_xlpm.B,$B137,_xlpm.C,$C137,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7" t="e" cm="1">
        <f t="array" ref="G137">_xlfn.LET(
 _xlpm.A,$A137,_xlpm.B,$B137,_xlpm.C,$C137,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7" t="e">
        <f t="shared" si="38"/>
        <v>#N/A</v>
      </c>
      <c r="I137">
        <f t="shared" si="39"/>
        <v>16</v>
      </c>
      <c r="J137" t="e">
        <f t="shared" si="40"/>
        <v>#N/A</v>
      </c>
      <c r="K137" t="e">
        <f t="shared" si="41"/>
        <v>#N/A</v>
      </c>
      <c r="L137" t="e">
        <f t="shared" si="42"/>
        <v>#N/A</v>
      </c>
      <c r="M137" t="e">
        <f t="shared" si="43"/>
        <v>#N/A</v>
      </c>
      <c r="N137" t="e">
        <f t="shared" si="44"/>
        <v>#N/A</v>
      </c>
      <c r="O137" t="e" cm="1">
        <f t="array" ref="O137">_xlfn.LET(
 _xlpm.A,$A137,_xlpm.B,$B137,_xlpm.C,$C137,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7" t="str">
        <f t="shared" si="45"/>
        <v/>
      </c>
    </row>
    <row r="138" spans="1:41">
      <c r="A138" t="s">
        <v>518</v>
      </c>
      <c r="B138" t="s">
        <v>522</v>
      </c>
      <c r="C138" t="s">
        <v>52</v>
      </c>
      <c r="D138" cm="1">
        <f t="array" ref="D138">_xlfn.LET(
 _xlpm.A,$A138,_xlpm.B,$B138,_xlpm.C,$C138,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9679.6293311032641</v>
      </c>
      <c r="E138" cm="1">
        <f t="array" ref="E138">_xlfn.LET(
 _xlpm.A,$A138,_xlpm.B,$B138,_xlpm.C,$C138,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9141.6335963099918</v>
      </c>
      <c r="F138" cm="1">
        <f t="array" ref="F138">_xlfn.LET(
 _xlpm.A,$A138,_xlpm.B,$B138,_xlpm.C,$C138,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9141.6335963099918</v>
      </c>
      <c r="G138" cm="1">
        <f t="array" ref="G138">_xlfn.LET(
 _xlpm.A,$A138,_xlpm.B,$B138,_xlpm.C,$C138,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9652.7295443636012</v>
      </c>
      <c r="H138">
        <f t="shared" si="38"/>
        <v>26.899786739662886</v>
      </c>
      <c r="I138">
        <f t="shared" si="39"/>
        <v>17</v>
      </c>
      <c r="J138" t="e">
        <f t="shared" si="40"/>
        <v>#N/A</v>
      </c>
      <c r="K138" t="e">
        <f t="shared" si="41"/>
        <v>#N/A</v>
      </c>
      <c r="L138">
        <f t="shared" si="42"/>
        <v>9652.7295443636012</v>
      </c>
      <c r="M138" t="e">
        <f t="shared" si="43"/>
        <v>#N/A</v>
      </c>
      <c r="N138" t="e">
        <f t="shared" si="44"/>
        <v>#N/A</v>
      </c>
      <c r="O138" cm="1">
        <f t="array" ref="O138">_xlfn.LET(
 _xlpm.A,$A138,_xlpm.B,$B138,_xlpm.C,$C138,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2</v>
      </c>
      <c r="P138" t="str">
        <f t="shared" si="45"/>
        <v>n=2</v>
      </c>
    </row>
    <row r="139" spans="1:41">
      <c r="A139" t="s">
        <v>520</v>
      </c>
      <c r="B139" t="s">
        <v>470</v>
      </c>
      <c r="C139" t="s">
        <v>32</v>
      </c>
      <c r="D139" t="e" cm="1">
        <f t="array" ref="D139">_xlfn.LET(
 _xlpm.A,$A139,_xlpm.B,$B139,_xlpm.C,$C139,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9" t="e" cm="1">
        <f t="array" ref="E139">_xlfn.LET(
 _xlpm.A,$A139,_xlpm.B,$B139,_xlpm.C,$C139,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9" t="e" cm="1">
        <f t="array" ref="F139">_xlfn.LET(
 _xlpm.A,$A139,_xlpm.B,$B139,_xlpm.C,$C139,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9" t="e" cm="1">
        <f t="array" ref="G139">_xlfn.LET(
 _xlpm.A,$A139,_xlpm.B,$B139,_xlpm.C,$C139,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9" t="e">
        <f>MAX($D139-$G139,0)</f>
        <v>#N/A</v>
      </c>
      <c r="I139">
        <f t="shared" si="39"/>
        <v>18</v>
      </c>
      <c r="J139" t="e">
        <f t="shared" si="40"/>
        <v>#N/A</v>
      </c>
      <c r="K139" t="e">
        <f t="shared" si="41"/>
        <v>#N/A</v>
      </c>
      <c r="L139" t="e">
        <f t="shared" si="42"/>
        <v>#N/A</v>
      </c>
      <c r="M139" t="e">
        <f t="shared" si="43"/>
        <v>#N/A</v>
      </c>
      <c r="N139" t="e">
        <f t="shared" si="44"/>
        <v>#N/A</v>
      </c>
      <c r="O139" t="e" cm="1">
        <f t="array" ref="O139">_xlfn.LET(
 _xlpm.A,$A139,_xlpm.B,$B139,_xlpm.C,$C139,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9" t="str">
        <f t="shared" si="45"/>
        <v/>
      </c>
    </row>
    <row r="140" spans="1:41">
      <c r="A140" t="s">
        <v>520</v>
      </c>
      <c r="B140" t="s">
        <v>470</v>
      </c>
      <c r="C140" t="s">
        <v>57</v>
      </c>
      <c r="D140" t="e" cm="1">
        <f t="array" ref="D140">_xlfn.LET(
 _xlpm.A,$A140,_xlpm.B,$B140,_xlpm.C,$C140,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40" t="e" cm="1">
        <f t="array" ref="E140">_xlfn.LET(
 _xlpm.A,$A140,_xlpm.B,$B140,_xlpm.C,$C140,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40" t="e" cm="1">
        <f t="array" ref="F140">_xlfn.LET(
 _xlpm.A,$A140,_xlpm.B,$B140,_xlpm.C,$C140,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40" t="e" cm="1">
        <f t="array" ref="G140">_xlfn.LET(
 _xlpm.A,$A140,_xlpm.B,$B140,_xlpm.C,$C140,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40" t="e">
        <f>MAX($D140-$G140,0)</f>
        <v>#N/A</v>
      </c>
      <c r="I140">
        <f t="shared" si="39"/>
        <v>19</v>
      </c>
      <c r="J140" t="e">
        <f t="shared" si="40"/>
        <v>#N/A</v>
      </c>
      <c r="K140" t="e">
        <f t="shared" si="41"/>
        <v>#N/A</v>
      </c>
      <c r="L140" t="e">
        <f t="shared" si="42"/>
        <v>#N/A</v>
      </c>
      <c r="M140" t="e">
        <f t="shared" si="43"/>
        <v>#N/A</v>
      </c>
      <c r="N140" t="e">
        <f t="shared" si="44"/>
        <v>#N/A</v>
      </c>
      <c r="O140" t="e" cm="1">
        <f t="array" ref="O140">_xlfn.LET(
 _xlpm.A,$A140,_xlpm.B,$B140,_xlpm.C,$C140,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40" t="str">
        <f t="shared" si="45"/>
        <v/>
      </c>
    </row>
    <row r="141" spans="1:41">
      <c r="A141" t="s">
        <v>520</v>
      </c>
      <c r="B141" t="s">
        <v>470</v>
      </c>
      <c r="C141" t="s">
        <v>52</v>
      </c>
      <c r="D141" cm="1">
        <f t="array" ref="D141">_xlfn.LET(
 _xlpm.A,$A141,_xlpm.B,$B141,_xlpm.C,$C141,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11955.13458635234</v>
      </c>
      <c r="E141" cm="1">
        <f t="array" ref="E141">_xlfn.LET(
 _xlpm.A,$A141,_xlpm.B,$B141,_xlpm.C,$C141,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8439.7391187201483</v>
      </c>
      <c r="F141" cm="1">
        <f t="array" ref="F141">_xlfn.LET(
 _xlpm.A,$A141,_xlpm.B,$B141,_xlpm.C,$C141,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9158.1631924624417</v>
      </c>
      <c r="G141" cm="1">
        <f t="array" ref="G141">_xlfn.LET(
 _xlpm.A,$A141,_xlpm.B,$B141,_xlpm.C,$C141,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11815.286016657847</v>
      </c>
      <c r="H141">
        <f>MAX($D141-$G141,0)</f>
        <v>139.84856969449356</v>
      </c>
      <c r="I141">
        <f t="shared" si="39"/>
        <v>20</v>
      </c>
      <c r="J141" t="e">
        <f t="shared" si="40"/>
        <v>#N/A</v>
      </c>
      <c r="K141" t="e">
        <f t="shared" si="41"/>
        <v>#N/A</v>
      </c>
      <c r="L141">
        <f t="shared" si="42"/>
        <v>11815.286016657847</v>
      </c>
      <c r="M141" t="e">
        <f t="shared" si="43"/>
        <v>#N/A</v>
      </c>
      <c r="N141" t="e">
        <f t="shared" si="44"/>
        <v>#N/A</v>
      </c>
      <c r="O141" cm="1">
        <f t="array" ref="O141">_xlfn.LET(
 _xlpm.A,$A141,_xlpm.B,$B141,_xlpm.C,$C141,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3</v>
      </c>
      <c r="P141" t="str">
        <f t="shared" si="45"/>
        <v>n=3</v>
      </c>
    </row>
  </sheetData>
  <mergeCells count="3">
    <mergeCell ref="O1:P1"/>
    <mergeCell ref="N55:O55"/>
    <mergeCell ref="O121:P121"/>
  </mergeCells>
  <hyperlinks>
    <hyperlink ref="G67" r:id="rId1" xr:uid="{4CEA7898-A63A-4D64-BB78-BDA3795A2B76}"/>
  </hyperlinks>
  <pageMargins left="0.7" right="0.7" top="0.78740157499999996" bottom="0.78740157499999996"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1256-C847-4E8C-AB9C-0180EE3B3500}">
  <sheetPr>
    <tabColor rgb="FFFFD1B7"/>
  </sheetPr>
  <dimension ref="A1:EI266"/>
  <sheetViews>
    <sheetView topLeftCell="S1" zoomScale="90" zoomScaleNormal="90" zoomScaleSheetLayoutView="50" workbookViewId="0">
      <selection activeCell="AB65" sqref="AB65"/>
    </sheetView>
  </sheetViews>
  <sheetFormatPr baseColWidth="10" defaultColWidth="11.41015625" defaultRowHeight="12.9"/>
  <cols>
    <col min="4" max="4" width="35.87890625" customWidth="1"/>
    <col min="5" max="5" width="18.29296875" customWidth="1"/>
    <col min="13" max="14" width="13.703125" customWidth="1"/>
    <col min="16" max="17" width="10.87890625" customWidth="1"/>
    <col min="18" max="18" width="10.87890625" style="124" customWidth="1"/>
    <col min="19" max="19" width="10.87890625" customWidth="1"/>
    <col min="21" max="21" width="23.1171875" customWidth="1"/>
    <col min="22" max="22" width="30" customWidth="1"/>
    <col min="23" max="23" width="14.703125" customWidth="1"/>
    <col min="24" max="24" width="8.87890625" customWidth="1"/>
    <col min="29" max="29" width="11.87890625" bestFit="1" customWidth="1"/>
    <col min="36" max="36" width="11.703125" bestFit="1" customWidth="1"/>
    <col min="37" max="37" width="11.703125" customWidth="1"/>
    <col min="38" max="38" width="11.703125" bestFit="1" customWidth="1"/>
    <col min="39" max="39" width="11.703125" customWidth="1"/>
    <col min="40" max="40" width="11.703125" bestFit="1" customWidth="1"/>
    <col min="41" max="41" width="17.87890625" customWidth="1"/>
    <col min="42" max="42" width="11.703125" bestFit="1" customWidth="1"/>
    <col min="43" max="49" width="11.703125" customWidth="1"/>
    <col min="50" max="50" width="11.703125" bestFit="1" customWidth="1"/>
    <col min="51" max="51" width="11.5859375" customWidth="1"/>
    <col min="52" max="52" width="29.5859375" customWidth="1"/>
    <col min="53" max="53" width="26.41015625" customWidth="1"/>
    <col min="54" max="54" width="11.5859375" customWidth="1"/>
    <col min="55" max="55" width="11.5859375" style="126" customWidth="1"/>
    <col min="56" max="57" width="11.5859375" customWidth="1"/>
    <col min="58" max="58" width="32.703125" customWidth="1"/>
    <col min="59" max="59" width="26.29296875" customWidth="1"/>
    <col min="60" max="60" width="9.41015625" customWidth="1"/>
    <col min="61" max="61" width="16" customWidth="1"/>
    <col min="62" max="62" width="13.5859375" customWidth="1"/>
    <col min="63" max="65" width="11.703125" customWidth="1"/>
    <col min="67" max="68" width="11.703125" bestFit="1" customWidth="1"/>
    <col min="79" max="81" width="11.41015625" customWidth="1"/>
    <col min="84" max="84" width="16" customWidth="1"/>
  </cols>
  <sheetData>
    <row r="1" spans="1:139">
      <c r="A1" s="81" t="s">
        <v>524</v>
      </c>
      <c r="B1" s="81" t="s">
        <v>3</v>
      </c>
      <c r="C1" s="81" t="s">
        <v>525</v>
      </c>
      <c r="D1" s="81" t="s">
        <v>526</v>
      </c>
      <c r="E1" s="81" t="s">
        <v>527</v>
      </c>
      <c r="F1" s="81" t="s">
        <v>528</v>
      </c>
      <c r="G1" s="81" t="s">
        <v>529</v>
      </c>
      <c r="H1" s="81" t="s">
        <v>530</v>
      </c>
      <c r="I1" s="81"/>
      <c r="J1" s="81" t="s">
        <v>661</v>
      </c>
      <c r="K1" s="81" t="s">
        <v>662</v>
      </c>
      <c r="L1" s="81" t="s">
        <v>663</v>
      </c>
      <c r="M1" s="81" t="s">
        <v>664</v>
      </c>
      <c r="N1" s="81" t="s">
        <v>703</v>
      </c>
      <c r="O1" s="504" t="s">
        <v>531</v>
      </c>
      <c r="P1" s="504"/>
      <c r="Q1" s="111"/>
      <c r="R1" s="125"/>
      <c r="S1" s="111"/>
      <c r="U1" s="118" t="s">
        <v>848</v>
      </c>
      <c r="V1" s="80" t="s">
        <v>652</v>
      </c>
      <c r="W1" s="80"/>
      <c r="X1" s="80"/>
      <c r="Y1" s="80" t="s">
        <v>532</v>
      </c>
      <c r="Z1" s="80" t="s">
        <v>533</v>
      </c>
      <c r="AA1" s="80" t="s">
        <v>534</v>
      </c>
      <c r="AB1" s="80" t="s">
        <v>535</v>
      </c>
      <c r="AC1" s="80" t="s">
        <v>536</v>
      </c>
      <c r="AD1" s="80" t="s">
        <v>537</v>
      </c>
      <c r="AE1" s="80" t="s">
        <v>838</v>
      </c>
      <c r="AF1" s="80" t="s">
        <v>538</v>
      </c>
      <c r="AG1" s="80" t="s">
        <v>539</v>
      </c>
      <c r="AH1" s="80" t="s">
        <v>540</v>
      </c>
      <c r="AI1" s="80" t="s">
        <v>541</v>
      </c>
      <c r="AJ1" s="80" t="s">
        <v>654</v>
      </c>
      <c r="AK1" s="80" t="s">
        <v>527</v>
      </c>
      <c r="AL1" s="80" t="s">
        <v>629</v>
      </c>
      <c r="AM1" s="80" t="s">
        <v>646</v>
      </c>
      <c r="AN1" s="80" t="s">
        <v>528</v>
      </c>
      <c r="AO1" s="80" t="s">
        <v>647</v>
      </c>
      <c r="AP1" s="80" t="s">
        <v>526</v>
      </c>
      <c r="AQ1" s="80" t="s">
        <v>655</v>
      </c>
      <c r="AR1" s="80" t="s">
        <v>657</v>
      </c>
      <c r="AS1" s="80" t="s">
        <v>658</v>
      </c>
      <c r="AT1" s="80" t="s">
        <v>656</v>
      </c>
      <c r="AU1" s="80" t="s">
        <v>659</v>
      </c>
      <c r="AV1" s="80" t="s">
        <v>660</v>
      </c>
      <c r="AW1" s="80" t="s">
        <v>649</v>
      </c>
      <c r="AX1" s="80" t="s">
        <v>650</v>
      </c>
      <c r="AY1" s="80" t="s">
        <v>651</v>
      </c>
      <c r="AZ1" s="80" t="s">
        <v>653</v>
      </c>
      <c r="BA1" s="80"/>
      <c r="BF1" s="117" t="s">
        <v>680</v>
      </c>
      <c r="BG1" s="119" t="s">
        <v>684</v>
      </c>
      <c r="BH1" s="119"/>
      <c r="BI1" s="119"/>
      <c r="BJ1" s="119"/>
      <c r="BK1" s="119" t="s">
        <v>677</v>
      </c>
      <c r="BL1" s="119" t="s">
        <v>678</v>
      </c>
      <c r="BM1" s="119" t="s">
        <v>679</v>
      </c>
      <c r="BN1" s="119" t="s">
        <v>542</v>
      </c>
      <c r="BO1" s="119" t="s">
        <v>543</v>
      </c>
      <c r="BP1" s="119" t="s">
        <v>544</v>
      </c>
      <c r="BQ1" s="119" t="s">
        <v>835</v>
      </c>
      <c r="BR1" s="119" t="s">
        <v>545</v>
      </c>
      <c r="BS1" s="119" t="s">
        <v>546</v>
      </c>
      <c r="BT1" s="119" t="s">
        <v>547</v>
      </c>
      <c r="BU1" s="119" t="s">
        <v>548</v>
      </c>
      <c r="BV1" s="119" t="s">
        <v>549</v>
      </c>
      <c r="BW1" s="119" t="s">
        <v>550</v>
      </c>
      <c r="BX1" s="119" t="s">
        <v>551</v>
      </c>
      <c r="BY1" s="119" t="s">
        <v>552</v>
      </c>
      <c r="BZ1" s="119" t="s">
        <v>553</v>
      </c>
      <c r="CA1" s="119" t="s">
        <v>681</v>
      </c>
      <c r="CB1" s="119" t="s">
        <v>682</v>
      </c>
      <c r="CC1" s="119" t="s">
        <v>683</v>
      </c>
      <c r="CD1" s="119" t="s">
        <v>541</v>
      </c>
      <c r="CE1" s="119" t="s">
        <v>676</v>
      </c>
      <c r="CF1" s="119" t="s">
        <v>527</v>
      </c>
      <c r="CG1" s="119" t="s">
        <v>629</v>
      </c>
      <c r="CH1" s="119" t="s">
        <v>646</v>
      </c>
      <c r="CI1" s="119" t="s">
        <v>528</v>
      </c>
      <c r="CJ1" s="119" t="s">
        <v>647</v>
      </c>
      <c r="CK1" s="119" t="s">
        <v>526</v>
      </c>
      <c r="CL1" s="119" t="s">
        <v>655</v>
      </c>
      <c r="CM1" s="119" t="s">
        <v>657</v>
      </c>
      <c r="CN1" s="119" t="s">
        <v>658</v>
      </c>
      <c r="CO1" s="119" t="s">
        <v>656</v>
      </c>
      <c r="CP1" s="119" t="s">
        <v>659</v>
      </c>
      <c r="CQ1" s="119" t="s">
        <v>660</v>
      </c>
      <c r="CR1" s="119" t="s">
        <v>649</v>
      </c>
      <c r="CS1" s="119" t="s">
        <v>650</v>
      </c>
      <c r="CT1" s="119" t="s">
        <v>651</v>
      </c>
      <c r="CU1" s="119" t="s">
        <v>653</v>
      </c>
      <c r="CV1" s="119"/>
      <c r="CW1" s="119"/>
      <c r="CX1" s="119"/>
      <c r="CY1" s="119"/>
      <c r="CZ1" s="118" t="s">
        <v>865</v>
      </c>
      <c r="DA1" s="80" t="s">
        <v>652</v>
      </c>
      <c r="DB1" s="80"/>
      <c r="DC1" s="80"/>
      <c r="DD1" s="80"/>
      <c r="DE1" s="80" t="s">
        <v>849</v>
      </c>
      <c r="DF1" s="80" t="s">
        <v>851</v>
      </c>
      <c r="DG1" s="80" t="s">
        <v>852</v>
      </c>
      <c r="DH1" s="80" t="s">
        <v>850</v>
      </c>
      <c r="DI1" s="80" t="s">
        <v>855</v>
      </c>
      <c r="DJ1" s="80" t="s">
        <v>856</v>
      </c>
      <c r="DK1" s="80" t="s">
        <v>857</v>
      </c>
      <c r="DL1" s="80" t="s">
        <v>858</v>
      </c>
      <c r="DM1" s="80" t="s">
        <v>859</v>
      </c>
      <c r="DN1" s="80" t="s">
        <v>853</v>
      </c>
      <c r="DO1" s="80" t="s">
        <v>860</v>
      </c>
      <c r="DP1" s="80" t="s">
        <v>854</v>
      </c>
      <c r="DQ1" s="80" t="s">
        <v>541</v>
      </c>
      <c r="DR1" s="80" t="s">
        <v>654</v>
      </c>
      <c r="DS1" s="80" t="s">
        <v>527</v>
      </c>
      <c r="DT1" s="80" t="s">
        <v>629</v>
      </c>
      <c r="DU1" s="80" t="s">
        <v>646</v>
      </c>
      <c r="DV1" s="80" t="s">
        <v>528</v>
      </c>
      <c r="DW1" s="80" t="s">
        <v>647</v>
      </c>
      <c r="DX1" s="80" t="s">
        <v>526</v>
      </c>
      <c r="DY1" s="80" t="s">
        <v>655</v>
      </c>
      <c r="DZ1" s="80" t="s">
        <v>657</v>
      </c>
      <c r="EA1" s="80" t="s">
        <v>658</v>
      </c>
      <c r="EB1" s="80" t="s">
        <v>656</v>
      </c>
      <c r="EC1" s="80" t="s">
        <v>659</v>
      </c>
      <c r="ED1" s="80" t="s">
        <v>660</v>
      </c>
      <c r="EE1" s="80"/>
      <c r="EF1" s="80" t="s">
        <v>649</v>
      </c>
      <c r="EG1" s="80" t="s">
        <v>650</v>
      </c>
      <c r="EH1" s="80" t="s">
        <v>651</v>
      </c>
      <c r="EI1" s="80" t="s">
        <v>653</v>
      </c>
    </row>
    <row r="2" spans="1:139" ht="22.5" customHeight="1">
      <c r="A2" t="s">
        <v>519</v>
      </c>
      <c r="B2" t="s">
        <v>388</v>
      </c>
      <c r="C2" t="s">
        <v>32</v>
      </c>
      <c r="D2" t="e" cm="1">
        <f t="array" ref="D2">_xlfn.LET(
 _xlpm.A,$A2,_xlpm.B,$B2,_xlpm.C,$C2,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2" t="e" cm="1">
        <f t="array" ref="E2">_xlfn.LET(
 _xlpm.A,$A2,_xlpm.B,$B2,_xlpm.C,$C2,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2" t="e" cm="1">
        <f t="array" ref="F2">_xlfn.LET(
 _xlpm.A,$A2,_xlpm.B,$B2,_xlpm.C,$C2,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2" t="e" cm="1">
        <f t="array" ref="G2">_xlfn.LET(
 _xlpm.A,$A2,_xlpm.B,$B2,_xlpm.C,$C2,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2" t="e">
        <f>MAX($D2-$G2,0)</f>
        <v>#N/A</v>
      </c>
      <c r="I2">
        <f>ROW()-ROW($A$2)+1</f>
        <v>1</v>
      </c>
      <c r="J2" t="e">
        <f>IF($C2="FOAK", $G2, NA())</f>
        <v>#N/A</v>
      </c>
      <c r="K2" t="e">
        <f>IF($C2="NOAK", $G2, NA())</f>
        <v>#N/A</v>
      </c>
      <c r="L2" t="e">
        <f>IF($C2="10th-OAK", $G2, NA())</f>
        <v>#N/A</v>
      </c>
      <c r="M2" t="e">
        <f>IF($C2="75th-OAK", $G2, NA())</f>
        <v>#N/A</v>
      </c>
      <c r="N2" t="e">
        <f>IF($C2="100th-OAK", $G2, NA())</f>
        <v>#N/A</v>
      </c>
      <c r="O2" t="e" cm="1">
        <f t="array" ref="O2">_xlfn.LET(
 _xlpm.A,$A2,_xlpm.B,$B2,_xlpm.C,$C2,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2" t="str">
        <f>IFERROR("n="&amp;O2,"")</f>
        <v/>
      </c>
      <c r="V2" t="s">
        <v>532</v>
      </c>
      <c r="W2" t="s">
        <v>519</v>
      </c>
      <c r="X2" t="s">
        <v>32</v>
      </c>
      <c r="Y2" t="e" cm="1" vm="1">
        <f t="array" ref="Y2">_xlfn.LET(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_xlpm.ct_raw,INDEX(Fusion[],,_xlpm.iCT),
  _xlpm.rt_raw,INDEX(Fusion[],,_xlpm.iRT),
  _xlpm.rd_raw,INDEX(Fusion[],,_xlpm.iRD),
  _xlpm.cost,  INDEX(Fusion[],,_xlpm.iCost),
  _xlpm.capMW, INDEX(Fusion[],,_xlpm.iCap),
  _xlpm.unit,  IF(_xlpm.iUnit&gt;0,INDEX(Fusion[],,_xlpm.iUnit),"MW"),
  _xlpm.ct, IFERROR(_xlfn.XLOOKUP(_xlpm.ct_raw, Map_Conf[From], Map_Conf[To], _xlpm.ct_raw), _xlpm.ct_raw),
  _xlpm.rd, IFERROR(
        _xlfn.XLOOKUP(TRIM(_xlpm.rd_raw),
          {"FOAK";"NOAK";"10th-OAK";"10th-of-a-kind";"10th OAK";"75th-OAK";"75th-of-a-kind";"75th OAK"},
          {"FOAK";"NOAK";"10th-OAK";"10th-OAK";"10th-OAK";"75th-OAK";"75th-OAK";"75th-OAK"}),
        TRIM(_xlpm.rd_raw)
      ),
  _xlpm.capOK,  ISNUMBER(_xlpm.capMW)*(_xlpm.capMW&gt;0),
  _xlpm.unitOK, IF(_xlpm.iUnit&gt;0, ISNUMBER(SEARCH("MW",_xlpm.unit))*NOT(ISNUMBER(SEARCH("FUS",_xlpm.unit))), TRUE),
  _xlpm.occZ, IF(ISNUMBER(_xlpm.occ), _xlpm.occ, NA()),
  _xlfn._xlws.FILTER(_xlpm.occZ, (_xlpm.cost="OCC")*_xlpm.capOK*_xlpm.unitOK*(_xlpm.ct="ICF")*(_xlpm.rd="FOAK"))
)</f>
        <v>#VALUE!</v>
      </c>
      <c r="Z2" cm="1">
        <f t="array" ref="Z2">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ICF")*(_xlpm.rd="NOAK")))</f>
        <v>2100.3070606742936</v>
      </c>
      <c r="AA2" cm="1">
        <f t="array" ref="AA2:AA8">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ICF")*(_xlpm.rd="10th-OAK")))</f>
        <v>1077.7935993975905</v>
      </c>
      <c r="AB2" cm="1">
        <f t="array" ref="AB2:AB19">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MCF")*(_xlpm.rd="FOAK")))</f>
        <v>12441.316506252808</v>
      </c>
      <c r="AC2" s="13" cm="1">
        <f t="array" ref="AC2:AC13">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MCF")*(_xlpm.rd="NOAK")))</f>
        <v>4057.4152694979834</v>
      </c>
      <c r="AD2" cm="1">
        <f t="array" ref="AD2:AD53">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MCF")*(_xlpm.rd="10th-OAK")))</f>
        <v>7688.8924367702002</v>
      </c>
      <c r="AE2" cm="1">
        <f t="array" ref="AE2:AE17">_xlfn.LET(
  _xlpm.H,Fusion[#Headers],
  _xlpm.iSpec,_xlfn.XMATCH("*Specific*OCC*2018*",_xlpm.H,2),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_xlpm.advRaw,ISNUMBER(SEARCH("ADVAN",UPPER(_xlpm.rd_raw))),
  _xlpm.rd,IF(
        _xlpm.advRaw,"NOAK",
        IFERROR(
          _xlfn.XLOOKUP(TRIM(_xlpm.rd_raw),
            {"FOAK";"NOAK";"10th-OAK";"10th-of-a-kind";"10th OAK";"Advanced NOAK";"Advanced"},
            {"FOAK";"NOAK";"10th-OAK";"10th-OAK";"10th-OAK";"NOAK";"NOAK"}
          ),
          TRIM(_xlpm.rd_raw)
        )
     ),
  _xlpm.capOK,ISNUMBER(_xlpm.capMW)*(_xlpm.capMW&gt;0),
  _xlpm.unitOK,IF(_xlpm.iUnit&gt;0,ISNUMBER(SEARCH("MW",_xlpm.unit))*NOT(ISNUMBER(SEARCH("FUS",_xlpm.unit))),TRUE),
  _xlpm.occZ,IF(ISNUMBER(_xlpm.occ),_xlpm.occ,NA()),
  _xlfn._xlws.FILTER(_xlpm.occZ,(_xlpm.cost="OCC")*_xlpm.capOK*_xlpm.unitOK*(_xlpm.ct="MCF")*(_xlpm.rd="NOAK"))
)</f>
        <v>4057.4152694979834</v>
      </c>
      <c r="AF2" t="e" cm="1">
        <f t="array" ref="AF2">_xlfn.LET(
  _xlpm.H,Fusion[#Headers],
  _xlpm.iSpec,_xlfn.XMATCH("*Specific*OCC*2018*",_xlpm.H,2),
  _xlpm.iCap, _xlfn.XMATCH("Capacity *MW*",_xlpm.H,2),
  _xlpm.iCT,  _xlfn.XMATCH("Confinement*",_xlpm.H,2),
  _xlpm.iRD,  _xlfn.XMATCH("Readiness*",_xlpm.H,2),
  _xlpm.iCost,_xlfn.XMATCH("Cost Type*",_xlpm.H,2),
  _xlpm.iUnit,IFERROR(_xlfn.XMATCH("Capacity Unit*",_xlpm.H,2),0),
  _xlpm.occ,   INDEX(Fusion[],,_xlpm.iSpec),
  _xlpm.ct_raw,INDEX(Fusion[],,_xlpm.iCT),
  _xlpm.rd_raw,INDEX(Fusion[],,_xlpm.iRD),
  _xlpm.cost,  INDEX(Fusion[],,_xlpm.iCost),
  _xlpm.capMW, INDEX(Fusion[],,_xlpm.iCap),
  _xlpm.unit,  IF(_xlpm.iUnit&gt;0,INDEX(Fusion[],,_xlpm.iUnit),"MW"),
  _xlpm.ct,IFERROR(_xlfn.XLOOKUP(_xlpm.ct_raw,Map_Conf[From],Map_Conf[To],_xlpm.ct_raw),_xlpm.ct_raw),
  _xlpm.rd,IFERROR(
        _xlfn.XLOOKUP(TRIM(_xlpm.rd_raw),
          {"FOAK";"NOAK";"10th-OAK";"10th-of-a-kind";"10th OAK";"75th-OAK";"75th-of-a-kind";"75th OAK"},
          {"FOAK";"NOAK";"10th-OAK";"10th-OAK";"10th-OAK";"75th-OAK";"75th-OAK";"75th-OAK"}),
        TRIM(_xlpm.rd_raw)
     ),
  _xlpm.capOK, ISNUMBER(_xlpm.capMW)*(_xlpm.capMW&gt;0),
  _xlpm.unitOK,IF(_xlpm.iUnit&gt;0, ISNUMBER(SEARCH("MW",_xlpm.unit))*NOT(ISNUMBER(SEARCH("FUS",_xlpm.unit))), TRUE),
  _xlpm.occZ, IF(ISNUMBER(_xlpm.occ),_xlpm.occ,NA()),
  _xlpm.maske, (_xlpm.cost="OCC")*_xlpm.capOK*_xlpm.unitOK*(_xlpm.ct="MIF")*(_xlpm.rd="FOAK"),
  IF(SUM(--_xlpm.maske)=0, NA(), _xlfn._xlws.FILTER(_xlpm.occZ, _xlpm.maske, NA()))
)</f>
        <v>#N/A</v>
      </c>
      <c r="AG2" t="e" cm="1">
        <f t="array" ref="AG2">_xlfn.LET(
  _xlpm.H,Fusion[#Headers],
  _xlpm.iSpec,_xlfn.XMATCH("*Specific*OCC*2018*",_xlpm.H,2),
  _xlpm.iCap, _xlfn.XMATCH("Capacity *MW*",_xlpm.H,2),
  _xlpm.iCT,  _xlfn.XMATCH("Confinement*",_xlpm.H,2),
  _xlpm.iRD,  _xlfn.XMATCH("Readiness*",_xlpm.H,2),
  _xlpm.iCost,_xlfn.XMATCH("Cost Type*",_xlpm.H,2),
  _xlpm.iUnit,IFERROR(_xlfn.XMATCH("Capacity Unit*",_xlpm.H,2),0),
  _xlpm.occ,   INDEX(Fusion[],,_xlpm.iSpec),
  _xlpm.ct_raw,INDEX(Fusion[],,_xlpm.iCT),
  _xlpm.rd_raw,INDEX(Fusion[],,_xlpm.iRD),
  _xlpm.cost,  INDEX(Fusion[],,_xlpm.iCost),
  _xlpm.capMW, INDEX(Fusion[],,_xlpm.iCap),
  _xlpm.unit,  IF(_xlpm.iUnit&gt;0,INDEX(Fusion[],,_xlpm.iUnit),"MW"),
  _xlpm.ct,IFERROR(_xlfn.XLOOKUP(_xlpm.ct_raw,Map_Conf[From],Map_Conf[To],_xlpm.ct_raw),_xlpm.ct_raw),
  _xlpm.rd,IFERROR(
        _xlfn.XLOOKUP(TRIM(_xlpm.rd_raw),
          {"FOAK";"NOAK";"10th-OAK";"10th-of-a-kind";"10th OAK";"75th-OAK";"75th-of-a-kind";"75th OAK"},
          {"FOAK";"NOAK";"10th-OAK";"10th-OAK";"10th-OAK";"75th-OAK";"75th-OAK";"75th-OAK"}),
        TRIM(_xlpm.rd_raw)
     ),
  _xlpm.capOK, ISNUMBER(_xlpm.capMW)*(_xlpm.capMW&gt;0),
  _xlpm.unitOK,IF(_xlpm.iUnit&gt;0, ISNUMBER(SEARCH("MW",_xlpm.unit))*NOT(ISNUMBER(SEARCH("FUS",_xlpm.unit))), TRUE),
  _xlpm.occZ, IF(ISNUMBER(_xlpm.occ),_xlpm.occ,NA()),
  _xlpm.maske, (_xlpm.cost="OCC")*_xlpm.capOK*_xlpm.unitOK*(_xlpm.ct="MIF")*(_xlpm.rd="NOAK"),
  IF(SUM(--_xlpm.maske)=0, NA(), _xlfn._xlws.FILTER(_xlpm.occZ, _xlpm.maske, NA()))
)</f>
        <v>#N/A</v>
      </c>
      <c r="AH2" cm="1">
        <f t="array" ref="AH2:AH4">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MIF")*(_xlpm.rd="10th-OAK")))</f>
        <v>4205.9195773456604</v>
      </c>
      <c r="AI2">
        <f t="shared" ref="AI2:AI11" si="0">MATCH(V2,$V$2:$V$11,0)</f>
        <v>1</v>
      </c>
      <c r="AJ2" s="26" t="e" cm="1">
        <f t="array" aca="1" ref="AJ2" ca="1">_xlfn.LET(
  _xlpm.r,OFFSET($Y$2,0,ROW(A1)-1,ROWS($Y$2:$Y$1000),1),
  _xlpm.v,_xlfn._xlws.FILTER(_xlpm.r,ISNUMBER(_xlpm.r)),
  IF(COUNT(_xlpm.v)=0,NA(),_xlfn.PERCENTILE.INC(_xlpm.v,0.975))
)</f>
        <v>#N/A</v>
      </c>
      <c r="AK2" s="26" t="e" cm="1">
        <f t="array" ref="AK2">_xlfn.LET(
  _xlpm.hdr, $Y$1:$AH$1,               _xlpm.k,   _xlfn.XMATCH($V2,_xlpm.hdr,0),
  _xlpm.col, INDEX($Y$2:$AH$1000,,_xlpm.k),
  _xlpm.v,   _xlfn._xlws.FILTER(_xlpm.col,ISNUMBER(_xlpm.col)),
  IF(COUNT(_xlpm.v)=0, NA(), AVERAGE(_xlpm.v))
)</f>
        <v>#N/A</v>
      </c>
      <c r="AL2" t="e" cm="1">
        <f t="array" aca="1" ref="AL2" ca="1">_xlfn.LET(
  _xlpm.k,ROW(A1)-1,
  _xlpm.r,OFFSET($Y$2,0,_xlpm.k,ROWS($Y$2:$Y$1000),1),
  _xlpm.v,_xlfn._xlws.FILTER(_xlpm.r,ISNUMBER(_xlpm.r)),
  IF(COUNT(_xlpm.v)=0,NA(),MIN(_xlpm.v))
)</f>
        <v>#N/A</v>
      </c>
      <c r="AM2" t="e" cm="1">
        <f t="array" aca="1" ref="AM2" ca="1">_xlfn.LET(
  _xlpm.k,ROW(A1)-1,
  _xlpm.r,OFFSET($Y$2,0,_xlpm.k,ROWS($Y$2:$Y$1000),1),
  _xlpm.v,_xlfn._xlws.FILTER(_xlpm.r,ISNUMBER(_xlpm.r)),
  IF(COUNT(_xlpm.v)=0,NA(),_xlfn.PERCENTILE.INC(_xlpm.v,0.25))
)</f>
        <v>#N/A</v>
      </c>
      <c r="AN2" t="e" cm="1">
        <f t="array" aca="1" ref="AN2" ca="1">_xlfn.LET(
  _xlpm.k,ROW(A1)-1,
  _xlpm.r,OFFSET($Y$2,0,_xlpm.k,ROWS($Y$2:$Y$1000),1),
  _xlpm.v,_xlfn._xlws.FILTER(_xlpm.r,ISNUMBER(_xlpm.r)),
  IF(COUNT(_xlpm.v)=0,NA(),_xlfn.PERCENTILE.INC(_xlpm.v,0.5))
)</f>
        <v>#N/A</v>
      </c>
      <c r="AO2" t="e" cm="1">
        <f t="array" aca="1" ref="AO2" ca="1">_xlfn.LET(
  _xlpm.k,ROW(A1)-1,
  _xlpm.r,OFFSET($Y$2,0,_xlpm.k,ROWS($Y$2:$Y$1000),1),
  _xlpm.v,_xlfn._xlws.FILTER(_xlpm.r,ISNUMBER(_xlpm.r)),
  IF(COUNT(_xlpm.v)=0,NA(),_xlfn.PERCENTILE.INC(_xlpm.v,0.75))
)</f>
        <v>#N/A</v>
      </c>
      <c r="AP2" t="e" cm="1">
        <f t="array" aca="1" ref="AP2" ca="1">_xlfn.LET(
  _xlpm.k,ROW(A1)-1,
  _xlpm.r,OFFSET($Y$2,0,_xlpm.k,ROWS($Y$2:$Y$1000),1),
  _xlpm.v,_xlfn._xlws.FILTER(_xlpm.r,ISNUMBER(_xlpm.r)),
  IF(COUNT(_xlpm.v)=0,NA(),MAX(_xlpm.v))
)</f>
        <v>#N/A</v>
      </c>
      <c r="AQ2" t="e" cm="1" vm="1">
        <f t="array" aca="1" ref="AQ2" ca="1">_xlfn.LET(_xlpm.r,OFFSET($Y$2,0,ROW(A1)-1,ROWS($Y$2:$Y$1000),1),
    _xlpm.v,_xlfn._xlws.FILTER(_xlpm.r,ISNUMBER(_xlpm.r)),
    _xlfn.PERCENTILE.INC(_xlpm.v,0.25))</f>
        <v>#VALUE!</v>
      </c>
      <c r="AR2" t="e" cm="1">
        <f t="array" aca="1" ref="AR2" ca="1">_xlfn.LET(
  _xlpm.k, ROW(A1)-1,
  _xlpm.r, OFFSET($Y$2,0,_xlpm.k,ROWS($Y$2:$Y$1000),1),
  _xlpm.v, _xlfn._xlws.FILTER(_xlpm.r, ISNUMBER(_xlpm.r)),
  IF(COUNT(_xlpm.v)=0, NA(), _xlfn.PERCENTILE.INC(_xlpm.v,0.5)-_xlfn.PERCENTILE.INC(_xlpm.v,0.25))
)</f>
        <v>#N/A</v>
      </c>
      <c r="AS2" t="e" cm="1" vm="1">
        <f t="array" aca="1" ref="AS2" ca="1">_xlfn.LET(_xlpm.r,OFFSET($Y$2,0,ROW(A1)-1,ROWS($Y$2:$Y$1000),1),
    _xlpm.v,_xlfn._xlws.FILTER(_xlpm.r,ISNUMBER(_xlpm.r)),
    _xlfn.PERCENTILE.INC(_xlpm.v,0.75)-_xlfn.PERCENTILE.INC(_xlpm.v,0.5))</f>
        <v>#VALUE!</v>
      </c>
      <c r="AT2" t="e" cm="1" vm="1">
        <f t="array" aca="1" ref="AT2" ca="1">_xlfn.LET(_xlpm.r,OFFSET($Y$2,0,ROW(A1)-1,ROWS($Y$2:$Y$1000),1),
    _xlpm.v,_xlfn._xlws.FILTER(_xlpm.r,ISNUMBER(_xlpm.r)),
    MAX(_xlpm.v)-_xlfn.PERCENTILE.INC(_xlpm.v,0.75))</f>
        <v>#VALUE!</v>
      </c>
      <c r="AU2" t="e" cm="1" vm="1">
        <f t="array" aca="1" ref="AU2" ca="1">_xlfn.LET(_xlpm.r,OFFSET($Y$2,0,ROW(A1)-1,ROWS($Y$2:$Y$1000),1),
    _xlpm.v,_xlfn._xlws.FILTER(_xlpm.r,ISNUMBER(_xlpm.r)),
    _xlfn.PERCENTILE.INC(_xlpm.v,0.25)-MIN(_xlpm.v))</f>
        <v>#VALUE!</v>
      </c>
      <c r="AV2" t="e" cm="1" vm="1">
        <f t="array" aca="1" ref="AV2" ca="1">_xlfn.LET(_xlpm.r,OFFSET($Y$2,0,ROW(A1)-1,ROWS($Y$2:$Y$1000),1),
    _xlpm.v,_xlfn._xlws.FILTER(_xlpm.r,ISNUMBER(_xlpm.r)),
    MAX(_xlpm.v)-_xlfn.PERCENTILE.INC(_xlpm.v,0.75))</f>
        <v>#VALUE!</v>
      </c>
      <c r="AW2" t="e">
        <f ca="1">AM2-AL2</f>
        <v>#N/A</v>
      </c>
      <c r="AX2">
        <v>0</v>
      </c>
      <c r="AY2" t="e">
        <f ca="1">AP2-AO2</f>
        <v>#N/A</v>
      </c>
      <c r="AZ2" cm="1">
        <f t="array" ref="AZ2:AZ110">_xlfn.LET(
  _xlpm.rng, $Y$2:$AH$1000,
  _xlpm.v,   _xlfn.TOCOL(_xlpm.rng, 3, 1),
  _xlfn._xlws.FILTER(_xlpm.v, ISNUMBER(_xlpm.v))
)</f>
        <v>2100.3070606742936</v>
      </c>
      <c r="BA2" cm="1">
        <f t="array" ref="BA2:BA110">_xlfn.LET(
  _xlpm.rng,   Y$2:AH$1000,
  _xlpm.idx2D, COLUMN(_xlpm.rng)-MIN(COLUMN(_xlpm.rng))+1,
  _xlpm.mask,  ISNUMBER(_xlpm.rng),
  _xlpm.idx2D_masked, IF(_xlpm.mask, _xlpm.idx2D, NA()),
  _xlpm.v,  _xlfn.TOCOL(_xlpm.rng, 3, 1),
  _xlpm.x,  _xlfn.TOCOL(_xlpm.idx2D_masked, 3, 1),
  _xlfn._xlws.FILTER(_xlpm.x, ISNUMBER(_xlpm.v))
)</f>
        <v>2</v>
      </c>
      <c r="BG2" t="s">
        <v>677</v>
      </c>
      <c r="BH2" t="s">
        <v>519</v>
      </c>
      <c r="BI2" t="s">
        <v>388</v>
      </c>
      <c r="BJ2" t="s">
        <v>32</v>
      </c>
      <c r="BK2" t="str" cm="1">
        <f t="array" ref="BK2">_xlfn.LET(
  _xlpm.hdr, BK$1,
  _xlpm.famFromHdr, _xlfn.TEXTBEFORE(_xlpm.hdr,"_"),
  _xlpm.rdFromHdr,  _xlfn.TEXTAFTER(_xlpm.hdr,"_"),
  _xlpm.rdNeed, IFERROR(
           _xlfn.XLOOKUP(TRIM(_xlpm.rdFromHdr),
             {"FOAK";"NOAK";"10th-OAK";"10th-of-a-kind";"10th OAK";"75th-OAK";"75th-of-a-kind";"75th OAK"},
             {"FOAK";"NOAK";"10th-OAK";"10th-OAK";"10th-OAK";"75th-OAK";"75th-OAK";"75th-OAK"}
           ),
           TRIM(_xlpm.rdFromHdr)
         ),
  _xlpm.clean, _xlfn.LAMBDA(_xlpm.s,TRIM(CLEAN(SUBSTITUTE(SUBSTITUTE(SUBSTITUTE(SUBSTITUTE(_xlpm.s,CHAR(160)," "),CHAR(9)," "),"–","-"),"—","-")))),
  _xlpm.H, Fusion[#Headers],
  _xlpm.iSpec, 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 _xlfn.XMATCH("Cost Type*",_xlpm.H,2),
  _xlpm.iUnit, IFERROR(_xlfn.XMATCH("Capacity Unit*",_xlpm.H,2),0),
  _xlpm.occ,     INDEX(Fusion[],,_xlpm.iSpec),
  _xlpm.ct_raw,  _xlpm.clean(INDEX(Fusion[],,_xlpm.iCT)),
  _xlpm.rt_raw,  IF(_xlpm.iRT&gt;0, _xlpm.clean(INDEX(Fusion[],,_xlpm.iRT)), ""),
  _xlpm.rd_raw,  _xlpm.clean(INDEX(Fusion[],,_xlpm.iRD)),
  _xlpm.cost,    INDEX(Fusion[],,_xlpm.iCost),
  _xlpm.capMW,   INDEX(Fusion[],,_xlpm.iCap),
  _xlpm.unit,    IF(_xlpm.iUnit&gt;0, INDEX(Fusion[],,_xlpm.iUnit), "MW"),
  _xlpm.ct, IFERROR(_xlfn.XLOOKUP(_xlpm.ct_raw, Map_Conf[From], Map_Conf[To], _xlpm.ct_raw), _xlpm.ct_raw),
  _xlpm.fam_ex, IFERROR(_xlfn.XLOOKUP(_xlpm.rt_raw, Map_Reactor[From], Map_Reactor[To], ""), ""),
  _xlpm.fam_wc, IFERROR(_xlfn.XLOOKUP(TRUE, ISNUMBER(SEARCH(Map_Reactor[From], _xlpm.rt_raw)), Map_Reactor[To]), ""),
  _xlpm.fam,    IF(_xlpm.fam_ex&lt;&gt;"", _xlpm.fam_ex, _xlpm.fam_wc),
  _xlpm.famNeed, _xlpm.clean(_xlpm.famFromHdr),
  _xlpm.ctNeed, IFERROR(
           _xlfn.XLOOKUP(_xlpm.famNeed,
             {"Tokamak";"Spherical Tokamak";"Helical";"RFP";"Mirror";"Inertial";"Magneto-Inertial"},
             {"MCF";"MCF";"MCF";"MCF";"MCF";"ICF";"MIF"}
           ),
           "MCF"
         ),
  _xlpm.rd, IFERROR(
        _xlfn.XLOOKUP(_xlpm.rd_raw,
          {"FOAK";"NOAK";"10th-OAK";"10th-of-a-kind";"10th OAK";"75th-OAK";"75th-of-a-kind";"75th OAK"},
          {"FOAK";"NOAK";"10th-OAK";"10th-OAK";"10th-OAK";"75th-OAK";"75th-OAK";"75th-OAK"}
        ),
        _xlpm.rd_raw
      ),
  _xlpm.occZ,   IF(ISNUMBER(_xlpm.occ), _xlpm.occ, NA()),
  _xlpm.capOK,  ISNUMBER(_xlpm.capMW)*(_xlpm.capMW&gt;0),
  _xlpm.unitOK, IF(_xlpm.iUnit&gt;0, ISNUMBER(SEARCH("MW", _xlpm.unit))*NOT(ISNUMBER(SEARCH("FUS", _xlpm.unit))), TRUE),
  _xlpm.famOK, IF(
          OR(
            _xlpm.fam="",
            _xlpm.fam=_xlpm.famNeed,
            ISNUMBER(SEARCH(_xlpm.famNeed, _xlpm.fam)),
            AND(_xlpm.ctNeed="ICF",  OR(_xlpm.fam="Inertial",            ISNUMBER(SEARCH("Inertial", _xlpm.rt_raw)), ISNUMBER(SEARCH("Heavy Ion Fusion", _xlpm.rt_raw)))),
            AND(_xlpm.ctNeed="MIF",  OR(_xlpm.fam="Magneto-Inertial",    ISNUMBER(SEARCH("Magneto", _xlpm.rt_raw)),  ISNUMBER(SEARCH("Z-Pinch", _xlpm.rt_raw))))
          ),
          TRUE, FALSE
        ),
  IFERROR(
    _xlfn._xlws.FILTER(_xlpm.occZ, (_xlpm.cost="OCC")*_xlpm.capOK*_xlpm.unitOK*(_xlpm.ct=_xlpm.ctNeed)*_xlpm.famOK*(_xlpm.rd=_xlpm.rdNeed)),
    ""
  )
)</f>
        <v/>
      </c>
      <c r="BL2" cm="1">
        <f t="array" ref="BL2">_xlfn.LET(
  _xlpm.hdr, BL$1,
  _xlpm.famFromHdr, _xlfn.TEXTBEFORE(_xlpm.hdr,"_"),
  _xlpm.rdFromHdr,  _xlfn.TEXTAFTER(_xlpm.hdr,"_"),
  _xlpm.rdNeed, IFERROR(
           _xlfn.XLOOKUP(TRIM(_xlpm.rdFromHdr),
             {"FOAK";"NOAK";"10th-OAK";"10th-of-a-kind";"10th OAK";"75th-OAK";"75th-of-a-kind";"75th OAK"},
             {"FOAK";"NOAK";"10th-OAK";"10th-OAK";"10th-OAK";"75th-OAK";"75th-OAK";"75th-OAK"}
           ),
           TRIM(_xlpm.rdFromHdr)
         ),
  _xlpm.clean, _xlfn.LAMBDA(_xlpm.s,TRIM(CLEAN(SUBSTITUTE(SUBSTITUTE(SUBSTITUTE(SUBSTITUTE(_xlpm.s,CHAR(160)," "),CHAR(9)," "),"–","-"),"—","-")))),
  _xlpm.H, Fusion[#Headers],
  _xlpm.iSpec, 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 _xlfn.XMATCH("Cost Type*",_xlpm.H,2),
  _xlpm.iUnit, IFERROR(_xlfn.XMATCH("Capacity Unit*",_xlpm.H,2),0),
  _xlpm.occ,     INDEX(Fusion[],,_xlpm.iSpec),
  _xlpm.ct_raw,  _xlpm.clean(INDEX(Fusion[],,_xlpm.iCT)),
  _xlpm.rt_raw,  IF(_xlpm.iRT&gt;0, _xlpm.clean(INDEX(Fusion[],,_xlpm.iRT)), ""),
  _xlpm.rd_raw,  _xlpm.clean(INDEX(Fusion[],,_xlpm.iRD)),
  _xlpm.cost,    INDEX(Fusion[],,_xlpm.iCost),
  _xlpm.capMW,   INDEX(Fusion[],,_xlpm.iCap),
  _xlpm.unit,    IF(_xlpm.iUnit&gt;0, INDEX(Fusion[],,_xlpm.iUnit), "MW"),
  _xlpm.ct, IFERROR(_xlfn.XLOOKUP(_xlpm.ct_raw, Map_Conf[From], Map_Conf[To], _xlpm.ct_raw), _xlpm.ct_raw),
  _xlpm.fam_ex, IFERROR(_xlfn.XLOOKUP(_xlpm.rt_raw, Map_Reactor[From], Map_Reactor[To], ""), ""),
  _xlpm.fam_wc, IFERROR(_xlfn.XLOOKUP(TRUE, ISNUMBER(SEARCH(Map_Reactor[From], _xlpm.rt_raw)), Map_Reactor[To]), ""),
  _xlpm.fam,    IF(_xlpm.fam_ex&lt;&gt;"", _xlpm.fam_ex, _xlpm.fam_wc),
  _xlpm.famNeed, _xlpm.clean(_xlpm.famFromHdr),
  _xlpm.ctNeed, IFERROR(
           _xlfn.XLOOKUP(_xlpm.famNeed,
             {"Tokamak";"Spherical Tokamak";"Helical";"RFP";"Mirror";"Inertial";"Magneto-Inertial"},
             {"MCF";"MCF";"MCF";"MCF";"MCF";"ICF";"MIF"}
           ),
           "MCF"
         ),
  _xlpm.rd, IFERROR(
        _xlfn.XLOOKUP(_xlpm.rd_raw,
          {"FOAK";"NOAK";"10th-OAK";"10th-of-a-kind";"10th OAK";"75th-OAK";"75th-of-a-kind";"75th OAK"},
          {"FOAK";"NOAK";"10th-OAK";"10th-OAK";"10th-OAK";"75th-OAK";"75th-OAK";"75th-OAK"}
        ),
        _xlpm.rd_raw
      ),
  _xlpm.occZ,   IF(ISNUMBER(_xlpm.occ), _xlpm.occ, NA()),
  _xlpm.capOK,  ISNUMBER(_xlpm.capMW)*(_xlpm.capMW&gt;0),
  _xlpm.unitOK, IF(_xlpm.iUnit&gt;0, ISNUMBER(SEARCH("MW", _xlpm.unit))*NOT(ISNUMBER(SEARCH("FUS", _xlpm.unit))), TRUE),
  _xlpm.famOK, IF(
          OR(
            _xlpm.fam="",
            _xlpm.fam=_xlpm.famNeed,
            ISNUMBER(SEARCH(_xlpm.famNeed, _xlpm.fam)),
            AND(_xlpm.ctNeed="ICF",  OR(_xlpm.fam="Inertial",            ISNUMBER(SEARCH("Inertial", _xlpm.rt_raw)), ISNUMBER(SEARCH("Heavy Ion Fusion", _xlpm.rt_raw)))),
            AND(_xlpm.ctNeed="MIF",  OR(_xlpm.fam="Magneto-Inertial",    ISNUMBER(SEARCH("Magneto", _xlpm.rt_raw)),  ISNUMBER(SEARCH("Z-Pinch", _xlpm.rt_raw))))
          ),
          TRUE, FALSE
        ),
  IFERROR(
    _xlfn._xlws.FILTER(_xlpm.occZ, (_xlpm.cost="OCC")*_xlpm.capOK*_xlpm.unitOK*(_xlpm.ct=_xlpm.ctNeed)*_xlpm.famOK*(_xlpm.rd=_xlpm.rdNeed)),
    ""
  )
)</f>
        <v>2100.3070606742936</v>
      </c>
      <c r="BM2" cm="1">
        <f t="array" ref="BM2:BM8">_xlfn.LET(
  _xlpm.hdr, BM$1,
  _xlpm.famFromHdr, _xlfn.TEXTBEFORE(_xlpm.hdr,"_"),
  _xlpm.rdFromHdr,  _xlfn.TEXTAFTER(_xlpm.hdr,"_"),
  _xlpm.rdNeed, IFERROR(
           _xlfn.XLOOKUP(TRIM(_xlpm.rdFromHdr),
             {"FOAK";"NOAK";"10th-OAK";"10th-of-a-kind";"10th OAK";"75th-OAK";"75th-of-a-kind";"75th OAK"},
             {"FOAK";"NOAK";"10th-OAK";"10th-OAK";"10th-OAK";"75th-OAK";"75th-OAK";"75th-OAK"}
           ),
           TRIM(_xlpm.rdFromHdr)
         ),
  _xlpm.clean, _xlfn.LAMBDA(_xlpm.s,TRIM(CLEAN(SUBSTITUTE(SUBSTITUTE(SUBSTITUTE(SUBSTITUTE(_xlpm.s,CHAR(160)," "),CHAR(9)," "),"–","-"),"—","-")))),
  _xlpm.H, Fusion[#Headers],
  _xlpm.iSpec, 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 _xlfn.XMATCH("Cost Type*",_xlpm.H,2),
  _xlpm.iUnit, IFERROR(_xlfn.XMATCH("Capacity Unit*",_xlpm.H,2),0),
  _xlpm.occ,     INDEX(Fusion[],,_xlpm.iSpec),
  _xlpm.ct_raw,  _xlpm.clean(INDEX(Fusion[],,_xlpm.iCT)),
  _xlpm.rt_raw,  IF(_xlpm.iRT&gt;0, _xlpm.clean(INDEX(Fusion[],,_xlpm.iRT)), ""),
  _xlpm.rd_raw,  _xlpm.clean(INDEX(Fusion[],,_xlpm.iRD)),
  _xlpm.cost,    INDEX(Fusion[],,_xlpm.iCost),
  _xlpm.capMW,   INDEX(Fusion[],,_xlpm.iCap),
  _xlpm.unit,    IF(_xlpm.iUnit&gt;0, INDEX(Fusion[],,_xlpm.iUnit), "MW"),
  _xlpm.ct, IFERROR(_xlfn.XLOOKUP(_xlpm.ct_raw, Map_Conf[From], Map_Conf[To], _xlpm.ct_raw), _xlpm.ct_raw),
  _xlpm.fam_ex, IFERROR(_xlfn.XLOOKUP(_xlpm.rt_raw, Map_Reactor[From], Map_Reactor[To], ""), ""),
  _xlpm.fam_wc, IFERROR(_xlfn.XLOOKUP(TRUE, ISNUMBER(SEARCH(Map_Reactor[From], _xlpm.rt_raw)), Map_Reactor[To]), ""),
  _xlpm.fam,    IF(_xlpm.fam_ex&lt;&gt;"", _xlpm.fam_ex, _xlpm.fam_wc),
  _xlpm.famNeed, _xlpm.clean(_xlpm.famFromHdr),
  _xlpm.ctNeed, IFERROR(
           _xlfn.XLOOKUP(_xlpm.famNeed,
             {"Tokamak";"Spherical Tokamak";"Helical";"RFP";"Mirror";"Inertial";"Magneto-Inertial"},
             {"MCF";"MCF";"MCF";"MCF";"MCF";"ICF";"MIF"}
           ),
           "MCF"
         ),
  _xlpm.rd, IFERROR(
        _xlfn.XLOOKUP(_xlpm.rd_raw,
          {"FOAK";"NOAK";"10th-OAK";"10th-of-a-kind";"10th OAK";"75th-OAK";"75th-of-a-kind";"75th OAK"},
          {"FOAK";"NOAK";"10th-OAK";"10th-OAK";"10th-OAK";"75th-OAK";"75th-OAK";"75th-OAK"}
        ),
        _xlpm.rd_raw
      ),
  _xlpm.occZ,   IF(ISNUMBER(_xlpm.occ), _xlpm.occ, NA()),
  _xlpm.capOK,  ISNUMBER(_xlpm.capMW)*(_xlpm.capMW&gt;0),
  _xlpm.unitOK, IF(_xlpm.iUnit&gt;0, ISNUMBER(SEARCH("MW", _xlpm.unit))*NOT(ISNUMBER(SEARCH("FUS", _xlpm.unit))), TRUE),
  _xlpm.famOK, IF(
          OR(
            _xlpm.fam="",
            _xlpm.fam=_xlpm.famNeed,
            ISNUMBER(SEARCH(_xlpm.famNeed, _xlpm.fam)),
            AND(_xlpm.ctNeed="ICF",  OR(_xlpm.fam="Inertial",            ISNUMBER(SEARCH("Inertial", _xlpm.rt_raw)), ISNUMBER(SEARCH("Heavy Ion Fusion", _xlpm.rt_raw)))),
            AND(_xlpm.ctNeed="MIF",  OR(_xlpm.fam="Magneto-Inertial",    ISNUMBER(SEARCH("Magneto", _xlpm.rt_raw)),  ISNUMBER(SEARCH("Z-Pinch", _xlpm.rt_raw))))
          ),
          TRUE, FALSE
        ),
  IFERROR(
    _xlfn._xlws.FILTER(_xlpm.occZ, (_xlpm.cost="OCC")*_xlpm.capOK*_xlpm.unitOK*(_xlpm.ct=_xlpm.ctNeed)*_xlpm.famOK*(_xlpm.rd=_xlpm.rdNeed)),
    ""
  )
)</f>
        <v>1077.7935993975905</v>
      </c>
      <c r="BN2" cm="1">
        <f t="array" ref="BN2:BN19">_xlfn.LET(
  _xlpm.hdr, BN$1,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12441.316506252808</v>
      </c>
      <c r="BO2" cm="1">
        <f t="array" ref="BO2:BO8">_xlfn.LET(
  _xlpm.hdr, BO$1,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4421.9798661567875</v>
      </c>
      <c r="BP2" cm="1">
        <f t="array" ref="BP2:BP47">_xlfn.LET(
  _xlpm.hdr, BP$1,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7688.8924367702002</v>
      </c>
      <c r="BQ2" s="13" cm="1">
        <f t="array" ref="BQ2:BQ12">_xlfn.LET(
  _xlpm.hdr, BQ$1,
  _xlpm.famFromHdr, _xlfn.TEXTBEFORE(_xlpm.hdr,"_"),
  _xlpm.rdFromHdr,  _xlfn.TEXTAFTER(_xlpm.hdr,"_"),
  _xlpm.advHdr, ISNUMBER(SEARCH("ADVAN", UPPER(_xlpm.rdFromHdr))),
  _xlpm.H,Fusion[#Headers],
  _xlpm.iSpec,IFERROR(_xlfn.XMATCH("*Specific*OCC*2018*",_xlpm.H,2), _xlfn.XMATCH("*OCC*2018*",_xlpm.H,2)),
  _xlpm.iCap, _xlfn.XMATCH("Capacity *MW*",_xlpm.H,2),
  _xlpm.iCT,  _xlfn.XMATCH("Confinement*",_xlpm.H,2),
  _xlpm.iRT,  IFERROR(_xlfn.XMATCH("Reactor Type*",_xlpm.H,2), IFERROR(_xlfn.XMATCH("Reactor*",_xlpm.H,2), IFERROR(_xlfn.XMATCH("System*",_xlpm.H,2), 0))),
  _xlpm.iRD,  _xlfn.XMATCH("Readiness*",_xlpm.H,2),
  _xlpm.iCost,_xlfn.XMATCH("Cost Type*",_xlpm.H,2),
  _xlpm.iUnit,IFERROR(_xlfn.XMATCH("Capacity Unit*",_xlpm.H,2), 0),
  _xlpm.occ,    INDEX(Fusion[],,_xlpm.iSpec),
  _xlpm.ct_raw, INDEX(Fusion[],,_xlpm.iCT),
  _xlpm.rt_raw, IF(_xlpm.iRT&gt;0, INDEX(Fusion[],,_xlpm.iRT), ""),
  _xlpm.rd_raw, INDEX(Fusion[],,_xlpm.iRD),
  _xlpm.cost,   INDEX(Fusion[],,_xlpm.iCost),
  _xlpm.capMW,  INDEX(Fusion[],,_xlpm.iCap),
  _xlpm.unit,   IF(_xlpm.iUnit&gt;0, INDEX(Fusion[],,_xlpm.iUnit), "MW"),
  _xlpm.ct, IFERROR(_xlfn.XLOOKUP(_xlpm.ct_raw, Map_Conf[From], Map_Conf[To], _xlpm.ct_raw), _xlpm.ct_raw),
  _xlpm.fam_ex, IFERROR(_xlfn.XLOOKUP(_xlpm.rt_raw, Map_Reactor[From], Map_Reactor[To], ""), ""),
  _xlpm.fam_wc, IFERROR(_xlfn.XLOOKUP(TRUE, ISNUMBER(SEARCH(Map_Reactor[From], _xlpm.rt_raw)), Map_Reactor[To]), ""),
  _xlpm.fam,    IF(_xlpm.fam_ex&lt;&gt;"", _xlpm.fam_ex, _xlpm.fam_wc),
  _xlpm.famNeed, IF(_xlpm.famFromHdr&lt;&gt;"", _xlpm.famFromHdr, _xlpm.fam),
  _xlpm.ctNeed, IFERROR(
           _xlfn.XLOOKUP(_xlpm.famNeed,
             {"Tokamak";"Spherical Tokamak";"Helical";"RFP";"Mirror";"Inertial";"Magneto-Inertial"},
             {"MCF";"MCF";"MCF";"MCF";"MCF";"ICF";"MIF"}
           ),
           "MCF"
         ),
  _xlpm.rdNeed, IF(_xlpm.advHdr, "NOAK",
            IFERROR(
              _xlfn.XLOOKUP(TRIM(_xlpm.rdFromHdr),
                {"FOAK";"NOAK";"10th-OAK";"10th-of-a-kind";"10th OAK";"Advanced NOAK";"Advanced"},
                {"FOAK";"NOAK";"10th-OAK";"10th-OAK";"10th-OAK";"NOAK";"NOAK"}
              ),
              TRIM(_xlpm.rdFromHdr)
            )
          ),
  _xlpm.advRaw, ISNUMBER(SEARCH("ADVAN", UPPER(_xlpm.rd_raw))),
  _xlpm.rd, IF(_xlpm.advRaw, "NOAK",
        IFERROR(
          _xlfn.XLOOKUP(TRIM(_xlpm.rd_raw),
            {"FOAK";"NOAK";"10th-OAK";"10th-of-a-kind";"10th OAK";"Advanced NOAK";"Advanced"},
            {"FOAK";"NOAK";"10th-OAK";"10th-OAK";"10th-OAK";"NOAK";"NOAK"}
          ),
          TRIM(_xlpm.rd_raw)
        )
      ),
  _xlpm.occZ,   IF(ISNUMBER(_xlpm.occ), _xlpm.occ, NA()),
  _xlpm.capOK,  ISNUMBER(_xlpm.capMW)*(_xlpm.capMW&gt;0),
  _xlpm.unitOK, IF(_xlpm.iUnit&gt;0, ISNUMBER(SEARCH("MW", _xlpm.unit))*NOT(ISNUMBER(SEARCH("FUS", _xlpm.unit))), TRUE),
  IFERROR(
    _xlfn._xlws.FILTER(_xlpm.occZ, (_xlpm.cost="OCC")*_xlpm.capOK*_xlpm.unitOK*(_xlpm.ct=_xlpm.ctNeed)*(_xlpm.fam=_xlpm.famNeed)*(_xlpm.rd=_xlpm.rdNeed)),
    ""
  )
)</f>
        <v>3164.356504065041</v>
      </c>
      <c r="BR2" t="str" cm="1">
        <f t="array" ref="BR2">_xlfn.LET(
  _xlpm.hdr, BR$1,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
      </c>
      <c r="BS2" cm="1">
        <f t="array" ref="BS2:BS6">_xlfn.LET(
  _xlpm.hdr, BS$1,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4057.4152694979834</v>
      </c>
      <c r="BT2" t="str" cm="1">
        <f t="array" ref="BT2">_xlfn.LET(
  _xlpm.hdr, BT$1,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
      </c>
      <c r="BU2" t="str" cm="1">
        <f t="array" ref="BU2">_xlfn.LET(
  _xlpm.hdr, BU$1,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
      </c>
      <c r="BV2" t="str" cm="1">
        <f t="array" ref="BV2">_xlfn.LET(
  _xlpm.hdr, BV$1,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
      </c>
      <c r="BW2" cm="1">
        <f t="array" ref="BW2:BW5">_xlfn.LET(
  _xlpm.hdr, BW$1,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2990.4873334854019</v>
      </c>
      <c r="BX2" t="str" cm="1">
        <f t="array" ref="BX2">_xlfn.LET(
  _xlpm.hdr, BX$1,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
      </c>
      <c r="BY2" t="str" cm="1">
        <f t="array" ref="BY2">_xlfn.LET(
  _xlpm.hdr, BY$1,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
      </c>
      <c r="BZ2" cm="1">
        <f t="array" ref="BZ2:BZ3">_xlfn.LET(
  _xlpm.hdr, BZ$1,
  _xlpm.famFromHdr, _xlfn.TEXTBEFORE(_xlpm.hdr,"_"),
  _xlpm.rdFromHdr,  _xlfn.TEXTAFTER(_xlpm.hdr,"_"),
  _xlpm.rdNeed, IFERROR(
           _xlfn.XLOOKUP(TRIM(_xlpm.rdFromHdr),
             {"FOAK";"NOAK";"10th-OAK";"10th-of-a-kind";"10th OAK";"75th-OAK";"75th-of-a-kind";"75th OAK"},
             {"FOAK";"NOAK";"10th-OAK";"10th-OAK";"10th-OAK";"75th-OAK";"75th-OAK";"75th-OAK"}
           ),
           TRIM(_xlpm.rdFromHdr)
         ),
  _xlpm.H,Fusion[#Headers],
  _xlpm.iSpec,IFERROR(_xlfn.XMATCH("*Specific*OCC*2018*",_xlpm.H,2),_xlfn.XMATCH("*OCC*2018*",_xlpm.H,2)),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_xlpm.iCost,_xlfn.XMATCH("Cost Type*",_xlpm.H,2),
  _xlpm.iUnit,IFERROR(_xlfn.XMATCH("Capacity Unit*",_xlpm.H,2),0),
  _xlpm.occ,    INDEX(Fusion[],,_xlpm.iSpec),
  _xlpm.ct_raw, INDEX(Fusion[],,_xlpm.iCT),
  _xlpm.rt_raw, IF(_xlpm.iRT&gt;0, INDEX(Fusion[],,_xlpm.iRT), ""),
  _xlpm.rd_raw, INDEX(Fusion[],,_xlpm.iRD),
  _xlpm.cost,   INDEX(Fusion[],,_xlpm.iCost),
  _xlpm.capMW,  INDEX(Fusion[],,_xlpm.iCap),
  _xlpm.unit,   IF(_xlpm.iUnit&gt;0,INDEX(Fusion[],,_xlpm.iUnit),"MW"),
  _xlpm.ct, IFERROR(_xlfn.XLOOKUP(_xlpm.ct_raw,Map_Conf[From],Map_Conf[To],_xlpm.ct_raw),_xlpm.ct_raw),
  _xlpm.fam_ex, IFERROR(_xlfn.XLOOKUP(_xlpm.rt_raw,Map_Reactor[From],Map_Reactor[To],""),""),
  _xlpm.fam_wc, IFERROR(_xlfn.XLOOKUP(TRUE,ISNUMBER(SEARCH(Map_Reactor[From],_xlpm.rt_raw)),Map_Reactor[To]),""),
  _xlpm.fam,    IF(_xlpm.fam_ex&lt;&gt;"",_xlpm.fam_ex,_xlpm.fam_wc),
  _xlpm.famNeed, IF(_xlpm.famFromHdr&lt;&gt;"",_xlpm.famFromHdr,_xlpm.fam),
  _xlpm.ctNeed, IFERROR(
           _xlfn.XLOOKUP(_xlpm.famNeed,
             {"Tokamak";"Spherical Tokamak";"Helical";"RFP";"Mirror";"Inertial";"Magneto-Inertial"},
             {"MCF";"MCF";"MCF";"MCF";"MCF";"ICF";"MIF"}
           ),
           "MCF"
         ),
  _xlpm.rd, IFERROR(
        _xlfn.XLOOKUP(TRIM(_xlpm.rd_raw),
          {"FOAK";"NOAK";"10th-OAK";"10th-of-a-kind";"10th OAK";"75th-OAK";"75th-of-a-kind";"75th OAK"},
          {"FOAK";"NOAK";"10th-OAK";"10th-OAK";"10th-OAK";"75th-OAK";"75th-OAK";"75th-OAK"}
        ),
        TRIM(_xlpm.rd_raw)
      ),
  _xlpm.occZ,   IF(ISNUMBER(_xlpm.occ),_xlpm.occ,NA()),
  _xlpm.capOK,  ISNUMBER(_xlpm.capMW)*(_xlpm.capMW&gt;0),
  _xlpm.unitOK, IF(_xlpm.iUnit&gt;0, ISNUMBER(SEARCH("MW",_xlpm.unit))*NOT(ISNUMBER(SEARCH("FUS",_xlpm.unit))), TRUE),
  IFERROR(
    _xlfn._xlws.FILTER(_xlpm.occZ, (_xlpm.cost="OCC")*_xlpm.capOK*_xlpm.unitOK*(_xlpm.ct=_xlpm.ctNeed)*(_xlpm.fam=_xlpm.famNeed)*(_xlpm.rd=_xlpm.rdNeed)),
    ""
  )
)</f>
        <v>9679.6293311032641</v>
      </c>
      <c r="CA2" t="str" cm="1">
        <f t="array" ref="CA2">_xlfn.LET(
  _xlpm.hdr, CA$1,
  _xlpm.famFromHdr, _xlfn.TEXTBEFORE(_xlpm.hdr,"_"),
  _xlpm.rdFromHdr,  _xlfn.TEXTAFTER(_xlpm.hdr,"_"),
  _xlpm.rdNeed, IFERROR(
           _xlfn.XLOOKUP(TRIM(_xlpm.rdFromHdr),
             {"FOAK";"NOAK";"10th-OAK";"10th-of-a-kind";"10th OAK";"75th-OAK";"75th-of-a-kind";"75th OAK"},
             {"FOAK";"NOAK";"10th-OAK";"10th-OAK";"10th-OAK";"75th-OAK";"75th-OAK";"75th-OAK"}
           ),
           TRIM(_xlpm.rdFromHdr)
         ),
  _xlpm.clean, _xlfn.LAMBDA(_xlpm.s,TRIM(CLEAN(SUBSTITUTE(SUBSTITUTE(SUBSTITUTE(SUBSTITUTE(_xlpm.s,CHAR(160)," "),CHAR(9)," "),"–","-"),"—","-")))),
  _xlpm.H, Fusion[#Headers],
  _xlpm.iSpec, 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 _xlfn.XMATCH("Cost Type*",_xlpm.H,2),
  _xlpm.iUnit, IFERROR(_xlfn.XMATCH("Capacity Unit*",_xlpm.H,2),0),
  _xlpm.occ,     INDEX(Fusion[],,_xlpm.iSpec),
  _xlpm.ct_raw,  _xlpm.clean(INDEX(Fusion[],,_xlpm.iCT)),
  _xlpm.rt_raw,  IF(_xlpm.iRT&gt;0, _xlpm.clean(INDEX(Fusion[],,_xlpm.iRT)), ""),
  _xlpm.rd_raw,  _xlpm.clean(INDEX(Fusion[],,_xlpm.iRD)),
  _xlpm.cost,    INDEX(Fusion[],,_xlpm.iCost),
  _xlpm.capMW,   INDEX(Fusion[],,_xlpm.iCap),
  _xlpm.unit,    IF(_xlpm.iUnit&gt;0, INDEX(Fusion[],,_xlpm.iUnit), "MW"),
  _xlpm.ct, IFERROR(_xlfn.XLOOKUP(_xlpm.ct_raw, Map_Conf[From], Map_Conf[To], _xlpm.ct_raw), _xlpm.ct_raw),
  _xlpm.fam_ex, IFERROR(_xlfn.XLOOKUP(_xlpm.rt_raw, Map_Reactor[From], Map_Reactor[To], ""), ""),
  _xlpm.fam_wc, IFERROR(_xlfn.XLOOKUP(TRUE, ISNUMBER(SEARCH(Map_Reactor[From], _xlpm.rt_raw)), Map_Reactor[To]), ""),
  _xlpm.fam,    IF(_xlpm.fam_ex&lt;&gt;"", _xlpm.fam_ex, _xlpm.fam_wc),
  _xlpm.famNeed, _xlpm.clean(_xlpm.famFromHdr),
  _xlpm.ctNeed, IFERROR(
           _xlfn.XLOOKUP(_xlpm.famNeed,
             {"Tokamak";"Spherical Tokamak";"Helical";"RFP";"Mirror";"Inertial";"Magneto-Inertial"},
             {"MCF";"MCF";"MCF";"MCF";"MCF";"ICF";"MIF"}
           ),
           "MCF"
         ),
  _xlpm.rd, IFERROR(
        _xlfn.XLOOKUP(_xlpm.rd_raw,
          {"FOAK";"NOAK";"10th-OAK";"10th-of-a-kind";"10th OAK";"75th-OAK";"75th-of-a-kind";"75th OAK"},
          {"FOAK";"NOAK";"10th-OAK";"10th-OAK";"10th-OAK";"75th-OAK";"75th-OAK";"75th-OAK"}
        ),
        _xlpm.rd_raw
      ),
  _xlpm.occZ,   IF(ISNUMBER(_xlpm.occ), _xlpm.occ, NA()),
  _xlpm.capOK,  ISNUMBER(_xlpm.capMW)*(_xlpm.capMW&gt;0),
  _xlpm.unitOK, IF(_xlpm.iUnit&gt;0, ISNUMBER(SEARCH("MW", _xlpm.unit))*NOT(ISNUMBER(SEARCH("FUS", _xlpm.unit))), TRUE),
  _xlpm.famOK, IF(
          OR(
            _xlpm.fam="",
            _xlpm.fam=_xlpm.famNeed,
            ISNUMBER(SEARCH(_xlpm.famNeed, _xlpm.fam)),
            AND(_xlpm.ctNeed="ICF",  OR(_xlpm.fam="Inertial",            ISNUMBER(SEARCH("Inertial", _xlpm.rt_raw)), ISNUMBER(SEARCH("Heavy Ion Fusion", _xlpm.rt_raw)))),
            AND(_xlpm.ctNeed="MIF",  OR(_xlpm.fam="Magneto-Inertial",    ISNUMBER(SEARCH("Magneto", _xlpm.rt_raw)),  ISNUMBER(SEARCH("Z-Pinch", _xlpm.rt_raw))))
          ),
          TRUE, FALSE
        ),
  IFERROR(
    _xlfn._xlws.FILTER(_xlpm.occZ, (_xlpm.cost="OCC")*_xlpm.capOK*_xlpm.unitOK*(_xlpm.ct=_xlpm.ctNeed)*_xlpm.famOK*(_xlpm.rd=_xlpm.rdNeed)),
    ""
  )
)</f>
        <v/>
      </c>
      <c r="CB2" t="str" cm="1">
        <f t="array" ref="CB2">_xlfn.LET(
  _xlpm.hdr, CB$1,
  _xlpm.famFromHdr, _xlfn.TEXTBEFORE(_xlpm.hdr,"_"),
  _xlpm.rdFromHdr,  _xlfn.TEXTAFTER(_xlpm.hdr,"_"),
  _xlpm.rdNeed, IFERROR(
           _xlfn.XLOOKUP(TRIM(_xlpm.rdFromHdr),
             {"FOAK";"NOAK";"10th-OAK";"10th-of-a-kind";"10th OAK";"75th-OAK";"75th-of-a-kind";"75th OAK"},
             {"FOAK";"NOAK";"10th-OAK";"10th-OAK";"10th-OAK";"75th-OAK";"75th-OAK";"75th-OAK"}
           ),
           TRIM(_xlpm.rdFromHdr)
         ),
  _xlpm.clean, _xlfn.LAMBDA(_xlpm.s,TRIM(CLEAN(SUBSTITUTE(SUBSTITUTE(SUBSTITUTE(SUBSTITUTE(_xlpm.s,CHAR(160)," "),CHAR(9)," "),"–","-"),"—","-")))),
  _xlpm.H, Fusion[#Headers],
  _xlpm.iSpec, 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 _xlfn.XMATCH("Cost Type*",_xlpm.H,2),
  _xlpm.iUnit, IFERROR(_xlfn.XMATCH("Capacity Unit*",_xlpm.H,2),0),
  _xlpm.occ,     INDEX(Fusion[],,_xlpm.iSpec),
  _xlpm.ct_raw,  _xlpm.clean(INDEX(Fusion[],,_xlpm.iCT)),
  _xlpm.rt_raw,  IF(_xlpm.iRT&gt;0, _xlpm.clean(INDEX(Fusion[],,_xlpm.iRT)), ""),
  _xlpm.rd_raw,  _xlpm.clean(INDEX(Fusion[],,_xlpm.iRD)),
  _xlpm.cost,    INDEX(Fusion[],,_xlpm.iCost),
  _xlpm.capMW,   INDEX(Fusion[],,_xlpm.iCap),
  _xlpm.unit,    IF(_xlpm.iUnit&gt;0, INDEX(Fusion[],,_xlpm.iUnit), "MW"),
  _xlpm.ct, IFERROR(_xlfn.XLOOKUP(_xlpm.ct_raw, Map_Conf[From], Map_Conf[To], _xlpm.ct_raw), _xlpm.ct_raw),
  _xlpm.fam_ex, IFERROR(_xlfn.XLOOKUP(_xlpm.rt_raw, Map_Reactor[From], Map_Reactor[To], ""), ""),
  _xlpm.fam_wc, IFERROR(_xlfn.XLOOKUP(TRUE, ISNUMBER(SEARCH(Map_Reactor[From], _xlpm.rt_raw)), Map_Reactor[To]), ""),
  _xlpm.fam,    IF(_xlpm.fam_ex&lt;&gt;"", _xlpm.fam_ex, _xlpm.fam_wc),
  _xlpm.famNeed, _xlpm.clean(_xlpm.famFromHdr),
  _xlpm.ctNeed, IFERROR(
           _xlfn.XLOOKUP(_xlpm.famNeed,
             {"Tokamak";"Spherical Tokamak";"Helical";"RFP";"Mirror";"Inertial";"Magneto-Inertial"},
             {"MCF";"MCF";"MCF";"MCF";"MCF";"ICF";"MIF"}
           ),
           "MCF"
         ),
  _xlpm.rd, IFERROR(
        _xlfn.XLOOKUP(_xlpm.rd_raw,
          {"FOAK";"NOAK";"10th-OAK";"10th-of-a-kind";"10th OAK";"75th-OAK";"75th-of-a-kind";"75th OAK"},
          {"FOAK";"NOAK";"10th-OAK";"10th-OAK";"10th-OAK";"75th-OAK";"75th-OAK";"75th-OAK"}
        ),
        _xlpm.rd_raw
      ),
  _xlpm.occZ,   IF(ISNUMBER(_xlpm.occ), _xlpm.occ, NA()),
  _xlpm.capOK,  ISNUMBER(_xlpm.capMW)*(_xlpm.capMW&gt;0),
  _xlpm.unitOK, IF(_xlpm.iUnit&gt;0, ISNUMBER(SEARCH("MW", _xlpm.unit))*NOT(ISNUMBER(SEARCH("FUS", _xlpm.unit))), TRUE),
  _xlpm.famOK, IF(
          OR(
            _xlpm.fam="",
            _xlpm.fam=_xlpm.famNeed,
            ISNUMBER(SEARCH(_xlpm.famNeed, _xlpm.fam)),
            AND(_xlpm.ctNeed="ICF",  OR(_xlpm.fam="Inertial",            ISNUMBER(SEARCH("Inertial", _xlpm.rt_raw)), ISNUMBER(SEARCH("Heavy Ion Fusion", _xlpm.rt_raw)))),
            AND(_xlpm.ctNeed="MIF",  OR(_xlpm.fam="Magneto-Inertial",    ISNUMBER(SEARCH("Magneto", _xlpm.rt_raw)),  ISNUMBER(SEARCH("Z-Pinch", _xlpm.rt_raw))))
          ),
          TRUE, FALSE
        ),
  IFERROR(
    _xlfn._xlws.FILTER(_xlpm.occZ, (_xlpm.cost="OCC")*_xlpm.capOK*_xlpm.unitOK*(_xlpm.ct=_xlpm.ctNeed)*_xlpm.famOK*(_xlpm.rd=_xlpm.rdNeed)),
    ""
  )
)</f>
        <v/>
      </c>
      <c r="CC2" cm="1">
        <f t="array" ref="CC2:CC4">_xlfn.LET(
  _xlpm.hdr, CC$1,
  _xlpm.famFromHdr, _xlfn.TEXTBEFORE(_xlpm.hdr,"_"),
  _xlpm.rdFromHdr,  _xlfn.TEXTAFTER(_xlpm.hdr,"_"),
  _xlpm.rdNeed, IFERROR(
           _xlfn.XLOOKUP(TRIM(_xlpm.rdFromHdr),
             {"FOAK";"NOAK";"10th-OAK";"10th-of-a-kind";"10th OAK";"75th-OAK";"75th-of-a-kind";"75th OAK"},
             {"FOAK";"NOAK";"10th-OAK";"10th-OAK";"10th-OAK";"75th-OAK";"75th-OAK";"75th-OAK"}
           ),
           TRIM(_xlpm.rdFromHdr)
         ),
  _xlpm.clean, _xlfn.LAMBDA(_xlpm.s,TRIM(CLEAN(SUBSTITUTE(SUBSTITUTE(SUBSTITUTE(SUBSTITUTE(_xlpm.s,CHAR(160)," "),CHAR(9)," "),"–","-"),"—","-")))),
  _xlpm.H, Fusion[#Headers],
  _xlpm.iSpec, IFERROR(_xlfn.XMATCH("*Specific*OCC*2018*",_xlpm.H,2),_xlfn.XMATCH("*OCC*2018*",_xlpm.H,2)),
  _xlpm.iCap,  _xlfn.XMATCH("Capacity *MW*",_xlpm.H,2),
  _xlpm.iCT,   _xlfn.XMATCH("Confinement*",_xlpm.H,2),
  _xlpm.iRT,   IFERROR(_xlfn.XMATCH("Reactor Type*",_xlpm.H,2),IFERROR(_xlfn.XMATCH("Reactor*",_xlpm.H,2),IFERROR(_xlfn.XMATCH("System*",_xlpm.H,2),0))),
  _xlpm.iRD,   _xlfn.XMATCH("Readiness*",_xlpm.H,2),
  _xlpm.iCost, _xlfn.XMATCH("Cost Type*",_xlpm.H,2),
  _xlpm.iUnit, IFERROR(_xlfn.XMATCH("Capacity Unit*",_xlpm.H,2),0),
  _xlpm.occ,     INDEX(Fusion[],,_xlpm.iSpec),
  _xlpm.ct_raw,  _xlpm.clean(INDEX(Fusion[],,_xlpm.iCT)),
  _xlpm.rt_raw,  IF(_xlpm.iRT&gt;0, _xlpm.clean(INDEX(Fusion[],,_xlpm.iRT)), ""),
  _xlpm.rd_raw,  _xlpm.clean(INDEX(Fusion[],,_xlpm.iRD)),
  _xlpm.cost,    INDEX(Fusion[],,_xlpm.iCost),
  _xlpm.capMW,   INDEX(Fusion[],,_xlpm.iCap),
  _xlpm.unit,    IF(_xlpm.iUnit&gt;0, INDEX(Fusion[],,_xlpm.iUnit), "MW"),
  _xlpm.ct, IFERROR(_xlfn.XLOOKUP(_xlpm.ct_raw, Map_Conf[From], Map_Conf[To], _xlpm.ct_raw), _xlpm.ct_raw),
  _xlpm.fam_ex, IFERROR(_xlfn.XLOOKUP(_xlpm.rt_raw, Map_Reactor[From], Map_Reactor[To], ""), ""),
  _xlpm.fam_wc, IFERROR(_xlfn.XLOOKUP(TRUE, ISNUMBER(SEARCH(Map_Reactor[From], _xlpm.rt_raw)), Map_Reactor[To]), ""),
  _xlpm.fam,    IF(_xlpm.fam_ex&lt;&gt;"", _xlpm.fam_ex, _xlpm.fam_wc),
  _xlpm.famNeed, _xlpm.clean(_xlpm.famFromHdr),
  _xlpm.ctNeed, IFERROR(
           _xlfn.XLOOKUP(_xlpm.famNeed,
             {"Tokamak";"Spherical Tokamak";"Helical";"RFP";"Mirror";"Inertial";"Magneto-Inertial"},
             {"MCF";"MCF";"MCF";"MCF";"MCF";"ICF";"MIF"}
           ),
           "MCF"
         ),
  _xlpm.rd, IFERROR(
        _xlfn.XLOOKUP(_xlpm.rd_raw,
          {"FOAK";"NOAK";"10th-OAK";"10th-of-a-kind";"10th OAK";"75th-OAK";"75th-of-a-kind";"75th OAK"},
          {"FOAK";"NOAK";"10th-OAK";"10th-OAK";"10th-OAK";"75th-OAK";"75th-OAK";"75th-OAK"}
        ),
        _xlpm.rd_raw
      ),
  _xlpm.occZ,   IF(ISNUMBER(_xlpm.occ), _xlpm.occ, NA()),
  _xlpm.capOK,  ISNUMBER(_xlpm.capMW)*(_xlpm.capMW&gt;0),
  _xlpm.unitOK, IF(_xlpm.iUnit&gt;0, ISNUMBER(SEARCH("MW", _xlpm.unit))*NOT(ISNUMBER(SEARCH("FUS", _xlpm.unit))), TRUE),
  _xlpm.famOK, IF(
          OR(
            _xlpm.fam="",
            _xlpm.fam=_xlpm.famNeed,
            ISNUMBER(SEARCH(_xlpm.famNeed, _xlpm.fam)),
            AND(_xlpm.ctNeed="ICF",  OR(_xlpm.fam="Inertial",            ISNUMBER(SEARCH("Inertial", _xlpm.rt_raw)), ISNUMBER(SEARCH("Heavy Ion Fusion", _xlpm.rt_raw)))),
            AND(_xlpm.ctNeed="MIF",  OR(_xlpm.fam="Magneto-Inertial",    ISNUMBER(SEARCH("Magneto", _xlpm.rt_raw)),  ISNUMBER(SEARCH("Z-Pinch", _xlpm.rt_raw))))
          ),
          TRUE, FALSE
        ),
  IFERROR(
    _xlfn._xlws.FILTER(_xlpm.occZ, (_xlpm.cost="OCC")*_xlpm.capOK*_xlpm.unitOK*(_xlpm.ct=_xlpm.ctNeed)*_xlpm.famOK*(_xlpm.rd=_xlpm.rdNeed)),
    ""
  )
)</f>
        <v>4205.9195773456604</v>
      </c>
      <c r="CD2">
        <f t="shared" ref="CD2:CD20" si="1">MATCH(BG2,$BG$2:$BG$20,0)</f>
        <v>1</v>
      </c>
      <c r="CE2" t="e" cm="1">
        <f t="array" aca="1" ref="CE2" ca="1">_xlfn.LET(
  _xlpm.r,OFFSET($BK$2,0,ROW(A1)-1,ROWS($Y$2:$BK$1000),1),
  _xlpm.v,_xlfn._xlws.FILTER(_xlpm.r,ISNUMBER(_xlpm.r)),
  IF(COUNT(_xlpm.v)=0,NA(),_xlfn.PERCENTILE.INC(_xlpm.v,0.975))
)</f>
        <v>#N/A</v>
      </c>
      <c r="CF2" s="13" t="e" cm="1">
        <f t="array" ref="CF2">_xlfn.LET(
  _xlpm.hdr, $BK$1:$CC$1,               _xlpm.k,   _xlfn.XMATCH($BG2,_xlpm.hdr,0),
  _xlpm.col, INDEX($BK$2:$CC$1000,,_xlpm.k),
  _xlpm.v,   _xlfn._xlws.FILTER(_xlpm.col,ISNUMBER(_xlpm.col)),
  IF(COUNT(_xlpm.v)=0, NA(), AVERAGE(_xlpm.v))
)</f>
        <v>#N/A</v>
      </c>
      <c r="CG2" t="e" cm="1">
        <f t="array" aca="1" ref="CG2" ca="1">_xlfn.LET(
  _xlpm.k,ROW(A1)-1,
  _xlpm.r,OFFSET($BK$2,0,_xlpm.k,ROWS($Y$2:$BK$1000),1),
  _xlpm.v,_xlfn._xlws.FILTER(_xlpm.r,ISNUMBER(_xlpm.r)),
  IF(COUNT(_xlpm.v)=0,NA(),MIN(_xlpm.v))
)</f>
        <v>#N/A</v>
      </c>
      <c r="CH2" t="e" cm="1">
        <f t="array" aca="1" ref="CH2" ca="1">_xlfn.LET(
  _xlpm.k,ROW(A1)-1,
  _xlpm.r,OFFSET($BK$2,0,_xlpm.k,ROWS($Y$2:$BK$1000),1),
  _xlpm.v,_xlfn._xlws.FILTER(_xlpm.r,ISNUMBER(_xlpm.r)),
  IF(COUNT(_xlpm.v)=0,NA(),_xlfn.PERCENTILE.INC(_xlpm.v,0.25))
)</f>
        <v>#N/A</v>
      </c>
      <c r="CI2" t="e" cm="1">
        <f t="array" aca="1" ref="CI2" ca="1">_xlfn.LET(
  _xlpm.k,ROW(B1)-1,
  _xlpm.r,OFFSET($BK$2,0,_xlpm.k,ROWS($Y$2:$BK$1000),1),
  _xlpm.v,_xlfn._xlws.FILTER(_xlpm.r,ISNUMBER(_xlpm.r)),
  IF(COUNT(_xlpm.v)=0,NA(),_xlfn.PERCENTILE.INC(_xlpm.v,0.5))
)</f>
        <v>#N/A</v>
      </c>
      <c r="CJ2" t="e" cm="1">
        <f t="array" aca="1" ref="CJ2" ca="1">_xlfn.LET(
  _xlpm.k,ROW(C1)-1,
  _xlpm.r,OFFSET($BK$2,0,_xlpm.k,ROWS($Y$2:$BK$1000),1),
  _xlpm.v,_xlfn._xlws.FILTER(_xlpm.r,ISNUMBER(_xlpm.r)),
  IF(COUNT(_xlpm.v)=0,NA(),_xlfn.PERCENTILE.INC(_xlpm.v,0.75))
)</f>
        <v>#N/A</v>
      </c>
      <c r="CK2" t="e" cm="1">
        <f t="array" aca="1" ref="CK2" ca="1">_xlfn.LET(
  _xlpm.k,ROW(A1)-1,
  _xlpm.r,OFFSET($BK$2,0,_xlpm.k,ROWS($Y$2:$BK$1000),1),
  _xlpm.v,_xlfn._xlws.FILTER(_xlpm.r,ISNUMBER(_xlpm.r)),
  IF(COUNT(_xlpm.v)=0,NA(),MAX(_xlpm.v))
)</f>
        <v>#N/A</v>
      </c>
      <c r="CL2" t="e" cm="1" vm="1">
        <f t="array" aca="1" ref="CL2" ca="1">_xlfn.LET(_xlpm.r,OFFSET($BK$2,0,ROW(A1)-1,ROWS($Y$2:$BK$1000),1),
    _xlpm.v,_xlfn._xlws.FILTER(_xlpm.r,ISNUMBER(_xlpm.r)),
    _xlfn.PERCENTILE.INC(_xlpm.v,0.25))</f>
        <v>#VALUE!</v>
      </c>
      <c r="CM2" t="e" cm="1" vm="1">
        <f t="array" aca="1" ref="CM2" ca="1">_xlfn.LET(_xlpm.r,OFFSET($BK$2,0,ROW(A1)-1,ROWS($BK$2:$BK$1000),1),
    _xlpm.v,_xlfn._xlws.FILTER(_xlpm.r,ISNUMBER(_xlpm.r)),
    _xlfn.PERCENTILE.INC(_xlpm.v,0.5)-_xlfn.PERCENTILE.INC(_xlpm.v,0.25))</f>
        <v>#VALUE!</v>
      </c>
      <c r="CN2" t="e" cm="1" vm="1">
        <f t="array" aca="1" ref="CN2" ca="1">_xlfn.LET(_xlpm.r,OFFSET($BK$2,0,ROW(A1)-1,ROWS($BK$2:$BK$1000),1),
    _xlpm.v,_xlfn._xlws.FILTER(_xlpm.r,ISNUMBER(_xlpm.r)),
    _xlfn.PERCENTILE.INC(_xlpm.v,0.75)-_xlfn.PERCENTILE.INC(_xlpm.v,0.5))</f>
        <v>#VALUE!</v>
      </c>
      <c r="CO2" t="e" cm="1" vm="1">
        <f t="array" aca="1" ref="CO2" ca="1">_xlfn.LET(_xlpm.r,OFFSET($BK$2,0,ROW(A1)-1,ROWS($BK$2:$BK$1000),1),
    _xlpm.v,_xlfn._xlws.FILTER(_xlpm.r,ISNUMBER(_xlpm.r)),
    MAX(_xlpm.v)-_xlfn.PERCENTILE.INC(_xlpm.v,0.75))</f>
        <v>#VALUE!</v>
      </c>
      <c r="CP2" t="e" cm="1" vm="1">
        <f t="array" aca="1" ref="CP2" ca="1">_xlfn.LET(_xlpm.r,OFFSET($BK$2,0,ROW(A1)-1,ROWS($BK$2:$BK$1000),1),
    _xlpm.v,_xlfn._xlws.FILTER(_xlpm.r,ISNUMBER(_xlpm.r)),
    _xlfn.PERCENTILE.INC(_xlpm.v,0.25)-MIN(_xlpm.v))</f>
        <v>#VALUE!</v>
      </c>
      <c r="CQ2" t="e" cm="1" vm="1">
        <f t="array" aca="1" ref="CQ2" ca="1">_xlfn.LET(_xlpm.r,OFFSET($BK$2,0,ROW(A1)-1,ROWS($BK$2:$BK$1000),1),
    _xlpm.v,_xlfn._xlws.FILTER(_xlpm.r,ISNUMBER(_xlpm.r)),
    MAX(_xlpm.v)-_xlfn.PERCENTILE.INC(_xlpm.v,0.75))</f>
        <v>#VALUE!</v>
      </c>
      <c r="CR2" t="e">
        <f ca="1">CH2-CG2</f>
        <v>#N/A</v>
      </c>
      <c r="CS2">
        <v>0</v>
      </c>
      <c r="CT2" t="e">
        <f ca="1">CK2-CJ2</f>
        <v>#N/A</v>
      </c>
      <c r="CU2" cm="1">
        <f t="array" ref="CU2:CU105">_xlfn.LET(
  _xlpm.Bereich,BK$2:CC$1000,
  _xlfn._xlws.FILTER(_xlfn.TOCOL(_xlpm.Bereich), ISNUMBER(_xlfn.TOCOL(_xlpm.Bereich)))
)</f>
        <v>2100.3070606742936</v>
      </c>
      <c r="CV2" cm="1">
        <f t="array" ref="CV2:CV105">_xlfn.LET(
  _xlpm.Bereich,BK$2:CC$1000,
  _xlpm.maske,ISNUMBER(_xlpm.Bereich),
  _xlpm.Ind2D,COLUMN(_xlpm.Bereich)-COLUMN(BK$2)+1,
  _xlpm.X2D,IF(_xlpm.maske,_xlpm.Ind2D,""),
  _xlfn._xlws.FILTER(_xlfn.TOCOL(_xlpm.X2D), ISNUMBER(_xlfn.TOCOL(_xlpm.Bereich)))
)</f>
        <v>2</v>
      </c>
      <c r="DA2" t="s">
        <v>849</v>
      </c>
      <c r="DB2" t="s">
        <v>519</v>
      </c>
      <c r="DC2" t="s">
        <v>52</v>
      </c>
      <c r="DD2" t="s">
        <v>862</v>
      </c>
      <c r="DE2" t="e" cm="1" vm="1">
        <f t="array" ref="DE2">_xlfn.LET(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_xlpm.ct_raw,INDEX(Fusion[],,_xlpm.iCT),
  _xlpm.rt_raw,INDEX(Fusion[],,_xlpm.iRT),
  _xlpm.rd_raw,INDEX(Fusion[],,_xlpm.iRD),
  _xlpm.cost,  INDEX(Fusion[],,_xlpm.iCost),
  _xlpm.capMW, INDEX(Fusion[],,_xlpm.iCap),
  _xlpm.unit,  IF(_xlpm.iUnit&gt;0,INDEX(Fusion[],,_xlpm.iUnit),"MW"),
  _xlpm.ct, IFERROR(_xlfn.XLOOKUP(_xlpm.ct_raw, Map_Conf[From], Map_Conf[To], _xlpm.ct_raw), _xlpm.ct_raw),
  _xlpm.rd, IFERROR(
        _xlfn.XLOOKUP(TRIM(_xlpm.rd_raw),
          {"FOAK";"NOAK";"10th-OAK";"10th-of-a-kind";"10th OAK";"75th-OAK";"75th-of-a-kind";"75th OAK"},
          {"FOAK";"NOAK";"10th-OAK";"10th-OAK";"10th-OAK";"75th-OAK";"75th-OAK";"75th-OAK"}),
        TRIM(_xlpm.rd_raw)
      ),
  _xlpm.capOK,  ISNUMBER(_xlpm.capMW)*(_xlpm.capMW&gt;0),
  _xlpm.unitOK, IF(_xlpm.iUnit&gt;0, ISNUMBER(SEARCH("MW",_xlpm.unit))*NOT(ISNUMBER(SEARCH("FUS",_xlpm.unit))), TRUE),
  _xlpm.occZ, IF(ISNUMBER(_xlpm.occ), _xlpm.occ, NA()),
  _xlfn._xlws.FILTER(_xlpm.occZ, (_xlpm.cost="OCC")*_xlpm.capOK*_xlpm.unitOK*(_xlpm.ct="ICF")*(_xlpm.rd="FOAK"))
)</f>
        <v>#VALUE!</v>
      </c>
      <c r="DF2" cm="1">
        <f t="array" ref="DF2">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ICF")*(_xlpm.rd="NOAK")))</f>
        <v>2100.3070606742936</v>
      </c>
      <c r="DG2" cm="1">
        <f t="array" ref="DG2:DG8">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ICF")*(_xlpm.rd="10th-OAK")))</f>
        <v>1077.7935993975905</v>
      </c>
      <c r="DH2" cm="1">
        <f t="array" ref="DH2:DH19">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MCF")*(_xlpm.rd="FOAK")))</f>
        <v>12441.316506252808</v>
      </c>
      <c r="DI2" s="13" cm="1">
        <f t="array" ref="DI2:DI13">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MCF")*(_xlpm.rd="NOAK")))</f>
        <v>4057.4152694979834</v>
      </c>
      <c r="DJ2" cm="1">
        <f t="array" ref="DJ2:DJ53">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MCF")*(_xlpm.rd="10th-OAK")))</f>
        <v>7688.8924367702002</v>
      </c>
      <c r="DK2" cm="1">
        <f t="array" ref="DK2:DK17">_xlfn.LET(
  _xlpm.H,Fusion[#Headers],
  _xlpm.iSpec,_xlfn.XMATCH("*Specific*OCC*2018*",_xlpm.H,2),
  _xlpm.iCap,_xlfn.XMATCH("Capacity *MW*",_xlpm.H,2),
  _xlpm.iCT,_xlfn.XMATCH("Confinement*",_xlpm.H,2),
  _xlpm.iRD,_xlfn.XMATCH("Readiness*",_xlpm.H,2),
  _xlpm.iCost,_xlfn.XMATCH("Cost Type*",_xlpm.H,2),
  _xlpm.iUnit,IFERROR(_xlfn.XMATCH("Capacity Unit*",_xlpm.H,2),0),
  _xlpm.occ,INDEX(Fusion[],,_xlpm.iSpec),
  _xlpm.ct_raw,INDEX(Fusion[],,_xlpm.iCT),
  _xlpm.rd_raw,INDEX(Fusion[],,_xlpm.iRD),
  _xlpm.cost,INDEX(Fusion[],,_xlpm.iCost),
  _xlpm.capMW,INDEX(Fusion[],,_xlpm.iCap),
  _xlpm.unit,IF(_xlpm.iUnit&gt;0,INDEX(Fusion[],,_xlpm.iUnit),"MW"),
  _xlpm.ct,IFERROR(_xlfn.XLOOKUP(_xlpm.ct_raw,Map_Conf[From],Map_Conf[To],_xlpm.ct_raw),_xlpm.ct_raw),
  _xlpm.advRaw,ISNUMBER(SEARCH("ADVAN",UPPER(_xlpm.rd_raw))),
  _xlpm.rd,IF(
        _xlpm.advRaw,"NOAK",
        IFERROR(
          _xlfn.XLOOKUP(TRIM(_xlpm.rd_raw),
            {"FOAK";"NOAK";"10th-OAK";"10th-of-a-kind";"10th OAK";"Advanced NOAK";"Advanced"},
            {"FOAK";"NOAK";"10th-OAK";"10th-OAK";"10th-OAK";"NOAK";"NOAK"}
          ),
          TRIM(_xlpm.rd_raw)
        )
     ),
  _xlpm.capOK,ISNUMBER(_xlpm.capMW)*(_xlpm.capMW&gt;0),
  _xlpm.unitOK,IF(_xlpm.iUnit&gt;0,ISNUMBER(SEARCH("MW",_xlpm.unit))*NOT(ISNUMBER(SEARCH("FUS",_xlpm.unit))),TRUE),
  _xlpm.occZ,IF(ISNUMBER(_xlpm.occ),_xlpm.occ,NA()),
  _xlfn._xlws.FILTER(_xlpm.occZ,(_xlpm.cost="OCC")*_xlpm.capOK*_xlpm.unitOK*(_xlpm.ct="MCF")*(_xlpm.rd="NOAK"))
)</f>
        <v>4057.4152694979834</v>
      </c>
      <c r="DL2" t="e" cm="1">
        <f t="array" ref="DL2">_xlfn.LET(
  _xlpm.H,Fusion[#Headers],
  _xlpm.iSpec,_xlfn.XMATCH("*Specific*OCC*2018*",_xlpm.H,2),
  _xlpm.iCap, _xlfn.XMATCH("Capacity *MW*",_xlpm.H,2),
  _xlpm.iCT,  _xlfn.XMATCH("Confinement*",_xlpm.H,2),
  _xlpm.iRD,  _xlfn.XMATCH("Readiness*",_xlpm.H,2),
  _xlpm.iCost,_xlfn.XMATCH("Cost Type*",_xlpm.H,2),
  _xlpm.iUnit,IFERROR(_xlfn.XMATCH("Capacity Unit*",_xlpm.H,2),0),
  _xlpm.occ,   INDEX(Fusion[],,_xlpm.iSpec),
  _xlpm.ct_raw,INDEX(Fusion[],,_xlpm.iCT),
  _xlpm.rd_raw,INDEX(Fusion[],,_xlpm.iRD),
  _xlpm.cost,  INDEX(Fusion[],,_xlpm.iCost),
  _xlpm.capMW, INDEX(Fusion[],,_xlpm.iCap),
  _xlpm.unit,  IF(_xlpm.iUnit&gt;0,INDEX(Fusion[],,_xlpm.iUnit),"MW"),
  _xlpm.ct,IFERROR(_xlfn.XLOOKUP(_xlpm.ct_raw,Map_Conf[From],Map_Conf[To],_xlpm.ct_raw),_xlpm.ct_raw),
  _xlpm.rd,IFERROR(
        _xlfn.XLOOKUP(TRIM(_xlpm.rd_raw),
          {"FOAK";"NOAK";"10th-OAK";"10th-of-a-kind";"10th OAK";"75th-OAK";"75th-of-a-kind";"75th OAK"},
          {"FOAK";"NOAK";"10th-OAK";"10th-OAK";"10th-OAK";"75th-OAK";"75th-OAK";"75th-OAK"}),
        TRIM(_xlpm.rd_raw)
     ),
  _xlpm.capOK, ISNUMBER(_xlpm.capMW)*(_xlpm.capMW&gt;0),
  _xlpm.unitOK,IF(_xlpm.iUnit&gt;0, ISNUMBER(SEARCH("MW",_xlpm.unit))*NOT(ISNUMBER(SEARCH("FUS",_xlpm.unit))), TRUE),
  _xlpm.occZ, IF(ISNUMBER(_xlpm.occ),_xlpm.occ,NA()),
  _xlpm.maske, (_xlpm.cost="OCC")*_xlpm.capOK*_xlpm.unitOK*(_xlpm.ct="MIF")*(_xlpm.rd="FOAK"),
  IF(SUM(--_xlpm.maske)=0, NA(), _xlfn._xlws.FILTER(_xlpm.occZ, _xlpm.maske, NA()))
)</f>
        <v>#N/A</v>
      </c>
      <c r="DM2" t="e" cm="1">
        <f t="array" ref="DM2">_xlfn.LET(
  _xlpm.H,Fusion[#Headers],
  _xlpm.iSpec,_xlfn.XMATCH("*Specific*OCC*2018*",_xlpm.H,2),
  _xlpm.iCap, _xlfn.XMATCH("Capacity *MW*",_xlpm.H,2),
  _xlpm.iCT,  _xlfn.XMATCH("Confinement*",_xlpm.H,2),
  _xlpm.iRD,  _xlfn.XMATCH("Readiness*",_xlpm.H,2),
  _xlpm.iCost,_xlfn.XMATCH("Cost Type*",_xlpm.H,2),
  _xlpm.iUnit,IFERROR(_xlfn.XMATCH("Capacity Unit*",_xlpm.H,2),0),
  _xlpm.occ,   INDEX(Fusion[],,_xlpm.iSpec),
  _xlpm.ct_raw,INDEX(Fusion[],,_xlpm.iCT),
  _xlpm.rd_raw,INDEX(Fusion[],,_xlpm.iRD),
  _xlpm.cost,  INDEX(Fusion[],,_xlpm.iCost),
  _xlpm.capMW, INDEX(Fusion[],,_xlpm.iCap),
  _xlpm.unit,  IF(_xlpm.iUnit&gt;0,INDEX(Fusion[],,_xlpm.iUnit),"MW"),
  _xlpm.ct,IFERROR(_xlfn.XLOOKUP(_xlpm.ct_raw,Map_Conf[From],Map_Conf[To],_xlpm.ct_raw),_xlpm.ct_raw),
  _xlpm.rd,IFERROR(
        _xlfn.XLOOKUP(TRIM(_xlpm.rd_raw),
          {"FOAK";"NOAK";"10th-OAK";"10th-of-a-kind";"10th OAK";"75th-OAK";"75th-of-a-kind";"75th OAK"},
          {"FOAK";"NOAK";"10th-OAK";"10th-OAK";"10th-OAK";"75th-OAK";"75th-OAK";"75th-OAK"}),
        TRIM(_xlpm.rd_raw)
     ),
  _xlpm.capOK, ISNUMBER(_xlpm.capMW)*(_xlpm.capMW&gt;0),
  _xlpm.unitOK,IF(_xlpm.iUnit&gt;0, ISNUMBER(SEARCH("MW",_xlpm.unit))*NOT(ISNUMBER(SEARCH("FUS",_xlpm.unit))), TRUE),
  _xlpm.occZ, IF(ISNUMBER(_xlpm.occ),_xlpm.occ,NA()),
  _xlpm.maske, (_xlpm.cost="OCC")*_xlpm.capOK*_xlpm.unitOK*(_xlpm.ct="MIF")*(_xlpm.rd="NOAK"),
  IF(SUM(--_xlpm.maske)=0, NA(), _xlfn._xlws.FILTER(_xlpm.occZ, _xlpm.maske, NA()))
)</f>
        <v>#N/A</v>
      </c>
      <c r="DO2" cm="1">
        <f t="array" ref="DO2:DO4">_xlfn.LET(_xlpm.H,Fusion[#Headers],_xlpm.iSpec,_xlfn.XMATCH("*Specific*OCC*2018*",_xlpm.H,2),_xlpm.iCap,_xlfn.XMATCH("Capacity *MW*",_xlpm.H,2),_xlpm.iCT,_xlfn.XMATCH("Confinement*",_xlpm.H,2),_xlpm.iRD,_xlfn.XMATCH("Readiness*",_xlpm.H,2),_xlpm.iCost,_xlfn.XMATCH("Cost Type*",_xlpm.H,2),_xlpm.iUnit,IFERROR(_xlfn.XMATCH("Capacity Unit*",_xlpm.H,2),0),_xlpm.occ,INDEX(Fusion[],,_xlpm.iSpec),_xlpm.ct_raw,INDEX(Fusion[],,_xlpm.iCT),_xlpm.rd_raw,INDEX(Fusion[],,_xlpm.iRD),_xlpm.cost,INDEX(Fusion[],,_xlpm.iCost),_xlpm.capMW,INDEX(Fusion[],,_xlpm.iCap),_xlpm.unit,IF(_xlpm.iUnit&gt;0,INDEX(Fusion[],,_xlpm.iUnit),"MW"),_xlpm.ct,IFERROR(_xlfn.XLOOKUP(_xlpm.ct_raw,Map_Conf[From],Map_Conf[To],_xlpm.ct_raw),_xlpm.ct_raw),_xlpm.rd,IFERROR(_xlfn.XLOOKUP(TRIM(_xlpm.rd_raw),{"FOAK";"NOAK";"10th-OAK";"10th-of-a-kind";"10th OAK";"75th-OAK";"75th-of-a-kind";"75th OAK"},{"FOAK";"NOAK";"10th-OAK";"10th-OAK";"10th-OAK";"75th-OAK";"75th-OAK";"75th-OAK"}),TRIM(_xlpm.rd_raw)),_xlpm.capOK,ISNUMBER(_xlpm.capMW)*(_xlpm.capMW&gt;0),_xlpm.unitOK,IF(_xlpm.iUnit&gt;0,ISNUMBER(SEARCH("MW",_xlpm.unit))*NOT(ISNUMBER(SEARCH("FUS",_xlpm.unit))),TRUE),_xlpm.occZ,IF(ISNUMBER(_xlpm.occ),_xlpm.occ,NA()),_xlfn._xlws.FILTER(_xlpm.occZ,(_xlpm.cost="OCC")*_xlpm.capOK*_xlpm.unitOK*(_xlpm.ct="MIF")*(_xlpm.rd="10th-OAK")))</f>
        <v>4205.9195773456604</v>
      </c>
      <c r="DP2" t="e">
        <f>MATCH(DA2,$V$2:$V$11,0)</f>
        <v>#N/A</v>
      </c>
      <c r="DQ2" s="26" t="e" cm="1">
        <f t="array" aca="1" ref="DQ2" ca="1">_xlfn.LET(
  _xlpm.r,OFFSET($Y$2,0,ROW(A137)-1,ROWS($Y$2:$Y$1000),1),
  _xlpm.v,_xlfn._xlws.FILTER(_xlpm.r,ISNUMBER(_xlpm.r)),
  IF(COUNT(_xlpm.v)=0,NA(),_xlfn.PERCENTILE.INC(_xlpm.v,0.975))
)</f>
        <v>#N/A</v>
      </c>
      <c r="DR2" s="26" t="e" cm="1">
        <f t="array" ref="DR2">_xlfn.LET(
  _xlpm.hdr, $Y$1:$AH$1,               _xlpm.k,   _xlfn.XMATCH($DA2,_xlpm.hdr,0),
  _xlpm.col, INDEX($Y$2:$AH$1000,,_xlpm.k),
  _xlpm.v,   _xlfn._xlws.FILTER(_xlpm.col,ISNUMBER(_xlpm.col)),
  IF(COUNT(_xlpm.v)=0, NA(), AVERAGE(_xlpm.v))
)</f>
        <v>#N/A</v>
      </c>
      <c r="DS2" t="e" cm="1">
        <f t="array" aca="1" ref="DS2" ca="1">_xlfn.LET(
  _xlpm.k,ROW(A137)-1,
  _xlpm.r,OFFSET($Y$2,0,_xlpm.k,ROWS($Y$2:$Y$1000),1),
  _xlpm.v,_xlfn._xlws.FILTER(_xlpm.r,ISNUMBER(_xlpm.r)),
  IF(COUNT(_xlpm.v)=0,NA(),MIN(_xlpm.v))
)</f>
        <v>#N/A</v>
      </c>
      <c r="DT2" t="e" cm="1">
        <f t="array" aca="1" ref="DT2" ca="1">_xlfn.LET(
  _xlpm.k,ROW(A137)-1,
  _xlpm.r,OFFSET($Y$2,0,_xlpm.k,ROWS($Y$2:$Y$1000),1),
  _xlpm.v,_xlfn._xlws.FILTER(_xlpm.r,ISNUMBER(_xlpm.r)),
  IF(COUNT(_xlpm.v)=0,NA(),_xlfn.PERCENTILE.INC(_xlpm.v,0.25))
)</f>
        <v>#N/A</v>
      </c>
      <c r="DU2" t="e" cm="1">
        <f t="array" aca="1" ref="DU2" ca="1">_xlfn.LET(
  _xlpm.k,ROW(A137)-1,
  _xlpm.r,OFFSET($Y$2,0,_xlpm.k,ROWS($Y$2:$Y$1000),1),
  _xlpm.v,_xlfn._xlws.FILTER(_xlpm.r,ISNUMBER(_xlpm.r)),
  IF(COUNT(_xlpm.v)=0,NA(),_xlfn.PERCENTILE.INC(_xlpm.v,0.5))
)</f>
        <v>#N/A</v>
      </c>
      <c r="DV2" t="e" cm="1">
        <f t="array" aca="1" ref="DV2" ca="1">_xlfn.LET(
  _xlpm.k,ROW(A137)-1,
  _xlpm.r,OFFSET($Y$2,0,_xlpm.k,ROWS($Y$2:$Y$1000),1),
  _xlpm.v,_xlfn._xlws.FILTER(_xlpm.r,ISNUMBER(_xlpm.r)),
  IF(COUNT(_xlpm.v)=0,NA(),_xlfn.PERCENTILE.INC(_xlpm.v,0.75))
)</f>
        <v>#N/A</v>
      </c>
      <c r="DW2" t="e" cm="1">
        <f t="array" aca="1" ref="DW2" ca="1">_xlfn.LET(
  _xlpm.k,ROW(A137)-1,
  _xlpm.r,OFFSET($Y$2,0,_xlpm.k,ROWS($Y$2:$Y$1000),1),
  _xlpm.v,_xlfn._xlws.FILTER(_xlpm.r,ISNUMBER(_xlpm.r)),
  IF(COUNT(_xlpm.v)=0,NA(),MAX(_xlpm.v))
)</f>
        <v>#N/A</v>
      </c>
      <c r="DX2" t="e" cm="1" vm="1">
        <f t="array" aca="1" ref="DX2" ca="1">_xlfn.LET(_xlpm.r,OFFSET($Y$2,0,ROW(A137)-1,ROWS($Y$2:$Y$1000),1),
    _xlpm.v,_xlfn._xlws.FILTER(_xlpm.r,ISNUMBER(_xlpm.r)),
    _xlfn.PERCENTILE.INC(_xlpm.v,0.25))</f>
        <v>#VALUE!</v>
      </c>
      <c r="DY2" t="e" cm="1">
        <f t="array" aca="1" ref="DY2" ca="1">_xlfn.LET(
  _xlpm.k, ROW(A137)-1,
  _xlpm.r, OFFSET($Y$2,0,_xlpm.k,ROWS($Y$2:$Y$1000),1),
  _xlpm.v, _xlfn._xlws.FILTER(_xlpm.r, ISNUMBER(_xlpm.r)),
  IF(COUNT(_xlpm.v)=0, NA(), _xlfn.PERCENTILE.INC(_xlpm.v,0.5)-_xlfn.PERCENTILE.INC(_xlpm.v,0.25))
)</f>
        <v>#N/A</v>
      </c>
      <c r="DZ2" t="e" cm="1" vm="1">
        <f t="array" aca="1" ref="DZ2" ca="1">_xlfn.LET(_xlpm.r,OFFSET($Y$2,0,ROW(A137)-1,ROWS($Y$2:$Y$1000),1),
    _xlpm.v,_xlfn._xlws.FILTER(_xlpm.r,ISNUMBER(_xlpm.r)),
    _xlfn.PERCENTILE.INC(_xlpm.v,0.75)-_xlfn.PERCENTILE.INC(_xlpm.v,0.5))</f>
        <v>#VALUE!</v>
      </c>
      <c r="EA2" t="e" cm="1" vm="1">
        <f t="array" aca="1" ref="EA2" ca="1">_xlfn.LET(_xlpm.r,OFFSET($Y$2,0,ROW(A137)-1,ROWS($Y$2:$Y$1000),1),
    _xlpm.v,_xlfn._xlws.FILTER(_xlpm.r,ISNUMBER(_xlpm.r)),
    MAX(_xlpm.v)-_xlfn.PERCENTILE.INC(_xlpm.v,0.75))</f>
        <v>#VALUE!</v>
      </c>
      <c r="EB2" t="e" cm="1" vm="1">
        <f t="array" aca="1" ref="EB2" ca="1">_xlfn.LET(_xlpm.r,OFFSET($Y$2,0,ROW(A137)-1,ROWS($Y$2:$Y$1000),1),
    _xlpm.v,_xlfn._xlws.FILTER(_xlpm.r,ISNUMBER(_xlpm.r)),
    _xlfn.PERCENTILE.INC(_xlpm.v,0.25)-MIN(_xlpm.v))</f>
        <v>#VALUE!</v>
      </c>
      <c r="EC2" t="e" cm="1" vm="1">
        <f t="array" aca="1" ref="EC2" ca="1">_xlfn.LET(_xlpm.r,OFFSET($Y$2,0,ROW(A137)-1,ROWS($Y$2:$Y$1000),1),
    _xlpm.v,_xlfn._xlws.FILTER(_xlpm.r,ISNUMBER(_xlpm.r)),
    MAX(_xlpm.v)-_xlfn.PERCENTILE.INC(_xlpm.v,0.75))</f>
        <v>#VALUE!</v>
      </c>
      <c r="ED2" t="e">
        <f ca="1">DT2-DS2</f>
        <v>#N/A</v>
      </c>
      <c r="EF2">
        <v>0</v>
      </c>
      <c r="EG2" t="e">
        <f ca="1">DW2-DV2</f>
        <v>#N/A</v>
      </c>
      <c r="EH2" cm="1">
        <f t="array" ref="EH2:EH110">_xlfn.LET(
  _xlpm.Bereich,Y$2:AH$1000,
  _xlfn._xlws.FILTER(_xlfn.TOCOL(_xlpm.Bereich), ISNUMBER(_xlfn.TOCOL(_xlpm.Bereich)))
)</f>
        <v>2100.3070606742936</v>
      </c>
      <c r="EI2" cm="1">
        <f t="array" ref="EI2:EI110">_xlfn.LET(
  _xlpm.Bereich,Y$2:AH$1000,
  _xlpm.maske,ISNUMBER(_xlpm.Bereich),
  _xlpm.Ind2D,COLUMN(_xlpm.Bereich)-COLUMN(Y$2)+1,
  _xlpm.X2D,IF(_xlpm.maske,_xlpm.Ind2D,""),
  _xlfn._xlws.FILTER(_xlfn.TOCOL(_xlpm.X2D), ISNUMBER(_xlfn.TOCOL(_xlpm.Bereich)))
)</f>
        <v>2</v>
      </c>
    </row>
    <row r="3" spans="1:139">
      <c r="A3" t="s">
        <v>519</v>
      </c>
      <c r="B3" t="s">
        <v>388</v>
      </c>
      <c r="C3" t="s">
        <v>57</v>
      </c>
      <c r="D3" cm="1">
        <f t="array" ref="D3">_xlfn.LET(
 _xlpm.A,$A3,_xlpm.B,$B3,_xlpm.C,$C3,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2100.3070606742936</v>
      </c>
      <c r="E3" cm="1">
        <f t="array" ref="E3">_xlfn.LET(
 _xlpm.A,$A3,_xlpm.B,$B3,_xlpm.C,$C3,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2100.3070606742936</v>
      </c>
      <c r="F3" cm="1">
        <f t="array" ref="F3">_xlfn.LET(
 _xlpm.A,$A3,_xlpm.B,$B3,_xlpm.C,$C3,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2100.3070606742936</v>
      </c>
      <c r="G3" cm="1">
        <f t="array" ref="G3">_xlfn.LET(
 _xlpm.A,$A3,_xlpm.B,$B3,_xlpm.C,$C3,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2100.3070606742936</v>
      </c>
      <c r="H3">
        <f t="shared" ref="H3:H20" si="2">MAX($D3-$G3,0)</f>
        <v>0</v>
      </c>
      <c r="I3">
        <f t="shared" ref="I3:I20" si="3">ROW()-ROW($A$2)+1</f>
        <v>2</v>
      </c>
      <c r="J3" t="e">
        <f t="shared" ref="J3:J20" si="4">IF($C3="FOAK", $G3, NA())</f>
        <v>#N/A</v>
      </c>
      <c r="K3">
        <f t="shared" ref="K3:K20" si="5">IF($C3="NOAK", $G3, NA())</f>
        <v>2100.3070606742936</v>
      </c>
      <c r="L3" t="e">
        <f t="shared" ref="L3:L20" si="6">IF($C3="10th-OAK", $G3, NA())</f>
        <v>#N/A</v>
      </c>
      <c r="M3" t="e">
        <f t="shared" ref="M3:M20" si="7">IF($C3="75th-OAK", $G3, NA())</f>
        <v>#N/A</v>
      </c>
      <c r="N3" t="e">
        <f t="shared" ref="N3:N20" si="8">IF($C3="100th-OAK", $G3, NA())</f>
        <v>#N/A</v>
      </c>
      <c r="O3" cm="1">
        <f t="array" ref="O3">_xlfn.LET(
 _xlpm.A,$A3,_xlpm.B,$B3,_xlpm.C,$C3,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1</v>
      </c>
      <c r="P3" t="str">
        <f t="shared" ref="P3:P20" si="9">IFERROR("n="&amp;O3,"")</f>
        <v>n=1</v>
      </c>
      <c r="V3" t="s">
        <v>533</v>
      </c>
      <c r="W3" t="s">
        <v>519</v>
      </c>
      <c r="X3" t="s">
        <v>57</v>
      </c>
      <c r="AA3">
        <v>1377.8983657401886</v>
      </c>
      <c r="AB3">
        <v>13671.476643379896</v>
      </c>
      <c r="AC3">
        <v>4421.9798661567875</v>
      </c>
      <c r="AD3">
        <v>9679.6293311032641</v>
      </c>
      <c r="AE3">
        <v>3164.356504065041</v>
      </c>
      <c r="AH3">
        <v>9158.1631924624417</v>
      </c>
      <c r="AI3">
        <f t="shared" si="0"/>
        <v>2</v>
      </c>
      <c r="AJ3" s="26" cm="1">
        <f t="array" aca="1" ref="AJ3" ca="1">_xlfn.LET(
  _xlpm.r,OFFSET($Y$2,0,ROW(A2)-1,ROWS($Y$2:$Y$1000),1),
  _xlpm.v,_xlfn._xlws.FILTER(_xlpm.r,ISNUMBER(_xlpm.r)),
  IF(COUNT(_xlpm.v)=0,NA(),_xlfn.PERCENTILE.INC(_xlpm.v,0.975))
)</f>
        <v>2100.3070606742936</v>
      </c>
      <c r="AK3" s="26" cm="1">
        <f t="array" ref="AK3">_xlfn.LET(
  _xlpm.hdr, $Y$1:$AH$1,               _xlpm.k,   _xlfn.XMATCH($V3,_xlpm.hdr,0),
  _xlpm.col, INDEX($Y$2:$AH$1000,,_xlpm.k),
  _xlpm.v,   _xlfn._xlws.FILTER(_xlpm.col,ISNUMBER(_xlpm.col)),
  IF(COUNT(_xlpm.v)=0, NA(), AVERAGE(_xlpm.v))
)</f>
        <v>2100.3070606742936</v>
      </c>
      <c r="AL3" cm="1">
        <f t="array" aca="1" ref="AL3" ca="1">_xlfn.LET(
  _xlpm.k,ROW(A2)-1,
  _xlpm.r,OFFSET($Y$2,0,_xlpm.k,ROWS($Y$2:$Y$1000),1),
  _xlpm.v,_xlfn._xlws.FILTER(_xlpm.r,ISNUMBER(_xlpm.r)),
  IF(COUNT(_xlpm.v)=0,NA(),MIN(_xlpm.v))
)</f>
        <v>2100.3070606742936</v>
      </c>
      <c r="AM3" cm="1">
        <f t="array" aca="1" ref="AM3" ca="1">_xlfn.LET(
  _xlpm.k,ROW(A2)-1,
  _xlpm.r,OFFSET($Y$2,0,_xlpm.k,ROWS($Y$2:$Y$1000),1),
  _xlpm.v,_xlfn._xlws.FILTER(_xlpm.r,ISNUMBER(_xlpm.r)),
  IF(COUNT(_xlpm.v)=0,NA(),_xlfn.PERCENTILE.INC(_xlpm.v,0.25))
)</f>
        <v>2100.3070606742936</v>
      </c>
      <c r="AN3" cm="1">
        <f t="array" aca="1" ref="AN3" ca="1">_xlfn.LET(
  _xlpm.k,ROW(A2)-1,
  _xlpm.r,OFFSET($Y$2,0,_xlpm.k,ROWS($Y$2:$Y$1000),1),
  _xlpm.v,_xlfn._xlws.FILTER(_xlpm.r,ISNUMBER(_xlpm.r)),
  IF(COUNT(_xlpm.v)=0,NA(),_xlfn.PERCENTILE.INC(_xlpm.v,0.5))
)</f>
        <v>2100.3070606742936</v>
      </c>
      <c r="AO3" cm="1">
        <f t="array" aca="1" ref="AO3" ca="1">_xlfn.LET(
  _xlpm.k,ROW(A2)-1,
  _xlpm.r,OFFSET($Y$2,0,_xlpm.k,ROWS($Y$2:$Y$1000),1),
  _xlpm.v,_xlfn._xlws.FILTER(_xlpm.r,ISNUMBER(_xlpm.r)),
  IF(COUNT(_xlpm.v)=0,NA(),_xlfn.PERCENTILE.INC(_xlpm.v,0.75))
)</f>
        <v>2100.3070606742936</v>
      </c>
      <c r="AP3" cm="1">
        <f t="array" aca="1" ref="AP3" ca="1">_xlfn.LET(
  _xlpm.k,ROW(A2)-1,
  _xlpm.r,OFFSET($Y$2,0,_xlpm.k,ROWS($Y$2:$Y$1000),1),
  _xlpm.v,_xlfn._xlws.FILTER(_xlpm.r,ISNUMBER(_xlpm.r)),
  IF(COUNT(_xlpm.v)=0,NA(),MAX(_xlpm.v))
)</f>
        <v>2100.3070606742936</v>
      </c>
      <c r="AQ3" cm="1">
        <f t="array" aca="1" ref="AQ3" ca="1">_xlfn.LET(_xlpm.r,OFFSET($Y$2,0,ROW(A2)-1,ROWS($Y$2:$Y$1000),1),
    _xlpm.v,_xlfn._xlws.FILTER(_xlpm.r,ISNUMBER(_xlpm.r)),
    _xlfn.PERCENTILE.INC(_xlpm.v,0.25))</f>
        <v>2100.3070606742936</v>
      </c>
      <c r="AR3" cm="1">
        <f t="array" aca="1" ref="AR3" ca="1">_xlfn.LET(
  _xlpm.k, ROW(A2)-1,
  _xlpm.r, OFFSET($Y$2,0,_xlpm.k,ROWS($Y$2:$Y$1000),1),
  _xlpm.v, _xlfn._xlws.FILTER(_xlpm.r, ISNUMBER(_xlpm.r)),
  IF(COUNT(_xlpm.v)=0, NA(), _xlfn.PERCENTILE.INC(_xlpm.v,0.5)-_xlfn.PERCENTILE.INC(_xlpm.v,0.25))
)</f>
        <v>0</v>
      </c>
      <c r="AS3" cm="1">
        <f t="array" aca="1" ref="AS3" ca="1">_xlfn.LET(_xlpm.r,OFFSET($Y$2,0,ROW(A2)-1,ROWS($Y$2:$Y$1000),1),
    _xlpm.v,_xlfn._xlws.FILTER(_xlpm.r,ISNUMBER(_xlpm.r)),
    _xlfn.PERCENTILE.INC(_xlpm.v,0.75)-_xlfn.PERCENTILE.INC(_xlpm.v,0.5))</f>
        <v>0</v>
      </c>
      <c r="AT3" cm="1">
        <f t="array" aca="1" ref="AT3" ca="1">_xlfn.LET(_xlpm.r,OFFSET($Y$2,0,ROW(A2)-1,ROWS($Y$2:$Y$1000),1),
    _xlpm.v,_xlfn._xlws.FILTER(_xlpm.r,ISNUMBER(_xlpm.r)),
    MAX(_xlpm.v)-_xlfn.PERCENTILE.INC(_xlpm.v,0.75))</f>
        <v>0</v>
      </c>
      <c r="AU3" cm="1">
        <f t="array" aca="1" ref="AU3" ca="1">_xlfn.LET(_xlpm.r,OFFSET($Y$2,0,ROW(A2)-1,ROWS($Y$2:$Y$1000),1),
    _xlpm.v,_xlfn._xlws.FILTER(_xlpm.r,ISNUMBER(_xlpm.r)),
    _xlfn.PERCENTILE.INC(_xlpm.v,0.25)-MIN(_xlpm.v))</f>
        <v>0</v>
      </c>
      <c r="AV3" cm="1">
        <f t="array" aca="1" ref="AV3" ca="1">_xlfn.LET(_xlpm.r,OFFSET($Y$2,0,ROW(A2)-1,ROWS($Y$2:$Y$1000),1),
    _xlpm.v,_xlfn._xlws.FILTER(_xlpm.r,ISNUMBER(_xlpm.r)),
    MAX(_xlpm.v)-_xlfn.PERCENTILE.INC(_xlpm.v,0.75))</f>
        <v>0</v>
      </c>
      <c r="AW3">
        <f t="shared" ref="AW3:AW11" ca="1" si="10">AM3-AL3</f>
        <v>0</v>
      </c>
      <c r="AX3">
        <v>0</v>
      </c>
      <c r="AY3">
        <f t="shared" ref="AY3:AY11" ca="1" si="11">AP3-AO3</f>
        <v>0</v>
      </c>
      <c r="AZ3">
        <v>1077.7935993975905</v>
      </c>
      <c r="BA3">
        <v>3</v>
      </c>
      <c r="BG3" t="s">
        <v>678</v>
      </c>
      <c r="BH3" t="s">
        <v>519</v>
      </c>
      <c r="BI3" t="s">
        <v>388</v>
      </c>
      <c r="BJ3" t="s">
        <v>57</v>
      </c>
      <c r="BM3">
        <v>1377.8983657401886</v>
      </c>
      <c r="BN3">
        <v>13671.476643379896</v>
      </c>
      <c r="BO3">
        <v>8940.4134892889124</v>
      </c>
      <c r="BP3">
        <v>4915.3027074231395</v>
      </c>
      <c r="BQ3">
        <v>4301.7749709639957</v>
      </c>
      <c r="BS3">
        <v>5882.8595673719446</v>
      </c>
      <c r="BW3">
        <v>3034.2095833333333</v>
      </c>
      <c r="BZ3">
        <v>8603.6378615167214</v>
      </c>
      <c r="CC3">
        <v>9158.1631924624417</v>
      </c>
      <c r="CD3">
        <f t="shared" si="1"/>
        <v>2</v>
      </c>
      <c r="CE3" cm="1">
        <f t="array" aca="1" ref="CE3" ca="1">_xlfn.LET(
  _xlpm.r,OFFSET($BK$2,0,ROW(A2)-1,ROWS($Y$2:$BK$1000),1),
  _xlpm.v,_xlfn._xlws.FILTER(_xlpm.r,ISNUMBER(_xlpm.r)),
  IF(COUNT(_xlpm.v)=0,NA(),_xlfn.PERCENTILE.INC(_xlpm.v,0.975))
)</f>
        <v>2100.3070606742936</v>
      </c>
      <c r="CF3" s="13" cm="1">
        <f t="array" ref="CF3">_xlfn.LET(
  _xlpm.hdr, $BK$1:$CC$1,               _xlpm.k,   _xlfn.XMATCH($BG3,_xlpm.hdr,0),
  _xlpm.col, INDEX($BK$2:$CC$1000,,_xlpm.k),
  _xlpm.v,   _xlfn._xlws.FILTER(_xlpm.col,ISNUMBER(_xlpm.col)),
  IF(COUNT(_xlpm.v)=0, NA(), AVERAGE(_xlpm.v))
)</f>
        <v>2100.3070606742936</v>
      </c>
      <c r="CG3" cm="1">
        <f t="array" aca="1" ref="CG3" ca="1">_xlfn.LET(
  _xlpm.k,ROW(A2)-1,
  _xlpm.r,OFFSET($BK$2,0,_xlpm.k,ROWS($Y$2:$BK$1000),1),
  _xlpm.v,_xlfn._xlws.FILTER(_xlpm.r,ISNUMBER(_xlpm.r)),
  IF(COUNT(_xlpm.v)=0,NA(),MIN(_xlpm.v))
)</f>
        <v>2100.3070606742936</v>
      </c>
      <c r="CH3" cm="1">
        <f t="array" aca="1" ref="CH3" ca="1">_xlfn.LET(
  _xlpm.k,ROW(A2)-1,
  _xlpm.r,OFFSET($BK$2,0,_xlpm.k,ROWS($Y$2:$BK$1000),1),
  _xlpm.v,_xlfn._xlws.FILTER(_xlpm.r,ISNUMBER(_xlpm.r)),
  IF(COUNT(_xlpm.v)=0,NA(),_xlfn.PERCENTILE.INC(_xlpm.v,0.25))
)</f>
        <v>2100.3070606742936</v>
      </c>
      <c r="CI3" cm="1">
        <f t="array" aca="1" ref="CI3" ca="1">_xlfn.LET(
  _xlpm.k,ROW(B2)-1,
  _xlpm.r,OFFSET($BK$2,0,_xlpm.k,ROWS($Y$2:$BK$1000),1),
  _xlpm.v,_xlfn._xlws.FILTER(_xlpm.r,ISNUMBER(_xlpm.r)),
  IF(COUNT(_xlpm.v)=0,NA(),_xlfn.PERCENTILE.INC(_xlpm.v,0.5))
)</f>
        <v>2100.3070606742936</v>
      </c>
      <c r="CJ3" cm="1">
        <f t="array" aca="1" ref="CJ3" ca="1">_xlfn.LET(
  _xlpm.k,ROW(C2)-1,
  _xlpm.r,OFFSET($BK$2,0,_xlpm.k,ROWS($Y$2:$BK$1000),1),
  _xlpm.v,_xlfn._xlws.FILTER(_xlpm.r,ISNUMBER(_xlpm.r)),
  IF(COUNT(_xlpm.v)=0,NA(),_xlfn.PERCENTILE.INC(_xlpm.v,0.75))
)</f>
        <v>2100.3070606742936</v>
      </c>
      <c r="CK3" cm="1">
        <f t="array" aca="1" ref="CK3" ca="1">_xlfn.LET(
  _xlpm.k,ROW(A2)-1,
  _xlpm.r,OFFSET($BK$2,0,_xlpm.k,ROWS($Y$2:$BK$1000),1),
  _xlpm.v,_xlfn._xlws.FILTER(_xlpm.r,ISNUMBER(_xlpm.r)),
  IF(COUNT(_xlpm.v)=0,NA(),MAX(_xlpm.v))
)</f>
        <v>2100.3070606742936</v>
      </c>
      <c r="CL3" cm="1">
        <f t="array" aca="1" ref="CL3" ca="1">_xlfn.LET(_xlpm.r,OFFSET($BK$2,0,ROW(A2)-1,ROWS($Y$2:$BK$1000),1),
    _xlpm.v,_xlfn._xlws.FILTER(_xlpm.r,ISNUMBER(_xlpm.r)),
    _xlfn.PERCENTILE.INC(_xlpm.v,0.25))</f>
        <v>2100.3070606742936</v>
      </c>
      <c r="CM3" cm="1">
        <f t="array" aca="1" ref="CM3" ca="1">_xlfn.LET(_xlpm.r,OFFSET($BK$2,0,ROW(A2)-1,ROWS($BK$2:$BK$1000),1),
    _xlpm.v,_xlfn._xlws.FILTER(_xlpm.r,ISNUMBER(_xlpm.r)),
    _xlfn.PERCENTILE.INC(_xlpm.v,0.5)-_xlfn.PERCENTILE.INC(_xlpm.v,0.25))</f>
        <v>0</v>
      </c>
      <c r="CN3" cm="1">
        <f t="array" aca="1" ref="CN3" ca="1">_xlfn.LET(_xlpm.r,OFFSET($BK$2,0,ROW(A2)-1,ROWS($BK$2:$BK$1000),1),
    _xlpm.v,_xlfn._xlws.FILTER(_xlpm.r,ISNUMBER(_xlpm.r)),
    _xlfn.PERCENTILE.INC(_xlpm.v,0.75)-_xlfn.PERCENTILE.INC(_xlpm.v,0.5))</f>
        <v>0</v>
      </c>
      <c r="CO3" cm="1">
        <f t="array" aca="1" ref="CO3" ca="1">_xlfn.LET(_xlpm.r,OFFSET($BK$2,0,ROW(A2)-1,ROWS($BK$2:$BK$1000),1),
    _xlpm.v,_xlfn._xlws.FILTER(_xlpm.r,ISNUMBER(_xlpm.r)),
    MAX(_xlpm.v)-_xlfn.PERCENTILE.INC(_xlpm.v,0.75))</f>
        <v>0</v>
      </c>
      <c r="CP3" cm="1">
        <f t="array" aca="1" ref="CP3" ca="1">_xlfn.LET(_xlpm.r,OFFSET($BK$2,0,ROW(A2)-1,ROWS($BK$2:$BK$1000),1),
    _xlpm.v,_xlfn._xlws.FILTER(_xlpm.r,ISNUMBER(_xlpm.r)),
    _xlfn.PERCENTILE.INC(_xlpm.v,0.25)-MIN(_xlpm.v))</f>
        <v>0</v>
      </c>
      <c r="CQ3" cm="1">
        <f t="array" aca="1" ref="CQ3" ca="1">_xlfn.LET(_xlpm.r,OFFSET($BK$2,0,ROW(A2)-1,ROWS($BK$2:$BK$1000),1),
    _xlpm.v,_xlfn._xlws.FILTER(_xlpm.r,ISNUMBER(_xlpm.r)),
    MAX(_xlpm.v)-_xlfn.PERCENTILE.INC(_xlpm.v,0.75))</f>
        <v>0</v>
      </c>
      <c r="CR3">
        <f t="shared" ref="CR3:CR20" ca="1" si="12">CH3-CG3</f>
        <v>0</v>
      </c>
      <c r="CS3">
        <v>0</v>
      </c>
      <c r="CT3">
        <f t="shared" ref="CT3:CT20" ca="1" si="13">CK3-CJ3</f>
        <v>0</v>
      </c>
      <c r="CU3">
        <v>1077.7935993975905</v>
      </c>
      <c r="CV3">
        <v>3</v>
      </c>
      <c r="DA3" t="s">
        <v>851</v>
      </c>
      <c r="DB3" t="s">
        <v>519</v>
      </c>
      <c r="DC3" t="s">
        <v>52</v>
      </c>
      <c r="DD3" t="s">
        <v>861</v>
      </c>
      <c r="DG3">
        <v>1377.8983657401886</v>
      </c>
      <c r="DH3">
        <v>13671.476643379896</v>
      </c>
      <c r="DI3">
        <v>4421.9798661567875</v>
      </c>
      <c r="DJ3">
        <v>9679.6293311032641</v>
      </c>
      <c r="DK3">
        <v>3164.356504065041</v>
      </c>
      <c r="DO3">
        <v>9158.1631924624417</v>
      </c>
      <c r="DP3">
        <f>MATCH(DA16,$V$2:$V$11,0)</f>
        <v>2</v>
      </c>
      <c r="DQ3" s="26" t="e" cm="1">
        <f t="array" aca="1" ref="DQ3" ca="1">_xlfn.LET(
  _xlpm.r,OFFSET($Y$2,0,ROW(A138)-1,ROWS($Y$2:$Y$1000),1),
  _xlpm.v,_xlfn._xlws.FILTER(_xlpm.r,ISNUMBER(_xlpm.r)),
  IF(COUNT(_xlpm.v)=0,NA(),_xlfn.PERCENTILE.INC(_xlpm.v,0.975))
)</f>
        <v>#N/A</v>
      </c>
      <c r="DR3" s="26" cm="1">
        <f t="array" ref="DR3">_xlfn.LET(
  _xlpm.hdr, $Y$1:$AH$1,               _xlpm.k,   _xlfn.XMATCH($DA16,_xlpm.hdr,0),
  _xlpm.col, INDEX($Y$2:$AH$1000,,_xlpm.k),
  _xlpm.v,   _xlfn._xlws.FILTER(_xlpm.col,ISNUMBER(_xlpm.col)),
  IF(COUNT(_xlpm.v)=0, NA(), AVERAGE(_xlpm.v))
)</f>
        <v>2100.3070606742936</v>
      </c>
      <c r="DS3" t="e" cm="1">
        <f t="array" aca="1" ref="DS3" ca="1">_xlfn.LET(
  _xlpm.k,ROW(A138)-1,
  _xlpm.r,OFFSET($Y$2,0,_xlpm.k,ROWS($Y$2:$Y$1000),1),
  _xlpm.v,_xlfn._xlws.FILTER(_xlpm.r,ISNUMBER(_xlpm.r)),
  IF(COUNT(_xlpm.v)=0,NA(),MIN(_xlpm.v))
)</f>
        <v>#N/A</v>
      </c>
      <c r="DT3" t="e" cm="1">
        <f t="array" aca="1" ref="DT3" ca="1">_xlfn.LET(
  _xlpm.k,ROW(A138)-1,
  _xlpm.r,OFFSET($Y$2,0,_xlpm.k,ROWS($Y$2:$Y$1000),1),
  _xlpm.v,_xlfn._xlws.FILTER(_xlpm.r,ISNUMBER(_xlpm.r)),
  IF(COUNT(_xlpm.v)=0,NA(),_xlfn.PERCENTILE.INC(_xlpm.v,0.25))
)</f>
        <v>#N/A</v>
      </c>
      <c r="DU3" t="e" cm="1">
        <f t="array" aca="1" ref="DU3" ca="1">_xlfn.LET(
  _xlpm.k,ROW(A138)-1,
  _xlpm.r,OFFSET($Y$2,0,_xlpm.k,ROWS($Y$2:$Y$1000),1),
  _xlpm.v,_xlfn._xlws.FILTER(_xlpm.r,ISNUMBER(_xlpm.r)),
  IF(COUNT(_xlpm.v)=0,NA(),_xlfn.PERCENTILE.INC(_xlpm.v,0.5))
)</f>
        <v>#N/A</v>
      </c>
      <c r="DV3" t="e" cm="1">
        <f t="array" aca="1" ref="DV3" ca="1">_xlfn.LET(
  _xlpm.k,ROW(A138)-1,
  _xlpm.r,OFFSET($Y$2,0,_xlpm.k,ROWS($Y$2:$Y$1000),1),
  _xlpm.v,_xlfn._xlws.FILTER(_xlpm.r,ISNUMBER(_xlpm.r)),
  IF(COUNT(_xlpm.v)=0,NA(),_xlfn.PERCENTILE.INC(_xlpm.v,0.75))
)</f>
        <v>#N/A</v>
      </c>
      <c r="DW3" t="e" cm="1">
        <f t="array" aca="1" ref="DW3" ca="1">_xlfn.LET(
  _xlpm.k,ROW(A138)-1,
  _xlpm.r,OFFSET($Y$2,0,_xlpm.k,ROWS($Y$2:$Y$1000),1),
  _xlpm.v,_xlfn._xlws.FILTER(_xlpm.r,ISNUMBER(_xlpm.r)),
  IF(COUNT(_xlpm.v)=0,NA(),MAX(_xlpm.v))
)</f>
        <v>#N/A</v>
      </c>
      <c r="DX3" t="e" cm="1" vm="1">
        <f t="array" aca="1" ref="DX3" ca="1">_xlfn.LET(_xlpm.r,OFFSET($Y$2,0,ROW(A138)-1,ROWS($Y$2:$Y$1000),1),
    _xlpm.v,_xlfn._xlws.FILTER(_xlpm.r,ISNUMBER(_xlpm.r)),
    _xlfn.PERCENTILE.INC(_xlpm.v,0.25))</f>
        <v>#VALUE!</v>
      </c>
      <c r="DY3" t="e" cm="1">
        <f t="array" aca="1" ref="DY3" ca="1">_xlfn.LET(
  _xlpm.k, ROW(A138)-1,
  _xlpm.r, OFFSET($Y$2,0,_xlpm.k,ROWS($Y$2:$Y$1000),1),
  _xlpm.v, _xlfn._xlws.FILTER(_xlpm.r, ISNUMBER(_xlpm.r)),
  IF(COUNT(_xlpm.v)=0, NA(), _xlfn.PERCENTILE.INC(_xlpm.v,0.5)-_xlfn.PERCENTILE.INC(_xlpm.v,0.25))
)</f>
        <v>#N/A</v>
      </c>
      <c r="DZ3" t="e" cm="1" vm="1">
        <f t="array" aca="1" ref="DZ3" ca="1">_xlfn.LET(_xlpm.r,OFFSET($Y$2,0,ROW(A138)-1,ROWS($Y$2:$Y$1000),1),
    _xlpm.v,_xlfn._xlws.FILTER(_xlpm.r,ISNUMBER(_xlpm.r)),
    _xlfn.PERCENTILE.INC(_xlpm.v,0.75)-_xlfn.PERCENTILE.INC(_xlpm.v,0.5))</f>
        <v>#VALUE!</v>
      </c>
      <c r="EA3" t="e" cm="1" vm="1">
        <f t="array" aca="1" ref="EA3" ca="1">_xlfn.LET(_xlpm.r,OFFSET($Y$2,0,ROW(A138)-1,ROWS($Y$2:$Y$1000),1),
    _xlpm.v,_xlfn._xlws.FILTER(_xlpm.r,ISNUMBER(_xlpm.r)),
    MAX(_xlpm.v)-_xlfn.PERCENTILE.INC(_xlpm.v,0.75))</f>
        <v>#VALUE!</v>
      </c>
      <c r="EB3" t="e" cm="1" vm="1">
        <f t="array" aca="1" ref="EB3" ca="1">_xlfn.LET(_xlpm.r,OFFSET($Y$2,0,ROW(A138)-1,ROWS($Y$2:$Y$1000),1),
    _xlpm.v,_xlfn._xlws.FILTER(_xlpm.r,ISNUMBER(_xlpm.r)),
    _xlfn.PERCENTILE.INC(_xlpm.v,0.25)-MIN(_xlpm.v))</f>
        <v>#VALUE!</v>
      </c>
      <c r="EC3" t="e" cm="1" vm="1">
        <f t="array" aca="1" ref="EC3" ca="1">_xlfn.LET(_xlpm.r,OFFSET($Y$2,0,ROW(A138)-1,ROWS($Y$2:$Y$1000),1),
    _xlpm.v,_xlfn._xlws.FILTER(_xlpm.r,ISNUMBER(_xlpm.r)),
    MAX(_xlpm.v)-_xlfn.PERCENTILE.INC(_xlpm.v,0.75))</f>
        <v>#VALUE!</v>
      </c>
      <c r="ED3" t="e">
        <f ca="1">DT3-DS3</f>
        <v>#N/A</v>
      </c>
      <c r="EF3">
        <v>0</v>
      </c>
      <c r="EG3" t="e">
        <f ca="1">DW3-DV3</f>
        <v>#N/A</v>
      </c>
      <c r="EH3">
        <v>1077.7935993975905</v>
      </c>
      <c r="EI3">
        <v>3</v>
      </c>
    </row>
    <row r="4" spans="1:139">
      <c r="A4" t="s">
        <v>519</v>
      </c>
      <c r="B4" t="s">
        <v>388</v>
      </c>
      <c r="C4" t="s">
        <v>52</v>
      </c>
      <c r="D4" cm="1">
        <f t="array" ref="D4">_xlfn.LET(
 _xlpm.A,$A4,_xlpm.B,$B4,_xlpm.C,$C4,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8293.5403792883008</v>
      </c>
      <c r="E4" cm="1">
        <f t="array" ref="E4">_xlfn.LET(
 _xlpm.A,$A4,_xlpm.B,$B4,_xlpm.C,$C4,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4458.9761418676444</v>
      </c>
      <c r="F4" cm="1">
        <f t="array" ref="F4">_xlfn.LET(
 _xlpm.A,$A4,_xlpm.B,$B4,_xlpm.C,$C4,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4466.4024745136494</v>
      </c>
      <c r="G4" cm="1">
        <f t="array" ref="G4">_xlfn.LET(
 _xlpm.A,$A4,_xlpm.B,$B4,_xlpm.C,$C4,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8167.628781002586</v>
      </c>
      <c r="H4">
        <f t="shared" si="2"/>
        <v>125.91159828571472</v>
      </c>
      <c r="I4">
        <f t="shared" si="3"/>
        <v>3</v>
      </c>
      <c r="J4" t="e">
        <f t="shared" si="4"/>
        <v>#N/A</v>
      </c>
      <c r="K4" t="e">
        <f t="shared" si="5"/>
        <v>#N/A</v>
      </c>
      <c r="L4">
        <f t="shared" si="6"/>
        <v>8167.628781002586</v>
      </c>
      <c r="M4" t="e">
        <f t="shared" si="7"/>
        <v>#N/A</v>
      </c>
      <c r="N4" t="e">
        <f t="shared" si="8"/>
        <v>#N/A</v>
      </c>
      <c r="O4" cm="1">
        <f t="array" ref="O4">_xlfn.LET(
 _xlpm.A,$A4,_xlpm.B,$B4,_xlpm.C,$C4,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7</v>
      </c>
      <c r="P4" t="str">
        <f t="shared" si="9"/>
        <v>n=7</v>
      </c>
      <c r="V4" t="s">
        <v>534</v>
      </c>
      <c r="W4" t="s">
        <v>519</v>
      </c>
      <c r="X4" t="s">
        <v>52</v>
      </c>
      <c r="AA4">
        <v>3530.6284466440125</v>
      </c>
      <c r="AB4">
        <v>24930.510324449704</v>
      </c>
      <c r="AC4">
        <v>5882.8595673719446</v>
      </c>
      <c r="AD4">
        <v>4915.3027074231395</v>
      </c>
      <c r="AE4">
        <v>4301.7749709639957</v>
      </c>
      <c r="AH4">
        <v>11955.13458635234</v>
      </c>
      <c r="AI4">
        <f t="shared" si="0"/>
        <v>3</v>
      </c>
      <c r="AJ4" s="26" cm="1">
        <f t="array" aca="1" ref="AJ4" ca="1">_xlfn.LET(
  _xlpm.r,OFFSET($Y$2,0,ROW(A3)-1,ROWS($Y$2:$Y$1000),1),
  _xlpm.v,_xlfn._xlws.FILTER(_xlpm.r,ISNUMBER(_xlpm.r)),
  IF(COUNT(_xlpm.v)=0,NA(),_xlfn.PERCENTILE.INC(_xlpm.v,0.975))
)</f>
        <v>8167.628781002586</v>
      </c>
      <c r="AK4" s="26" cm="1">
        <f t="array" ref="AK4">_xlfn.LET(
  _xlpm.hdr, $Y$1:$AH$1,               _xlpm.k,   _xlfn.XMATCH($V4,_xlpm.hdr,0),
  _xlpm.col, INDEX($Y$2:$AH$1000,,_xlpm.k),
  _xlpm.v,   _xlfn._xlws.FILTER(_xlpm.col,ISNUMBER(_xlpm.col)),
  IF(COUNT(_xlpm.v)=0, NA(), AVERAGE(_xlpm.v))
)</f>
        <v>4458.9761418676444</v>
      </c>
      <c r="AL4" cm="1">
        <f t="array" aca="1" ref="AL4" ca="1">_xlfn.LET(
  _xlpm.k,ROW(A3)-1,
  _xlpm.r,OFFSET($Y$2,0,_xlpm.k,ROWS($Y$2:$Y$1000),1),
  _xlpm.v,_xlfn._xlws.FILTER(_xlpm.r,ISNUMBER(_xlpm.r)),
  IF(COUNT(_xlpm.v)=0,NA(),MIN(_xlpm.v))
)</f>
        <v>1077.7935993975905</v>
      </c>
      <c r="AM4" cm="1">
        <f t="array" aca="1" ref="AM4" ca="1">_xlfn.LET(
  _xlpm.k,ROW(A3)-1,
  _xlpm.r,OFFSET($Y$2,0,_xlpm.k,ROWS($Y$2:$Y$1000),1),
  _xlpm.v,_xlfn._xlws.FILTER(_xlpm.r,ISNUMBER(_xlpm.r)),
  IF(COUNT(_xlpm.v)=0,NA(),_xlfn.PERCENTILE.INC(_xlpm.v,0.25))
)</f>
        <v>2454.2634061921008</v>
      </c>
      <c r="AN4" cm="1">
        <f t="array" aca="1" ref="AN4" ca="1">_xlfn.LET(
  _xlpm.k,ROW(A3)-1,
  _xlpm.r,OFFSET($Y$2,0,_xlpm.k,ROWS($Y$2:$Y$1000),1),
  _xlpm.v,_xlfn._xlws.FILTER(_xlpm.r,ISNUMBER(_xlpm.r)),
  IF(COUNT(_xlpm.v)=0,NA(),_xlfn.PERCENTILE.INC(_xlpm.v,0.5))
)</f>
        <v>4466.4024745136494</v>
      </c>
      <c r="AO4" cm="1">
        <f t="array" aca="1" ref="AO4" ca="1">_xlfn.LET(
  _xlpm.k,ROW(A3)-1,
  _xlpm.r,OFFSET($Y$2,0,_xlpm.k,ROWS($Y$2:$Y$1000),1),
  _xlpm.v,_xlfn._xlws.FILTER(_xlpm.r,ISNUMBER(_xlpm.r)),
  IF(COUNT(_xlpm.v)=0,NA(),_xlfn.PERCENTILE.INC(_xlpm.v,0.75))
)</f>
        <v>6233.2848637448842</v>
      </c>
      <c r="AP4" cm="1">
        <f t="array" aca="1" ref="AP4" ca="1">_xlfn.LET(
  _xlpm.k,ROW(A3)-1,
  _xlpm.r,OFFSET($Y$2,0,_xlpm.k,ROWS($Y$2:$Y$1000),1),
  _xlpm.v,_xlfn._xlws.FILTER(_xlpm.r,ISNUMBER(_xlpm.r)),
  IF(COUNT(_xlpm.v)=0,NA(),MAX(_xlpm.v))
)</f>
        <v>8293.5403792883008</v>
      </c>
      <c r="AQ4" cm="1">
        <f t="array" aca="1" ref="AQ4" ca="1">_xlfn.LET(_xlpm.r,OFFSET($Y$2,0,ROW(A3)-1,ROWS($Y$2:$Y$1000),1),
    _xlpm.v,_xlfn._xlws.FILTER(_xlpm.r,ISNUMBER(_xlpm.r)),
    _xlfn.PERCENTILE.INC(_xlpm.v,0.25))</f>
        <v>2454.2634061921008</v>
      </c>
      <c r="AR4" cm="1">
        <f t="array" aca="1" ref="AR4" ca="1">_xlfn.LET(
  _xlpm.k, ROW(A3)-1,
  _xlpm.r, OFFSET($Y$2,0,_xlpm.k,ROWS($Y$2:$Y$1000),1),
  _xlpm.v, _xlfn._xlws.FILTER(_xlpm.r, ISNUMBER(_xlpm.r)),
  IF(COUNT(_xlpm.v)=0, NA(), _xlfn.PERCENTILE.INC(_xlpm.v,0.5)-_xlfn.PERCENTILE.INC(_xlpm.v,0.25))
)</f>
        <v>2012.1390683215486</v>
      </c>
      <c r="AS4" cm="1">
        <f t="array" aca="1" ref="AS4" ca="1">_xlfn.LET(_xlpm.r,OFFSET($Y$2,0,ROW(A3)-1,ROWS($Y$2:$Y$1000),1),
    _xlpm.v,_xlfn._xlws.FILTER(_xlpm.r,ISNUMBER(_xlpm.r)),
    _xlfn.PERCENTILE.INC(_xlpm.v,0.75)-_xlfn.PERCENTILE.INC(_xlpm.v,0.5))</f>
        <v>1766.8823892312348</v>
      </c>
      <c r="AT4" cm="1">
        <f t="array" aca="1" ref="AT4" ca="1">_xlfn.LET(_xlpm.r,OFFSET($Y$2,0,ROW(A3)-1,ROWS($Y$2:$Y$1000),1),
    _xlpm.v,_xlfn._xlws.FILTER(_xlpm.r,ISNUMBER(_xlpm.r)),
    MAX(_xlpm.v)-_xlfn.PERCENTILE.INC(_xlpm.v,0.75))</f>
        <v>2060.2555155434165</v>
      </c>
      <c r="AU4" cm="1">
        <f t="array" aca="1" ref="AU4" ca="1">_xlfn.LET(_xlpm.r,OFFSET($Y$2,0,ROW(A3)-1,ROWS($Y$2:$Y$1000),1),
    _xlpm.v,_xlfn._xlws.FILTER(_xlpm.r,ISNUMBER(_xlpm.r)),
    _xlfn.PERCENTILE.INC(_xlpm.v,0.25)-MIN(_xlpm.v))</f>
        <v>1376.4698067945103</v>
      </c>
      <c r="AV4" cm="1">
        <f t="array" aca="1" ref="AV4" ca="1">_xlfn.LET(_xlpm.r,OFFSET($Y$2,0,ROW(A3)-1,ROWS($Y$2:$Y$1000),1),
    _xlpm.v,_xlfn._xlws.FILTER(_xlpm.r,ISNUMBER(_xlpm.r)),
    MAX(_xlpm.v)-_xlfn.PERCENTILE.INC(_xlpm.v,0.75))</f>
        <v>2060.2555155434165</v>
      </c>
      <c r="AW4">
        <f t="shared" ca="1" si="10"/>
        <v>1376.4698067945103</v>
      </c>
      <c r="AX4">
        <v>0</v>
      </c>
      <c r="AY4">
        <f t="shared" ca="1" si="11"/>
        <v>2060.2555155434165</v>
      </c>
      <c r="AZ4">
        <v>1377.8983657401886</v>
      </c>
      <c r="BA4">
        <v>3</v>
      </c>
      <c r="BG4" t="s">
        <v>679</v>
      </c>
      <c r="BH4" t="s">
        <v>519</v>
      </c>
      <c r="BI4" t="s">
        <v>388</v>
      </c>
      <c r="BJ4" t="s">
        <v>52</v>
      </c>
      <c r="BM4">
        <v>3530.6284466440125</v>
      </c>
      <c r="BN4">
        <v>24930.510324449704</v>
      </c>
      <c r="BO4">
        <v>7502.812596837075</v>
      </c>
      <c r="BP4">
        <v>4077.8470351951037</v>
      </c>
      <c r="BQ4">
        <v>4421.9798661567875</v>
      </c>
      <c r="BS4">
        <v>6326.4153748480385</v>
      </c>
      <c r="BW4">
        <v>3438.9745164233582</v>
      </c>
      <c r="CC4">
        <v>11955.13458635234</v>
      </c>
      <c r="CD4">
        <f t="shared" si="1"/>
        <v>3</v>
      </c>
      <c r="CE4" cm="1">
        <f t="array" aca="1" ref="CE4" ca="1">_xlfn.LET(
  _xlpm.r,OFFSET($BK$2,0,ROW(A3)-1,ROWS($Y$2:$BK$1000),1),
  _xlpm.v,_xlfn._xlws.FILTER(_xlpm.r,ISNUMBER(_xlpm.r)),
  IF(COUNT(_xlpm.v)=0,NA(),_xlfn.PERCENTILE.INC(_xlpm.v,0.975))
)</f>
        <v>8167.628781002586</v>
      </c>
      <c r="CF4" s="13" cm="1">
        <f t="array" ref="CF4">_xlfn.LET(
  _xlpm.hdr, $BK$1:$CC$1,               _xlpm.k,   _xlfn.XMATCH($BG4,_xlpm.hdr,0),
  _xlpm.col, INDEX($BK$2:$CC$1000,,_xlpm.k),
  _xlpm.v,   _xlfn._xlws.FILTER(_xlpm.col,ISNUMBER(_xlpm.col)),
  IF(COUNT(_xlpm.v)=0, NA(), AVERAGE(_xlpm.v))
)</f>
        <v>4458.9761418676444</v>
      </c>
      <c r="CG4" cm="1">
        <f t="array" aca="1" ref="CG4" ca="1">_xlfn.LET(
  _xlpm.k,ROW(A3)-1,
  _xlpm.r,OFFSET($BK$2,0,_xlpm.k,ROWS($Y$2:$BK$1000),1),
  _xlpm.v,_xlfn._xlws.FILTER(_xlpm.r,ISNUMBER(_xlpm.r)),
  IF(COUNT(_xlpm.v)=0,NA(),MIN(_xlpm.v))
)</f>
        <v>1077.7935993975905</v>
      </c>
      <c r="CH4" cm="1">
        <f t="array" aca="1" ref="CH4" ca="1">_xlfn.LET(
  _xlpm.k,ROW(A3)-1,
  _xlpm.r,OFFSET($BK$2,0,_xlpm.k,ROWS($Y$2:$BK$1000),1),
  _xlpm.v,_xlfn._xlws.FILTER(_xlpm.r,ISNUMBER(_xlpm.r)),
  IF(COUNT(_xlpm.v)=0,NA(),_xlfn.PERCENTILE.INC(_xlpm.v,0.25))
)</f>
        <v>2454.2634061921008</v>
      </c>
      <c r="CI4" cm="1">
        <f t="array" aca="1" ref="CI4" ca="1">_xlfn.LET(
  _xlpm.k,ROW(B3)-1,
  _xlpm.r,OFFSET($BK$2,0,_xlpm.k,ROWS($Y$2:$BK$1000),1),
  _xlpm.v,_xlfn._xlws.FILTER(_xlpm.r,ISNUMBER(_xlpm.r)),
  IF(COUNT(_xlpm.v)=0,NA(),_xlfn.PERCENTILE.INC(_xlpm.v,0.5))
)</f>
        <v>4466.4024745136494</v>
      </c>
      <c r="CJ4" cm="1">
        <f t="array" aca="1" ref="CJ4" ca="1">_xlfn.LET(
  _xlpm.k,ROW(C3)-1,
  _xlpm.r,OFFSET($BK$2,0,_xlpm.k,ROWS($Y$2:$BK$1000),1),
  _xlpm.v,_xlfn._xlws.FILTER(_xlpm.r,ISNUMBER(_xlpm.r)),
  IF(COUNT(_xlpm.v)=0,NA(),_xlfn.PERCENTILE.INC(_xlpm.v,0.75))
)</f>
        <v>6233.2848637448842</v>
      </c>
      <c r="CK4" cm="1">
        <f t="array" aca="1" ref="CK4" ca="1">_xlfn.LET(
  _xlpm.k,ROW(A3)-1,
  _xlpm.r,OFFSET($BK$2,0,_xlpm.k,ROWS($Y$2:$BK$1000),1),
  _xlpm.v,_xlfn._xlws.FILTER(_xlpm.r,ISNUMBER(_xlpm.r)),
  IF(COUNT(_xlpm.v)=0,NA(),MAX(_xlpm.v))
)</f>
        <v>8293.5403792883008</v>
      </c>
      <c r="CL4" cm="1">
        <f t="array" aca="1" ref="CL4" ca="1">_xlfn.LET(_xlpm.r,OFFSET($BK$2,0,ROW(A3)-1,ROWS($Y$2:$BK$1000),1),
    _xlpm.v,_xlfn._xlws.FILTER(_xlpm.r,ISNUMBER(_xlpm.r)),
    _xlfn.PERCENTILE.INC(_xlpm.v,0.25))</f>
        <v>2454.2634061921008</v>
      </c>
      <c r="CM4" cm="1">
        <f t="array" aca="1" ref="CM4" ca="1">_xlfn.LET(_xlpm.r,OFFSET($BK$2,0,ROW(A3)-1,ROWS($BK$2:$BK$1000),1),
    _xlpm.v,_xlfn._xlws.FILTER(_xlpm.r,ISNUMBER(_xlpm.r)),
    _xlfn.PERCENTILE.INC(_xlpm.v,0.5)-_xlfn.PERCENTILE.INC(_xlpm.v,0.25))</f>
        <v>2012.1390683215486</v>
      </c>
      <c r="CN4" cm="1">
        <f t="array" aca="1" ref="CN4" ca="1">_xlfn.LET(_xlpm.r,OFFSET($BK$2,0,ROW(A3)-1,ROWS($BK$2:$BK$1000),1),
    _xlpm.v,_xlfn._xlws.FILTER(_xlpm.r,ISNUMBER(_xlpm.r)),
    _xlfn.PERCENTILE.INC(_xlpm.v,0.75)-_xlfn.PERCENTILE.INC(_xlpm.v,0.5))</f>
        <v>1766.8823892312348</v>
      </c>
      <c r="CO4" cm="1">
        <f t="array" aca="1" ref="CO4" ca="1">_xlfn.LET(_xlpm.r,OFFSET($BK$2,0,ROW(A3)-1,ROWS($BK$2:$BK$1000),1),
    _xlpm.v,_xlfn._xlws.FILTER(_xlpm.r,ISNUMBER(_xlpm.r)),
    MAX(_xlpm.v)-_xlfn.PERCENTILE.INC(_xlpm.v,0.75))</f>
        <v>2060.2555155434165</v>
      </c>
      <c r="CP4" cm="1">
        <f t="array" aca="1" ref="CP4" ca="1">_xlfn.LET(_xlpm.r,OFFSET($BK$2,0,ROW(A3)-1,ROWS($BK$2:$BK$1000),1),
    _xlpm.v,_xlfn._xlws.FILTER(_xlpm.r,ISNUMBER(_xlpm.r)),
    _xlfn.PERCENTILE.INC(_xlpm.v,0.25)-MIN(_xlpm.v))</f>
        <v>1376.4698067945103</v>
      </c>
      <c r="CQ4" cm="1">
        <f t="array" aca="1" ref="CQ4" ca="1">_xlfn.LET(_xlpm.r,OFFSET($BK$2,0,ROW(A3)-1,ROWS($BK$2:$BK$1000),1),
    _xlpm.v,_xlfn._xlws.FILTER(_xlpm.r,ISNUMBER(_xlpm.r)),
    MAX(_xlpm.v)-_xlfn.PERCENTILE.INC(_xlpm.v,0.75))</f>
        <v>2060.2555155434165</v>
      </c>
      <c r="CR4">
        <f t="shared" ca="1" si="12"/>
        <v>1376.4698067945103</v>
      </c>
      <c r="CS4">
        <v>0</v>
      </c>
      <c r="CT4">
        <f t="shared" ca="1" si="13"/>
        <v>2060.2555155434165</v>
      </c>
      <c r="CU4">
        <v>12441.316506252808</v>
      </c>
      <c r="CV4">
        <v>4</v>
      </c>
      <c r="DA4" t="s">
        <v>852</v>
      </c>
      <c r="DB4" t="s">
        <v>518</v>
      </c>
      <c r="DC4" t="s">
        <v>32</v>
      </c>
      <c r="DD4" t="s">
        <v>862</v>
      </c>
      <c r="DG4">
        <v>3530.6284466440125</v>
      </c>
      <c r="DH4">
        <v>24930.510324449704</v>
      </c>
      <c r="DI4">
        <v>5882.8595673719446</v>
      </c>
      <c r="DJ4">
        <v>4915.3027074231395</v>
      </c>
      <c r="DK4">
        <v>4301.7749709639957</v>
      </c>
      <c r="DO4">
        <v>11955.13458635234</v>
      </c>
      <c r="DP4">
        <f>MATCH(DA17,$V$2:$V$11,0)</f>
        <v>3</v>
      </c>
      <c r="DQ4" s="26" t="e" cm="1">
        <f t="array" aca="1" ref="DQ4" ca="1">_xlfn.LET(
  _xlpm.r,OFFSET($Y$2,0,ROW(A139)-1,ROWS($Y$2:$Y$1000),1),
  _xlpm.v,_xlfn._xlws.FILTER(_xlpm.r,ISNUMBER(_xlpm.r)),
  IF(COUNT(_xlpm.v)=0,NA(),_xlfn.PERCENTILE.INC(_xlpm.v,0.975))
)</f>
        <v>#N/A</v>
      </c>
      <c r="DR4" s="26" cm="1">
        <f t="array" ref="DR4">_xlfn.LET(
  _xlpm.hdr, $Y$1:$AH$1,               _xlpm.k,   _xlfn.XMATCH($DA17,_xlpm.hdr,0),
  _xlpm.col, INDEX($Y$2:$AH$1000,,_xlpm.k),
  _xlpm.v,   _xlfn._xlws.FILTER(_xlpm.col,ISNUMBER(_xlpm.col)),
  IF(COUNT(_xlpm.v)=0, NA(), AVERAGE(_xlpm.v))
)</f>
        <v>4458.9761418676444</v>
      </c>
      <c r="DS4" t="e" cm="1">
        <f t="array" aca="1" ref="DS4" ca="1">_xlfn.LET(
  _xlpm.k,ROW(A139)-1,
  _xlpm.r,OFFSET($Y$2,0,_xlpm.k,ROWS($Y$2:$Y$1000),1),
  _xlpm.v,_xlfn._xlws.FILTER(_xlpm.r,ISNUMBER(_xlpm.r)),
  IF(COUNT(_xlpm.v)=0,NA(),MIN(_xlpm.v))
)</f>
        <v>#N/A</v>
      </c>
      <c r="DT4" t="e" cm="1">
        <f t="array" aca="1" ref="DT4" ca="1">_xlfn.LET(
  _xlpm.k,ROW(A139)-1,
  _xlpm.r,OFFSET($Y$2,0,_xlpm.k,ROWS($Y$2:$Y$1000),1),
  _xlpm.v,_xlfn._xlws.FILTER(_xlpm.r,ISNUMBER(_xlpm.r)),
  IF(COUNT(_xlpm.v)=0,NA(),_xlfn.PERCENTILE.INC(_xlpm.v,0.25))
)</f>
        <v>#N/A</v>
      </c>
      <c r="DU4" t="e" cm="1">
        <f t="array" aca="1" ref="DU4" ca="1">_xlfn.LET(
  _xlpm.k,ROW(A139)-1,
  _xlpm.r,OFFSET($Y$2,0,_xlpm.k,ROWS($Y$2:$Y$1000),1),
  _xlpm.v,_xlfn._xlws.FILTER(_xlpm.r,ISNUMBER(_xlpm.r)),
  IF(COUNT(_xlpm.v)=0,NA(),_xlfn.PERCENTILE.INC(_xlpm.v,0.5))
)</f>
        <v>#N/A</v>
      </c>
      <c r="DV4" t="e" cm="1">
        <f t="array" aca="1" ref="DV4" ca="1">_xlfn.LET(
  _xlpm.k,ROW(A139)-1,
  _xlpm.r,OFFSET($Y$2,0,_xlpm.k,ROWS($Y$2:$Y$1000),1),
  _xlpm.v,_xlfn._xlws.FILTER(_xlpm.r,ISNUMBER(_xlpm.r)),
  IF(COUNT(_xlpm.v)=0,NA(),_xlfn.PERCENTILE.INC(_xlpm.v,0.75))
)</f>
        <v>#N/A</v>
      </c>
      <c r="DW4" t="e" cm="1">
        <f t="array" aca="1" ref="DW4" ca="1">_xlfn.LET(
  _xlpm.k,ROW(A139)-1,
  _xlpm.r,OFFSET($Y$2,0,_xlpm.k,ROWS($Y$2:$Y$1000),1),
  _xlpm.v,_xlfn._xlws.FILTER(_xlpm.r,ISNUMBER(_xlpm.r)),
  IF(COUNT(_xlpm.v)=0,NA(),MAX(_xlpm.v))
)</f>
        <v>#N/A</v>
      </c>
      <c r="DX4" t="e" cm="1" vm="1">
        <f t="array" aca="1" ref="DX4" ca="1">_xlfn.LET(_xlpm.r,OFFSET($Y$2,0,ROW(A139)-1,ROWS($Y$2:$Y$1000),1),
    _xlpm.v,_xlfn._xlws.FILTER(_xlpm.r,ISNUMBER(_xlpm.r)),
    _xlfn.PERCENTILE.INC(_xlpm.v,0.25))</f>
        <v>#VALUE!</v>
      </c>
      <c r="DY4" t="e" cm="1">
        <f t="array" aca="1" ref="DY4" ca="1">_xlfn.LET(
  _xlpm.k, ROW(A139)-1,
  _xlpm.r, OFFSET($Y$2,0,_xlpm.k,ROWS($Y$2:$Y$1000),1),
  _xlpm.v, _xlfn._xlws.FILTER(_xlpm.r, ISNUMBER(_xlpm.r)),
  IF(COUNT(_xlpm.v)=0, NA(), _xlfn.PERCENTILE.INC(_xlpm.v,0.5)-_xlfn.PERCENTILE.INC(_xlpm.v,0.25))
)</f>
        <v>#N/A</v>
      </c>
      <c r="DZ4" t="e" cm="1" vm="1">
        <f t="array" aca="1" ref="DZ4" ca="1">_xlfn.LET(_xlpm.r,OFFSET($Y$2,0,ROW(A139)-1,ROWS($Y$2:$Y$1000),1),
    _xlpm.v,_xlfn._xlws.FILTER(_xlpm.r,ISNUMBER(_xlpm.r)),
    _xlfn.PERCENTILE.INC(_xlpm.v,0.75)-_xlfn.PERCENTILE.INC(_xlpm.v,0.5))</f>
        <v>#VALUE!</v>
      </c>
      <c r="EA4" t="e" cm="1" vm="1">
        <f t="array" aca="1" ref="EA4" ca="1">_xlfn.LET(_xlpm.r,OFFSET($Y$2,0,ROW(A139)-1,ROWS($Y$2:$Y$1000),1),
    _xlpm.v,_xlfn._xlws.FILTER(_xlpm.r,ISNUMBER(_xlpm.r)),
    MAX(_xlpm.v)-_xlfn.PERCENTILE.INC(_xlpm.v,0.75))</f>
        <v>#VALUE!</v>
      </c>
      <c r="EB4" t="e" cm="1" vm="1">
        <f t="array" aca="1" ref="EB4" ca="1">_xlfn.LET(_xlpm.r,OFFSET($Y$2,0,ROW(A139)-1,ROWS($Y$2:$Y$1000),1),
    _xlpm.v,_xlfn._xlws.FILTER(_xlpm.r,ISNUMBER(_xlpm.r)),
    _xlfn.PERCENTILE.INC(_xlpm.v,0.25)-MIN(_xlpm.v))</f>
        <v>#VALUE!</v>
      </c>
      <c r="EC4" t="e" cm="1" vm="1">
        <f t="array" aca="1" ref="EC4" ca="1">_xlfn.LET(_xlpm.r,OFFSET($Y$2,0,ROW(A139)-1,ROWS($Y$2:$Y$1000),1),
    _xlpm.v,_xlfn._xlws.FILTER(_xlpm.r,ISNUMBER(_xlpm.r)),
    MAX(_xlpm.v)-_xlfn.PERCENTILE.INC(_xlpm.v,0.75))</f>
        <v>#VALUE!</v>
      </c>
      <c r="ED4" t="e">
        <f ca="1">DT4-DS4</f>
        <v>#N/A</v>
      </c>
      <c r="EF4">
        <v>0</v>
      </c>
      <c r="EG4" t="e">
        <f ca="1">DW4-DV4</f>
        <v>#N/A</v>
      </c>
      <c r="EH4">
        <v>12441.316506252808</v>
      </c>
      <c r="EI4">
        <v>4</v>
      </c>
    </row>
    <row r="5" spans="1:139">
      <c r="A5" t="s">
        <v>518</v>
      </c>
      <c r="B5" t="s">
        <v>62</v>
      </c>
      <c r="C5" t="s">
        <v>32</v>
      </c>
      <c r="D5" cm="1">
        <f t="array" ref="D5">_xlfn.LET(
 _xlpm.A,$A5,_xlpm.B,$B5,_xlpm.C,$C5,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29106.993133985809</v>
      </c>
      <c r="E5" cm="1">
        <f t="array" ref="E5">_xlfn.LET(
 _xlpm.A,$A5,_xlpm.B,$B5,_xlpm.C,$C5,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11915.65033208227</v>
      </c>
      <c r="F5" cm="1">
        <f t="array" ref="F5">_xlfn.LET(
 _xlpm.A,$A5,_xlpm.B,$B5,_xlpm.C,$C5,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11606.754049520958</v>
      </c>
      <c r="G5" cm="1">
        <f t="array" ref="G5">_xlfn.LET(
 _xlpm.A,$A5,_xlpm.B,$B5,_xlpm.C,$C5,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27331.987939932962</v>
      </c>
      <c r="H5">
        <f t="shared" si="2"/>
        <v>1775.0051940528465</v>
      </c>
      <c r="I5">
        <f t="shared" si="3"/>
        <v>4</v>
      </c>
      <c r="J5">
        <f t="shared" si="4"/>
        <v>27331.987939932962</v>
      </c>
      <c r="K5" t="e">
        <f t="shared" si="5"/>
        <v>#N/A</v>
      </c>
      <c r="L5" t="e">
        <f t="shared" si="6"/>
        <v>#N/A</v>
      </c>
      <c r="M5" t="e">
        <f t="shared" si="7"/>
        <v>#N/A</v>
      </c>
      <c r="N5" t="e">
        <f t="shared" si="8"/>
        <v>#N/A</v>
      </c>
      <c r="O5" cm="1">
        <f t="array" ref="O5">_xlfn.LET(
 _xlpm.A,$A5,_xlpm.B,$B5,_xlpm.C,$C5,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18</v>
      </c>
      <c r="P5" t="str">
        <f t="shared" si="9"/>
        <v>n=18</v>
      </c>
      <c r="V5" t="s">
        <v>535</v>
      </c>
      <c r="W5" t="s">
        <v>518</v>
      </c>
      <c r="X5" t="s">
        <v>32</v>
      </c>
      <c r="AA5">
        <v>4466.4024745136494</v>
      </c>
      <c r="AB5">
        <v>8355.514428390672</v>
      </c>
      <c r="AC5">
        <v>6326.4153748480385</v>
      </c>
      <c r="AD5">
        <v>4077.8470351951037</v>
      </c>
      <c r="AE5">
        <v>4421.9798661567875</v>
      </c>
      <c r="AI5">
        <f t="shared" si="0"/>
        <v>4</v>
      </c>
      <c r="AJ5" s="26" cm="1">
        <f t="array" aca="1" ref="AJ5" ca="1">_xlfn.LET(
  _xlpm.r,OFFSET($Y$2,0,ROW(A4)-1,ROWS($Y$2:$Y$1000),1),
  _xlpm.v,_xlfn._xlws.FILTER(_xlpm.r,ISNUMBER(_xlpm.r)),
  IF(COUNT(_xlpm.v)=0,NA(),_xlfn.PERCENTILE.INC(_xlpm.v,0.975))
)</f>
        <v>27331.987939932962</v>
      </c>
      <c r="AK5" s="26" cm="1">
        <f t="array" ref="AK5">_xlfn.LET(
  _xlpm.hdr, $Y$1:$AH$1,               _xlpm.k,   _xlfn.XMATCH($V5,_xlpm.hdr,0),
  _xlpm.col, INDEX($Y$2:$AH$1000,,_xlpm.k),
  _xlpm.v,   _xlfn._xlws.FILTER(_xlpm.col,ISNUMBER(_xlpm.col)),
  IF(COUNT(_xlpm.v)=0, NA(), AVERAGE(_xlpm.v))
)</f>
        <v>11915.65033208227</v>
      </c>
      <c r="AL5" cm="1">
        <f t="array" aca="1" ref="AL5" ca="1">_xlfn.LET(
  _xlpm.k,ROW(A4)-1,
  _xlpm.r,OFFSET($Y$2,0,_xlpm.k,ROWS($Y$2:$Y$1000),1),
  _xlpm.v,_xlfn._xlws.FILTER(_xlpm.r,ISNUMBER(_xlpm.r)),
  IF(COUNT(_xlpm.v)=0,NA(),MIN(_xlpm.v))
)</f>
        <v>5343.4791208735915</v>
      </c>
      <c r="AM5" cm="1">
        <f t="array" aca="1" ref="AM5" ca="1">_xlfn.LET(
  _xlpm.k,ROW(A4)-1,
  _xlpm.r,OFFSET($Y$2,0,_xlpm.k,ROWS($Y$2:$Y$1000),1),
  _xlpm.v,_xlfn._xlws.FILTER(_xlpm.r,ISNUMBER(_xlpm.r)),
  IF(COUNT(_xlpm.v)=0,NA(),_xlfn.PERCENTILE.INC(_xlpm.v,0.25))
)</f>
        <v>8237.0484912299125</v>
      </c>
      <c r="AN5" cm="1">
        <f t="array" aca="1" ref="AN5" ca="1">_xlfn.LET(
  _xlpm.k,ROW(A4)-1,
  _xlpm.r,OFFSET($Y$2,0,_xlpm.k,ROWS($Y$2:$Y$1000),1),
  _xlpm.v,_xlfn._xlws.FILTER(_xlpm.r,ISNUMBER(_xlpm.r)),
  IF(COUNT(_xlpm.v)=0,NA(),_xlfn.PERCENTILE.INC(_xlpm.v,0.5))
)</f>
        <v>11606.754049520958</v>
      </c>
      <c r="AO5" cm="1">
        <f t="array" aca="1" ref="AO5" ca="1">_xlfn.LET(
  _xlpm.k,ROW(A4)-1,
  _xlpm.r,OFFSET($Y$2,0,_xlpm.k,ROWS($Y$2:$Y$1000),1),
  _xlpm.v,_xlfn._xlws.FILTER(_xlpm.r,ISNUMBER(_xlpm.r)),
  IF(COUNT(_xlpm.v)=0,NA(),_xlfn.PERCENTILE.INC(_xlpm.v,0.75))
)</f>
        <v>13200.40785621326</v>
      </c>
      <c r="AP5" cm="1">
        <f t="array" aca="1" ref="AP5" ca="1">_xlfn.LET(
  _xlpm.k,ROW(A4)-1,
  _xlpm.r,OFFSET($Y$2,0,_xlpm.k,ROWS($Y$2:$Y$1000),1),
  _xlpm.v,_xlfn._xlws.FILTER(_xlpm.r,ISNUMBER(_xlpm.r)),
  IF(COUNT(_xlpm.v)=0,NA(),MAX(_xlpm.v))
)</f>
        <v>29106.993133985809</v>
      </c>
      <c r="AQ5" cm="1">
        <f t="array" aca="1" ref="AQ5" ca="1">_xlfn.LET(_xlpm.r,OFFSET($Y$2,0,ROW(A4)-1,ROWS($Y$2:$Y$1000),1),
    _xlpm.v,_xlfn._xlws.FILTER(_xlpm.r,ISNUMBER(_xlpm.r)),
    _xlfn.PERCENTILE.INC(_xlpm.v,0.25))</f>
        <v>8237.0484912299125</v>
      </c>
      <c r="AR5" cm="1">
        <f t="array" aca="1" ref="AR5" ca="1">_xlfn.LET(
  _xlpm.k, ROW(A4)-1,
  _xlpm.r, OFFSET($Y$2,0,_xlpm.k,ROWS($Y$2:$Y$1000),1),
  _xlpm.v, _xlfn._xlws.FILTER(_xlpm.r, ISNUMBER(_xlpm.r)),
  IF(COUNT(_xlpm.v)=0, NA(), _xlfn.PERCENTILE.INC(_xlpm.v,0.5)-_xlfn.PERCENTILE.INC(_xlpm.v,0.25))
)</f>
        <v>3369.7055582910452</v>
      </c>
      <c r="AS5" cm="1">
        <f t="array" aca="1" ref="AS5" ca="1">_xlfn.LET(_xlpm.r,OFFSET($Y$2,0,ROW(A4)-1,ROWS($Y$2:$Y$1000),1),
    _xlpm.v,_xlfn._xlws.FILTER(_xlpm.r,ISNUMBER(_xlpm.r)),
    _xlfn.PERCENTILE.INC(_xlpm.v,0.75)-_xlfn.PERCENTILE.INC(_xlpm.v,0.5))</f>
        <v>1593.6538066923022</v>
      </c>
      <c r="AT5" cm="1">
        <f t="array" aca="1" ref="AT5" ca="1">_xlfn.LET(_xlpm.r,OFFSET($Y$2,0,ROW(A4)-1,ROWS($Y$2:$Y$1000),1),
    _xlpm.v,_xlfn._xlws.FILTER(_xlpm.r,ISNUMBER(_xlpm.r)),
    MAX(_xlpm.v)-_xlfn.PERCENTILE.INC(_xlpm.v,0.75))</f>
        <v>15906.585277772549</v>
      </c>
      <c r="AU5" cm="1">
        <f t="array" aca="1" ref="AU5" ca="1">_xlfn.LET(_xlpm.r,OFFSET($Y$2,0,ROW(A4)-1,ROWS($Y$2:$Y$1000),1),
    _xlpm.v,_xlfn._xlws.FILTER(_xlpm.r,ISNUMBER(_xlpm.r)),
    _xlfn.PERCENTILE.INC(_xlpm.v,0.25)-MIN(_xlpm.v))</f>
        <v>2893.5693703563211</v>
      </c>
      <c r="AV5" cm="1">
        <f t="array" aca="1" ref="AV5" ca="1">_xlfn.LET(_xlpm.r,OFFSET($Y$2,0,ROW(A4)-1,ROWS($Y$2:$Y$1000),1),
    _xlpm.v,_xlfn._xlws.FILTER(_xlpm.r,ISNUMBER(_xlpm.r)),
    MAX(_xlpm.v)-_xlfn.PERCENTILE.INC(_xlpm.v,0.75))</f>
        <v>15906.585277772549</v>
      </c>
      <c r="AW5">
        <f t="shared" ca="1" si="10"/>
        <v>2893.5693703563211</v>
      </c>
      <c r="AX5">
        <v>0</v>
      </c>
      <c r="AY5">
        <f t="shared" ca="1" si="11"/>
        <v>15906.585277772549</v>
      </c>
      <c r="AZ5">
        <v>3530.6284466440125</v>
      </c>
      <c r="BA5">
        <v>3</v>
      </c>
      <c r="BG5" t="s">
        <v>542</v>
      </c>
      <c r="BH5" t="s">
        <v>518</v>
      </c>
      <c r="BI5" t="s">
        <v>62</v>
      </c>
      <c r="BJ5" t="s">
        <v>32</v>
      </c>
      <c r="BM5">
        <v>4466.4024745136494</v>
      </c>
      <c r="BN5">
        <v>8355.514428390672</v>
      </c>
      <c r="BO5">
        <v>11235.299349718522</v>
      </c>
      <c r="BP5">
        <v>4567.7650535577668</v>
      </c>
      <c r="BQ5">
        <v>4411.9741663617315</v>
      </c>
      <c r="BS5">
        <v>6445.5061993980289</v>
      </c>
      <c r="BW5">
        <v>3489.3792062043799</v>
      </c>
      <c r="CD5">
        <f t="shared" si="1"/>
        <v>4</v>
      </c>
      <c r="CE5" cm="1">
        <f t="array" aca="1" ref="CE5" ca="1">_xlfn.LET(
  _xlpm.r,OFFSET($BK$2,0,ROW(A4)-1,ROWS($Y$2:$BK$1000),1),
  _xlpm.v,_xlfn._xlws.FILTER(_xlpm.r,ISNUMBER(_xlpm.r)),
  IF(COUNT(_xlpm.v)=0,NA(),_xlfn.PERCENTILE.INC(_xlpm.v,0.975))
)</f>
        <v>27331.987939932962</v>
      </c>
      <c r="CF5" s="13" cm="1">
        <f t="array" ref="CF5">_xlfn.LET(
  _xlpm.hdr, $BK$1:$CC$1,               _xlpm.k,   _xlfn.XMATCH($BG5,_xlpm.hdr,0),
  _xlpm.col, INDEX($BK$2:$CC$1000,,_xlpm.k),
  _xlpm.v,   _xlfn._xlws.FILTER(_xlpm.col,ISNUMBER(_xlpm.col)),
  IF(COUNT(_xlpm.v)=0, NA(), AVERAGE(_xlpm.v))
)</f>
        <v>11915.65033208227</v>
      </c>
      <c r="CG5" cm="1">
        <f t="array" aca="1" ref="CG5" ca="1">_xlfn.LET(
  _xlpm.k,ROW(A4)-1,
  _xlpm.r,OFFSET($BK$2,0,_xlpm.k,ROWS($Y$2:$BK$1000),1),
  _xlpm.v,_xlfn._xlws.FILTER(_xlpm.r,ISNUMBER(_xlpm.r)),
  IF(COUNT(_xlpm.v)=0,NA(),MIN(_xlpm.v))
)</f>
        <v>5343.4791208735915</v>
      </c>
      <c r="CH5" cm="1">
        <f t="array" aca="1" ref="CH5" ca="1">_xlfn.LET(
  _xlpm.k,ROW(A4)-1,
  _xlpm.r,OFFSET($BK$2,0,_xlpm.k,ROWS($Y$2:$BK$1000),1),
  _xlpm.v,_xlfn._xlws.FILTER(_xlpm.r,ISNUMBER(_xlpm.r)),
  IF(COUNT(_xlpm.v)=0,NA(),_xlfn.PERCENTILE.INC(_xlpm.v,0.25))
)</f>
        <v>8237.0484912299125</v>
      </c>
      <c r="CI5" cm="1">
        <f t="array" aca="1" ref="CI5" ca="1">_xlfn.LET(
  _xlpm.k,ROW(B4)-1,
  _xlpm.r,OFFSET($BK$2,0,_xlpm.k,ROWS($Y$2:$BK$1000),1),
  _xlpm.v,_xlfn._xlws.FILTER(_xlpm.r,ISNUMBER(_xlpm.r)),
  IF(COUNT(_xlpm.v)=0,NA(),_xlfn.PERCENTILE.INC(_xlpm.v,0.5))
)</f>
        <v>11606.754049520958</v>
      </c>
      <c r="CJ5" cm="1">
        <f t="array" aca="1" ref="CJ5" ca="1">_xlfn.LET(
  _xlpm.k,ROW(C4)-1,
  _xlpm.r,OFFSET($BK$2,0,_xlpm.k,ROWS($Y$2:$BK$1000),1),
  _xlpm.v,_xlfn._xlws.FILTER(_xlpm.r,ISNUMBER(_xlpm.r)),
  IF(COUNT(_xlpm.v)=0,NA(),_xlfn.PERCENTILE.INC(_xlpm.v,0.75))
)</f>
        <v>13200.40785621326</v>
      </c>
      <c r="CK5" cm="1">
        <f t="array" aca="1" ref="CK5" ca="1">_xlfn.LET(
  _xlpm.k,ROW(A4)-1,
  _xlpm.r,OFFSET($BK$2,0,_xlpm.k,ROWS($Y$2:$BK$1000),1),
  _xlpm.v,_xlfn._xlws.FILTER(_xlpm.r,ISNUMBER(_xlpm.r)),
  IF(COUNT(_xlpm.v)=0,NA(),MAX(_xlpm.v))
)</f>
        <v>29106.993133985809</v>
      </c>
      <c r="CL5" cm="1">
        <f t="array" aca="1" ref="CL5" ca="1">_xlfn.LET(_xlpm.r,OFFSET($BK$2,0,ROW(A4)-1,ROWS($Y$2:$BK$1000),1),
    _xlpm.v,_xlfn._xlws.FILTER(_xlpm.r,ISNUMBER(_xlpm.r)),
    _xlfn.PERCENTILE.INC(_xlpm.v,0.25))</f>
        <v>8237.0484912299125</v>
      </c>
      <c r="CM5" cm="1">
        <f t="array" aca="1" ref="CM5" ca="1">_xlfn.LET(_xlpm.r,OFFSET($BK$2,0,ROW(A4)-1,ROWS($BK$2:$BK$1000),1),
    _xlpm.v,_xlfn._xlws.FILTER(_xlpm.r,ISNUMBER(_xlpm.r)),
    _xlfn.PERCENTILE.INC(_xlpm.v,0.5)-_xlfn.PERCENTILE.INC(_xlpm.v,0.25))</f>
        <v>3369.7055582910452</v>
      </c>
      <c r="CN5" cm="1">
        <f t="array" aca="1" ref="CN5" ca="1">_xlfn.LET(_xlpm.r,OFFSET($BK$2,0,ROW(A4)-1,ROWS($BK$2:$BK$1000),1),
    _xlpm.v,_xlfn._xlws.FILTER(_xlpm.r,ISNUMBER(_xlpm.r)),
    _xlfn.PERCENTILE.INC(_xlpm.v,0.75)-_xlfn.PERCENTILE.INC(_xlpm.v,0.5))</f>
        <v>1593.6538066923022</v>
      </c>
      <c r="CO5" cm="1">
        <f t="array" aca="1" ref="CO5" ca="1">_xlfn.LET(_xlpm.r,OFFSET($BK$2,0,ROW(A4)-1,ROWS($BK$2:$BK$1000),1),
    _xlpm.v,_xlfn._xlws.FILTER(_xlpm.r,ISNUMBER(_xlpm.r)),
    MAX(_xlpm.v)-_xlfn.PERCENTILE.INC(_xlpm.v,0.75))</f>
        <v>15906.585277772549</v>
      </c>
      <c r="CP5" cm="1">
        <f t="array" aca="1" ref="CP5" ca="1">_xlfn.LET(_xlpm.r,OFFSET($BK$2,0,ROW(A4)-1,ROWS($BK$2:$BK$1000),1),
    _xlpm.v,_xlfn._xlws.FILTER(_xlpm.r,ISNUMBER(_xlpm.r)),
    _xlfn.PERCENTILE.INC(_xlpm.v,0.25)-MIN(_xlpm.v))</f>
        <v>2893.5693703563211</v>
      </c>
      <c r="CQ5" cm="1">
        <f t="array" aca="1" ref="CQ5" ca="1">_xlfn.LET(_xlpm.r,OFFSET($BK$2,0,ROW(A4)-1,ROWS($BK$2:$BK$1000),1),
    _xlpm.v,_xlfn._xlws.FILTER(_xlpm.r,ISNUMBER(_xlpm.r)),
    MAX(_xlpm.v)-_xlfn.PERCENTILE.INC(_xlpm.v,0.75))</f>
        <v>15906.585277772549</v>
      </c>
      <c r="CR5">
        <f t="shared" ca="1" si="12"/>
        <v>2893.5693703563211</v>
      </c>
      <c r="CS5">
        <v>0</v>
      </c>
      <c r="CT5">
        <f t="shared" ca="1" si="13"/>
        <v>15906.585277772549</v>
      </c>
      <c r="CU5">
        <v>4421.9798661567875</v>
      </c>
      <c r="CV5">
        <v>5</v>
      </c>
      <c r="DA5" t="s">
        <v>850</v>
      </c>
      <c r="DB5" t="s">
        <v>518</v>
      </c>
      <c r="DC5" t="s">
        <v>32</v>
      </c>
      <c r="DD5" t="s">
        <v>861</v>
      </c>
      <c r="DG5">
        <v>4466.4024745136494</v>
      </c>
      <c r="DH5">
        <v>8355.514428390672</v>
      </c>
      <c r="DI5">
        <v>6326.4153748480385</v>
      </c>
      <c r="DJ5">
        <v>4077.8470351951037</v>
      </c>
      <c r="DK5">
        <v>4421.9798661567875</v>
      </c>
      <c r="EH5">
        <v>4057.4152694979834</v>
      </c>
      <c r="EI5">
        <v>5</v>
      </c>
    </row>
    <row r="6" spans="1:139">
      <c r="A6" t="s">
        <v>518</v>
      </c>
      <c r="B6" t="s">
        <v>62</v>
      </c>
      <c r="C6" t="s">
        <v>57</v>
      </c>
      <c r="D6" cm="1">
        <f t="array" ref="D6">_xlfn.LET(
 _xlpm.A,$A6,_xlpm.B,$B6,_xlpm.C,$C6,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15856.519626291001</v>
      </c>
      <c r="E6" cm="1">
        <f t="array" ref="E6">_xlfn.LET(
 _xlpm.A,$A6,_xlpm.B,$B6,_xlpm.C,$C6,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7678.8150836011937</v>
      </c>
      <c r="F6" cm="1">
        <f t="array" ref="F6">_xlfn.LET(
 _xlpm.A,$A6,_xlpm.B,$B6,_xlpm.C,$C6,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7502.812596837075</v>
      </c>
      <c r="G6" cm="1">
        <f t="array" ref="G6">_xlfn.LET(
 _xlpm.A,$A6,_xlpm.B,$B6,_xlpm.C,$C6,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15163.336584805127</v>
      </c>
      <c r="H6">
        <f t="shared" si="2"/>
        <v>693.18304148587413</v>
      </c>
      <c r="I6">
        <f t="shared" si="3"/>
        <v>5</v>
      </c>
      <c r="J6" t="e">
        <f t="shared" si="4"/>
        <v>#N/A</v>
      </c>
      <c r="K6">
        <f t="shared" si="5"/>
        <v>15163.336584805127</v>
      </c>
      <c r="L6" t="e">
        <f t="shared" si="6"/>
        <v>#N/A</v>
      </c>
      <c r="M6" t="e">
        <f t="shared" si="7"/>
        <v>#N/A</v>
      </c>
      <c r="N6" t="e">
        <f t="shared" si="8"/>
        <v>#N/A</v>
      </c>
      <c r="O6" cm="1">
        <f t="array" ref="O6">_xlfn.LET(
 _xlpm.A,$A6,_xlpm.B,$B6,_xlpm.C,$C6,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7</v>
      </c>
      <c r="P6" t="str">
        <f t="shared" si="9"/>
        <v>n=7</v>
      </c>
      <c r="V6" t="s">
        <v>536</v>
      </c>
      <c r="W6" t="s">
        <v>518</v>
      </c>
      <c r="X6" t="s">
        <v>57</v>
      </c>
      <c r="AA6">
        <v>8293.5403792883008</v>
      </c>
      <c r="AB6">
        <v>7837.9776810335725</v>
      </c>
      <c r="AC6">
        <v>6445.5061993980289</v>
      </c>
      <c r="AD6">
        <v>4567.7650535577668</v>
      </c>
      <c r="AE6">
        <v>5882.8595673719446</v>
      </c>
      <c r="AI6">
        <f t="shared" si="0"/>
        <v>5</v>
      </c>
      <c r="AJ6" s="26" cm="1">
        <f t="array" aca="1" ref="AJ6" ca="1">_xlfn.LET(
  _xlpm.r,OFFSET($Y$2,0,ROW(A5)-1,ROWS($Y$2:$Y$1000),1),
  _xlpm.v,_xlfn._xlws.FILTER(_xlpm.r,ISNUMBER(_xlpm.r)),
  IF(COUNT(_xlpm.v)=0,NA(),_xlfn.PERCENTILE.INC(_xlpm.v,0.975))
)</f>
        <v>14585.684050233567</v>
      </c>
      <c r="AK6" s="26" cm="1">
        <f t="array" ref="AK6">_xlfn.LET(
  _xlpm.hdr, $Y$1:$AH$1,               _xlpm.k,   _xlfn.XMATCH($V6,_xlpm.hdr,0),
  _xlpm.col, INDEX($Y$2:$AH$1000,,_xlpm.k),
  _xlpm.v,   _xlfn._xlws.FILTER(_xlpm.col,ISNUMBER(_xlpm.col)),
  IF(COUNT(_xlpm.v)=0, NA(), AVERAGE(_xlpm.v))
)</f>
        <v>6932.8360914605946</v>
      </c>
      <c r="AL6" cm="1">
        <f t="array" aca="1" ref="AL6" ca="1">_xlfn.LET(
  _xlpm.k,ROW(A5)-1,
  _xlpm.r,OFFSET($Y$2,0,_xlpm.k,ROWS($Y$2:$Y$1000),1),
  _xlpm.v,_xlfn._xlws.FILTER(_xlpm.r,ISNUMBER(_xlpm.r)),
  IF(COUNT(_xlpm.v)=0,NA(),MIN(_xlpm.v))
)</f>
        <v>2519.3719612638824</v>
      </c>
      <c r="AM6" cm="1">
        <f t="array" aca="1" ref="AM6" ca="1">_xlfn.LET(
  _xlpm.k,ROW(A5)-1,
  _xlpm.r,OFFSET($Y$2,0,_xlpm.k,ROWS($Y$2:$Y$1000),1),
  _xlpm.v,_xlfn._xlws.FILTER(_xlpm.r,ISNUMBER(_xlpm.r)),
  IF(COUNT(_xlpm.v)=0,NA(),_xlfn.PERCENTILE.INC(_xlpm.v,0.25))
)</f>
        <v>4330.8387169920861</v>
      </c>
      <c r="AN6" cm="1">
        <f t="array" aca="1" ref="AN6" ca="1">_xlfn.LET(
  _xlpm.k,ROW(A5)-1,
  _xlpm.r,OFFSET($Y$2,0,_xlpm.k,ROWS($Y$2:$Y$1000),1),
  _xlpm.v,_xlfn._xlws.FILTER(_xlpm.r,ISNUMBER(_xlpm.r)),
  IF(COUNT(_xlpm.v)=0,NA(),_xlfn.PERCENTILE.INC(_xlpm.v,0.5))
)</f>
        <v>6385.9607871230337</v>
      </c>
      <c r="AO6" cm="1">
        <f t="array" aca="1" ref="AO6" ca="1">_xlfn.LET(
  _xlpm.k,ROW(A5)-1,
  _xlpm.r,OFFSET($Y$2,0,_xlpm.k,ROWS($Y$2:$Y$1000),1),
  _xlpm.v,_xlfn._xlws.FILTER(_xlpm.r,ISNUMBER(_xlpm.r)),
  IF(COUNT(_xlpm.v)=0,NA(),_xlfn.PERCENTILE.INC(_xlpm.v,0.75))
)</f>
        <v>7862.2128199500348</v>
      </c>
      <c r="AP6" cm="1">
        <f t="array" aca="1" ref="AP6" ca="1">_xlfn.LET(
  _xlpm.k,ROW(A5)-1,
  _xlpm.r,OFFSET($Y$2,0,_xlpm.k,ROWS($Y$2:$Y$1000),1),
  _xlpm.v,_xlfn._xlws.FILTER(_xlpm.r,ISNUMBER(_xlpm.r)),
  IF(COUNT(_xlpm.v)=0,NA(),MAX(_xlpm.v))
)</f>
        <v>15856.519626291001</v>
      </c>
      <c r="AQ6" cm="1">
        <f t="array" aca="1" ref="AQ6" ca="1">_xlfn.LET(_xlpm.r,OFFSET($Y$2,0,ROW(A5)-1,ROWS($Y$2:$Y$1000),1),
    _xlpm.v,_xlfn._xlws.FILTER(_xlpm.r,ISNUMBER(_xlpm.r)),
    _xlfn.PERCENTILE.INC(_xlpm.v,0.25))</f>
        <v>4330.8387169920861</v>
      </c>
      <c r="AR6" cm="1">
        <f t="array" aca="1" ref="AR6" ca="1">_xlfn.LET(
  _xlpm.k, ROW(A5)-1,
  _xlpm.r, OFFSET($Y$2,0,_xlpm.k,ROWS($Y$2:$Y$1000),1),
  _xlpm.v, _xlfn._xlws.FILTER(_xlpm.r, ISNUMBER(_xlpm.r)),
  IF(COUNT(_xlpm.v)=0, NA(), _xlfn.PERCENTILE.INC(_xlpm.v,0.5)-_xlfn.PERCENTILE.INC(_xlpm.v,0.25))
)</f>
        <v>2055.1220701309476</v>
      </c>
      <c r="AS6" cm="1">
        <f t="array" aca="1" ref="AS6" ca="1">_xlfn.LET(_xlpm.r,OFFSET($Y$2,0,ROW(A5)-1,ROWS($Y$2:$Y$1000),1),
    _xlpm.v,_xlfn._xlws.FILTER(_xlpm.r,ISNUMBER(_xlpm.r)),
    _xlfn.PERCENTILE.INC(_xlpm.v,0.75)-_xlfn.PERCENTILE.INC(_xlpm.v,0.5))</f>
        <v>1476.2520328270011</v>
      </c>
      <c r="AT6" cm="1">
        <f t="array" aca="1" ref="AT6" ca="1">_xlfn.LET(_xlpm.r,OFFSET($Y$2,0,ROW(A5)-1,ROWS($Y$2:$Y$1000),1),
    _xlpm.v,_xlfn._xlws.FILTER(_xlpm.r,ISNUMBER(_xlpm.r)),
    MAX(_xlpm.v)-_xlfn.PERCENTILE.INC(_xlpm.v,0.75))</f>
        <v>7994.3068063409664</v>
      </c>
      <c r="AU6" cm="1">
        <f t="array" aca="1" ref="AU6" ca="1">_xlfn.LET(_xlpm.r,OFFSET($Y$2,0,ROW(A5)-1,ROWS($Y$2:$Y$1000),1),
    _xlpm.v,_xlfn._xlws.FILTER(_xlpm.r,ISNUMBER(_xlpm.r)),
    _xlfn.PERCENTILE.INC(_xlpm.v,0.25)-MIN(_xlpm.v))</f>
        <v>1811.4667557282037</v>
      </c>
      <c r="AV6" cm="1">
        <f t="array" aca="1" ref="AV6" ca="1">_xlfn.LET(_xlpm.r,OFFSET($Y$2,0,ROW(A5)-1,ROWS($Y$2:$Y$1000),1),
    _xlpm.v,_xlfn._xlws.FILTER(_xlpm.r,ISNUMBER(_xlpm.r)),
    MAX(_xlpm.v)-_xlfn.PERCENTILE.INC(_xlpm.v,0.75))</f>
        <v>7994.3068063409664</v>
      </c>
      <c r="AW6">
        <f t="shared" ca="1" si="10"/>
        <v>1811.4667557282037</v>
      </c>
      <c r="AX6">
        <v>0</v>
      </c>
      <c r="AY6">
        <f t="shared" ca="1" si="11"/>
        <v>7994.3068063409664</v>
      </c>
      <c r="AZ6">
        <v>4466.4024745136494</v>
      </c>
      <c r="BA6">
        <v>3</v>
      </c>
      <c r="BG6" t="s">
        <v>543</v>
      </c>
      <c r="BH6" t="s">
        <v>518</v>
      </c>
      <c r="BI6" t="s">
        <v>62</v>
      </c>
      <c r="BJ6" t="s">
        <v>57</v>
      </c>
      <c r="BM6">
        <v>8293.5403792883008</v>
      </c>
      <c r="BN6">
        <v>7837.9776810335725</v>
      </c>
      <c r="BO6">
        <v>15856.519626291001</v>
      </c>
      <c r="BP6">
        <v>6551.4527161438418</v>
      </c>
      <c r="BQ6">
        <v>8940.4134892889124</v>
      </c>
      <c r="BS6">
        <v>6730.1311012027963</v>
      </c>
      <c r="CD6">
        <f t="shared" si="1"/>
        <v>5</v>
      </c>
      <c r="CE6" cm="1">
        <f t="array" aca="1" ref="CE6" ca="1">_xlfn.LET(
  _xlpm.r,OFFSET($BK$2,0,ROW(A5)-1,ROWS($Y$2:$BK$1000),1),
  _xlpm.v,_xlfn._xlws.FILTER(_xlpm.r,ISNUMBER(_xlpm.r)),
  IF(COUNT(_xlpm.v)=0,NA(),_xlfn.PERCENTILE.INC(_xlpm.v,0.975))
)</f>
        <v>15163.336584805127</v>
      </c>
      <c r="CF6" s="13" cm="1">
        <f t="array" ref="CF6">_xlfn.LET(
  _xlpm.hdr, $BK$1:$CC$1,               _xlpm.k,   _xlfn.XMATCH($BG6,_xlpm.hdr,0),
  _xlpm.col, INDEX($BK$2:$CC$1000,,_xlpm.k),
  _xlpm.v,   _xlfn._xlws.FILTER(_xlpm.col,ISNUMBER(_xlpm.col)),
  IF(COUNT(_xlpm.v)=0, NA(), AVERAGE(_xlpm.v))
)</f>
        <v>7678.8150836011937</v>
      </c>
      <c r="CG6" cm="1">
        <f t="array" aca="1" ref="CG6" ca="1">_xlfn.LET(
  _xlpm.k,ROW(A5)-1,
  _xlpm.r,OFFSET($BK$2,0,_xlpm.k,ROWS($Y$2:$BK$1000),1),
  _xlpm.v,_xlfn._xlws.FILTER(_xlpm.r,ISNUMBER(_xlpm.r)),
  IF(COUNT(_xlpm.v)=0,NA(),MIN(_xlpm.v))
)</f>
        <v>2519.3719612638824</v>
      </c>
      <c r="CH6" cm="1">
        <f t="array" aca="1" ref="CH6" ca="1">_xlfn.LET(
  _xlpm.k,ROW(A5)-1,
  _xlpm.r,OFFSET($BK$2,0,_xlpm.k,ROWS($Y$2:$BK$1000),1),
  _xlpm.v,_xlfn._xlws.FILTER(_xlpm.r,ISNUMBER(_xlpm.r)),
  IF(COUNT(_xlpm.v)=0,NA(),_xlfn.PERCENTILE.INC(_xlpm.v,0.25))
)</f>
        <v>3848.6442809044806</v>
      </c>
      <c r="CI6" cm="1">
        <f t="array" aca="1" ref="CI6" ca="1">_xlfn.LET(
  _xlpm.k,ROW(B5)-1,
  _xlpm.r,OFFSET($BK$2,0,_xlpm.k,ROWS($Y$2:$BK$1000),1),
  _xlpm.v,_xlfn._xlws.FILTER(_xlpm.r,ISNUMBER(_xlpm.r)),
  IF(COUNT(_xlpm.v)=0,NA(),_xlfn.PERCENTILE.INC(_xlpm.v,0.5))
)</f>
        <v>7502.812596837075</v>
      </c>
      <c r="CJ6" cm="1">
        <f t="array" aca="1" ref="CJ6" ca="1">_xlfn.LET(
  _xlpm.k,ROW(C5)-1,
  _xlpm.r,OFFSET($BK$2,0,_xlpm.k,ROWS($Y$2:$BK$1000),1),
  _xlpm.v,_xlfn._xlws.FILTER(_xlpm.r,ISNUMBER(_xlpm.r)),
  IF(COUNT(_xlpm.v)=0,NA(),_xlfn.PERCENTILE.INC(_xlpm.v,0.75))
)</f>
        <v>10087.856419503718</v>
      </c>
      <c r="CK6" cm="1">
        <f t="array" aca="1" ref="CK6" ca="1">_xlfn.LET(
  _xlpm.k,ROW(A5)-1,
  _xlpm.r,OFFSET($BK$2,0,_xlpm.k,ROWS($Y$2:$BK$1000),1),
  _xlpm.v,_xlfn._xlws.FILTER(_xlpm.r,ISNUMBER(_xlpm.r)),
  IF(COUNT(_xlpm.v)=0,NA(),MAX(_xlpm.v))
)</f>
        <v>15856.519626291001</v>
      </c>
      <c r="CL6" cm="1">
        <f t="array" aca="1" ref="CL6" ca="1">_xlfn.LET(_xlpm.r,OFFSET($BK$2,0,ROW(A5)-1,ROWS($Y$2:$BK$1000),1),
    _xlpm.v,_xlfn._xlws.FILTER(_xlpm.r,ISNUMBER(_xlpm.r)),
    _xlfn.PERCENTILE.INC(_xlpm.v,0.25))</f>
        <v>3848.6442809044806</v>
      </c>
      <c r="CM6" cm="1">
        <f t="array" aca="1" ref="CM6" ca="1">_xlfn.LET(_xlpm.r,OFFSET($BK$2,0,ROW(A5)-1,ROWS($BK$2:$BK$1000),1),
    _xlpm.v,_xlfn._xlws.FILTER(_xlpm.r,ISNUMBER(_xlpm.r)),
    _xlfn.PERCENTILE.INC(_xlpm.v,0.5)-_xlfn.PERCENTILE.INC(_xlpm.v,0.25))</f>
        <v>3654.1683159325944</v>
      </c>
      <c r="CN6" cm="1">
        <f t="array" aca="1" ref="CN6" ca="1">_xlfn.LET(_xlpm.r,OFFSET($BK$2,0,ROW(A5)-1,ROWS($BK$2:$BK$1000),1),
    _xlpm.v,_xlfn._xlws.FILTER(_xlpm.r,ISNUMBER(_xlpm.r)),
    _xlfn.PERCENTILE.INC(_xlpm.v,0.75)-_xlfn.PERCENTILE.INC(_xlpm.v,0.5))</f>
        <v>2585.0438226666429</v>
      </c>
      <c r="CO6" cm="1">
        <f t="array" aca="1" ref="CO6" ca="1">_xlfn.LET(_xlpm.r,OFFSET($BK$2,0,ROW(A5)-1,ROWS($BK$2:$BK$1000),1),
    _xlpm.v,_xlfn._xlws.FILTER(_xlpm.r,ISNUMBER(_xlpm.r)),
    MAX(_xlpm.v)-_xlfn.PERCENTILE.INC(_xlpm.v,0.75))</f>
        <v>5768.6632067872833</v>
      </c>
      <c r="CP6" cm="1">
        <f t="array" aca="1" ref="CP6" ca="1">_xlfn.LET(_xlpm.r,OFFSET($BK$2,0,ROW(A5)-1,ROWS($BK$2:$BK$1000),1),
    _xlpm.v,_xlfn._xlws.FILTER(_xlpm.r,ISNUMBER(_xlpm.r)),
    _xlfn.PERCENTILE.INC(_xlpm.v,0.25)-MIN(_xlpm.v))</f>
        <v>1329.2723196405982</v>
      </c>
      <c r="CQ6" cm="1">
        <f t="array" aca="1" ref="CQ6" ca="1">_xlfn.LET(_xlpm.r,OFFSET($BK$2,0,ROW(A5)-1,ROWS($BK$2:$BK$1000),1),
    _xlpm.v,_xlfn._xlws.FILTER(_xlpm.r,ISNUMBER(_xlpm.r)),
    MAX(_xlpm.v)-_xlfn.PERCENTILE.INC(_xlpm.v,0.75))</f>
        <v>5768.6632067872833</v>
      </c>
      <c r="CR6">
        <f t="shared" ca="1" si="12"/>
        <v>1329.2723196405982</v>
      </c>
      <c r="CS6">
        <v>0</v>
      </c>
      <c r="CT6">
        <f t="shared" ca="1" si="13"/>
        <v>5768.6632067872833</v>
      </c>
      <c r="CU6">
        <v>7688.8924367702002</v>
      </c>
      <c r="CV6">
        <v>6</v>
      </c>
      <c r="DA6" t="s">
        <v>855</v>
      </c>
      <c r="DB6" t="s">
        <v>518</v>
      </c>
      <c r="DC6" t="s">
        <v>57</v>
      </c>
      <c r="DD6" t="s">
        <v>862</v>
      </c>
      <c r="DG6">
        <v>8293.5403792883008</v>
      </c>
      <c r="DH6">
        <v>7837.9776810335725</v>
      </c>
      <c r="DI6">
        <v>6445.5061993980289</v>
      </c>
      <c r="DJ6">
        <v>4567.7650535577668</v>
      </c>
      <c r="DK6">
        <v>5882.8595673719446</v>
      </c>
      <c r="EH6">
        <v>7688.8924367702002</v>
      </c>
      <c r="EI6">
        <v>6</v>
      </c>
    </row>
    <row r="7" spans="1:139">
      <c r="A7" t="s">
        <v>518</v>
      </c>
      <c r="B7" t="s">
        <v>62</v>
      </c>
      <c r="C7" t="s">
        <v>52</v>
      </c>
      <c r="D7" cm="1">
        <f t="array" ref="D7">_xlfn.LET(
 _xlpm.A,$A7,_xlpm.B,$B7,_xlpm.C,$C7,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13440.489466307758</v>
      </c>
      <c r="E7" cm="1">
        <f t="array" ref="E7">_xlfn.LET(
 _xlpm.A,$A7,_xlpm.B,$B7,_xlpm.C,$C7,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5715.4644368060463</v>
      </c>
      <c r="F7" cm="1">
        <f t="array" ref="F7">_xlfn.LET(
 _xlpm.A,$A7,_xlpm.B,$B7,_xlpm.C,$C7,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5514.9683324615162</v>
      </c>
      <c r="G7" cm="1">
        <f t="array" ref="G7">_xlfn.LET(
 _xlpm.A,$A7,_xlpm.B,$B7,_xlpm.C,$C7,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11359.610466228252</v>
      </c>
      <c r="H7">
        <f t="shared" si="2"/>
        <v>2080.8790000795052</v>
      </c>
      <c r="I7">
        <f t="shared" si="3"/>
        <v>6</v>
      </c>
      <c r="J7" t="e">
        <f t="shared" si="4"/>
        <v>#N/A</v>
      </c>
      <c r="K7" t="e">
        <f t="shared" si="5"/>
        <v>#N/A</v>
      </c>
      <c r="L7">
        <f t="shared" si="6"/>
        <v>11359.610466228252</v>
      </c>
      <c r="M7" t="e">
        <f t="shared" si="7"/>
        <v>#N/A</v>
      </c>
      <c r="N7" t="e">
        <f t="shared" si="8"/>
        <v>#N/A</v>
      </c>
      <c r="O7" cm="1">
        <f t="array" ref="O7">_xlfn.LET(
 _xlpm.A,$A7,_xlpm.B,$B7,_xlpm.C,$C7,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46</v>
      </c>
      <c r="P7" t="str">
        <f t="shared" si="9"/>
        <v>n=46</v>
      </c>
      <c r="V7" t="s">
        <v>537</v>
      </c>
      <c r="W7" t="s">
        <v>518</v>
      </c>
      <c r="X7" t="s">
        <v>52</v>
      </c>
      <c r="AA7">
        <v>5012.440003439563</v>
      </c>
      <c r="AB7">
        <v>10125.764141478647</v>
      </c>
      <c r="AC7">
        <v>6730.1311012027963</v>
      </c>
      <c r="AD7">
        <v>6551.4527161438418</v>
      </c>
      <c r="AE7">
        <v>6326.4153748480385</v>
      </c>
      <c r="AI7">
        <f t="shared" si="0"/>
        <v>6</v>
      </c>
      <c r="AJ7" s="26" cm="1">
        <f t="array" aca="1" ref="AJ7" ca="1">_xlfn.LET(
  _xlpm.r,OFFSET($Y$2,0,ROW(A6)-1,ROWS($Y$2:$Y$1000),1),
  _xlpm.v,_xlfn._xlws.FILTER(_xlpm.r,ISNUMBER(_xlpm.r)),
  IF(COUNT(_xlpm.v)=0,NA(),_xlfn.PERCENTILE.INC(_xlpm.v,0.975))
)</f>
        <v>11169.750879979394</v>
      </c>
      <c r="AK7" s="26" cm="1">
        <f t="array" ref="AK7">_xlfn.LET(
  _xlpm.hdr, $Y$1:$AH$1,               _xlpm.k,   _xlfn.XMATCH($V7,_xlpm.hdr,0),
  _xlpm.col, INDEX($Y$2:$AH$1000,,_xlpm.k),
  _xlpm.v,   _xlfn._xlws.FILTER(_xlpm.col,ISNUMBER(_xlpm.col)),
  IF(COUNT(_xlpm.v)=0, NA(), AVERAGE(_xlpm.v))
)</f>
        <v>5656.686190868164</v>
      </c>
      <c r="AL7" cm="1">
        <f t="array" aca="1" ref="AL7" ca="1">_xlfn.LET(
  _xlpm.k,ROW(A6)-1,
  _xlpm.r,OFFSET($Y$2,0,_xlpm.k,ROWS($Y$2:$Y$1000),1),
  _xlpm.v,_xlfn._xlws.FILTER(_xlpm.r,ISNUMBER(_xlpm.r)),
  IF(COUNT(_xlpm.v)=0,NA(),MIN(_xlpm.v))
)</f>
        <v>2748.9648616180052</v>
      </c>
      <c r="AM7" cm="1">
        <f t="array" aca="1" ref="AM7" ca="1">_xlfn.LET(
  _xlpm.k,ROW(A6)-1,
  _xlpm.r,OFFSET($Y$2,0,_xlpm.k,ROWS($Y$2:$Y$1000),1),
  _xlpm.v,_xlfn._xlws.FILTER(_xlpm.r,ISNUMBER(_xlpm.r)),
  IF(COUNT(_xlpm.v)=0,NA(),_xlfn.PERCENTILE.INC(_xlpm.v,0.25))
)</f>
        <v>4175.2736222415806</v>
      </c>
      <c r="AN7" cm="1">
        <f t="array" aca="1" ref="AN7" ca="1">_xlfn.LET(
  _xlpm.k,ROW(A6)-1,
  _xlpm.r,OFFSET($Y$2,0,_xlpm.k,ROWS($Y$2:$Y$1000),1),
  _xlpm.v,_xlfn._xlws.FILTER(_xlpm.r,ISNUMBER(_xlpm.r)),
  IF(COUNT(_xlpm.v)=0,NA(),_xlfn.PERCENTILE.INC(_xlpm.v,0.5))
)</f>
        <v>5393.059701765168</v>
      </c>
      <c r="AO7" cm="1">
        <f t="array" aca="1" ref="AO7" ca="1">_xlfn.LET(
  _xlpm.k,ROW(A6)-1,
  _xlpm.r,OFFSET($Y$2,0,_xlpm.k,ROWS($Y$2:$Y$1000),1),
  _xlpm.v,_xlfn._xlws.FILTER(_xlpm.r,ISNUMBER(_xlpm.r)),
  IF(COUNT(_xlpm.v)=0,NA(),_xlfn.PERCENTILE.INC(_xlpm.v,0.75))
)</f>
        <v>6426.8814887987346</v>
      </c>
      <c r="AP7" cm="1">
        <f t="array" aca="1" ref="AP7" ca="1">_xlfn.LET(
  _xlpm.k,ROW(A6)-1,
  _xlpm.r,OFFSET($Y$2,0,_xlpm.k,ROWS($Y$2:$Y$1000),1),
  _xlpm.v,_xlfn._xlws.FILTER(_xlpm.r,ISNUMBER(_xlpm.r)),
  IF(COUNT(_xlpm.v)=0,NA(),MAX(_xlpm.v))
)</f>
        <v>13440.489466307758</v>
      </c>
      <c r="AQ7" cm="1">
        <f t="array" aca="1" ref="AQ7" ca="1">_xlfn.LET(_xlpm.r,OFFSET($Y$2,0,ROW(A6)-1,ROWS($Y$2:$Y$1000),1),
    _xlpm.v,_xlfn._xlws.FILTER(_xlpm.r,ISNUMBER(_xlpm.r)),
    _xlfn.PERCENTILE.INC(_xlpm.v,0.25))</f>
        <v>4175.2736222415806</v>
      </c>
      <c r="AR7" cm="1">
        <f t="array" aca="1" ref="AR7" ca="1">_xlfn.LET(
  _xlpm.k, ROW(A6)-1,
  _xlpm.r, OFFSET($Y$2,0,_xlpm.k,ROWS($Y$2:$Y$1000),1),
  _xlpm.v, _xlfn._xlws.FILTER(_xlpm.r, ISNUMBER(_xlpm.r)),
  IF(COUNT(_xlpm.v)=0, NA(), _xlfn.PERCENTILE.INC(_xlpm.v,0.5)-_xlfn.PERCENTILE.INC(_xlpm.v,0.25))
)</f>
        <v>1217.7860795235874</v>
      </c>
      <c r="AS7" cm="1">
        <f t="array" aca="1" ref="AS7" ca="1">_xlfn.LET(_xlpm.r,OFFSET($Y$2,0,ROW(A6)-1,ROWS($Y$2:$Y$1000),1),
    _xlpm.v,_xlfn._xlws.FILTER(_xlpm.r,ISNUMBER(_xlpm.r)),
    _xlfn.PERCENTILE.INC(_xlpm.v,0.75)-_xlfn.PERCENTILE.INC(_xlpm.v,0.5))</f>
        <v>1033.8217870335666</v>
      </c>
      <c r="AT7" cm="1">
        <f t="array" aca="1" ref="AT7" ca="1">_xlfn.LET(_xlpm.r,OFFSET($Y$2,0,ROW(A6)-1,ROWS($Y$2:$Y$1000),1),
    _xlpm.v,_xlfn._xlws.FILTER(_xlpm.r,ISNUMBER(_xlpm.r)),
    MAX(_xlpm.v)-_xlfn.PERCENTILE.INC(_xlpm.v,0.75))</f>
        <v>7013.6079775090229</v>
      </c>
      <c r="AU7" cm="1">
        <f t="array" aca="1" ref="AU7" ca="1">_xlfn.LET(_xlpm.r,OFFSET($Y$2,0,ROW(A6)-1,ROWS($Y$2:$Y$1000),1),
    _xlpm.v,_xlfn._xlws.FILTER(_xlpm.r,ISNUMBER(_xlpm.r)),
    _xlfn.PERCENTILE.INC(_xlpm.v,0.25)-MIN(_xlpm.v))</f>
        <v>1426.3087606235754</v>
      </c>
      <c r="AV7" cm="1">
        <f t="array" aca="1" ref="AV7" ca="1">_xlfn.LET(_xlpm.r,OFFSET($Y$2,0,ROW(A6)-1,ROWS($Y$2:$Y$1000),1),
    _xlpm.v,_xlfn._xlws.FILTER(_xlpm.r,ISNUMBER(_xlpm.r)),
    MAX(_xlpm.v)-_xlfn.PERCENTILE.INC(_xlpm.v,0.75))</f>
        <v>7013.6079775090229</v>
      </c>
      <c r="AW7">
        <f t="shared" ca="1" si="10"/>
        <v>1426.3087606235754</v>
      </c>
      <c r="AX7">
        <v>0</v>
      </c>
      <c r="AY7">
        <f t="shared" ca="1" si="11"/>
        <v>7013.6079775090229</v>
      </c>
      <c r="AZ7">
        <v>8293.5403792883008</v>
      </c>
      <c r="BA7">
        <v>3</v>
      </c>
      <c r="BG7" t="s">
        <v>544</v>
      </c>
      <c r="BH7" t="s">
        <v>518</v>
      </c>
      <c r="BI7" t="s">
        <v>62</v>
      </c>
      <c r="BJ7" t="s">
        <v>52</v>
      </c>
      <c r="BM7">
        <v>5012.440003439563</v>
      </c>
      <c r="BN7">
        <v>10125.764141478647</v>
      </c>
      <c r="BO7">
        <v>2519.3719612638824</v>
      </c>
      <c r="BP7">
        <v>2748.9648616180052</v>
      </c>
      <c r="BQ7">
        <v>7004.1127811414517</v>
      </c>
      <c r="CD7">
        <f t="shared" si="1"/>
        <v>6</v>
      </c>
      <c r="CE7" cm="1">
        <f t="array" aca="1" ref="CE7" ca="1">_xlfn.LET(
  _xlpm.r,OFFSET($BK$2,0,ROW(A6)-1,ROWS($Y$2:$BK$1000),1),
  _xlpm.v,_xlfn._xlws.FILTER(_xlpm.r,ISNUMBER(_xlpm.r)),
  IF(COUNT(_xlpm.v)=0,NA(),_xlfn.PERCENTILE.INC(_xlpm.v,0.975))
)</f>
        <v>11359.610466228252</v>
      </c>
      <c r="CF7" s="13" cm="1">
        <f t="array" ref="CF7">_xlfn.LET(
  _xlpm.hdr, $BK$1:$CC$1,               _xlpm.k,   _xlfn.XMATCH($BG7,_xlpm.hdr,0),
  _xlpm.col, INDEX($BK$2:$CC$1000,,_xlpm.k),
  _xlpm.v,   _xlfn._xlws.FILTER(_xlpm.col,ISNUMBER(_xlpm.col)),
  IF(COUNT(_xlpm.v)=0, NA(), AVERAGE(_xlpm.v))
)</f>
        <v>5715.4644368060463</v>
      </c>
      <c r="CG7" cm="1">
        <f t="array" aca="1" ref="CG7" ca="1">_xlfn.LET(
  _xlpm.k,ROW(A6)-1,
  _xlpm.r,OFFSET($BK$2,0,_xlpm.k,ROWS($Y$2:$BK$1000),1),
  _xlpm.v,_xlfn._xlws.FILTER(_xlpm.r,ISNUMBER(_xlpm.r)),
  IF(COUNT(_xlpm.v)=0,NA(),MIN(_xlpm.v))
)</f>
        <v>2748.9648616180052</v>
      </c>
      <c r="CH7" cm="1">
        <f t="array" aca="1" ref="CH7" ca="1">_xlfn.LET(
  _xlpm.k,ROW(A6)-1,
  _xlpm.r,OFFSET($BK$2,0,_xlpm.k,ROWS($Y$2:$BK$1000),1),
  _xlpm.v,_xlfn._xlws.FILTER(_xlpm.r,ISNUMBER(_xlpm.r)),
  IF(COUNT(_xlpm.v)=0,NA(),_xlfn.PERCENTILE.INC(_xlpm.v,0.25))
)</f>
        <v>4347.3090301855236</v>
      </c>
      <c r="CI7" cm="1">
        <f t="array" aca="1" ref="CI7" ca="1">_xlfn.LET(
  _xlpm.k,ROW(B6)-1,
  _xlpm.r,OFFSET($BK$2,0,_xlpm.k,ROWS($Y$2:$BK$1000),1),
  _xlpm.v,_xlfn._xlws.FILTER(_xlpm.r,ISNUMBER(_xlpm.r)),
  IF(COUNT(_xlpm.v)=0,NA(),_xlfn.PERCENTILE.INC(_xlpm.v,0.5))
)</f>
        <v>5514.9683324615162</v>
      </c>
      <c r="CJ7" cm="1">
        <f t="array" aca="1" ref="CJ7" ca="1">_xlfn.LET(
  _xlpm.k,ROW(C6)-1,
  _xlpm.r,OFFSET($BK$2,0,_xlpm.k,ROWS($Y$2:$BK$1000),1),
  _xlpm.v,_xlfn._xlws.FILTER(_xlpm.r,ISNUMBER(_xlpm.r)),
  IF(COUNT(_xlpm.v)=0,NA(),_xlfn.PERCENTILE.INC(_xlpm.v,0.75))
)</f>
        <v>6322.6176969140843</v>
      </c>
      <c r="CK7" cm="1">
        <f t="array" aca="1" ref="CK7" ca="1">_xlfn.LET(
  _xlpm.k,ROW(A6)-1,
  _xlpm.r,OFFSET($BK$2,0,_xlpm.k,ROWS($Y$2:$BK$1000),1),
  _xlpm.v,_xlfn._xlws.FILTER(_xlpm.r,ISNUMBER(_xlpm.r)),
  IF(COUNT(_xlpm.v)=0,NA(),MAX(_xlpm.v))
)</f>
        <v>13440.489466307758</v>
      </c>
      <c r="CL7" cm="1">
        <f t="array" aca="1" ref="CL7" ca="1">_xlfn.LET(_xlpm.r,OFFSET($BK$2,0,ROW(A6)-1,ROWS($Y$2:$BK$1000),1),
    _xlpm.v,_xlfn._xlws.FILTER(_xlpm.r,ISNUMBER(_xlpm.r)),
    _xlfn.PERCENTILE.INC(_xlpm.v,0.25))</f>
        <v>4347.3090301855236</v>
      </c>
      <c r="CM7" cm="1">
        <f t="array" aca="1" ref="CM7" ca="1">_xlfn.LET(_xlpm.r,OFFSET($BK$2,0,ROW(A6)-1,ROWS($BK$2:$BK$1000),1),
    _xlpm.v,_xlfn._xlws.FILTER(_xlpm.r,ISNUMBER(_xlpm.r)),
    _xlfn.PERCENTILE.INC(_xlpm.v,0.5)-_xlfn.PERCENTILE.INC(_xlpm.v,0.25))</f>
        <v>1167.6593022759926</v>
      </c>
      <c r="CN7" cm="1">
        <f t="array" aca="1" ref="CN7" ca="1">_xlfn.LET(_xlpm.r,OFFSET($BK$2,0,ROW(A6)-1,ROWS($BK$2:$BK$1000),1),
    _xlpm.v,_xlfn._xlws.FILTER(_xlpm.r,ISNUMBER(_xlpm.r)),
    _xlfn.PERCENTILE.INC(_xlpm.v,0.75)-_xlfn.PERCENTILE.INC(_xlpm.v,0.5))</f>
        <v>807.64936445256808</v>
      </c>
      <c r="CO7" cm="1">
        <f t="array" aca="1" ref="CO7" ca="1">_xlfn.LET(_xlpm.r,OFFSET($BK$2,0,ROW(A6)-1,ROWS($BK$2:$BK$1000),1),
    _xlpm.v,_xlfn._xlws.FILTER(_xlpm.r,ISNUMBER(_xlpm.r)),
    MAX(_xlpm.v)-_xlfn.PERCENTILE.INC(_xlpm.v,0.75))</f>
        <v>7117.8717693936733</v>
      </c>
      <c r="CP7" cm="1">
        <f t="array" aca="1" ref="CP7" ca="1">_xlfn.LET(_xlpm.r,OFFSET($BK$2,0,ROW(A6)-1,ROWS($BK$2:$BK$1000),1),
    _xlpm.v,_xlfn._xlws.FILTER(_xlpm.r,ISNUMBER(_xlpm.r)),
    _xlfn.PERCENTILE.INC(_xlpm.v,0.25)-MIN(_xlpm.v))</f>
        <v>1598.3441685675184</v>
      </c>
      <c r="CQ7" cm="1">
        <f t="array" aca="1" ref="CQ7" ca="1">_xlfn.LET(_xlpm.r,OFFSET($BK$2,0,ROW(A6)-1,ROWS($BK$2:$BK$1000),1),
    _xlpm.v,_xlfn._xlws.FILTER(_xlpm.r,ISNUMBER(_xlpm.r)),
    MAX(_xlpm.v)-_xlfn.PERCENTILE.INC(_xlpm.v,0.75))</f>
        <v>7117.8717693936733</v>
      </c>
      <c r="CR7">
        <f t="shared" ca="1" si="12"/>
        <v>1598.3441685675184</v>
      </c>
      <c r="CS7">
        <v>0</v>
      </c>
      <c r="CT7">
        <f t="shared" ca="1" si="13"/>
        <v>7117.8717693936733</v>
      </c>
      <c r="CU7">
        <v>3164.356504065041</v>
      </c>
      <c r="CV7">
        <v>7</v>
      </c>
      <c r="DA7" t="s">
        <v>856</v>
      </c>
      <c r="DB7" t="s">
        <v>518</v>
      </c>
      <c r="DC7" t="s">
        <v>57</v>
      </c>
      <c r="DD7" t="s">
        <v>861</v>
      </c>
      <c r="DG7">
        <v>5012.440003439563</v>
      </c>
      <c r="DH7">
        <v>10125.764141478647</v>
      </c>
      <c r="DI7">
        <v>6730.1311012027963</v>
      </c>
      <c r="DJ7">
        <v>6551.4527161438418</v>
      </c>
      <c r="DK7">
        <v>6326.4153748480385</v>
      </c>
      <c r="EH7">
        <v>4057.4152694979834</v>
      </c>
      <c r="EI7">
        <v>7</v>
      </c>
    </row>
    <row r="8" spans="1:139">
      <c r="A8" t="s">
        <v>518</v>
      </c>
      <c r="B8" t="s">
        <v>62</v>
      </c>
      <c r="C8" t="s">
        <v>754</v>
      </c>
      <c r="D8" cm="1">
        <f t="array" ref="D8">_xlfn.LET(
 _xlpm.A,$A8,_xlpm.B,$B8,_xlpm.C,$C8,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7004.1127811414517</v>
      </c>
      <c r="E8" cm="1">
        <f t="array" ref="E8">_xlfn.LET(
 _xlpm.A,$A8,_xlpm.B,$B8,_xlpm.C,$C8,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5708.0434737515916</v>
      </c>
      <c r="F8" cm="1">
        <f t="array" ref="F8">_xlfn.LET(
 _xlpm.A,$A8,_xlpm.B,$B8,_xlpm.C,$C8,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5708.0434737515916</v>
      </c>
      <c r="G8" cm="1">
        <f t="array" ref="G8">_xlfn.LET(
 _xlpm.A,$A8,_xlpm.B,$B8,_xlpm.C,$C8,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6939.3093157719595</v>
      </c>
      <c r="H8">
        <f t="shared" si="2"/>
        <v>64.803465369492187</v>
      </c>
      <c r="I8">
        <f t="shared" si="3"/>
        <v>7</v>
      </c>
      <c r="J8" t="e">
        <f t="shared" si="4"/>
        <v>#N/A</v>
      </c>
      <c r="K8" t="e">
        <f t="shared" si="5"/>
        <v>#N/A</v>
      </c>
      <c r="L8" t="e">
        <f t="shared" si="6"/>
        <v>#N/A</v>
      </c>
      <c r="M8" t="e">
        <f t="shared" si="7"/>
        <v>#N/A</v>
      </c>
      <c r="N8" t="e">
        <f t="shared" si="8"/>
        <v>#N/A</v>
      </c>
      <c r="O8" cm="1">
        <f t="array" ref="O8">_xlfn.LET(
 _xlpm.A,$A8,_xlpm.B,$B8,_xlpm.C,$C8,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2</v>
      </c>
      <c r="P8" t="str">
        <f t="shared" si="9"/>
        <v>n=2</v>
      </c>
      <c r="V8" t="s">
        <v>838</v>
      </c>
      <c r="W8" t="s">
        <v>518</v>
      </c>
      <c r="X8" t="s">
        <v>754</v>
      </c>
      <c r="AA8">
        <v>7454.1297240502054</v>
      </c>
      <c r="AB8">
        <v>13453.438306200078</v>
      </c>
      <c r="AC8">
        <v>8940.4134892889124</v>
      </c>
      <c r="AD8">
        <v>2748.9648616180052</v>
      </c>
      <c r="AE8">
        <v>6445.5061993980289</v>
      </c>
      <c r="AI8">
        <f t="shared" si="0"/>
        <v>7</v>
      </c>
      <c r="AJ8" s="26" cm="1">
        <f t="array" aca="1" ref="AJ8" ca="1">_xlfn.LET(
  _xlpm.r,OFFSET($Y$2,0,ROW(A7)-1,ROWS($Y$2:$Y$1000),1),
  _xlpm.v,_xlfn._xlws.FILTER(_xlpm.r,ISNUMBER(_xlpm.r)),
  IF(COUNT(_xlpm.v)=0,NA(),_xlfn.PERCENTILE.INC(_xlpm.v,0.975))
)</f>
        <v>14123.562022576321</v>
      </c>
      <c r="AK8" s="26" cm="1">
        <f t="array" ref="AK8">_xlfn.LET(
  _xlpm.hdr, $Y$1:$AH$1,               _xlpm.k,   _xlfn.XMATCH($V8,_xlpm.hdr,0),
  _xlpm.col, INDEX($Y$2:$AH$1000,,_xlpm.k),
  _xlpm.v,   _xlfn._xlws.FILTER(_xlpm.col,ISNUMBER(_xlpm.col)),
  IF(COUNT(_xlpm.v)=0, NA(), AVERAGE(_xlpm.v))
)</f>
        <v>6379.7657200037102</v>
      </c>
      <c r="AL8" cm="1">
        <f t="array" aca="1" ref="AL8" ca="1">_xlfn.LET(
  _xlpm.k,ROW(A7)-1,
  _xlpm.r,OFFSET($Y$2,0,_xlpm.k,ROWS($Y$2:$Y$1000),1),
  _xlpm.v,_xlfn._xlws.FILTER(_xlpm.r,ISNUMBER(_xlpm.r)),
  IF(COUNT(_xlpm.v)=0,NA(),MIN(_xlpm.v))
)</f>
        <v>2519.3719612638824</v>
      </c>
      <c r="AM8" cm="1">
        <f t="array" aca="1" ref="AM8" ca="1">_xlfn.LET(
  _xlpm.k,ROW(A7)-1,
  _xlpm.r,OFFSET($Y$2,0,_xlpm.k,ROWS($Y$2:$Y$1000),1),
  _xlpm.v,_xlfn._xlws.FILTER(_xlpm.r,ISNUMBER(_xlpm.r)),
  IF(COUNT(_xlpm.v)=0,NA(),_xlfn.PERCENTILE.INC(_xlpm.v,0.25))
)</f>
        <v>4240.6850455974927</v>
      </c>
      <c r="AN8" cm="1">
        <f t="array" aca="1" ref="AN8" ca="1">_xlfn.LET(
  _xlpm.k,ROW(A7)-1,
  _xlpm.r,OFFSET($Y$2,0,_xlpm.k,ROWS($Y$2:$Y$1000),1),
  _xlpm.v,_xlfn._xlws.FILTER(_xlpm.r,ISNUMBER(_xlpm.r)),
  IF(COUNT(_xlpm.v)=0,NA(),_xlfn.PERCENTILE.INC(_xlpm.v,0.5))
)</f>
        <v>6104.6374711099916</v>
      </c>
      <c r="AO8" cm="1">
        <f t="array" aca="1" ref="AO8" ca="1">_xlfn.LET(
  _xlpm.k,ROW(A7)-1,
  _xlpm.r,OFFSET($Y$2,0,_xlpm.k,ROWS($Y$2:$Y$1000),1),
  _xlpm.v,_xlfn._xlws.FILTER(_xlpm.r,ISNUMBER(_xlpm.r)),
  IF(COUNT(_xlpm.v)=0,NA(),_xlfn.PERCENTILE.INC(_xlpm.v,0.75))
)</f>
        <v>7128.787735065358</v>
      </c>
      <c r="AP8" cm="1">
        <f t="array" aca="1" ref="AP8" ca="1">_xlfn.LET(
  _xlpm.k,ROW(A7)-1,
  _xlpm.r,OFFSET($Y$2,0,_xlpm.k,ROWS($Y$2:$Y$1000),1),
  _xlpm.v,_xlfn._xlws.FILTER(_xlpm.r,ISNUMBER(_xlpm.r)),
  IF(COUNT(_xlpm.v)=0,NA(),MAX(_xlpm.v))
)</f>
        <v>15856.519626291001</v>
      </c>
      <c r="AQ8" cm="1">
        <f t="array" aca="1" ref="AQ8" ca="1">_xlfn.LET(_xlpm.r,OFFSET($Y$2,0,ROW(A7)-1,ROWS($Y$2:$Y$1000),1),
    _xlpm.v,_xlfn._xlws.FILTER(_xlpm.r,ISNUMBER(_xlpm.r)),
    _xlfn.PERCENTILE.INC(_xlpm.v,0.25))</f>
        <v>4240.6850455974927</v>
      </c>
      <c r="AR8" cm="1">
        <f t="array" aca="1" ref="AR8" ca="1">_xlfn.LET(
  _xlpm.k, ROW(A7)-1,
  _xlpm.r, OFFSET($Y$2,0,_xlpm.k,ROWS($Y$2:$Y$1000),1),
  _xlpm.v, _xlfn._xlws.FILTER(_xlpm.r, ISNUMBER(_xlpm.r)),
  IF(COUNT(_xlpm.v)=0, NA(), _xlfn.PERCENTILE.INC(_xlpm.v,0.5)-_xlfn.PERCENTILE.INC(_xlpm.v,0.25))
)</f>
        <v>1863.9524255124988</v>
      </c>
      <c r="AS8" cm="1">
        <f t="array" aca="1" ref="AS8" ca="1">_xlfn.LET(_xlpm.r,OFFSET($Y$2,0,ROW(A7)-1,ROWS($Y$2:$Y$1000),1),
    _xlpm.v,_xlfn._xlws.FILTER(_xlpm.r,ISNUMBER(_xlpm.r)),
    _xlfn.PERCENTILE.INC(_xlpm.v,0.75)-_xlfn.PERCENTILE.INC(_xlpm.v,0.5))</f>
        <v>1024.1502639553664</v>
      </c>
      <c r="AT8" cm="1">
        <f t="array" aca="1" ref="AT8" ca="1">_xlfn.LET(_xlpm.r,OFFSET($Y$2,0,ROW(A7)-1,ROWS($Y$2:$Y$1000),1),
    _xlpm.v,_xlfn._xlws.FILTER(_xlpm.r,ISNUMBER(_xlpm.r)),
    MAX(_xlpm.v)-_xlfn.PERCENTILE.INC(_xlpm.v,0.75))</f>
        <v>8727.7318912256433</v>
      </c>
      <c r="AU8" cm="1">
        <f t="array" aca="1" ref="AU8" ca="1">_xlfn.LET(_xlpm.r,OFFSET($Y$2,0,ROW(A7)-1,ROWS($Y$2:$Y$1000),1),
    _xlpm.v,_xlfn._xlws.FILTER(_xlpm.r,ISNUMBER(_xlpm.r)),
    _xlfn.PERCENTILE.INC(_xlpm.v,0.25)-MIN(_xlpm.v))</f>
        <v>1721.3130843336103</v>
      </c>
      <c r="AV8" cm="1">
        <f t="array" aca="1" ref="AV8" ca="1">_xlfn.LET(_xlpm.r,OFFSET($Y$2,0,ROW(A7)-1,ROWS($Y$2:$Y$1000),1),
    _xlpm.v,_xlfn._xlws.FILTER(_xlpm.r,ISNUMBER(_xlpm.r)),
    MAX(_xlpm.v)-_xlfn.PERCENTILE.INC(_xlpm.v,0.75))</f>
        <v>8727.7318912256433</v>
      </c>
      <c r="AW8">
        <f t="shared" ca="1" si="10"/>
        <v>1721.3130843336103</v>
      </c>
      <c r="AX8">
        <v>0</v>
      </c>
      <c r="AY8">
        <f t="shared" ca="1" si="11"/>
        <v>8727.7318912256433</v>
      </c>
      <c r="AZ8">
        <v>5012.440003439563</v>
      </c>
      <c r="BA8">
        <v>3</v>
      </c>
      <c r="BG8" t="s">
        <v>835</v>
      </c>
      <c r="BH8" t="s">
        <v>518</v>
      </c>
      <c r="BI8" t="s">
        <v>62</v>
      </c>
      <c r="BJ8" t="s">
        <v>754</v>
      </c>
      <c r="BM8">
        <v>7454.1297240502054</v>
      </c>
      <c r="BN8">
        <v>13453.438306200078</v>
      </c>
      <c r="BO8">
        <v>3275.3086956521738</v>
      </c>
      <c r="BP8">
        <v>3730.1379706508519</v>
      </c>
      <c r="BQ8">
        <v>7502.812596837075</v>
      </c>
      <c r="CD8">
        <f t="shared" si="1"/>
        <v>7</v>
      </c>
      <c r="CE8" cm="1">
        <f t="array" aca="1" ref="CE8" ca="1">_xlfn.LET(
  _xlpm.r,OFFSET($BK$2,0,ROW(A7)-1,ROWS($Y$2:$BK$1000),1),
  _xlpm.v,_xlfn._xlws.FILTER(_xlpm.r,ISNUMBER(_xlpm.r)),
  IF(COUNT(_xlpm.v)=0,NA(),_xlfn.PERCENTILE.INC(_xlpm.v,0.975))
)</f>
        <v>14701.214557147881</v>
      </c>
      <c r="CF8" s="13" cm="1">
        <f t="array" ref="CF8">_xlfn.LET(
  _xlpm.hdr, $BK$1:$CC$1,               _xlpm.k,   _xlfn.XMATCH($BG8,_xlpm.hdr,0),
  _xlpm.col, INDEX($BK$2:$CC$1000,,_xlpm.k),
  _xlpm.v,   _xlfn._xlws.FILTER(_xlpm.col,ISNUMBER(_xlpm.col)),
  IF(COUNT(_xlpm.v)=0, NA(), AVERAGE(_xlpm.v))
)</f>
        <v>6603.0840007036886</v>
      </c>
      <c r="CG8" cm="1">
        <f t="array" aca="1" ref="CG8" ca="1">_xlfn.LET(
  _xlpm.k,ROW(A7)-1,
  _xlpm.r,OFFSET($BK$2,0,_xlpm.k,ROWS($Y$2:$BK$1000),1),
  _xlpm.v,_xlfn._xlws.FILTER(_xlpm.r,ISNUMBER(_xlpm.r)),
  IF(COUNT(_xlpm.v)=0,NA(),MIN(_xlpm.v))
)</f>
        <v>2519.3719612638824</v>
      </c>
      <c r="CH8" cm="1">
        <f t="array" aca="1" ref="CH8" ca="1">_xlfn.LET(
  _xlpm.k,ROW(A7)-1,
  _xlpm.r,OFFSET($BK$2,0,_xlpm.k,ROWS($Y$2:$BK$1000),1),
  _xlpm.v,_xlfn._xlws.FILTER(_xlpm.r,ISNUMBER(_xlpm.r)),
  IF(COUNT(_xlpm.v)=0,NA(),_xlfn.PERCENTILE.INC(_xlpm.v,0.25))
)</f>
        <v>3788.5418333080847</v>
      </c>
      <c r="CI8" cm="1">
        <f t="array" aca="1" ref="CI8" ca="1">_xlfn.LET(
  _xlpm.k,ROW(B7)-1,
  _xlpm.r,OFFSET($BK$2,0,_xlpm.k,ROWS($Y$2:$BK$1000),1),
  _xlpm.v,_xlfn._xlws.FILTER(_xlpm.r,ISNUMBER(_xlpm.r)),
  IF(COUNT(_xlpm.v)=0,NA(),_xlfn.PERCENTILE.INC(_xlpm.v,0.5))
)</f>
        <v>4421.9798661567875</v>
      </c>
      <c r="CJ8" cm="1">
        <f t="array" aca="1" ref="CJ8" ca="1">_xlfn.LET(
  _xlpm.k,ROW(C7)-1,
  _xlpm.r,OFFSET($BK$2,0,_xlpm.k,ROWS($Y$2:$BK$1000),1),
  _xlpm.v,_xlfn._xlws.FILTER(_xlpm.r,ISNUMBER(_xlpm.r)),
  IF(COUNT(_xlpm.v)=0,NA(),_xlfn.PERCENTILE.INC(_xlpm.v,0.75))
)</f>
        <v>8221.6130430629928</v>
      </c>
      <c r="CK8" cm="1">
        <f t="array" aca="1" ref="CK8" ca="1">_xlfn.LET(
  _xlpm.k,ROW(A7)-1,
  _xlpm.r,OFFSET($BK$2,0,_xlpm.k,ROWS($Y$2:$BK$1000),1),
  _xlpm.v,_xlfn._xlws.FILTER(_xlpm.r,ISNUMBER(_xlpm.r)),
  IF(COUNT(_xlpm.v)=0,NA(),MAX(_xlpm.v))
)</f>
        <v>15856.519626291001</v>
      </c>
      <c r="CL8" cm="1">
        <f t="array" aca="1" ref="CL8" ca="1">_xlfn.LET(_xlpm.r,OFFSET($BK$2,0,ROW(A7)-1,ROWS($Y$2:$BK$1000),1),
    _xlpm.v,_xlfn._xlws.FILTER(_xlpm.r,ISNUMBER(_xlpm.r)),
    _xlfn.PERCENTILE.INC(_xlpm.v,0.25))</f>
        <v>3788.5418333080847</v>
      </c>
      <c r="CM8" cm="1">
        <f t="array" aca="1" ref="CM8" ca="1">_xlfn.LET(_xlpm.r,OFFSET($BK$2,0,ROW(A7)-1,ROWS($BK$2:$BK$1000),1),
    _xlpm.v,_xlfn._xlws.FILTER(_xlpm.r,ISNUMBER(_xlpm.r)),
    _xlfn.PERCENTILE.INC(_xlpm.v,0.5)-_xlfn.PERCENTILE.INC(_xlpm.v,0.25))</f>
        <v>633.43803284870273</v>
      </c>
      <c r="CN8" cm="1">
        <f t="array" aca="1" ref="CN8" ca="1">_xlfn.LET(_xlpm.r,OFFSET($BK$2,0,ROW(A7)-1,ROWS($BK$2:$BK$1000),1),
    _xlpm.v,_xlfn._xlws.FILTER(_xlpm.r,ISNUMBER(_xlpm.r)),
    _xlfn.PERCENTILE.INC(_xlpm.v,0.75)-_xlfn.PERCENTILE.INC(_xlpm.v,0.5))</f>
        <v>3799.6331769062053</v>
      </c>
      <c r="CO8" cm="1">
        <f t="array" aca="1" ref="CO8" ca="1">_xlfn.LET(_xlpm.r,OFFSET($BK$2,0,ROW(A7)-1,ROWS($BK$2:$BK$1000),1),
    _xlpm.v,_xlfn._xlws.FILTER(_xlpm.r,ISNUMBER(_xlpm.r)),
    MAX(_xlpm.v)-_xlfn.PERCENTILE.INC(_xlpm.v,0.75))</f>
        <v>7634.9065832280085</v>
      </c>
      <c r="CP8" cm="1">
        <f t="array" aca="1" ref="CP8" ca="1">_xlfn.LET(_xlpm.r,OFFSET($BK$2,0,ROW(A7)-1,ROWS($BK$2:$BK$1000),1),
    _xlpm.v,_xlfn._xlws.FILTER(_xlpm.r,ISNUMBER(_xlpm.r)),
    _xlfn.PERCENTILE.INC(_xlpm.v,0.25)-MIN(_xlpm.v))</f>
        <v>1269.1698720442023</v>
      </c>
      <c r="CQ8" cm="1">
        <f t="array" aca="1" ref="CQ8" ca="1">_xlfn.LET(_xlpm.r,OFFSET($BK$2,0,ROW(A7)-1,ROWS($BK$2:$BK$1000),1),
    _xlpm.v,_xlfn._xlws.FILTER(_xlpm.r,ISNUMBER(_xlpm.r)),
    MAX(_xlpm.v)-_xlfn.PERCENTILE.INC(_xlpm.v,0.75))</f>
        <v>7634.9065832280085</v>
      </c>
      <c r="CR8">
        <f t="shared" ca="1" si="12"/>
        <v>1269.1698720442023</v>
      </c>
      <c r="CS8">
        <v>0</v>
      </c>
      <c r="CT8">
        <f t="shared" ca="1" si="13"/>
        <v>7634.9065832280085</v>
      </c>
      <c r="CU8">
        <v>4057.4152694979834</v>
      </c>
      <c r="CV8">
        <v>9</v>
      </c>
      <c r="DA8" t="s">
        <v>857</v>
      </c>
      <c r="DB8" t="s">
        <v>518</v>
      </c>
      <c r="DC8" t="s">
        <v>52</v>
      </c>
      <c r="DD8" t="s">
        <v>862</v>
      </c>
      <c r="DG8">
        <v>7454.1297240502054</v>
      </c>
      <c r="DH8">
        <v>13453.438306200078</v>
      </c>
      <c r="DI8">
        <v>8940.4134892889124</v>
      </c>
      <c r="DJ8">
        <v>2748.9648616180052</v>
      </c>
      <c r="DK8">
        <v>6445.5061993980289</v>
      </c>
      <c r="EH8">
        <v>4205.9195773456604</v>
      </c>
      <c r="EI8">
        <v>10</v>
      </c>
    </row>
    <row r="9" spans="1:139">
      <c r="A9" t="s">
        <v>518</v>
      </c>
      <c r="B9" t="s">
        <v>521</v>
      </c>
      <c r="C9" t="s">
        <v>32</v>
      </c>
      <c r="D9" t="e" cm="1">
        <f t="array" ref="D9">_xlfn.LET(
 _xlpm.A,$A9,_xlpm.B,$B9,_xlpm.C,$C9,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9" t="e" cm="1">
        <f t="array" ref="E9">_xlfn.LET(
 _xlpm.A,$A9,_xlpm.B,$B9,_xlpm.C,$C9,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9" t="e" cm="1">
        <f t="array" ref="F9">_xlfn.LET(
 _xlpm.A,$A9,_xlpm.B,$B9,_xlpm.C,$C9,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9" t="e" cm="1">
        <f t="array" ref="G9">_xlfn.LET(
 _xlpm.A,$A9,_xlpm.B,$B9,_xlpm.C,$C9,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9" t="e">
        <f t="shared" si="2"/>
        <v>#N/A</v>
      </c>
      <c r="I9">
        <f t="shared" si="3"/>
        <v>8</v>
      </c>
      <c r="J9" t="e">
        <f t="shared" si="4"/>
        <v>#N/A</v>
      </c>
      <c r="K9" t="e">
        <f t="shared" si="5"/>
        <v>#N/A</v>
      </c>
      <c r="L9" t="e">
        <f t="shared" si="6"/>
        <v>#N/A</v>
      </c>
      <c r="M9" t="e">
        <f t="shared" si="7"/>
        <v>#N/A</v>
      </c>
      <c r="N9" t="e">
        <f t="shared" si="8"/>
        <v>#N/A</v>
      </c>
      <c r="O9" t="e" cm="1">
        <f t="array" ref="O9">_xlfn.LET(
 _xlpm.A,$A9,_xlpm.B,$B9,_xlpm.C,$C9,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9" t="str">
        <f t="shared" si="9"/>
        <v/>
      </c>
      <c r="V9" t="s">
        <v>538</v>
      </c>
      <c r="W9" t="s">
        <v>520</v>
      </c>
      <c r="X9" t="s">
        <v>32</v>
      </c>
      <c r="AB9">
        <v>13540.787173624165</v>
      </c>
      <c r="AC9">
        <v>7502.812596837075</v>
      </c>
      <c r="AD9">
        <v>2990.4873334854019</v>
      </c>
      <c r="AE9">
        <v>6730.1311012027963</v>
      </c>
      <c r="AI9">
        <f t="shared" si="0"/>
        <v>8</v>
      </c>
      <c r="AJ9" s="26" t="e" cm="1">
        <f t="array" aca="1" ref="AJ9" ca="1">_xlfn.LET(
  _xlpm.r,OFFSET($Y$2,0,ROW(#REF!)-1,ROWS($Y$2:$Y$1000),1),
  _xlpm.v,_xlfn._xlws.FILTER(_xlpm.r,ISNUMBER(_xlpm.r)),
  IF(COUNT(_xlpm.v)=0,NA(),_xlfn.PERCENTILE.INC(_xlpm.v,0.975))
)</f>
        <v>#N/A</v>
      </c>
      <c r="AK9" s="26" t="e" cm="1">
        <f t="array" ref="AK9">_xlfn.LET(
  _xlpm.hdr, $Y$1:$AH$1,               _xlpm.k,   _xlfn.XMATCH($V9,_xlpm.hdr,0),
  _xlpm.col, INDEX($Y$2:$AH$1000,,_xlpm.k),
  _xlpm.v,   _xlfn._xlws.FILTER(_xlpm.col,ISNUMBER(_xlpm.col)),
  IF(COUNT(_xlpm.v)=0, NA(), AVERAGE(_xlpm.v))
)</f>
        <v>#N/A</v>
      </c>
      <c r="AL9" t="e" cm="1">
        <f t="array" aca="1" ref="AL9" ca="1">_xlfn.LET(
  _xlpm.k,ROW(#REF!)-1,
  _xlpm.r,OFFSET($Y$2,0,_xlpm.k,ROWS($Y$2:$Y$1000),1),
  _xlpm.v,_xlfn._xlws.FILTER(_xlpm.r,ISNUMBER(_xlpm.r)),
  IF(COUNT(_xlpm.v)=0,NA(),MIN(_xlpm.v))
)</f>
        <v>#N/A</v>
      </c>
      <c r="AM9" t="e" cm="1">
        <f t="array" aca="1" ref="AM9" ca="1">_xlfn.LET(
  _xlpm.k,ROW(#REF!)-1,
  _xlpm.r,OFFSET($Y$2,0,_xlpm.k,ROWS($Y$2:$Y$1000),1),
  _xlpm.v,_xlfn._xlws.FILTER(_xlpm.r,ISNUMBER(_xlpm.r)),
  IF(COUNT(_xlpm.v)=0,NA(),_xlfn.PERCENTILE.INC(_xlpm.v,0.25))
)</f>
        <v>#N/A</v>
      </c>
      <c r="AN9" t="e" cm="1">
        <f t="array" aca="1" ref="AN9" ca="1">_xlfn.LET(
  _xlpm.k,ROW(#REF!)-1,
  _xlpm.r,OFFSET($Y$2,0,_xlpm.k,ROWS($Y$2:$Y$1000),1),
  _xlpm.v,_xlfn._xlws.FILTER(_xlpm.r,ISNUMBER(_xlpm.r)),
  IF(COUNT(_xlpm.v)=0,NA(),_xlfn.PERCENTILE.INC(_xlpm.v,0.5))
)</f>
        <v>#N/A</v>
      </c>
      <c r="AO9" t="e" cm="1">
        <f t="array" aca="1" ref="AO9" ca="1">_xlfn.LET(
  _xlpm.k,ROW(#REF!)-1,
  _xlpm.r,OFFSET($Y$2,0,_xlpm.k,ROWS($Y$2:$Y$1000),1),
  _xlpm.v,_xlfn._xlws.FILTER(_xlpm.r,ISNUMBER(_xlpm.r)),
  IF(COUNT(_xlpm.v)=0,NA(),_xlfn.PERCENTILE.INC(_xlpm.v,0.75))
)</f>
        <v>#N/A</v>
      </c>
      <c r="AP9" t="e" cm="1">
        <f t="array" aca="1" ref="AP9" ca="1">_xlfn.LET(
  _xlpm.k,ROW(#REF!)-1,
  _xlpm.r,OFFSET($Y$2,0,_xlpm.k,ROWS($Y$2:$Y$1000),1),
  _xlpm.v,_xlfn._xlws.FILTER(_xlpm.r,ISNUMBER(_xlpm.r)),
  IF(COUNT(_xlpm.v)=0,NA(),MAX(_xlpm.v))
)</f>
        <v>#N/A</v>
      </c>
      <c r="AQ9" t="e" cm="1">
        <f t="array" aca="1" ref="AQ9" ca="1">_xlfn.LET(_xlpm.r,OFFSET($Y$2,0,ROW(#REF!)-1,ROWS($Y$2:$Y$1000),1),
    _xlpm.v,_xlfn._xlws.FILTER(_xlpm.r,ISNUMBER(_xlpm.r)),
    _xlfn.PERCENTILE.INC(_xlpm.v,0.25))</f>
        <v>#REF!</v>
      </c>
      <c r="AR9" t="e" cm="1">
        <f t="array" aca="1" ref="AR9" ca="1">_xlfn.LET(
  _xlpm.k, ROW(#REF!)-1,
  _xlpm.r, OFFSET($Y$2,0,_xlpm.k,ROWS($Y$2:$Y$1000),1),
  _xlpm.v, _xlfn._xlws.FILTER(_xlpm.r, ISNUMBER(_xlpm.r)),
  IF(COUNT(_xlpm.v)=0, NA(), _xlfn.PERCENTILE.INC(_xlpm.v,0.5)-_xlfn.PERCENTILE.INC(_xlpm.v,0.25))
)</f>
        <v>#N/A</v>
      </c>
      <c r="AS9" t="e" cm="1">
        <f t="array" aca="1" ref="AS9" ca="1">_xlfn.LET(_xlpm.r,OFFSET($Y$2,0,ROW(#REF!)-1,ROWS($Y$2:$Y$1000),1),
    _xlpm.v,_xlfn._xlws.FILTER(_xlpm.r,ISNUMBER(_xlpm.r)),
    _xlfn.PERCENTILE.INC(_xlpm.v,0.75)-_xlfn.PERCENTILE.INC(_xlpm.v,0.5))</f>
        <v>#REF!</v>
      </c>
      <c r="AT9" t="e" cm="1">
        <f t="array" aca="1" ref="AT9" ca="1">_xlfn.LET(_xlpm.r,OFFSET($Y$2,0,ROW(#REF!)-1,ROWS($Y$2:$Y$1000),1),
    _xlpm.v,_xlfn._xlws.FILTER(_xlpm.r,ISNUMBER(_xlpm.r)),
    MAX(_xlpm.v)-_xlfn.PERCENTILE.INC(_xlpm.v,0.75))</f>
        <v>#REF!</v>
      </c>
      <c r="AU9" t="e" cm="1">
        <f t="array" aca="1" ref="AU9" ca="1">_xlfn.LET(_xlpm.r,OFFSET($Y$2,0,ROW(#REF!)-1,ROWS($Y$2:$Y$1000),1),
    _xlpm.v,_xlfn._xlws.FILTER(_xlpm.r,ISNUMBER(_xlpm.r)),
    _xlfn.PERCENTILE.INC(_xlpm.v,0.25)-MIN(_xlpm.v))</f>
        <v>#REF!</v>
      </c>
      <c r="AV9" t="e" cm="1">
        <f t="array" aca="1" ref="AV9" ca="1">_xlfn.LET(_xlpm.r,OFFSET($Y$2,0,ROW(#REF!)-1,ROWS($Y$2:$Y$1000),1),
    _xlpm.v,_xlfn._xlws.FILTER(_xlpm.r,ISNUMBER(_xlpm.r)),
    MAX(_xlpm.v)-_xlfn.PERCENTILE.INC(_xlpm.v,0.75))</f>
        <v>#REF!</v>
      </c>
      <c r="AW9" t="e">
        <f t="shared" ca="1" si="10"/>
        <v>#N/A</v>
      </c>
      <c r="AX9">
        <v>0</v>
      </c>
      <c r="AY9" t="e">
        <f t="shared" ca="1" si="11"/>
        <v>#N/A</v>
      </c>
      <c r="AZ9">
        <v>7454.1297240502054</v>
      </c>
      <c r="BA9">
        <v>3</v>
      </c>
      <c r="BG9" t="s">
        <v>545</v>
      </c>
      <c r="BH9" t="s">
        <v>518</v>
      </c>
      <c r="BI9" t="s">
        <v>521</v>
      </c>
      <c r="BJ9" t="s">
        <v>32</v>
      </c>
      <c r="BN9">
        <v>13540.787173624165</v>
      </c>
      <c r="BP9">
        <v>4339.9583462591245</v>
      </c>
      <c r="BQ9">
        <v>11235.299349718522</v>
      </c>
      <c r="CD9">
        <f t="shared" si="1"/>
        <v>8</v>
      </c>
      <c r="CE9" t="e" cm="1">
        <f t="array" aca="1" ref="CE9" ca="1">_xlfn.LET(
  _xlpm.r,OFFSET($BK$2,0,ROW(#REF!)-1,ROWS($Y$2:$BK$1000),1),
  _xlpm.v,_xlfn._xlws.FILTER(_xlpm.r,ISNUMBER(_xlpm.r)),
  IF(COUNT(_xlpm.v)=0,NA(),_xlfn.PERCENTILE.INC(_xlpm.v,0.975))
)</f>
        <v>#N/A</v>
      </c>
      <c r="CF9" s="13" t="e" cm="1">
        <f t="array" ref="CF9">_xlfn.LET(
  _xlpm.hdr, $BK$1:$CC$1,               _xlpm.k,   _xlfn.XMATCH($BG9,_xlpm.hdr,0),
  _xlpm.col, INDEX($BK$2:$CC$1000,,_xlpm.k),
  _xlpm.v,   _xlfn._xlws.FILTER(_xlpm.col,ISNUMBER(_xlpm.col)),
  IF(COUNT(_xlpm.v)=0, NA(), AVERAGE(_xlpm.v))
)</f>
        <v>#N/A</v>
      </c>
      <c r="CG9" t="e" cm="1">
        <f t="array" aca="1" ref="CG9" ca="1">_xlfn.LET(
  _xlpm.k,ROW(#REF!)-1,
  _xlpm.r,OFFSET($BK$2,0,_xlpm.k,ROWS($Y$2:$BK$1000),1),
  _xlpm.v,_xlfn._xlws.FILTER(_xlpm.r,ISNUMBER(_xlpm.r)),
  IF(COUNT(_xlpm.v)=0,NA(),MIN(_xlpm.v))
)</f>
        <v>#N/A</v>
      </c>
      <c r="CH9" t="e" cm="1">
        <f t="array" aca="1" ref="CH9" ca="1">_xlfn.LET(
  _xlpm.k,ROW(#REF!)-1,
  _xlpm.r,OFFSET($BK$2,0,_xlpm.k,ROWS($Y$2:$BK$1000),1),
  _xlpm.v,_xlfn._xlws.FILTER(_xlpm.r,ISNUMBER(_xlpm.r)),
  IF(COUNT(_xlpm.v)=0,NA(),_xlfn.PERCENTILE.INC(_xlpm.v,0.25))
)</f>
        <v>#N/A</v>
      </c>
      <c r="CI9" t="e" cm="1">
        <f t="array" aca="1" ref="CI9" ca="1">_xlfn.LET(
  _xlpm.k,ROW(#REF!)-1,
  _xlpm.r,OFFSET($BK$2,0,_xlpm.k,ROWS($Y$2:$BK$1000),1),
  _xlpm.v,_xlfn._xlws.FILTER(_xlpm.r,ISNUMBER(_xlpm.r)),
  IF(COUNT(_xlpm.v)=0,NA(),_xlfn.PERCENTILE.INC(_xlpm.v,0.5))
)</f>
        <v>#N/A</v>
      </c>
      <c r="CJ9" t="e" cm="1">
        <f t="array" aca="1" ref="CJ9" ca="1">_xlfn.LET(
  _xlpm.k,ROW(#REF!)-1,
  _xlpm.r,OFFSET($BK$2,0,_xlpm.k,ROWS($Y$2:$BK$1000),1),
  _xlpm.v,_xlfn._xlws.FILTER(_xlpm.r,ISNUMBER(_xlpm.r)),
  IF(COUNT(_xlpm.v)=0,NA(),_xlfn.PERCENTILE.INC(_xlpm.v,0.75))
)</f>
        <v>#N/A</v>
      </c>
      <c r="CK9" t="e" cm="1">
        <f t="array" aca="1" ref="CK9" ca="1">_xlfn.LET(
  _xlpm.k,ROW(#REF!)-1,
  _xlpm.r,OFFSET($BK$2,0,_xlpm.k,ROWS($Y$2:$BK$1000),1),
  _xlpm.v,_xlfn._xlws.FILTER(_xlpm.r,ISNUMBER(_xlpm.r)),
  IF(COUNT(_xlpm.v)=0,NA(),MAX(_xlpm.v))
)</f>
        <v>#N/A</v>
      </c>
      <c r="CL9" t="e" cm="1">
        <f t="array" aca="1" ref="CL9" ca="1">_xlfn.LET(_xlpm.r,OFFSET($BK$2,0,ROW(#REF!)-1,ROWS($Y$2:$BK$1000),1),
    _xlpm.v,_xlfn._xlws.FILTER(_xlpm.r,ISNUMBER(_xlpm.r)),
    _xlfn.PERCENTILE.INC(_xlpm.v,0.25))</f>
        <v>#REF!</v>
      </c>
      <c r="CM9" t="e" cm="1">
        <f t="array" aca="1" ref="CM9" ca="1">_xlfn.LET(_xlpm.r,OFFSET($BK$2,0,ROW(#REF!)-1,ROWS($BK$2:$BK$1000),1),
    _xlpm.v,_xlfn._xlws.FILTER(_xlpm.r,ISNUMBER(_xlpm.r)),
    _xlfn.PERCENTILE.INC(_xlpm.v,0.5)-_xlfn.PERCENTILE.INC(_xlpm.v,0.25))</f>
        <v>#REF!</v>
      </c>
      <c r="CN9" t="e" cm="1">
        <f t="array" aca="1" ref="CN9" ca="1">_xlfn.LET(_xlpm.r,OFFSET($BK$2,0,ROW(#REF!)-1,ROWS($BK$2:$BK$1000),1),
    _xlpm.v,_xlfn._xlws.FILTER(_xlpm.r,ISNUMBER(_xlpm.r)),
    _xlfn.PERCENTILE.INC(_xlpm.v,0.75)-_xlfn.PERCENTILE.INC(_xlpm.v,0.5))</f>
        <v>#REF!</v>
      </c>
      <c r="CO9" t="e" cm="1">
        <f t="array" aca="1" ref="CO9" ca="1">_xlfn.LET(_xlpm.r,OFFSET($BK$2,0,ROW(#REF!)-1,ROWS($BK$2:$BK$1000),1),
    _xlpm.v,_xlfn._xlws.FILTER(_xlpm.r,ISNUMBER(_xlpm.r)),
    MAX(_xlpm.v)-_xlfn.PERCENTILE.INC(_xlpm.v,0.75))</f>
        <v>#REF!</v>
      </c>
      <c r="CP9" t="e" cm="1">
        <f t="array" aca="1" ref="CP9" ca="1">_xlfn.LET(_xlpm.r,OFFSET($BK$2,0,ROW(#REF!)-1,ROWS($BK$2:$BK$1000),1),
    _xlpm.v,_xlfn._xlws.FILTER(_xlpm.r,ISNUMBER(_xlpm.r)),
    _xlfn.PERCENTILE.INC(_xlpm.v,0.25)-MIN(_xlpm.v))</f>
        <v>#REF!</v>
      </c>
      <c r="CQ9" t="e" cm="1">
        <f t="array" aca="1" ref="CQ9" ca="1">_xlfn.LET(_xlpm.r,OFFSET($BK$2,0,ROW(#REF!)-1,ROWS($BK$2:$BK$1000),1),
    _xlpm.v,_xlfn._xlws.FILTER(_xlpm.r,ISNUMBER(_xlpm.r)),
    MAX(_xlpm.v)-_xlfn.PERCENTILE.INC(_xlpm.v,0.75))</f>
        <v>#REF!</v>
      </c>
      <c r="CR9" t="e">
        <f t="shared" ca="1" si="12"/>
        <v>#N/A</v>
      </c>
      <c r="CS9">
        <v>0</v>
      </c>
      <c r="CT9" t="e">
        <f t="shared" ca="1" si="13"/>
        <v>#N/A</v>
      </c>
      <c r="CU9">
        <v>2990.4873334854019</v>
      </c>
      <c r="CV9">
        <v>13</v>
      </c>
      <c r="DA9" t="s">
        <v>858</v>
      </c>
      <c r="DB9" t="s">
        <v>518</v>
      </c>
      <c r="DC9" t="s">
        <v>52</v>
      </c>
      <c r="DD9" t="s">
        <v>861</v>
      </c>
      <c r="DH9">
        <v>13540.787173624165</v>
      </c>
      <c r="DI9">
        <v>7502.812596837075</v>
      </c>
      <c r="DJ9">
        <v>2990.4873334854019</v>
      </c>
      <c r="DK9">
        <v>6730.1311012027963</v>
      </c>
      <c r="EH9">
        <v>1377.8983657401886</v>
      </c>
      <c r="EI9" s="126">
        <v>3</v>
      </c>
    </row>
    <row r="10" spans="1:139">
      <c r="A10" t="s">
        <v>518</v>
      </c>
      <c r="B10" t="s">
        <v>521</v>
      </c>
      <c r="C10" t="s">
        <v>57</v>
      </c>
      <c r="D10" cm="1">
        <f t="array" ref="D10">_xlfn.LET(
 _xlpm.A,$A10,_xlpm.B,$B10,_xlpm.C,$C10,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6730.1311012027963</v>
      </c>
      <c r="E10" cm="1">
        <f t="array" ref="E10">_xlfn.LET(
 _xlpm.A,$A10,_xlpm.B,$B10,_xlpm.C,$C10,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5888.4655024637586</v>
      </c>
      <c r="F10" cm="1">
        <f t="array" ref="F10">_xlfn.LET(
 _xlpm.A,$A10,_xlpm.B,$B10,_xlpm.C,$C10,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6326.4153748480385</v>
      </c>
      <c r="G10" cm="1">
        <f t="array" ref="G10">_xlfn.LET(
 _xlpm.A,$A10,_xlpm.B,$B10,_xlpm.C,$C10,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6701.66861102232</v>
      </c>
      <c r="H10">
        <f t="shared" si="2"/>
        <v>28.462490180476379</v>
      </c>
      <c r="I10">
        <f t="shared" si="3"/>
        <v>9</v>
      </c>
      <c r="J10" t="e">
        <f t="shared" si="4"/>
        <v>#N/A</v>
      </c>
      <c r="K10">
        <f t="shared" si="5"/>
        <v>6701.66861102232</v>
      </c>
      <c r="L10" t="e">
        <f t="shared" si="6"/>
        <v>#N/A</v>
      </c>
      <c r="M10" t="e">
        <f t="shared" si="7"/>
        <v>#N/A</v>
      </c>
      <c r="N10" t="e">
        <f t="shared" si="8"/>
        <v>#N/A</v>
      </c>
      <c r="O10" cm="1">
        <f t="array" ref="O10">_xlfn.LET(
 _xlpm.A,$A10,_xlpm.B,$B10,_xlpm.C,$C10,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5</v>
      </c>
      <c r="P10" t="str">
        <f t="shared" si="9"/>
        <v>n=5</v>
      </c>
      <c r="V10" t="s">
        <v>539</v>
      </c>
      <c r="W10" t="s">
        <v>520</v>
      </c>
      <c r="X10" t="s">
        <v>57</v>
      </c>
      <c r="AB10">
        <v>11570.710845447591</v>
      </c>
      <c r="AC10">
        <v>11235.299349718522</v>
      </c>
      <c r="AD10">
        <v>3034.2095833333333</v>
      </c>
      <c r="AE10">
        <v>4411.9741663617315</v>
      </c>
      <c r="AI10">
        <f t="shared" si="0"/>
        <v>9</v>
      </c>
      <c r="AJ10" s="26" t="e" cm="1">
        <f t="array" aca="1" ref="AJ10" ca="1">_xlfn.LET(
  _xlpm.r,OFFSET($Y$2,0,ROW(A9)-1,ROWS($Y$2:$Y$1000),1),
  _xlpm.v,_xlfn._xlws.FILTER(_xlpm.r,ISNUMBER(_xlpm.r)),
  IF(COUNT(_xlpm.v)=0,NA(),_xlfn.PERCENTILE.INC(_xlpm.v,0.975))
)</f>
        <v>#N/A</v>
      </c>
      <c r="AK10" s="26" t="e" cm="1">
        <f t="array" ref="AK10">_xlfn.LET(
  _xlpm.hdr, $Y$1:$AH$1,               _xlpm.k,   _xlfn.XMATCH($V10,_xlpm.hdr,0),
  _xlpm.col, INDEX($Y$2:$AH$1000,,_xlpm.k),
  _xlpm.v,   _xlfn._xlws.FILTER(_xlpm.col,ISNUMBER(_xlpm.col)),
  IF(COUNT(_xlpm.v)=0, NA(), AVERAGE(_xlpm.v))
)</f>
        <v>#N/A</v>
      </c>
      <c r="AL10" t="e" cm="1">
        <f t="array" aca="1" ref="AL10" ca="1">_xlfn.LET(
  _xlpm.k,ROW(A9)-1,
  _xlpm.r,OFFSET($Y$2,0,_xlpm.k,ROWS($Y$2:$Y$1000),1),
  _xlpm.v,_xlfn._xlws.FILTER(_xlpm.r,ISNUMBER(_xlpm.r)),
  IF(COUNT(_xlpm.v)=0,NA(),MIN(_xlpm.v))
)</f>
        <v>#N/A</v>
      </c>
      <c r="AM10" t="e" cm="1">
        <f t="array" aca="1" ref="AM10" ca="1">_xlfn.LET(
  _xlpm.k,ROW(A9)-1,
  _xlpm.r,OFFSET($Y$2,0,_xlpm.k,ROWS($Y$2:$Y$1000),1),
  _xlpm.v,_xlfn._xlws.FILTER(_xlpm.r,ISNUMBER(_xlpm.r)),
  IF(COUNT(_xlpm.v)=0,NA(),_xlfn.PERCENTILE.INC(_xlpm.v,0.25))
)</f>
        <v>#N/A</v>
      </c>
      <c r="AN10" t="e" cm="1">
        <f t="array" aca="1" ref="AN10" ca="1">_xlfn.LET(
  _xlpm.k,ROW(A9)-1,
  _xlpm.r,OFFSET($Y$2,0,_xlpm.k,ROWS($Y$2:$Y$1000),1),
  _xlpm.v,_xlfn._xlws.FILTER(_xlpm.r,ISNUMBER(_xlpm.r)),
  IF(COUNT(_xlpm.v)=0,NA(),_xlfn.PERCENTILE.INC(_xlpm.v,0.5))
)</f>
        <v>#N/A</v>
      </c>
      <c r="AO10" t="e" cm="1">
        <f t="array" aca="1" ref="AO10" ca="1">_xlfn.LET(
  _xlpm.k,ROW(A9)-1,
  _xlpm.r,OFFSET($Y$2,0,_xlpm.k,ROWS($Y$2:$Y$1000),1),
  _xlpm.v,_xlfn._xlws.FILTER(_xlpm.r,ISNUMBER(_xlpm.r)),
  IF(COUNT(_xlpm.v)=0,NA(),_xlfn.PERCENTILE.INC(_xlpm.v,0.75))
)</f>
        <v>#N/A</v>
      </c>
      <c r="AP10" t="e" cm="1">
        <f t="array" aca="1" ref="AP10" ca="1">_xlfn.LET(
  _xlpm.k,ROW(A9)-1,
  _xlpm.r,OFFSET($Y$2,0,_xlpm.k,ROWS($Y$2:$Y$1000),1),
  _xlpm.v,_xlfn._xlws.FILTER(_xlpm.r,ISNUMBER(_xlpm.r)),
  IF(COUNT(_xlpm.v)=0,NA(),MAX(_xlpm.v))
)</f>
        <v>#N/A</v>
      </c>
      <c r="AQ10" t="e" cm="1" vm="1">
        <f t="array" aca="1" ref="AQ10" ca="1">_xlfn.LET(_xlpm.r,OFFSET($Y$2,0,ROW(A9)-1,ROWS($Y$2:$Y$1000),1),
    _xlpm.v,_xlfn._xlws.FILTER(_xlpm.r,ISNUMBER(_xlpm.r)),
    _xlfn.PERCENTILE.INC(_xlpm.v,0.25))</f>
        <v>#VALUE!</v>
      </c>
      <c r="AR10" t="e" cm="1">
        <f t="array" aca="1" ref="AR10" ca="1">_xlfn.LET(
  _xlpm.k, ROW(A9)-1,
  _xlpm.r, OFFSET($Y$2,0,_xlpm.k,ROWS($Y$2:$Y$1000),1),
  _xlpm.v, _xlfn._xlws.FILTER(_xlpm.r, ISNUMBER(_xlpm.r)),
  IF(COUNT(_xlpm.v)=0, NA(), _xlfn.PERCENTILE.INC(_xlpm.v,0.5)-_xlfn.PERCENTILE.INC(_xlpm.v,0.25))
)</f>
        <v>#N/A</v>
      </c>
      <c r="AS10" t="e" cm="1" vm="1">
        <f t="array" aca="1" ref="AS10" ca="1">_xlfn.LET(_xlpm.r,OFFSET($Y$2,0,ROW(A9)-1,ROWS($Y$2:$Y$1000),1),
    _xlpm.v,_xlfn._xlws.FILTER(_xlpm.r,ISNUMBER(_xlpm.r)),
    _xlfn.PERCENTILE.INC(_xlpm.v,0.75)-_xlfn.PERCENTILE.INC(_xlpm.v,0.5))</f>
        <v>#VALUE!</v>
      </c>
      <c r="AT10" t="e" cm="1" vm="1">
        <f t="array" aca="1" ref="AT10" ca="1">_xlfn.LET(_xlpm.r,OFFSET($Y$2,0,ROW(A9)-1,ROWS($Y$2:$Y$1000),1),
    _xlpm.v,_xlfn._xlws.FILTER(_xlpm.r,ISNUMBER(_xlpm.r)),
    MAX(_xlpm.v)-_xlfn.PERCENTILE.INC(_xlpm.v,0.75))</f>
        <v>#VALUE!</v>
      </c>
      <c r="AU10" t="e" cm="1" vm="1">
        <f t="array" aca="1" ref="AU10" ca="1">_xlfn.LET(_xlpm.r,OFFSET($Y$2,0,ROW(A9)-1,ROWS($Y$2:$Y$1000),1),
    _xlpm.v,_xlfn._xlws.FILTER(_xlpm.r,ISNUMBER(_xlpm.r)),
    _xlfn.PERCENTILE.INC(_xlpm.v,0.25)-MIN(_xlpm.v))</f>
        <v>#VALUE!</v>
      </c>
      <c r="AV10" t="e" cm="1" vm="1">
        <f t="array" aca="1" ref="AV10" ca="1">_xlfn.LET(_xlpm.r,OFFSET($Y$2,0,ROW(A9)-1,ROWS($Y$2:$Y$1000),1),
    _xlpm.v,_xlfn._xlws.FILTER(_xlpm.r,ISNUMBER(_xlpm.r)),
    MAX(_xlpm.v)-_xlfn.PERCENTILE.INC(_xlpm.v,0.75))</f>
        <v>#VALUE!</v>
      </c>
      <c r="AW10" t="e">
        <f t="shared" ca="1" si="10"/>
        <v>#N/A</v>
      </c>
      <c r="AX10">
        <v>0</v>
      </c>
      <c r="AY10" t="e">
        <f t="shared" ca="1" si="11"/>
        <v>#N/A</v>
      </c>
      <c r="AZ10">
        <v>12441.316506252808</v>
      </c>
      <c r="BA10">
        <v>4</v>
      </c>
      <c r="BG10" t="s">
        <v>546</v>
      </c>
      <c r="BH10" t="s">
        <v>518</v>
      </c>
      <c r="BI10" t="s">
        <v>521</v>
      </c>
      <c r="BJ10" t="s">
        <v>57</v>
      </c>
      <c r="BN10">
        <v>11570.710845447591</v>
      </c>
      <c r="BP10">
        <v>4369.3610819647201</v>
      </c>
      <c r="BQ10">
        <v>15856.519626291001</v>
      </c>
      <c r="CD10">
        <f t="shared" si="1"/>
        <v>9</v>
      </c>
      <c r="CE10" cm="1">
        <f t="array" aca="1" ref="CE10" ca="1">_xlfn.LET(
  _xlpm.r,OFFSET($BK$2,0,ROW(A9)-1,ROWS($Y$2:$BK$1000),1),
  _xlpm.v,_xlfn._xlws.FILTER(_xlpm.r,ISNUMBER(_xlpm.r)),
  IF(COUNT(_xlpm.v)=0,NA(),_xlfn.PERCENTILE.INC(_xlpm.v,0.975))
)</f>
        <v>6701.66861102232</v>
      </c>
      <c r="CF10" s="13" cm="1">
        <f t="array" ref="CF10">_xlfn.LET(
  _xlpm.hdr, $BK$1:$CC$1,               _xlpm.k,   _xlfn.XMATCH($BG10,_xlpm.hdr,0),
  _xlpm.col, INDEX($BK$2:$CC$1000,,_xlpm.k),
  _xlpm.v,   _xlfn._xlws.FILTER(_xlpm.col,ISNUMBER(_xlpm.col)),
  IF(COUNT(_xlpm.v)=0, NA(), AVERAGE(_xlpm.v))
)</f>
        <v>5888.4655024637586</v>
      </c>
      <c r="CG10" cm="1">
        <f t="array" aca="1" ref="CG10" ca="1">_xlfn.LET(
  _xlpm.k,ROW(A9)-1,
  _xlpm.r,OFFSET($BK$2,0,_xlpm.k,ROWS($Y$2:$BK$1000),1),
  _xlpm.v,_xlfn._xlws.FILTER(_xlpm.r,ISNUMBER(_xlpm.r)),
  IF(COUNT(_xlpm.v)=0,NA(),MIN(_xlpm.v))
)</f>
        <v>4057.4152694979834</v>
      </c>
      <c r="CH10" cm="1">
        <f t="array" aca="1" ref="CH10" ca="1">_xlfn.LET(
  _xlpm.k,ROW(A9)-1,
  _xlpm.r,OFFSET($BK$2,0,_xlpm.k,ROWS($Y$2:$BK$1000),1),
  _xlpm.v,_xlfn._xlws.FILTER(_xlpm.r,ISNUMBER(_xlpm.r)),
  IF(COUNT(_xlpm.v)=0,NA(),_xlfn.PERCENTILE.INC(_xlpm.v,0.25))
)</f>
        <v>5882.8595673719446</v>
      </c>
      <c r="CI10" cm="1">
        <f t="array" aca="1" ref="CI10" ca="1">_xlfn.LET(
  _xlpm.k,ROW(B9)-1,
  _xlpm.r,OFFSET($BK$2,0,_xlpm.k,ROWS($Y$2:$BK$1000),1),
  _xlpm.v,_xlfn._xlws.FILTER(_xlpm.r,ISNUMBER(_xlpm.r)),
  IF(COUNT(_xlpm.v)=0,NA(),_xlfn.PERCENTILE.INC(_xlpm.v,0.5))
)</f>
        <v>6326.4153748480385</v>
      </c>
      <c r="CJ10" cm="1">
        <f t="array" aca="1" ref="CJ10" ca="1">_xlfn.LET(
  _xlpm.k,ROW(C9)-1,
  _xlpm.r,OFFSET($BK$2,0,_xlpm.k,ROWS($Y$2:$BK$1000),1),
  _xlpm.v,_xlfn._xlws.FILTER(_xlpm.r,ISNUMBER(_xlpm.r)),
  IF(COUNT(_xlpm.v)=0,NA(),_xlfn.PERCENTILE.INC(_xlpm.v,0.75))
)</f>
        <v>6445.5061993980289</v>
      </c>
      <c r="CK10" cm="1">
        <f t="array" aca="1" ref="CK10" ca="1">_xlfn.LET(
  _xlpm.k,ROW(A9)-1,
  _xlpm.r,OFFSET($BK$2,0,_xlpm.k,ROWS($Y$2:$BK$1000),1),
  _xlpm.v,_xlfn._xlws.FILTER(_xlpm.r,ISNUMBER(_xlpm.r)),
  IF(COUNT(_xlpm.v)=0,NA(),MAX(_xlpm.v))
)</f>
        <v>6730.1311012027963</v>
      </c>
      <c r="CL10" cm="1">
        <f t="array" aca="1" ref="CL10" ca="1">_xlfn.LET(_xlpm.r,OFFSET($BK$2,0,ROW(A9)-1,ROWS($Y$2:$BK$1000),1),
    _xlpm.v,_xlfn._xlws.FILTER(_xlpm.r,ISNUMBER(_xlpm.r)),
    _xlfn.PERCENTILE.INC(_xlpm.v,0.25))</f>
        <v>5882.8595673719446</v>
      </c>
      <c r="CM10" cm="1">
        <f t="array" aca="1" ref="CM10" ca="1">_xlfn.LET(_xlpm.r,OFFSET($BK$2,0,ROW(A9)-1,ROWS($BK$2:$BK$1000),1),
    _xlpm.v,_xlfn._xlws.FILTER(_xlpm.r,ISNUMBER(_xlpm.r)),
    _xlfn.PERCENTILE.INC(_xlpm.v,0.5)-_xlfn.PERCENTILE.INC(_xlpm.v,0.25))</f>
        <v>443.55580747609383</v>
      </c>
      <c r="CN10" cm="1">
        <f t="array" aca="1" ref="CN10" ca="1">_xlfn.LET(_xlpm.r,OFFSET($BK$2,0,ROW(A9)-1,ROWS($BK$2:$BK$1000),1),
    _xlpm.v,_xlfn._xlws.FILTER(_xlpm.r,ISNUMBER(_xlpm.r)),
    _xlfn.PERCENTILE.INC(_xlpm.v,0.75)-_xlfn.PERCENTILE.INC(_xlpm.v,0.5))</f>
        <v>119.09082454999043</v>
      </c>
      <c r="CO10" cm="1">
        <f t="array" aca="1" ref="CO10" ca="1">_xlfn.LET(_xlpm.r,OFFSET($BK$2,0,ROW(A9)-1,ROWS($BK$2:$BK$1000),1),
    _xlpm.v,_xlfn._xlws.FILTER(_xlpm.r,ISNUMBER(_xlpm.r)),
    MAX(_xlpm.v)-_xlfn.PERCENTILE.INC(_xlpm.v,0.75))</f>
        <v>284.62490180476743</v>
      </c>
      <c r="CP10" cm="1">
        <f t="array" aca="1" ref="CP10" ca="1">_xlfn.LET(_xlpm.r,OFFSET($BK$2,0,ROW(A9)-1,ROWS($BK$2:$BK$1000),1),
    _xlpm.v,_xlfn._xlws.FILTER(_xlpm.r,ISNUMBER(_xlpm.r)),
    _xlfn.PERCENTILE.INC(_xlpm.v,0.25)-MIN(_xlpm.v))</f>
        <v>1825.4442978739612</v>
      </c>
      <c r="CQ10" cm="1">
        <f t="array" aca="1" ref="CQ10" ca="1">_xlfn.LET(_xlpm.r,OFFSET($BK$2,0,ROW(A9)-1,ROWS($BK$2:$BK$1000),1),
    _xlpm.v,_xlfn._xlws.FILTER(_xlpm.r,ISNUMBER(_xlpm.r)),
    MAX(_xlpm.v)-_xlfn.PERCENTILE.INC(_xlpm.v,0.75))</f>
        <v>284.62490180476743</v>
      </c>
      <c r="CR10">
        <f t="shared" ca="1" si="12"/>
        <v>1825.4442978739612</v>
      </c>
      <c r="CS10">
        <v>0</v>
      </c>
      <c r="CT10">
        <f t="shared" ca="1" si="13"/>
        <v>284.62490180476743</v>
      </c>
      <c r="CU10">
        <v>9679.6293311032641</v>
      </c>
      <c r="CV10">
        <v>16</v>
      </c>
      <c r="DA10" t="s">
        <v>859</v>
      </c>
      <c r="DB10" t="s">
        <v>518</v>
      </c>
      <c r="DC10" t="s">
        <v>754</v>
      </c>
      <c r="DD10" t="s">
        <v>862</v>
      </c>
      <c r="DH10">
        <v>11570.710845447591</v>
      </c>
      <c r="DI10">
        <v>11235.299349718522</v>
      </c>
      <c r="DJ10">
        <v>3034.2095833333333</v>
      </c>
      <c r="DK10">
        <v>4411.9741663617315</v>
      </c>
      <c r="EH10">
        <v>13671.476643379896</v>
      </c>
      <c r="EI10" s="126">
        <v>4</v>
      </c>
    </row>
    <row r="11" spans="1:139">
      <c r="A11" t="s">
        <v>518</v>
      </c>
      <c r="B11" t="s">
        <v>521</v>
      </c>
      <c r="C11" t="s">
        <v>52</v>
      </c>
      <c r="D11" t="e" cm="1">
        <f t="array" ref="D11">_xlfn.LET(
 _xlpm.A,$A11,_xlpm.B,$B11,_xlpm.C,$C11,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1" t="e" cm="1">
        <f t="array" ref="E11">_xlfn.LET(
 _xlpm.A,$A11,_xlpm.B,$B11,_xlpm.C,$C11,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1" t="e" cm="1">
        <f t="array" ref="F11">_xlfn.LET(
 _xlpm.A,$A11,_xlpm.B,$B11,_xlpm.C,$C11,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1" t="e" cm="1">
        <f t="array" ref="G11">_xlfn.LET(
 _xlpm.A,$A11,_xlpm.B,$B11,_xlpm.C,$C11,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1" t="e">
        <f t="shared" si="2"/>
        <v>#N/A</v>
      </c>
      <c r="I11">
        <f t="shared" si="3"/>
        <v>10</v>
      </c>
      <c r="J11" t="e">
        <f t="shared" si="4"/>
        <v>#N/A</v>
      </c>
      <c r="K11" t="e">
        <f t="shared" si="5"/>
        <v>#N/A</v>
      </c>
      <c r="L11" t="e">
        <f t="shared" si="6"/>
        <v>#N/A</v>
      </c>
      <c r="M11" t="e">
        <f t="shared" si="7"/>
        <v>#N/A</v>
      </c>
      <c r="N11" t="e">
        <f t="shared" si="8"/>
        <v>#N/A</v>
      </c>
      <c r="O11" t="e" cm="1">
        <f t="array" ref="O11">_xlfn.LET(
 _xlpm.A,$A11,_xlpm.B,$B11,_xlpm.C,$C11,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1" t="str">
        <f t="shared" si="9"/>
        <v/>
      </c>
      <c r="V11" t="s">
        <v>540</v>
      </c>
      <c r="W11" t="s">
        <v>520</v>
      </c>
      <c r="X11" t="s">
        <v>52</v>
      </c>
      <c r="AB11">
        <v>5343.4791208735915</v>
      </c>
      <c r="AC11">
        <v>15856.519626291001</v>
      </c>
      <c r="AD11">
        <v>3730.1379706508519</v>
      </c>
      <c r="AE11">
        <v>8940.4134892889124</v>
      </c>
      <c r="AI11">
        <f t="shared" si="0"/>
        <v>10</v>
      </c>
      <c r="AJ11" s="26" cm="1">
        <f t="array" aca="1" ref="AJ11" ca="1">_xlfn.LET(
  _xlpm.r,OFFSET($Y$2,0,ROW(A10)-1,ROWS($Y$2:$Y$1000),1),
  _xlpm.v,_xlfn._xlws.FILTER(_xlpm.r,ISNUMBER(_xlpm.r)),
  IF(COUNT(_xlpm.v)=0,NA(),_xlfn.PERCENTILE.INC(_xlpm.v,0.975))
)</f>
        <v>11815.286016657847</v>
      </c>
      <c r="AK11" s="26" cm="1">
        <f t="array" ref="AK11">_xlfn.LET(
  _xlpm.hdr, $Y$1:$AH$1,               _xlpm.k,   _xlfn.XMATCH($V11,_xlpm.hdr,0),
  _xlpm.col, INDEX($Y$2:$AH$1000,,_xlpm.k),
  _xlpm.v,   _xlfn._xlws.FILTER(_xlpm.col,ISNUMBER(_xlpm.col)),
  IF(COUNT(_xlpm.v)=0, NA(), AVERAGE(_xlpm.v))
)</f>
        <v>8439.7391187201483</v>
      </c>
      <c r="AL11" cm="1">
        <f t="array" aca="1" ref="AL11" ca="1">_xlfn.LET(
  _xlpm.k,ROW(A10)-1,
  _xlpm.r,OFFSET($Y$2,0,_xlpm.k,ROWS($Y$2:$Y$1000),1),
  _xlpm.v,_xlfn._xlws.FILTER(_xlpm.r,ISNUMBER(_xlpm.r)),
  IF(COUNT(_xlpm.v)=0,NA(),MIN(_xlpm.v))
)</f>
        <v>4205.9195773456604</v>
      </c>
      <c r="AM11" cm="1">
        <f t="array" aca="1" ref="AM11" ca="1">_xlfn.LET(
  _xlpm.k,ROW(A10)-1,
  _xlpm.r,OFFSET($Y$2,0,_xlpm.k,ROWS($Y$2:$Y$1000),1),
  _xlpm.v,_xlfn._xlws.FILTER(_xlpm.r,ISNUMBER(_xlpm.r)),
  IF(COUNT(_xlpm.v)=0,NA(),_xlfn.PERCENTILE.INC(_xlpm.v,0.25))
)</f>
        <v>6682.0413849040506</v>
      </c>
      <c r="AN11" cm="1">
        <f t="array" aca="1" ref="AN11" ca="1">_xlfn.LET(
  _xlpm.k,ROW(A10)-1,
  _xlpm.r,OFFSET($Y$2,0,_xlpm.k,ROWS($Y$2:$Y$1000),1),
  _xlpm.v,_xlfn._xlws.FILTER(_xlpm.r,ISNUMBER(_xlpm.r)),
  IF(COUNT(_xlpm.v)=0,NA(),_xlfn.PERCENTILE.INC(_xlpm.v,0.5))
)</f>
        <v>9158.1631924624417</v>
      </c>
      <c r="AO11" cm="1">
        <f t="array" aca="1" ref="AO11" ca="1">_xlfn.LET(
  _xlpm.k,ROW(A10)-1,
  _xlpm.r,OFFSET($Y$2,0,_xlpm.k,ROWS($Y$2:$Y$1000),1),
  _xlpm.v,_xlfn._xlws.FILTER(_xlpm.r,ISNUMBER(_xlpm.r)),
  IF(COUNT(_xlpm.v)=0,NA(),_xlfn.PERCENTILE.INC(_xlpm.v,0.75))
)</f>
        <v>10556.648889407392</v>
      </c>
      <c r="AP11" cm="1">
        <f t="array" aca="1" ref="AP11" ca="1">_xlfn.LET(
  _xlpm.k,ROW(A10)-1,
  _xlpm.r,OFFSET($Y$2,0,_xlpm.k,ROWS($Y$2:$Y$1000),1),
  _xlpm.v,_xlfn._xlws.FILTER(_xlpm.r,ISNUMBER(_xlpm.r)),
  IF(COUNT(_xlpm.v)=0,NA(),MAX(_xlpm.v))
)</f>
        <v>11955.13458635234</v>
      </c>
      <c r="AQ11" cm="1">
        <f t="array" aca="1" ref="AQ11" ca="1">_xlfn.LET(_xlpm.r,OFFSET($Y$2,0,ROW(A10)-1,ROWS($Y$2:$Y$1000),1),
    _xlpm.v,_xlfn._xlws.FILTER(_xlpm.r,ISNUMBER(_xlpm.r)),
    _xlfn.PERCENTILE.INC(_xlpm.v,0.25))</f>
        <v>6682.0413849040506</v>
      </c>
      <c r="AR11" cm="1">
        <f t="array" aca="1" ref="AR11" ca="1">_xlfn.LET(
  _xlpm.k, ROW(A10)-1,
  _xlpm.r, OFFSET($Y$2,0,_xlpm.k,ROWS($Y$2:$Y$1000),1),
  _xlpm.v, _xlfn._xlws.FILTER(_xlpm.r, ISNUMBER(_xlpm.r)),
  IF(COUNT(_xlpm.v)=0, NA(), _xlfn.PERCENTILE.INC(_xlpm.v,0.5)-_xlfn.PERCENTILE.INC(_xlpm.v,0.25))
)</f>
        <v>2476.1218075583911</v>
      </c>
      <c r="AS11" cm="1">
        <f t="array" aca="1" ref="AS11" ca="1">_xlfn.LET(_xlpm.r,OFFSET($Y$2,0,ROW(A10)-1,ROWS($Y$2:$Y$1000),1),
    _xlpm.v,_xlfn._xlws.FILTER(_xlpm.r,ISNUMBER(_xlpm.r)),
    _xlfn.PERCENTILE.INC(_xlpm.v,0.75)-_xlfn.PERCENTILE.INC(_xlpm.v,0.5))</f>
        <v>1398.4856969449502</v>
      </c>
      <c r="AT11" cm="1">
        <f t="array" aca="1" ref="AT11" ca="1">_xlfn.LET(_xlpm.r,OFFSET($Y$2,0,ROW(A10)-1,ROWS($Y$2:$Y$1000),1),
    _xlpm.v,_xlfn._xlws.FILTER(_xlpm.r,ISNUMBER(_xlpm.r)),
    MAX(_xlpm.v)-_xlfn.PERCENTILE.INC(_xlpm.v,0.75))</f>
        <v>1398.4856969449484</v>
      </c>
      <c r="AU11" cm="1">
        <f t="array" aca="1" ref="AU11" ca="1">_xlfn.LET(_xlpm.r,OFFSET($Y$2,0,ROW(A10)-1,ROWS($Y$2:$Y$1000),1),
    _xlpm.v,_xlfn._xlws.FILTER(_xlpm.r,ISNUMBER(_xlpm.r)),
    _xlfn.PERCENTILE.INC(_xlpm.v,0.25)-MIN(_xlpm.v))</f>
        <v>2476.1218075583902</v>
      </c>
      <c r="AV11" cm="1">
        <f t="array" aca="1" ref="AV11" ca="1">_xlfn.LET(_xlpm.r,OFFSET($Y$2,0,ROW(A10)-1,ROWS($Y$2:$Y$1000),1),
    _xlpm.v,_xlfn._xlws.FILTER(_xlpm.r,ISNUMBER(_xlpm.r)),
    MAX(_xlpm.v)-_xlfn.PERCENTILE.INC(_xlpm.v,0.75))</f>
        <v>1398.4856969449484</v>
      </c>
      <c r="AW11">
        <f t="shared" ca="1" si="10"/>
        <v>2476.1218075583902</v>
      </c>
      <c r="AX11">
        <v>0</v>
      </c>
      <c r="AY11">
        <f t="shared" ca="1" si="11"/>
        <v>1398.4856969449484</v>
      </c>
      <c r="AZ11">
        <v>13671.476643379896</v>
      </c>
      <c r="BA11">
        <v>4</v>
      </c>
      <c r="BG11" t="s">
        <v>547</v>
      </c>
      <c r="BH11" t="s">
        <v>518</v>
      </c>
      <c r="BI11" t="s">
        <v>521</v>
      </c>
      <c r="BJ11" t="s">
        <v>52</v>
      </c>
      <c r="BN11">
        <v>5343.4791208735915</v>
      </c>
      <c r="BP11">
        <v>5107.2933774330904</v>
      </c>
      <c r="BQ11">
        <v>2519.3719612638824</v>
      </c>
      <c r="CD11">
        <f t="shared" si="1"/>
        <v>10</v>
      </c>
      <c r="CE11" t="e" cm="1">
        <f t="array" aca="1" ref="CE11" ca="1">_xlfn.LET(
  _xlpm.r,OFFSET($BK$2,0,ROW(A10)-1,ROWS($Y$2:$BK$1000),1),
  _xlpm.v,_xlfn._xlws.FILTER(_xlpm.r,ISNUMBER(_xlpm.r)),
  IF(COUNT(_xlpm.v)=0,NA(),_xlfn.PERCENTILE.INC(_xlpm.v,0.975))
)</f>
        <v>#N/A</v>
      </c>
      <c r="CF11" s="13" t="e" cm="1">
        <f t="array" ref="CF11">_xlfn.LET(
  _xlpm.hdr, $BK$1:$CC$1,               _xlpm.k,   _xlfn.XMATCH($BG11,_xlpm.hdr,0),
  _xlpm.col, INDEX($BK$2:$CC$1000,,_xlpm.k),
  _xlpm.v,   _xlfn._xlws.FILTER(_xlpm.col,ISNUMBER(_xlpm.col)),
  IF(COUNT(_xlpm.v)=0, NA(), AVERAGE(_xlpm.v))
)</f>
        <v>#N/A</v>
      </c>
      <c r="CG11" t="e" cm="1">
        <f t="array" aca="1" ref="CG11" ca="1">_xlfn.LET(
  _xlpm.k,ROW(A10)-1,
  _xlpm.r,OFFSET($BK$2,0,_xlpm.k,ROWS($Y$2:$BK$1000),1),
  _xlpm.v,_xlfn._xlws.FILTER(_xlpm.r,ISNUMBER(_xlpm.r)),
  IF(COUNT(_xlpm.v)=0,NA(),MIN(_xlpm.v))
)</f>
        <v>#N/A</v>
      </c>
      <c r="CH11" t="e" cm="1">
        <f t="array" aca="1" ref="CH11" ca="1">_xlfn.LET(
  _xlpm.k,ROW(A10)-1,
  _xlpm.r,OFFSET($BK$2,0,_xlpm.k,ROWS($Y$2:$BK$1000),1),
  _xlpm.v,_xlfn._xlws.FILTER(_xlpm.r,ISNUMBER(_xlpm.r)),
  IF(COUNT(_xlpm.v)=0,NA(),_xlfn.PERCENTILE.INC(_xlpm.v,0.25))
)</f>
        <v>#N/A</v>
      </c>
      <c r="CI11" t="e" cm="1">
        <f t="array" aca="1" ref="CI11" ca="1">_xlfn.LET(
  _xlpm.k,ROW(B10)-1,
  _xlpm.r,OFFSET($BK$2,0,_xlpm.k,ROWS($Y$2:$BK$1000),1),
  _xlpm.v,_xlfn._xlws.FILTER(_xlpm.r,ISNUMBER(_xlpm.r)),
  IF(COUNT(_xlpm.v)=0,NA(),_xlfn.PERCENTILE.INC(_xlpm.v,0.5))
)</f>
        <v>#N/A</v>
      </c>
      <c r="CJ11" t="e" cm="1">
        <f t="array" aca="1" ref="CJ11" ca="1">_xlfn.LET(
  _xlpm.k,ROW(C10)-1,
  _xlpm.r,OFFSET($BK$2,0,_xlpm.k,ROWS($Y$2:$BK$1000),1),
  _xlpm.v,_xlfn._xlws.FILTER(_xlpm.r,ISNUMBER(_xlpm.r)),
  IF(COUNT(_xlpm.v)=0,NA(),_xlfn.PERCENTILE.INC(_xlpm.v,0.75))
)</f>
        <v>#N/A</v>
      </c>
      <c r="CK11" t="e" cm="1">
        <f t="array" aca="1" ref="CK11" ca="1">_xlfn.LET(
  _xlpm.k,ROW(A10)-1,
  _xlpm.r,OFFSET($BK$2,0,_xlpm.k,ROWS($Y$2:$BK$1000),1),
  _xlpm.v,_xlfn._xlws.FILTER(_xlpm.r,ISNUMBER(_xlpm.r)),
  IF(COUNT(_xlpm.v)=0,NA(),MAX(_xlpm.v))
)</f>
        <v>#N/A</v>
      </c>
      <c r="CL11" t="e" cm="1" vm="1">
        <f t="array" aca="1" ref="CL11" ca="1">_xlfn.LET(_xlpm.r,OFFSET($BK$2,0,ROW(A10)-1,ROWS($Y$2:$BK$1000),1),
    _xlpm.v,_xlfn._xlws.FILTER(_xlpm.r,ISNUMBER(_xlpm.r)),
    _xlfn.PERCENTILE.INC(_xlpm.v,0.25))</f>
        <v>#VALUE!</v>
      </c>
      <c r="CM11" t="e" cm="1" vm="1">
        <f t="array" aca="1" ref="CM11" ca="1">_xlfn.LET(_xlpm.r,OFFSET($BK$2,0,ROW(A10)-1,ROWS($BK$2:$BK$1000),1),
    _xlpm.v,_xlfn._xlws.FILTER(_xlpm.r,ISNUMBER(_xlpm.r)),
    _xlfn.PERCENTILE.INC(_xlpm.v,0.5)-_xlfn.PERCENTILE.INC(_xlpm.v,0.25))</f>
        <v>#VALUE!</v>
      </c>
      <c r="CN11" t="e" cm="1" vm="1">
        <f t="array" aca="1" ref="CN11" ca="1">_xlfn.LET(_xlpm.r,OFFSET($BK$2,0,ROW(A10)-1,ROWS($BK$2:$BK$1000),1),
    _xlpm.v,_xlfn._xlws.FILTER(_xlpm.r,ISNUMBER(_xlpm.r)),
    _xlfn.PERCENTILE.INC(_xlpm.v,0.75)-_xlfn.PERCENTILE.INC(_xlpm.v,0.5))</f>
        <v>#VALUE!</v>
      </c>
      <c r="CO11" t="e" cm="1" vm="1">
        <f t="array" aca="1" ref="CO11" ca="1">_xlfn.LET(_xlpm.r,OFFSET($BK$2,0,ROW(A10)-1,ROWS($BK$2:$BK$1000),1),
    _xlpm.v,_xlfn._xlws.FILTER(_xlpm.r,ISNUMBER(_xlpm.r)),
    MAX(_xlpm.v)-_xlfn.PERCENTILE.INC(_xlpm.v,0.75))</f>
        <v>#VALUE!</v>
      </c>
      <c r="CP11" t="e" cm="1" vm="1">
        <f t="array" aca="1" ref="CP11" ca="1">_xlfn.LET(_xlpm.r,OFFSET($BK$2,0,ROW(A10)-1,ROWS($BK$2:$BK$1000),1),
    _xlpm.v,_xlfn._xlws.FILTER(_xlpm.r,ISNUMBER(_xlpm.r)),
    _xlfn.PERCENTILE.INC(_xlpm.v,0.25)-MIN(_xlpm.v))</f>
        <v>#VALUE!</v>
      </c>
      <c r="CQ11" t="e" cm="1" vm="1">
        <f t="array" aca="1" ref="CQ11" ca="1">_xlfn.LET(_xlpm.r,OFFSET($BK$2,0,ROW(A10)-1,ROWS($BK$2:$BK$1000),1),
    _xlpm.v,_xlfn._xlws.FILTER(_xlpm.r,ISNUMBER(_xlpm.r)),
    MAX(_xlpm.v)-_xlfn.PERCENTILE.INC(_xlpm.v,0.75))</f>
        <v>#VALUE!</v>
      </c>
      <c r="CR11" t="e">
        <f t="shared" ca="1" si="12"/>
        <v>#N/A</v>
      </c>
      <c r="CS11">
        <v>0</v>
      </c>
      <c r="CT11" t="e">
        <f t="shared" ca="1" si="13"/>
        <v>#N/A</v>
      </c>
      <c r="CU11">
        <v>4205.9195773456604</v>
      </c>
      <c r="CV11">
        <v>19</v>
      </c>
      <c r="DA11" t="s">
        <v>853</v>
      </c>
      <c r="DB11" t="s">
        <v>518</v>
      </c>
      <c r="DC11" t="s">
        <v>754</v>
      </c>
      <c r="DD11" t="s">
        <v>861</v>
      </c>
      <c r="DH11">
        <v>5343.4791208735915</v>
      </c>
      <c r="DI11">
        <v>15856.519626291001</v>
      </c>
      <c r="DJ11">
        <v>3730.1379706508519</v>
      </c>
      <c r="DK11">
        <v>8940.4134892889124</v>
      </c>
      <c r="EH11">
        <v>4421.9798661567875</v>
      </c>
      <c r="EI11" s="126">
        <v>5</v>
      </c>
    </row>
    <row r="12" spans="1:139">
      <c r="A12" t="s">
        <v>518</v>
      </c>
      <c r="B12" t="s">
        <v>523</v>
      </c>
      <c r="C12" t="s">
        <v>32</v>
      </c>
      <c r="D12" t="e" cm="1">
        <f t="array" ref="D12">_xlfn.LET(
 _xlpm.A,$A12,_xlpm.B,$B12,_xlpm.C,$C12,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2" t="e" cm="1">
        <f t="array" ref="E12">_xlfn.LET(
 _xlpm.A,$A12,_xlpm.B,$B12,_xlpm.C,$C12,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2" t="e" cm="1">
        <f t="array" ref="F12">_xlfn.LET(
 _xlpm.A,$A12,_xlpm.B,$B12,_xlpm.C,$C12,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2" t="e" cm="1">
        <f t="array" ref="G12">_xlfn.LET(
 _xlpm.A,$A12,_xlpm.B,$B12,_xlpm.C,$C12,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2" t="e">
        <f t="shared" si="2"/>
        <v>#N/A</v>
      </c>
      <c r="I12">
        <f t="shared" si="3"/>
        <v>11</v>
      </c>
      <c r="J12" t="e">
        <f t="shared" si="4"/>
        <v>#N/A</v>
      </c>
      <c r="K12" t="e">
        <f t="shared" si="5"/>
        <v>#N/A</v>
      </c>
      <c r="L12" t="e">
        <f t="shared" si="6"/>
        <v>#N/A</v>
      </c>
      <c r="M12" t="e">
        <f t="shared" si="7"/>
        <v>#N/A</v>
      </c>
      <c r="N12" t="e">
        <f t="shared" si="8"/>
        <v>#N/A</v>
      </c>
      <c r="O12" t="e" cm="1">
        <f t="array" ref="O12">_xlfn.LET(
 _xlpm.A,$A12,_xlpm.B,$B12,_xlpm.C,$C12,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2" t="str">
        <f t="shared" si="9"/>
        <v/>
      </c>
      <c r="AB12">
        <v>6131.3653812104103</v>
      </c>
      <c r="AC12">
        <v>2519.3719612638824</v>
      </c>
      <c r="AD12">
        <v>4339.9583462591245</v>
      </c>
      <c r="AE12">
        <v>7004.1127811414517</v>
      </c>
      <c r="AJ12" s="120"/>
      <c r="AK12" s="120"/>
      <c r="AZ12">
        <v>24930.510324449704</v>
      </c>
      <c r="BA12">
        <v>4</v>
      </c>
      <c r="BG12" t="s">
        <v>548</v>
      </c>
      <c r="BH12" t="s">
        <v>518</v>
      </c>
      <c r="BI12" t="s">
        <v>523</v>
      </c>
      <c r="BJ12" t="s">
        <v>32</v>
      </c>
      <c r="BN12">
        <v>6131.3653812104103</v>
      </c>
      <c r="BP12">
        <v>5551.5801695559621</v>
      </c>
      <c r="BQ12">
        <v>3275.3086956521738</v>
      </c>
      <c r="CD12">
        <f t="shared" si="1"/>
        <v>11</v>
      </c>
      <c r="CE12" t="e" cm="1">
        <f t="array" aca="1" ref="CE12" ca="1">_xlfn.LET(
  _xlpm.r,OFFSET($BK$2,0,ROW(A11)-1,ROWS($Y$2:$BK$1000),1),
  _xlpm.v,_xlfn._xlws.FILTER(_xlpm.r,ISNUMBER(_xlpm.r)),
  IF(COUNT(_xlpm.v)=0,NA(),_xlfn.PERCENTILE.INC(_xlpm.v,0.975))
)</f>
        <v>#N/A</v>
      </c>
      <c r="CF12" s="13" t="e" cm="1">
        <f t="array" ref="CF12">_xlfn.LET(
  _xlpm.hdr, $BK$1:$CC$1,               _xlpm.k,   _xlfn.XMATCH($BG12,_xlpm.hdr,0),
  _xlpm.col, INDEX($BK$2:$CC$1000,,_xlpm.k),
  _xlpm.v,   _xlfn._xlws.FILTER(_xlpm.col,ISNUMBER(_xlpm.col)),
  IF(COUNT(_xlpm.v)=0, NA(), AVERAGE(_xlpm.v))
)</f>
        <v>#N/A</v>
      </c>
      <c r="CG12" t="e" cm="1">
        <f t="array" aca="1" ref="CG12" ca="1">_xlfn.LET(
  _xlpm.k,ROW(A11)-1,
  _xlpm.r,OFFSET($BK$2,0,_xlpm.k,ROWS($Y$2:$BK$1000),1),
  _xlpm.v,_xlfn._xlws.FILTER(_xlpm.r,ISNUMBER(_xlpm.r)),
  IF(COUNT(_xlpm.v)=0,NA(),MIN(_xlpm.v))
)</f>
        <v>#N/A</v>
      </c>
      <c r="CH12" t="e" cm="1">
        <f t="array" aca="1" ref="CH12" ca="1">_xlfn.LET(
  _xlpm.k,ROW(A11)-1,
  _xlpm.r,OFFSET($BK$2,0,_xlpm.k,ROWS($Y$2:$BK$1000),1),
  _xlpm.v,_xlfn._xlws.FILTER(_xlpm.r,ISNUMBER(_xlpm.r)),
  IF(COUNT(_xlpm.v)=0,NA(),_xlfn.PERCENTILE.INC(_xlpm.v,0.25))
)</f>
        <v>#N/A</v>
      </c>
      <c r="CI12" t="e" cm="1">
        <f t="array" aca="1" ref="CI12" ca="1">_xlfn.LET(
  _xlpm.k,ROW(B11)-1,
  _xlpm.r,OFFSET($BK$2,0,_xlpm.k,ROWS($Y$2:$BK$1000),1),
  _xlpm.v,_xlfn._xlws.FILTER(_xlpm.r,ISNUMBER(_xlpm.r)),
  IF(COUNT(_xlpm.v)=0,NA(),_xlfn.PERCENTILE.INC(_xlpm.v,0.5))
)</f>
        <v>#N/A</v>
      </c>
      <c r="CJ12" t="e" cm="1">
        <f t="array" aca="1" ref="CJ12" ca="1">_xlfn.LET(
  _xlpm.k,ROW(C11)-1,
  _xlpm.r,OFFSET($BK$2,0,_xlpm.k,ROWS($Y$2:$BK$1000),1),
  _xlpm.v,_xlfn._xlws.FILTER(_xlpm.r,ISNUMBER(_xlpm.r)),
  IF(COUNT(_xlpm.v)=0,NA(),_xlfn.PERCENTILE.INC(_xlpm.v,0.75))
)</f>
        <v>#N/A</v>
      </c>
      <c r="CK12" t="e" cm="1">
        <f t="array" aca="1" ref="CK12" ca="1">_xlfn.LET(
  _xlpm.k,ROW(A11)-1,
  _xlpm.r,OFFSET($BK$2,0,_xlpm.k,ROWS($Y$2:$BK$1000),1),
  _xlpm.v,_xlfn._xlws.FILTER(_xlpm.r,ISNUMBER(_xlpm.r)),
  IF(COUNT(_xlpm.v)=0,NA(),MAX(_xlpm.v))
)</f>
        <v>#N/A</v>
      </c>
      <c r="CL12" t="e" cm="1" vm="1">
        <f t="array" aca="1" ref="CL12" ca="1">_xlfn.LET(_xlpm.r,OFFSET($BK$2,0,ROW(A11)-1,ROWS($Y$2:$BK$1000),1),
    _xlpm.v,_xlfn._xlws.FILTER(_xlpm.r,ISNUMBER(_xlpm.r)),
    _xlfn.PERCENTILE.INC(_xlpm.v,0.25))</f>
        <v>#VALUE!</v>
      </c>
      <c r="CM12" t="e" cm="1" vm="1">
        <f t="array" aca="1" ref="CM12" ca="1">_xlfn.LET(_xlpm.r,OFFSET($BK$2,0,ROW(A11)-1,ROWS($BK$2:$BK$1000),1),
    _xlpm.v,_xlfn._xlws.FILTER(_xlpm.r,ISNUMBER(_xlpm.r)),
    _xlfn.PERCENTILE.INC(_xlpm.v,0.5)-_xlfn.PERCENTILE.INC(_xlpm.v,0.25))</f>
        <v>#VALUE!</v>
      </c>
      <c r="CN12" t="e" cm="1" vm="1">
        <f t="array" aca="1" ref="CN12" ca="1">_xlfn.LET(_xlpm.r,OFFSET($BK$2,0,ROW(A11)-1,ROWS($BK$2:$BK$1000),1),
    _xlpm.v,_xlfn._xlws.FILTER(_xlpm.r,ISNUMBER(_xlpm.r)),
    _xlfn.PERCENTILE.INC(_xlpm.v,0.75)-_xlfn.PERCENTILE.INC(_xlpm.v,0.5))</f>
        <v>#VALUE!</v>
      </c>
      <c r="CO12" t="e" cm="1" vm="1">
        <f t="array" aca="1" ref="CO12" ca="1">_xlfn.LET(_xlpm.r,OFFSET($BK$2,0,ROW(A11)-1,ROWS($BK$2:$BK$1000),1),
    _xlpm.v,_xlfn._xlws.FILTER(_xlpm.r,ISNUMBER(_xlpm.r)),
    MAX(_xlpm.v)-_xlfn.PERCENTILE.INC(_xlpm.v,0.75))</f>
        <v>#VALUE!</v>
      </c>
      <c r="CP12" t="e" cm="1" vm="1">
        <f t="array" aca="1" ref="CP12" ca="1">_xlfn.LET(_xlpm.r,OFFSET($BK$2,0,ROW(A11)-1,ROWS($BK$2:$BK$1000),1),
    _xlpm.v,_xlfn._xlws.FILTER(_xlpm.r,ISNUMBER(_xlpm.r)),
    _xlfn.PERCENTILE.INC(_xlpm.v,0.25)-MIN(_xlpm.v))</f>
        <v>#VALUE!</v>
      </c>
      <c r="CQ12" t="e" cm="1" vm="1">
        <f t="array" aca="1" ref="CQ12" ca="1">_xlfn.LET(_xlpm.r,OFFSET($BK$2,0,ROW(A11)-1,ROWS($BK$2:$BK$1000),1),
    _xlpm.v,_xlfn._xlws.FILTER(_xlpm.r,ISNUMBER(_xlpm.r)),
    MAX(_xlpm.v)-_xlfn.PERCENTILE.INC(_xlpm.v,0.75))</f>
        <v>#VALUE!</v>
      </c>
      <c r="CR12" t="e">
        <f t="shared" ca="1" si="12"/>
        <v>#N/A</v>
      </c>
      <c r="CS12">
        <v>0</v>
      </c>
      <c r="CT12" t="e">
        <f t="shared" ca="1" si="13"/>
        <v>#N/A</v>
      </c>
      <c r="CU12">
        <v>1377.8983657401886</v>
      </c>
      <c r="CV12">
        <v>3</v>
      </c>
      <c r="DA12" t="s">
        <v>860</v>
      </c>
      <c r="DB12" t="s">
        <v>863</v>
      </c>
      <c r="DC12" t="s">
        <v>52</v>
      </c>
      <c r="DD12" t="s">
        <v>862</v>
      </c>
      <c r="DH12">
        <v>6131.3653812104103</v>
      </c>
      <c r="DI12">
        <v>2519.3719612638824</v>
      </c>
      <c r="DJ12">
        <v>4339.9583462591245</v>
      </c>
      <c r="DK12">
        <v>7004.1127811414517</v>
      </c>
      <c r="EH12">
        <v>9679.6293311032641</v>
      </c>
      <c r="EI12" s="126">
        <v>6</v>
      </c>
    </row>
    <row r="13" spans="1:139">
      <c r="A13" t="s">
        <v>518</v>
      </c>
      <c r="B13" t="s">
        <v>523</v>
      </c>
      <c r="C13" t="s">
        <v>57</v>
      </c>
      <c r="D13" t="e" cm="1">
        <f t="array" ref="D13">_xlfn.LET(
 _xlpm.A,$A13,_xlpm.B,$B13,_xlpm.C,$C13,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3" t="e" cm="1">
        <f t="array" ref="E13">_xlfn.LET(
 _xlpm.A,$A13,_xlpm.B,$B13,_xlpm.C,$C13,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 t="e" cm="1">
        <f t="array" ref="F13">_xlfn.LET(
 _xlpm.A,$A13,_xlpm.B,$B13,_xlpm.C,$C13,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 t="e" cm="1">
        <f t="array" ref="G13">_xlfn.LET(
 _xlpm.A,$A13,_xlpm.B,$B13,_xlpm.C,$C13,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 t="e">
        <f t="shared" si="2"/>
        <v>#N/A</v>
      </c>
      <c r="I13">
        <f t="shared" si="3"/>
        <v>12</v>
      </c>
      <c r="J13" t="e">
        <f t="shared" si="4"/>
        <v>#N/A</v>
      </c>
      <c r="K13" t="e">
        <f t="shared" si="5"/>
        <v>#N/A</v>
      </c>
      <c r="L13" t="e">
        <f t="shared" si="6"/>
        <v>#N/A</v>
      </c>
      <c r="M13" t="e">
        <f t="shared" si="7"/>
        <v>#N/A</v>
      </c>
      <c r="N13" t="e">
        <f t="shared" si="8"/>
        <v>#N/A</v>
      </c>
      <c r="O13" t="e" cm="1">
        <f t="array" ref="O13">_xlfn.LET(
 _xlpm.A,$A13,_xlpm.B,$B13,_xlpm.C,$C13,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3" t="str">
        <f t="shared" si="9"/>
        <v/>
      </c>
      <c r="AB13">
        <v>8197.5598455096588</v>
      </c>
      <c r="AC13">
        <v>3275.3086956521738</v>
      </c>
      <c r="AD13">
        <v>4369.3610819647201</v>
      </c>
      <c r="AE13">
        <v>7502.812596837075</v>
      </c>
      <c r="AJ13" s="120"/>
      <c r="AK13" s="120"/>
      <c r="AZ13">
        <v>8355.514428390672</v>
      </c>
      <c r="BA13">
        <v>4</v>
      </c>
      <c r="BG13" t="s">
        <v>549</v>
      </c>
      <c r="BH13" t="s">
        <v>518</v>
      </c>
      <c r="BI13" t="s">
        <v>523</v>
      </c>
      <c r="BJ13" t="s">
        <v>57</v>
      </c>
      <c r="BN13">
        <v>8197.5598455096588</v>
      </c>
      <c r="BP13">
        <v>5307.7629081632658</v>
      </c>
      <c r="CD13">
        <f t="shared" si="1"/>
        <v>12</v>
      </c>
      <c r="CE13" t="e" cm="1">
        <f t="array" aca="1" ref="CE13" ca="1">_xlfn.LET(
  _xlpm.r,OFFSET($BK$2,0,ROW(A12)-1,ROWS($Y$2:$BK$1000),1),
  _xlpm.v,_xlfn._xlws.FILTER(_xlpm.r,ISNUMBER(_xlpm.r)),
  IF(COUNT(_xlpm.v)=0,NA(),_xlfn.PERCENTILE.INC(_xlpm.v,0.975))
)</f>
        <v>#N/A</v>
      </c>
      <c r="CF13" s="13" t="e" cm="1">
        <f t="array" ref="CF13">_xlfn.LET(
  _xlpm.hdr, $BK$1:$CC$1,               _xlpm.k,   _xlfn.XMATCH($BG13,_xlpm.hdr,0),
  _xlpm.col, INDEX($BK$2:$CC$1000,,_xlpm.k),
  _xlpm.v,   _xlfn._xlws.FILTER(_xlpm.col,ISNUMBER(_xlpm.col)),
  IF(COUNT(_xlpm.v)=0, NA(), AVERAGE(_xlpm.v))
)</f>
        <v>#N/A</v>
      </c>
      <c r="CG13" t="e" cm="1">
        <f t="array" aca="1" ref="CG13" ca="1">_xlfn.LET(
  _xlpm.k,ROW(A12)-1,
  _xlpm.r,OFFSET($BK$2,0,_xlpm.k,ROWS($Y$2:$BK$1000),1),
  _xlpm.v,_xlfn._xlws.FILTER(_xlpm.r,ISNUMBER(_xlpm.r)),
  IF(COUNT(_xlpm.v)=0,NA(),MIN(_xlpm.v))
)</f>
        <v>#N/A</v>
      </c>
      <c r="CH13" t="e" cm="1">
        <f t="array" aca="1" ref="CH13" ca="1">_xlfn.LET(
  _xlpm.k,ROW(A12)-1,
  _xlpm.r,OFFSET($BK$2,0,_xlpm.k,ROWS($Y$2:$BK$1000),1),
  _xlpm.v,_xlfn._xlws.FILTER(_xlpm.r,ISNUMBER(_xlpm.r)),
  IF(COUNT(_xlpm.v)=0,NA(),_xlfn.PERCENTILE.INC(_xlpm.v,0.25))
)</f>
        <v>#N/A</v>
      </c>
      <c r="CI13" t="e" cm="1">
        <f t="array" aca="1" ref="CI13" ca="1">_xlfn.LET(
  _xlpm.k,ROW(B12)-1,
  _xlpm.r,OFFSET($BK$2,0,_xlpm.k,ROWS($Y$2:$BK$1000),1),
  _xlpm.v,_xlfn._xlws.FILTER(_xlpm.r,ISNUMBER(_xlpm.r)),
  IF(COUNT(_xlpm.v)=0,NA(),_xlfn.PERCENTILE.INC(_xlpm.v,0.5))
)</f>
        <v>#N/A</v>
      </c>
      <c r="CJ13" t="e" cm="1">
        <f t="array" aca="1" ref="CJ13" ca="1">_xlfn.LET(
  _xlpm.k,ROW(C12)-1,
  _xlpm.r,OFFSET($BK$2,0,_xlpm.k,ROWS($Y$2:$BK$1000),1),
  _xlpm.v,_xlfn._xlws.FILTER(_xlpm.r,ISNUMBER(_xlpm.r)),
  IF(COUNT(_xlpm.v)=0,NA(),_xlfn.PERCENTILE.INC(_xlpm.v,0.75))
)</f>
        <v>#N/A</v>
      </c>
      <c r="CK13" t="e" cm="1">
        <f t="array" aca="1" ref="CK13" ca="1">_xlfn.LET(
  _xlpm.k,ROW(A12)-1,
  _xlpm.r,OFFSET($BK$2,0,_xlpm.k,ROWS($Y$2:$BK$1000),1),
  _xlpm.v,_xlfn._xlws.FILTER(_xlpm.r,ISNUMBER(_xlpm.r)),
  IF(COUNT(_xlpm.v)=0,NA(),MAX(_xlpm.v))
)</f>
        <v>#N/A</v>
      </c>
      <c r="CL13" t="e" cm="1" vm="1">
        <f t="array" aca="1" ref="CL13" ca="1">_xlfn.LET(_xlpm.r,OFFSET($BK$2,0,ROW(A12)-1,ROWS($Y$2:$BK$1000),1),
    _xlpm.v,_xlfn._xlws.FILTER(_xlpm.r,ISNUMBER(_xlpm.r)),
    _xlfn.PERCENTILE.INC(_xlpm.v,0.25))</f>
        <v>#VALUE!</v>
      </c>
      <c r="CM13" t="e" cm="1" vm="1">
        <f t="array" aca="1" ref="CM13" ca="1">_xlfn.LET(_xlpm.r,OFFSET($BK$2,0,ROW(A12)-1,ROWS($BK$2:$BK$1000),1),
    _xlpm.v,_xlfn._xlws.FILTER(_xlpm.r,ISNUMBER(_xlpm.r)),
    _xlfn.PERCENTILE.INC(_xlpm.v,0.5)-_xlfn.PERCENTILE.INC(_xlpm.v,0.25))</f>
        <v>#VALUE!</v>
      </c>
      <c r="CN13" t="e" cm="1" vm="1">
        <f t="array" aca="1" ref="CN13" ca="1">_xlfn.LET(_xlpm.r,OFFSET($BK$2,0,ROW(A12)-1,ROWS($BK$2:$BK$1000),1),
    _xlpm.v,_xlfn._xlws.FILTER(_xlpm.r,ISNUMBER(_xlpm.r)),
    _xlfn.PERCENTILE.INC(_xlpm.v,0.75)-_xlfn.PERCENTILE.INC(_xlpm.v,0.5))</f>
        <v>#VALUE!</v>
      </c>
      <c r="CO13" t="e" cm="1" vm="1">
        <f t="array" aca="1" ref="CO13" ca="1">_xlfn.LET(_xlpm.r,OFFSET($BK$2,0,ROW(A12)-1,ROWS($BK$2:$BK$1000),1),
    _xlpm.v,_xlfn._xlws.FILTER(_xlpm.r,ISNUMBER(_xlpm.r)),
    MAX(_xlpm.v)-_xlfn.PERCENTILE.INC(_xlpm.v,0.75))</f>
        <v>#VALUE!</v>
      </c>
      <c r="CP13" t="e" cm="1" vm="1">
        <f t="array" aca="1" ref="CP13" ca="1">_xlfn.LET(_xlpm.r,OFFSET($BK$2,0,ROW(A12)-1,ROWS($BK$2:$BK$1000),1),
    _xlpm.v,_xlfn._xlws.FILTER(_xlpm.r,ISNUMBER(_xlpm.r)),
    _xlfn.PERCENTILE.INC(_xlpm.v,0.25)-MIN(_xlpm.v))</f>
        <v>#VALUE!</v>
      </c>
      <c r="CQ13" t="e" cm="1" vm="1">
        <f t="array" aca="1" ref="CQ13" ca="1">_xlfn.LET(_xlpm.r,OFFSET($BK$2,0,ROW(A12)-1,ROWS($BK$2:$BK$1000),1),
    _xlpm.v,_xlfn._xlws.FILTER(_xlpm.r,ISNUMBER(_xlpm.r)),
    MAX(_xlpm.v)-_xlfn.PERCENTILE.INC(_xlpm.v,0.75))</f>
        <v>#VALUE!</v>
      </c>
      <c r="CR13" t="e">
        <f t="shared" ca="1" si="12"/>
        <v>#N/A</v>
      </c>
      <c r="CS13">
        <v>0</v>
      </c>
      <c r="CT13" t="e">
        <f t="shared" ca="1" si="13"/>
        <v>#N/A</v>
      </c>
      <c r="CU13">
        <v>13671.476643379896</v>
      </c>
      <c r="CV13">
        <v>4</v>
      </c>
      <c r="DA13" t="s">
        <v>854</v>
      </c>
      <c r="DB13" t="s">
        <v>863</v>
      </c>
      <c r="DC13" t="s">
        <v>52</v>
      </c>
      <c r="DD13" t="s">
        <v>861</v>
      </c>
      <c r="DH13">
        <v>8197.5598455096588</v>
      </c>
      <c r="DI13">
        <v>3275.3086956521738</v>
      </c>
      <c r="DJ13">
        <v>4369.3610819647201</v>
      </c>
      <c r="DK13">
        <v>7502.812596837075</v>
      </c>
      <c r="EH13">
        <v>3164.356504065041</v>
      </c>
      <c r="EI13" s="126">
        <v>7</v>
      </c>
    </row>
    <row r="14" spans="1:139">
      <c r="A14" t="s">
        <v>518</v>
      </c>
      <c r="B14" t="s">
        <v>523</v>
      </c>
      <c r="C14" t="s">
        <v>52</v>
      </c>
      <c r="D14" cm="1">
        <f t="array" ref="D14">_xlfn.LET(
 _xlpm.A,$A14,_xlpm.B,$B14,_xlpm.C,$C14,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3489.3792062043799</v>
      </c>
      <c r="E14" cm="1">
        <f t="array" ref="E14">_xlfn.LET(
 _xlpm.A,$A14,_xlpm.B,$B14,_xlpm.C,$C14,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3238.262659861618</v>
      </c>
      <c r="F14" cm="1">
        <f t="array" ref="F14">_xlfn.LET(
 _xlpm.A,$A14,_xlpm.B,$B14,_xlpm.C,$C14,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3236.5920498783457</v>
      </c>
      <c r="G14" cm="1">
        <f t="array" ref="G14">_xlfn.LET(
 _xlpm.A,$A14,_xlpm.B,$B14,_xlpm.C,$C14,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3485.5988544708034</v>
      </c>
      <c r="H14">
        <f t="shared" si="2"/>
        <v>3.7803517335764809</v>
      </c>
      <c r="I14">
        <f t="shared" si="3"/>
        <v>13</v>
      </c>
      <c r="J14" t="e">
        <f t="shared" si="4"/>
        <v>#N/A</v>
      </c>
      <c r="K14" t="e">
        <f t="shared" si="5"/>
        <v>#N/A</v>
      </c>
      <c r="L14">
        <f t="shared" si="6"/>
        <v>3485.5988544708034</v>
      </c>
      <c r="M14" t="e">
        <f t="shared" si="7"/>
        <v>#N/A</v>
      </c>
      <c r="N14" t="e">
        <f t="shared" si="8"/>
        <v>#N/A</v>
      </c>
      <c r="O14" cm="1">
        <f t="array" ref="O14">_xlfn.LET(
 _xlpm.A,$A14,_xlpm.B,$B14,_xlpm.C,$C14,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4</v>
      </c>
      <c r="P14" t="str">
        <f t="shared" si="9"/>
        <v>n=4</v>
      </c>
      <c r="AB14">
        <v>8499.6718272484759</v>
      </c>
      <c r="AD14">
        <v>5107.2933774330904</v>
      </c>
      <c r="AE14">
        <v>11235.299349718522</v>
      </c>
      <c r="AJ14" s="120"/>
      <c r="AK14" s="120"/>
      <c r="AZ14">
        <v>7837.9776810335725</v>
      </c>
      <c r="BA14">
        <v>4</v>
      </c>
      <c r="BG14" t="s">
        <v>550</v>
      </c>
      <c r="BH14" t="s">
        <v>518</v>
      </c>
      <c r="BI14" t="s">
        <v>523</v>
      </c>
      <c r="BJ14" t="s">
        <v>52</v>
      </c>
      <c r="BN14">
        <v>8499.6718272484759</v>
      </c>
      <c r="BP14">
        <v>5849.3160000000007</v>
      </c>
      <c r="CD14">
        <f t="shared" si="1"/>
        <v>13</v>
      </c>
      <c r="CE14" cm="1">
        <f t="array" aca="1" ref="CE14" ca="1">_xlfn.LET(
  _xlpm.r,OFFSET($BK$2,0,ROW(A13)-1,ROWS($Y$2:$BK$1000),1),
  _xlpm.v,_xlfn._xlws.FILTER(_xlpm.r,ISNUMBER(_xlpm.r)),
  IF(COUNT(_xlpm.v)=0,NA(),_xlfn.PERCENTILE.INC(_xlpm.v,0.975))
)</f>
        <v>3485.5988544708034</v>
      </c>
      <c r="CF14" s="13" cm="1">
        <f t="array" ref="CF14">_xlfn.LET(
  _xlpm.hdr, $BK$1:$CC$1,               _xlpm.k,   _xlfn.XMATCH($BG14,_xlpm.hdr,0),
  _xlpm.col, INDEX($BK$2:$CC$1000,,_xlpm.k),
  _xlpm.v,   _xlfn._xlws.FILTER(_xlpm.col,ISNUMBER(_xlpm.col)),
  IF(COUNT(_xlpm.v)=0, NA(), AVERAGE(_xlpm.v))
)</f>
        <v>3238.262659861618</v>
      </c>
      <c r="CG14" cm="1">
        <f t="array" aca="1" ref="CG14" ca="1">_xlfn.LET(
  _xlpm.k,ROW(A13)-1,
  _xlpm.r,OFFSET($BK$2,0,_xlpm.k,ROWS($Y$2:$BK$1000),1),
  _xlpm.v,_xlfn._xlws.FILTER(_xlpm.r,ISNUMBER(_xlpm.r)),
  IF(COUNT(_xlpm.v)=0,NA(),MIN(_xlpm.v))
)</f>
        <v>2990.4873334854019</v>
      </c>
      <c r="CH14" cm="1">
        <f t="array" aca="1" ref="CH14" ca="1">_xlfn.LET(
  _xlpm.k,ROW(A13)-1,
  _xlpm.r,OFFSET($BK$2,0,_xlpm.k,ROWS($Y$2:$BK$1000),1),
  _xlpm.v,_xlfn._xlws.FILTER(_xlpm.r,ISNUMBER(_xlpm.r)),
  IF(COUNT(_xlpm.v)=0,NA(),_xlfn.PERCENTILE.INC(_xlpm.v,0.25))
)</f>
        <v>3023.2790208713504</v>
      </c>
      <c r="CI14" cm="1">
        <f t="array" aca="1" ref="CI14" ca="1">_xlfn.LET(
  _xlpm.k,ROW(B13)-1,
  _xlpm.r,OFFSET($BK$2,0,_xlpm.k,ROWS($Y$2:$BK$1000),1),
  _xlpm.v,_xlfn._xlws.FILTER(_xlpm.r,ISNUMBER(_xlpm.r)),
  IF(COUNT(_xlpm.v)=0,NA(),_xlfn.PERCENTILE.INC(_xlpm.v,0.5))
)</f>
        <v>3236.5920498783457</v>
      </c>
      <c r="CJ14" cm="1">
        <f t="array" aca="1" ref="CJ14" ca="1">_xlfn.LET(
  _xlpm.k,ROW(C13)-1,
  _xlpm.r,OFFSET($BK$2,0,_xlpm.k,ROWS($Y$2:$BK$1000),1),
  _xlpm.v,_xlfn._xlws.FILTER(_xlpm.r,ISNUMBER(_xlpm.r)),
  IF(COUNT(_xlpm.v)=0,NA(),_xlfn.PERCENTILE.INC(_xlpm.v,0.75))
)</f>
        <v>3451.5756888686137</v>
      </c>
      <c r="CK14" cm="1">
        <f t="array" aca="1" ref="CK14" ca="1">_xlfn.LET(
  _xlpm.k,ROW(A13)-1,
  _xlpm.r,OFFSET($BK$2,0,_xlpm.k,ROWS($Y$2:$BK$1000),1),
  _xlpm.v,_xlfn._xlws.FILTER(_xlpm.r,ISNUMBER(_xlpm.r)),
  IF(COUNT(_xlpm.v)=0,NA(),MAX(_xlpm.v))
)</f>
        <v>3489.3792062043799</v>
      </c>
      <c r="CL14" cm="1">
        <f t="array" aca="1" ref="CL14" ca="1">_xlfn.LET(_xlpm.r,OFFSET($BK$2,0,ROW(A13)-1,ROWS($Y$2:$BK$1000),1),
    _xlpm.v,_xlfn._xlws.FILTER(_xlpm.r,ISNUMBER(_xlpm.r)),
    _xlfn.PERCENTILE.INC(_xlpm.v,0.25))</f>
        <v>3023.2790208713504</v>
      </c>
      <c r="CM14" cm="1">
        <f t="array" aca="1" ref="CM14" ca="1">_xlfn.LET(_xlpm.r,OFFSET($BK$2,0,ROW(A13)-1,ROWS($BK$2:$BK$1000),1),
    _xlpm.v,_xlfn._xlws.FILTER(_xlpm.r,ISNUMBER(_xlpm.r)),
    _xlfn.PERCENTILE.INC(_xlpm.v,0.5)-_xlfn.PERCENTILE.INC(_xlpm.v,0.25))</f>
        <v>213.31302900699529</v>
      </c>
      <c r="CN14" cm="1">
        <f t="array" aca="1" ref="CN14" ca="1">_xlfn.LET(_xlpm.r,OFFSET($BK$2,0,ROW(A13)-1,ROWS($BK$2:$BK$1000),1),
    _xlpm.v,_xlfn._xlws.FILTER(_xlpm.r,ISNUMBER(_xlpm.r)),
    _xlfn.PERCENTILE.INC(_xlpm.v,0.75)-_xlfn.PERCENTILE.INC(_xlpm.v,0.5))</f>
        <v>214.98363899026799</v>
      </c>
      <c r="CO14" cm="1">
        <f t="array" aca="1" ref="CO14" ca="1">_xlfn.LET(_xlpm.r,OFFSET($BK$2,0,ROW(A13)-1,ROWS($BK$2:$BK$1000),1),
    _xlpm.v,_xlfn._xlws.FILTER(_xlpm.r,ISNUMBER(_xlpm.r)),
    MAX(_xlpm.v)-_xlfn.PERCENTILE.INC(_xlpm.v,0.75))</f>
        <v>37.803517335766173</v>
      </c>
      <c r="CP14" cm="1">
        <f t="array" aca="1" ref="CP14" ca="1">_xlfn.LET(_xlpm.r,OFFSET($BK$2,0,ROW(A13)-1,ROWS($BK$2:$BK$1000),1),
    _xlpm.v,_xlfn._xlws.FILTER(_xlpm.r,ISNUMBER(_xlpm.r)),
    _xlfn.PERCENTILE.INC(_xlpm.v,0.25)-MIN(_xlpm.v))</f>
        <v>32.791687385948535</v>
      </c>
      <c r="CQ14" cm="1">
        <f t="array" aca="1" ref="CQ14" ca="1">_xlfn.LET(_xlpm.r,OFFSET($BK$2,0,ROW(A13)-1,ROWS($BK$2:$BK$1000),1),
    _xlpm.v,_xlfn._xlws.FILTER(_xlpm.r,ISNUMBER(_xlpm.r)),
    MAX(_xlpm.v)-_xlfn.PERCENTILE.INC(_xlpm.v,0.75))</f>
        <v>37.803517335766173</v>
      </c>
      <c r="CR14">
        <f t="shared" ca="1" si="12"/>
        <v>32.791687385948535</v>
      </c>
      <c r="CS14">
        <v>0</v>
      </c>
      <c r="CT14">
        <f t="shared" ca="1" si="13"/>
        <v>37.803517335766173</v>
      </c>
      <c r="CU14">
        <v>8940.4134892889124</v>
      </c>
      <c r="CV14">
        <v>5</v>
      </c>
      <c r="DH14">
        <v>8499.6718272484759</v>
      </c>
      <c r="DJ14">
        <v>5107.2933774330904</v>
      </c>
      <c r="DK14">
        <v>11235.299349718522</v>
      </c>
      <c r="EH14">
        <v>9158.1631924624417</v>
      </c>
      <c r="EI14" s="126">
        <v>10</v>
      </c>
    </row>
    <row r="15" spans="1:139">
      <c r="A15" t="s">
        <v>518</v>
      </c>
      <c r="B15" t="s">
        <v>522</v>
      </c>
      <c r="C15" t="s">
        <v>32</v>
      </c>
      <c r="D15" t="e" cm="1">
        <f t="array" ref="D15">_xlfn.LET(
 _xlpm.A,$A15,_xlpm.B,$B15,_xlpm.C,$C15,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5" t="e" cm="1">
        <f t="array" ref="E15">_xlfn.LET(
 _xlpm.A,$A15,_xlpm.B,$B15,_xlpm.C,$C15,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5" t="e" cm="1">
        <f t="array" ref="F15">_xlfn.LET(
 _xlpm.A,$A15,_xlpm.B,$B15,_xlpm.C,$C15,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5" t="e" cm="1">
        <f t="array" ref="G15">_xlfn.LET(
 _xlpm.A,$A15,_xlpm.B,$B15,_xlpm.C,$C15,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5" t="e">
        <f t="shared" si="2"/>
        <v>#N/A</v>
      </c>
      <c r="I15">
        <f t="shared" si="3"/>
        <v>14</v>
      </c>
      <c r="J15" t="e">
        <f t="shared" si="4"/>
        <v>#N/A</v>
      </c>
      <c r="K15" t="e">
        <f t="shared" si="5"/>
        <v>#N/A</v>
      </c>
      <c r="L15" t="e">
        <f t="shared" si="6"/>
        <v>#N/A</v>
      </c>
      <c r="M15" t="e">
        <f t="shared" si="7"/>
        <v>#N/A</v>
      </c>
      <c r="N15" t="e">
        <f t="shared" si="8"/>
        <v>#N/A</v>
      </c>
      <c r="O15" t="e" cm="1">
        <f t="array" ref="O15">_xlfn.LET(
 _xlpm.A,$A15,_xlpm.B,$B15,_xlpm.C,$C15,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5" t="str">
        <f t="shared" si="9"/>
        <v/>
      </c>
      <c r="AB15">
        <v>11655.186138911624</v>
      </c>
      <c r="AD15">
        <v>5551.5801695559621</v>
      </c>
      <c r="AE15">
        <v>15856.519626291001</v>
      </c>
      <c r="AJ15" s="120"/>
      <c r="AK15" s="120"/>
      <c r="AZ15">
        <v>10125.764141478647</v>
      </c>
      <c r="BA15">
        <v>4</v>
      </c>
      <c r="BG15" t="s">
        <v>551</v>
      </c>
      <c r="BH15" t="s">
        <v>518</v>
      </c>
      <c r="BI15" t="s">
        <v>522</v>
      </c>
      <c r="BJ15" t="s">
        <v>32</v>
      </c>
      <c r="BN15">
        <v>11655.186138911624</v>
      </c>
      <c r="BP15">
        <v>3767.7683610121167</v>
      </c>
      <c r="CD15">
        <f t="shared" si="1"/>
        <v>14</v>
      </c>
      <c r="CE15" t="e" cm="1">
        <f t="array" aca="1" ref="CE15" ca="1">_xlfn.LET(
  _xlpm.r,OFFSET($BK$2,0,ROW(A14)-1,ROWS($Y$2:$BK$1000),1),
  _xlpm.v,_xlfn._xlws.FILTER(_xlpm.r,ISNUMBER(_xlpm.r)),
  IF(COUNT(_xlpm.v)=0,NA(),_xlfn.PERCENTILE.INC(_xlpm.v,0.975))
)</f>
        <v>#N/A</v>
      </c>
      <c r="CF15" s="13" t="e" cm="1">
        <f t="array" ref="CF15">_xlfn.LET(
  _xlpm.hdr, $BK$1:$CC$1,               _xlpm.k,   _xlfn.XMATCH($BG15,_xlpm.hdr,0),
  _xlpm.col, INDEX($BK$2:$CC$1000,,_xlpm.k),
  _xlpm.v,   _xlfn._xlws.FILTER(_xlpm.col,ISNUMBER(_xlpm.col)),
  IF(COUNT(_xlpm.v)=0, NA(), AVERAGE(_xlpm.v))
)</f>
        <v>#N/A</v>
      </c>
      <c r="CG15" t="e" cm="1">
        <f t="array" aca="1" ref="CG15" ca="1">_xlfn.LET(
  _xlpm.k,ROW(A14)-1,
  _xlpm.r,OFFSET($BK$2,0,_xlpm.k,ROWS($Y$2:$BK$1000),1),
  _xlpm.v,_xlfn._xlws.FILTER(_xlpm.r,ISNUMBER(_xlpm.r)),
  IF(COUNT(_xlpm.v)=0,NA(),MIN(_xlpm.v))
)</f>
        <v>#N/A</v>
      </c>
      <c r="CH15" t="e" cm="1">
        <f t="array" aca="1" ref="CH15" ca="1">_xlfn.LET(
  _xlpm.k,ROW(A14)-1,
  _xlpm.r,OFFSET($BK$2,0,_xlpm.k,ROWS($Y$2:$BK$1000),1),
  _xlpm.v,_xlfn._xlws.FILTER(_xlpm.r,ISNUMBER(_xlpm.r)),
  IF(COUNT(_xlpm.v)=0,NA(),_xlfn.PERCENTILE.INC(_xlpm.v,0.25))
)</f>
        <v>#N/A</v>
      </c>
      <c r="CI15" t="e" cm="1">
        <f t="array" aca="1" ref="CI15" ca="1">_xlfn.LET(
  _xlpm.k,ROW(B14)-1,
  _xlpm.r,OFFSET($BK$2,0,_xlpm.k,ROWS($Y$2:$BK$1000),1),
  _xlpm.v,_xlfn._xlws.FILTER(_xlpm.r,ISNUMBER(_xlpm.r)),
  IF(COUNT(_xlpm.v)=0,NA(),_xlfn.PERCENTILE.INC(_xlpm.v,0.5))
)</f>
        <v>#N/A</v>
      </c>
      <c r="CJ15" t="e" cm="1">
        <f t="array" aca="1" ref="CJ15" ca="1">_xlfn.LET(
  _xlpm.k,ROW(C14)-1,
  _xlpm.r,OFFSET($BK$2,0,_xlpm.k,ROWS($Y$2:$BK$1000),1),
  _xlpm.v,_xlfn._xlws.FILTER(_xlpm.r,ISNUMBER(_xlpm.r)),
  IF(COUNT(_xlpm.v)=0,NA(),_xlfn.PERCENTILE.INC(_xlpm.v,0.75))
)</f>
        <v>#N/A</v>
      </c>
      <c r="CK15" t="e" cm="1">
        <f t="array" aca="1" ref="CK15" ca="1">_xlfn.LET(
  _xlpm.k,ROW(A14)-1,
  _xlpm.r,OFFSET($BK$2,0,_xlpm.k,ROWS($Y$2:$BK$1000),1),
  _xlpm.v,_xlfn._xlws.FILTER(_xlpm.r,ISNUMBER(_xlpm.r)),
  IF(COUNT(_xlpm.v)=0,NA(),MAX(_xlpm.v))
)</f>
        <v>#N/A</v>
      </c>
      <c r="CL15" t="e" cm="1" vm="1">
        <f t="array" aca="1" ref="CL15" ca="1">_xlfn.LET(_xlpm.r,OFFSET($BK$2,0,ROW(A14)-1,ROWS($Y$2:$BK$1000),1),
    _xlpm.v,_xlfn._xlws.FILTER(_xlpm.r,ISNUMBER(_xlpm.r)),
    _xlfn.PERCENTILE.INC(_xlpm.v,0.25))</f>
        <v>#VALUE!</v>
      </c>
      <c r="CM15" t="e" cm="1" vm="1">
        <f t="array" aca="1" ref="CM15" ca="1">_xlfn.LET(_xlpm.r,OFFSET($BK$2,0,ROW(A14)-1,ROWS($BK$2:$BK$1000),1),
    _xlpm.v,_xlfn._xlws.FILTER(_xlpm.r,ISNUMBER(_xlpm.r)),
    _xlfn.PERCENTILE.INC(_xlpm.v,0.5)-_xlfn.PERCENTILE.INC(_xlpm.v,0.25))</f>
        <v>#VALUE!</v>
      </c>
      <c r="CN15" t="e" cm="1" vm="1">
        <f t="array" aca="1" ref="CN15" ca="1">_xlfn.LET(_xlpm.r,OFFSET($BK$2,0,ROW(A14)-1,ROWS($BK$2:$BK$1000),1),
    _xlpm.v,_xlfn._xlws.FILTER(_xlpm.r,ISNUMBER(_xlpm.r)),
    _xlfn.PERCENTILE.INC(_xlpm.v,0.75)-_xlfn.PERCENTILE.INC(_xlpm.v,0.5))</f>
        <v>#VALUE!</v>
      </c>
      <c r="CO15" t="e" cm="1" vm="1">
        <f t="array" aca="1" ref="CO15" ca="1">_xlfn.LET(_xlpm.r,OFFSET($BK$2,0,ROW(A14)-1,ROWS($BK$2:$BK$1000),1),
    _xlpm.v,_xlfn._xlws.FILTER(_xlpm.r,ISNUMBER(_xlpm.r)),
    MAX(_xlpm.v)-_xlfn.PERCENTILE.INC(_xlpm.v,0.75))</f>
        <v>#VALUE!</v>
      </c>
      <c r="CP15" t="e" cm="1" vm="1">
        <f t="array" aca="1" ref="CP15" ca="1">_xlfn.LET(_xlpm.r,OFFSET($BK$2,0,ROW(A14)-1,ROWS($BK$2:$BK$1000),1),
    _xlpm.v,_xlfn._xlws.FILTER(_xlpm.r,ISNUMBER(_xlpm.r)),
    _xlfn.PERCENTILE.INC(_xlpm.v,0.25)-MIN(_xlpm.v))</f>
        <v>#VALUE!</v>
      </c>
      <c r="CQ15" t="e" cm="1" vm="1">
        <f t="array" aca="1" ref="CQ15" ca="1">_xlfn.LET(_xlpm.r,OFFSET($BK$2,0,ROW(A14)-1,ROWS($BK$2:$BK$1000),1),
    _xlpm.v,_xlfn._xlws.FILTER(_xlpm.r,ISNUMBER(_xlpm.r)),
    MAX(_xlpm.v)-_xlfn.PERCENTILE.INC(_xlpm.v,0.75))</f>
        <v>#VALUE!</v>
      </c>
      <c r="CR15" t="e">
        <f t="shared" ca="1" si="12"/>
        <v>#N/A</v>
      </c>
      <c r="CS15">
        <v>0</v>
      </c>
      <c r="CT15" t="e">
        <f t="shared" ca="1" si="13"/>
        <v>#N/A</v>
      </c>
      <c r="CU15">
        <v>4915.3027074231395</v>
      </c>
      <c r="CV15">
        <v>6</v>
      </c>
      <c r="DH15">
        <v>11655.186138911624</v>
      </c>
      <c r="DJ15">
        <v>5551.5801695559621</v>
      </c>
      <c r="DK15">
        <v>15856.519626291001</v>
      </c>
      <c r="EH15">
        <v>3530.6284466440125</v>
      </c>
      <c r="EI15" s="126">
        <v>3</v>
      </c>
    </row>
    <row r="16" spans="1:139">
      <c r="A16" t="s">
        <v>518</v>
      </c>
      <c r="B16" t="s">
        <v>522</v>
      </c>
      <c r="C16" t="s">
        <v>57</v>
      </c>
      <c r="D16" t="e" cm="1">
        <f t="array" ref="D16">_xlfn.LET(
 _xlpm.A,$A16,_xlpm.B,$B16,_xlpm.C,$C16,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6" t="e" cm="1">
        <f t="array" ref="E16">_xlfn.LET(
 _xlpm.A,$A16,_xlpm.B,$B16,_xlpm.C,$C16,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6" t="e" cm="1">
        <f t="array" ref="F16">_xlfn.LET(
 _xlpm.A,$A16,_xlpm.B,$B16,_xlpm.C,$C16,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6" t="e" cm="1">
        <f t="array" ref="G16">_xlfn.LET(
 _xlpm.A,$A16,_xlpm.B,$B16,_xlpm.C,$C16,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6" t="e">
        <f t="shared" si="2"/>
        <v>#N/A</v>
      </c>
      <c r="I16">
        <f t="shared" si="3"/>
        <v>15</v>
      </c>
      <c r="J16" t="e">
        <f t="shared" si="4"/>
        <v>#N/A</v>
      </c>
      <c r="K16" t="e">
        <f t="shared" si="5"/>
        <v>#N/A</v>
      </c>
      <c r="L16" t="e">
        <f t="shared" si="6"/>
        <v>#N/A</v>
      </c>
      <c r="M16" t="e">
        <f t="shared" si="7"/>
        <v>#N/A</v>
      </c>
      <c r="N16" t="e">
        <f t="shared" si="8"/>
        <v>#N/A</v>
      </c>
      <c r="O16" t="e" cm="1">
        <f t="array" ref="O16">_xlfn.LET(
 _xlpm.A,$A16,_xlpm.B,$B16,_xlpm.C,$C16,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6" t="str">
        <f t="shared" si="9"/>
        <v/>
      </c>
      <c r="AB16">
        <v>11863.247660672429</v>
      </c>
      <c r="AD16">
        <v>5307.7629081632658</v>
      </c>
      <c r="AE16">
        <v>2519.3719612638824</v>
      </c>
      <c r="AJ16" s="120"/>
      <c r="AK16" s="120"/>
      <c r="AZ16">
        <v>13453.438306200078</v>
      </c>
      <c r="BA16">
        <v>4</v>
      </c>
      <c r="BG16" t="s">
        <v>552</v>
      </c>
      <c r="BH16" t="s">
        <v>518</v>
      </c>
      <c r="BI16" t="s">
        <v>522</v>
      </c>
      <c r="BJ16" t="s">
        <v>57</v>
      </c>
      <c r="BN16">
        <v>11863.247660672429</v>
      </c>
      <c r="BP16">
        <v>4112.2052264808362</v>
      </c>
      <c r="CD16">
        <f t="shared" si="1"/>
        <v>15</v>
      </c>
      <c r="CE16" t="e" cm="1">
        <f t="array" aca="1" ref="CE16" ca="1">_xlfn.LET(
  _xlpm.r,OFFSET($BK$2,0,ROW(A15)-1,ROWS($Y$2:$BK$1000),1),
  _xlpm.v,_xlfn._xlws.FILTER(_xlpm.r,ISNUMBER(_xlpm.r)),
  IF(COUNT(_xlpm.v)=0,NA(),_xlfn.PERCENTILE.INC(_xlpm.v,0.975))
)</f>
        <v>#N/A</v>
      </c>
      <c r="CF16" s="13" t="e" cm="1">
        <f t="array" ref="CF16">_xlfn.LET(
  _xlpm.hdr, $BK$1:$CC$1,               _xlpm.k,   _xlfn.XMATCH($BG16,_xlpm.hdr,0),
  _xlpm.col, INDEX($BK$2:$CC$1000,,_xlpm.k),
  _xlpm.v,   _xlfn._xlws.FILTER(_xlpm.col,ISNUMBER(_xlpm.col)),
  IF(COUNT(_xlpm.v)=0, NA(), AVERAGE(_xlpm.v))
)</f>
        <v>#N/A</v>
      </c>
      <c r="CG16" t="e" cm="1">
        <f t="array" aca="1" ref="CG16" ca="1">_xlfn.LET(
  _xlpm.k,ROW(A15)-1,
  _xlpm.r,OFFSET($BK$2,0,_xlpm.k,ROWS($Y$2:$BK$1000),1),
  _xlpm.v,_xlfn._xlws.FILTER(_xlpm.r,ISNUMBER(_xlpm.r)),
  IF(COUNT(_xlpm.v)=0,NA(),MIN(_xlpm.v))
)</f>
        <v>#N/A</v>
      </c>
      <c r="CH16" t="e" cm="1">
        <f t="array" aca="1" ref="CH16" ca="1">_xlfn.LET(
  _xlpm.k,ROW(A15)-1,
  _xlpm.r,OFFSET($BK$2,0,_xlpm.k,ROWS($Y$2:$BK$1000),1),
  _xlpm.v,_xlfn._xlws.FILTER(_xlpm.r,ISNUMBER(_xlpm.r)),
  IF(COUNT(_xlpm.v)=0,NA(),_xlfn.PERCENTILE.INC(_xlpm.v,0.25))
)</f>
        <v>#N/A</v>
      </c>
      <c r="CI16" t="e" cm="1">
        <f t="array" aca="1" ref="CI16" ca="1">_xlfn.LET(
  _xlpm.k,ROW(B15)-1,
  _xlpm.r,OFFSET($BK$2,0,_xlpm.k,ROWS($Y$2:$BK$1000),1),
  _xlpm.v,_xlfn._xlws.FILTER(_xlpm.r,ISNUMBER(_xlpm.r)),
  IF(COUNT(_xlpm.v)=0,NA(),_xlfn.PERCENTILE.INC(_xlpm.v,0.5))
)</f>
        <v>#N/A</v>
      </c>
      <c r="CJ16" t="e" cm="1">
        <f t="array" aca="1" ref="CJ16" ca="1">_xlfn.LET(
  _xlpm.k,ROW(C15)-1,
  _xlpm.r,OFFSET($BK$2,0,_xlpm.k,ROWS($Y$2:$BK$1000),1),
  _xlpm.v,_xlfn._xlws.FILTER(_xlpm.r,ISNUMBER(_xlpm.r)),
  IF(COUNT(_xlpm.v)=0,NA(),_xlfn.PERCENTILE.INC(_xlpm.v,0.75))
)</f>
        <v>#N/A</v>
      </c>
      <c r="CK16" t="e" cm="1">
        <f t="array" aca="1" ref="CK16" ca="1">_xlfn.LET(
  _xlpm.k,ROW(A15)-1,
  _xlpm.r,OFFSET($BK$2,0,_xlpm.k,ROWS($Y$2:$BK$1000),1),
  _xlpm.v,_xlfn._xlws.FILTER(_xlpm.r,ISNUMBER(_xlpm.r)),
  IF(COUNT(_xlpm.v)=0,NA(),MAX(_xlpm.v))
)</f>
        <v>#N/A</v>
      </c>
      <c r="CL16" t="e" cm="1" vm="1">
        <f t="array" aca="1" ref="CL16" ca="1">_xlfn.LET(_xlpm.r,OFFSET($BK$2,0,ROW(A15)-1,ROWS($Y$2:$BK$1000),1),
    _xlpm.v,_xlfn._xlws.FILTER(_xlpm.r,ISNUMBER(_xlpm.r)),
    _xlfn.PERCENTILE.INC(_xlpm.v,0.25))</f>
        <v>#VALUE!</v>
      </c>
      <c r="CM16" t="e" cm="1" vm="1">
        <f t="array" aca="1" ref="CM16" ca="1">_xlfn.LET(_xlpm.r,OFFSET($BK$2,0,ROW(A15)-1,ROWS($BK$2:$BK$1000),1),
    _xlpm.v,_xlfn._xlws.FILTER(_xlpm.r,ISNUMBER(_xlpm.r)),
    _xlfn.PERCENTILE.INC(_xlpm.v,0.5)-_xlfn.PERCENTILE.INC(_xlpm.v,0.25))</f>
        <v>#VALUE!</v>
      </c>
      <c r="CN16" t="e" cm="1" vm="1">
        <f t="array" aca="1" ref="CN16" ca="1">_xlfn.LET(_xlpm.r,OFFSET($BK$2,0,ROW(A15)-1,ROWS($BK$2:$BK$1000),1),
    _xlpm.v,_xlfn._xlws.FILTER(_xlpm.r,ISNUMBER(_xlpm.r)),
    _xlfn.PERCENTILE.INC(_xlpm.v,0.75)-_xlfn.PERCENTILE.INC(_xlpm.v,0.5))</f>
        <v>#VALUE!</v>
      </c>
      <c r="CO16" t="e" cm="1" vm="1">
        <f t="array" aca="1" ref="CO16" ca="1">_xlfn.LET(_xlpm.r,OFFSET($BK$2,0,ROW(A15)-1,ROWS($BK$2:$BK$1000),1),
    _xlpm.v,_xlfn._xlws.FILTER(_xlpm.r,ISNUMBER(_xlpm.r)),
    MAX(_xlpm.v)-_xlfn.PERCENTILE.INC(_xlpm.v,0.75))</f>
        <v>#VALUE!</v>
      </c>
      <c r="CP16" t="e" cm="1" vm="1">
        <f t="array" aca="1" ref="CP16" ca="1">_xlfn.LET(_xlpm.r,OFFSET($BK$2,0,ROW(A15)-1,ROWS($BK$2:$BK$1000),1),
    _xlpm.v,_xlfn._xlws.FILTER(_xlpm.r,ISNUMBER(_xlpm.r)),
    _xlfn.PERCENTILE.INC(_xlpm.v,0.25)-MIN(_xlpm.v))</f>
        <v>#VALUE!</v>
      </c>
      <c r="CQ16" t="e" cm="1" vm="1">
        <f t="array" aca="1" ref="CQ16" ca="1">_xlfn.LET(_xlpm.r,OFFSET($BK$2,0,ROW(A15)-1,ROWS($BK$2:$BK$1000),1),
    _xlpm.v,_xlfn._xlws.FILTER(_xlpm.r,ISNUMBER(_xlpm.r)),
    MAX(_xlpm.v)-_xlfn.PERCENTILE.INC(_xlpm.v,0.75))</f>
        <v>#VALUE!</v>
      </c>
      <c r="CR16" t="e">
        <f t="shared" ca="1" si="12"/>
        <v>#N/A</v>
      </c>
      <c r="CS16">
        <v>0</v>
      </c>
      <c r="CT16" t="e">
        <f t="shared" ca="1" si="13"/>
        <v>#N/A</v>
      </c>
      <c r="CU16">
        <v>4301.7749709639957</v>
      </c>
      <c r="CV16">
        <v>7</v>
      </c>
      <c r="DA16" t="s">
        <v>533</v>
      </c>
      <c r="DH16">
        <v>11863.247660672429</v>
      </c>
      <c r="DJ16">
        <v>5307.7629081632658</v>
      </c>
      <c r="DK16">
        <v>2519.3719612638824</v>
      </c>
      <c r="EH16" s="126">
        <v>24930.510324449704</v>
      </c>
      <c r="EI16">
        <v>4</v>
      </c>
    </row>
    <row r="17" spans="1:139">
      <c r="A17" t="s">
        <v>518</v>
      </c>
      <c r="B17" t="s">
        <v>522</v>
      </c>
      <c r="C17" t="s">
        <v>52</v>
      </c>
      <c r="D17" cm="1">
        <f t="array" ref="D17">_xlfn.LET(
 _xlpm.A,$A17,_xlpm.B,$B17,_xlpm.C,$C17,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9679.6293311032641</v>
      </c>
      <c r="E17" cm="1">
        <f t="array" ref="E17">_xlfn.LET(
 _xlpm.A,$A17,_xlpm.B,$B17,_xlpm.C,$C17,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9141.6335963099918</v>
      </c>
      <c r="F17" cm="1">
        <f t="array" ref="F17">_xlfn.LET(
 _xlpm.A,$A17,_xlpm.B,$B17,_xlpm.C,$C17,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9141.6335963099918</v>
      </c>
      <c r="G17" cm="1">
        <f t="array" ref="G17">_xlfn.LET(
 _xlpm.A,$A17,_xlpm.B,$B17,_xlpm.C,$C17,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9652.7295443636012</v>
      </c>
      <c r="H17">
        <f t="shared" si="2"/>
        <v>26.899786739662886</v>
      </c>
      <c r="I17">
        <f t="shared" si="3"/>
        <v>16</v>
      </c>
      <c r="J17" t="e">
        <f t="shared" si="4"/>
        <v>#N/A</v>
      </c>
      <c r="K17" t="e">
        <f t="shared" si="5"/>
        <v>#N/A</v>
      </c>
      <c r="L17">
        <f t="shared" si="6"/>
        <v>9652.7295443636012</v>
      </c>
      <c r="M17" t="e">
        <f t="shared" si="7"/>
        <v>#N/A</v>
      </c>
      <c r="N17" t="e">
        <f t="shared" si="8"/>
        <v>#N/A</v>
      </c>
      <c r="O17" cm="1">
        <f t="array" ref="O17">_xlfn.LET(
 _xlpm.A,$A17,_xlpm.B,$B17,_xlpm.C,$C17,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2</v>
      </c>
      <c r="P17" t="str">
        <f t="shared" si="9"/>
        <v>n=2</v>
      </c>
      <c r="AB17">
        <v>6113.909565217391</v>
      </c>
      <c r="AD17">
        <v>5849.3160000000007</v>
      </c>
      <c r="AE17">
        <v>3275.3086956521738</v>
      </c>
      <c r="AJ17" s="120"/>
      <c r="AK17" s="120"/>
      <c r="AZ17">
        <v>13540.787173624165</v>
      </c>
      <c r="BA17">
        <v>4</v>
      </c>
      <c r="BG17" t="s">
        <v>553</v>
      </c>
      <c r="BH17" t="s">
        <v>518</v>
      </c>
      <c r="BI17" t="s">
        <v>522</v>
      </c>
      <c r="BJ17" t="s">
        <v>52</v>
      </c>
      <c r="BN17">
        <v>6113.909565217391</v>
      </c>
      <c r="BP17">
        <v>4154.4938617886182</v>
      </c>
      <c r="CD17">
        <f t="shared" si="1"/>
        <v>16</v>
      </c>
      <c r="CE17" cm="1">
        <f t="array" aca="1" ref="CE17" ca="1">_xlfn.LET(
  _xlpm.r,OFFSET($BK$2,0,ROW(A16)-1,ROWS($Y$2:$BK$1000),1),
  _xlpm.v,_xlfn._xlws.FILTER(_xlpm.r,ISNUMBER(_xlpm.r)),
  IF(COUNT(_xlpm.v)=0,NA(),_xlfn.PERCENTILE.INC(_xlpm.v,0.975))
)</f>
        <v>9652.7295443636012</v>
      </c>
      <c r="CF17" s="13" cm="1">
        <f t="array" ref="CF17">_xlfn.LET(
  _xlpm.hdr, $BK$1:$CC$1,               _xlpm.k,   _xlfn.XMATCH($BG17,_xlpm.hdr,0),
  _xlpm.col, INDEX($BK$2:$CC$1000,,_xlpm.k),
  _xlpm.v,   _xlfn._xlws.FILTER(_xlpm.col,ISNUMBER(_xlpm.col)),
  IF(COUNT(_xlpm.v)=0, NA(), AVERAGE(_xlpm.v))
)</f>
        <v>9141.6335963099918</v>
      </c>
      <c r="CG17" cm="1">
        <f t="array" aca="1" ref="CG17" ca="1">_xlfn.LET(
  _xlpm.k,ROW(A16)-1,
  _xlpm.r,OFFSET($BK$2,0,_xlpm.k,ROWS($Y$2:$BK$1000),1),
  _xlpm.v,_xlfn._xlws.FILTER(_xlpm.r,ISNUMBER(_xlpm.r)),
  IF(COUNT(_xlpm.v)=0,NA(),MIN(_xlpm.v))
)</f>
        <v>8603.6378615167214</v>
      </c>
      <c r="CH17" cm="1">
        <f t="array" aca="1" ref="CH17" ca="1">_xlfn.LET(
  _xlpm.k,ROW(A16)-1,
  _xlpm.r,OFFSET($BK$2,0,_xlpm.k,ROWS($Y$2:$BK$1000),1),
  _xlpm.v,_xlfn._xlws.FILTER(_xlpm.r,ISNUMBER(_xlpm.r)),
  IF(COUNT(_xlpm.v)=0,NA(),_xlfn.PERCENTILE.INC(_xlpm.v,0.25))
)</f>
        <v>8872.6357289133575</v>
      </c>
      <c r="CI17" cm="1">
        <f t="array" aca="1" ref="CI17" ca="1">_xlfn.LET(
  _xlpm.k,ROW(B16)-1,
  _xlpm.r,OFFSET($BK$2,0,_xlpm.k,ROWS($Y$2:$BK$1000),1),
  _xlpm.v,_xlfn._xlws.FILTER(_xlpm.r,ISNUMBER(_xlpm.r)),
  IF(COUNT(_xlpm.v)=0,NA(),_xlfn.PERCENTILE.INC(_xlpm.v,0.5))
)</f>
        <v>9141.6335963099918</v>
      </c>
      <c r="CJ17" cm="1">
        <f t="array" aca="1" ref="CJ17" ca="1">_xlfn.LET(
  _xlpm.k,ROW(C16)-1,
  _xlpm.r,OFFSET($BK$2,0,_xlpm.k,ROWS($Y$2:$BK$1000),1),
  _xlpm.v,_xlfn._xlws.FILTER(_xlpm.r,ISNUMBER(_xlpm.r)),
  IF(COUNT(_xlpm.v)=0,NA(),_xlfn.PERCENTILE.INC(_xlpm.v,0.75))
)</f>
        <v>9410.631463706628</v>
      </c>
      <c r="CK17" cm="1">
        <f t="array" aca="1" ref="CK17" ca="1">_xlfn.LET(
  _xlpm.k,ROW(A16)-1,
  _xlpm.r,OFFSET($BK$2,0,_xlpm.k,ROWS($Y$2:$BK$1000),1),
  _xlpm.v,_xlfn._xlws.FILTER(_xlpm.r,ISNUMBER(_xlpm.r)),
  IF(COUNT(_xlpm.v)=0,NA(),MAX(_xlpm.v))
)</f>
        <v>9679.6293311032641</v>
      </c>
      <c r="CL17" cm="1">
        <f t="array" aca="1" ref="CL17" ca="1">_xlfn.LET(_xlpm.r,OFFSET($BK$2,0,ROW(A16)-1,ROWS($Y$2:$BK$1000),1),
    _xlpm.v,_xlfn._xlws.FILTER(_xlpm.r,ISNUMBER(_xlpm.r)),
    _xlfn.PERCENTILE.INC(_xlpm.v,0.25))</f>
        <v>8872.6357289133575</v>
      </c>
      <c r="CM17" cm="1">
        <f t="array" aca="1" ref="CM17" ca="1">_xlfn.LET(_xlpm.r,OFFSET($BK$2,0,ROW(A16)-1,ROWS($BK$2:$BK$1000),1),
    _xlpm.v,_xlfn._xlws.FILTER(_xlpm.r,ISNUMBER(_xlpm.r)),
    _xlfn.PERCENTILE.INC(_xlpm.v,0.5)-_xlfn.PERCENTILE.INC(_xlpm.v,0.25))</f>
        <v>268.99786739663432</v>
      </c>
      <c r="CN17" cm="1">
        <f t="array" aca="1" ref="CN17" ca="1">_xlfn.LET(_xlpm.r,OFFSET($BK$2,0,ROW(A16)-1,ROWS($BK$2:$BK$1000),1),
    _xlpm.v,_xlfn._xlws.FILTER(_xlpm.r,ISNUMBER(_xlpm.r)),
    _xlfn.PERCENTILE.INC(_xlpm.v,0.75)-_xlfn.PERCENTILE.INC(_xlpm.v,0.5))</f>
        <v>268.99786739663614</v>
      </c>
      <c r="CO17" cm="1">
        <f t="array" aca="1" ref="CO17" ca="1">_xlfn.LET(_xlpm.r,OFFSET($BK$2,0,ROW(A16)-1,ROWS($BK$2:$BK$1000),1),
    _xlpm.v,_xlfn._xlws.FILTER(_xlpm.r,ISNUMBER(_xlpm.r)),
    MAX(_xlpm.v)-_xlfn.PERCENTILE.INC(_xlpm.v,0.75))</f>
        <v>268.99786739663614</v>
      </c>
      <c r="CP17" cm="1">
        <f t="array" aca="1" ref="CP17" ca="1">_xlfn.LET(_xlpm.r,OFFSET($BK$2,0,ROW(A16)-1,ROWS($BK$2:$BK$1000),1),
    _xlpm.v,_xlfn._xlws.FILTER(_xlpm.r,ISNUMBER(_xlpm.r)),
    _xlfn.PERCENTILE.INC(_xlpm.v,0.25)-MIN(_xlpm.v))</f>
        <v>268.99786739663614</v>
      </c>
      <c r="CQ17" cm="1">
        <f t="array" aca="1" ref="CQ17" ca="1">_xlfn.LET(_xlpm.r,OFFSET($BK$2,0,ROW(A16)-1,ROWS($BK$2:$BK$1000),1),
    _xlpm.v,_xlfn._xlws.FILTER(_xlpm.r,ISNUMBER(_xlpm.r)),
    MAX(_xlpm.v)-_xlfn.PERCENTILE.INC(_xlpm.v,0.75))</f>
        <v>268.99786739663614</v>
      </c>
      <c r="CR17">
        <f t="shared" ca="1" si="12"/>
        <v>268.99786739663614</v>
      </c>
      <c r="CS17">
        <v>0</v>
      </c>
      <c r="CT17">
        <f t="shared" ca="1" si="13"/>
        <v>268.99786739663614</v>
      </c>
      <c r="CU17">
        <v>5882.8595673719446</v>
      </c>
      <c r="CV17">
        <v>9</v>
      </c>
      <c r="DA17" t="s">
        <v>534</v>
      </c>
      <c r="DH17">
        <v>6113.909565217391</v>
      </c>
      <c r="DJ17">
        <v>5849.3160000000007</v>
      </c>
      <c r="DK17">
        <v>3275.3086956521738</v>
      </c>
      <c r="EH17" s="126">
        <v>5882.8595673719446</v>
      </c>
      <c r="EI17">
        <v>5</v>
      </c>
    </row>
    <row r="18" spans="1:139">
      <c r="A18" t="s">
        <v>520</v>
      </c>
      <c r="B18" t="s">
        <v>470</v>
      </c>
      <c r="C18" t="s">
        <v>32</v>
      </c>
      <c r="D18" t="e" cm="1">
        <f t="array" ref="D18">_xlfn.LET(
 _xlpm.A,$A18,_xlpm.B,$B18,_xlpm.C,$C18,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8" t="e" cm="1">
        <f t="array" ref="E18">_xlfn.LET(
 _xlpm.A,$A18,_xlpm.B,$B18,_xlpm.C,$C18,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8" t="e" cm="1">
        <f t="array" ref="F18">_xlfn.LET(
 _xlpm.A,$A18,_xlpm.B,$B18,_xlpm.C,$C18,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8" t="e" cm="1">
        <f t="array" ref="G18">_xlfn.LET(
 _xlpm.A,$A18,_xlpm.B,$B18,_xlpm.C,$C18,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8" t="e">
        <f>MAX($D18-$G18,0)</f>
        <v>#N/A</v>
      </c>
      <c r="I18">
        <f t="shared" si="3"/>
        <v>17</v>
      </c>
      <c r="J18" t="e">
        <f t="shared" si="4"/>
        <v>#N/A</v>
      </c>
      <c r="K18" t="e">
        <f t="shared" si="5"/>
        <v>#N/A</v>
      </c>
      <c r="L18" t="e">
        <f t="shared" si="6"/>
        <v>#N/A</v>
      </c>
      <c r="M18" t="e">
        <f t="shared" si="7"/>
        <v>#N/A</v>
      </c>
      <c r="N18" t="e">
        <f t="shared" si="8"/>
        <v>#N/A</v>
      </c>
      <c r="O18" t="e" cm="1">
        <f t="array" ref="O18">_xlfn.LET(
 _xlpm.A,$A18,_xlpm.B,$B18,_xlpm.C,$C18,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8" t="str">
        <f t="shared" si="9"/>
        <v/>
      </c>
      <c r="AB18">
        <v>11642.797253594323</v>
      </c>
      <c r="AD18">
        <v>3767.7683610121167</v>
      </c>
      <c r="AJ18" s="120"/>
      <c r="AK18" s="120"/>
      <c r="AZ18">
        <v>11570.710845447591</v>
      </c>
      <c r="BA18">
        <v>4</v>
      </c>
      <c r="BG18" t="s">
        <v>681</v>
      </c>
      <c r="BH18" t="s">
        <v>520</v>
      </c>
      <c r="BI18" t="s">
        <v>470</v>
      </c>
      <c r="BJ18" t="s">
        <v>32</v>
      </c>
      <c r="BN18">
        <v>11642.797253594323</v>
      </c>
      <c r="BP18">
        <v>4182.2002090592341</v>
      </c>
      <c r="CD18">
        <f t="shared" si="1"/>
        <v>17</v>
      </c>
      <c r="CE18" t="e" cm="1">
        <f t="array" aca="1" ref="CE18" ca="1">_xlfn.LET(
  _xlpm.r,OFFSET($BK$2,0,ROW(A17)-1,ROWS($Y$2:$BK$1000),1),
  _xlpm.v,_xlfn._xlws.FILTER(_xlpm.r,ISNUMBER(_xlpm.r)),
  IF(COUNT(_xlpm.v)=0,NA(),_xlfn.PERCENTILE.INC(_xlpm.v,0.975))
)</f>
        <v>#N/A</v>
      </c>
      <c r="CF18" s="13" t="e" cm="1">
        <f t="array" ref="CF18">_xlfn.LET(
  _xlpm.hdr, $BK$1:$CC$1,               _xlpm.k,   _xlfn.XMATCH($BG18,_xlpm.hdr,0),
  _xlpm.col, INDEX($BK$2:$CC$1000,,_xlpm.k),
  _xlpm.v,   _xlfn._xlws.FILTER(_xlpm.col,ISNUMBER(_xlpm.col)),
  IF(COUNT(_xlpm.v)=0, NA(), AVERAGE(_xlpm.v))
)</f>
        <v>#N/A</v>
      </c>
      <c r="CG18" t="e" cm="1">
        <f t="array" aca="1" ref="CG18" ca="1">_xlfn.LET(
  _xlpm.k,ROW(A17)-1,
  _xlpm.r,OFFSET($BK$2,0,_xlpm.k,ROWS($Y$2:$BK$1000),1),
  _xlpm.v,_xlfn._xlws.FILTER(_xlpm.r,ISNUMBER(_xlpm.r)),
  IF(COUNT(_xlpm.v)=0,NA(),MIN(_xlpm.v))
)</f>
        <v>#N/A</v>
      </c>
      <c r="CH18" t="e" cm="1">
        <f t="array" aca="1" ref="CH18" ca="1">_xlfn.LET(
  _xlpm.k,ROW(A17)-1,
  _xlpm.r,OFFSET($BK$2,0,_xlpm.k,ROWS($Y$2:$BK$1000),1),
  _xlpm.v,_xlfn._xlws.FILTER(_xlpm.r,ISNUMBER(_xlpm.r)),
  IF(COUNT(_xlpm.v)=0,NA(),_xlfn.PERCENTILE.INC(_xlpm.v,0.25))
)</f>
        <v>#N/A</v>
      </c>
      <c r="CI18" t="e" cm="1">
        <f t="array" aca="1" ref="CI18" ca="1">_xlfn.LET(
  _xlpm.k,ROW(B17)-1,
  _xlpm.r,OFFSET($BK$2,0,_xlpm.k,ROWS($Y$2:$BK$1000),1),
  _xlpm.v,_xlfn._xlws.FILTER(_xlpm.r,ISNUMBER(_xlpm.r)),
  IF(COUNT(_xlpm.v)=0,NA(),_xlfn.PERCENTILE.INC(_xlpm.v,0.5))
)</f>
        <v>#N/A</v>
      </c>
      <c r="CJ18" t="e" cm="1">
        <f t="array" aca="1" ref="CJ18" ca="1">_xlfn.LET(
  _xlpm.k,ROW(C17)-1,
  _xlpm.r,OFFSET($BK$2,0,_xlpm.k,ROWS($Y$2:$BK$1000),1),
  _xlpm.v,_xlfn._xlws.FILTER(_xlpm.r,ISNUMBER(_xlpm.r)),
  IF(COUNT(_xlpm.v)=0,NA(),_xlfn.PERCENTILE.INC(_xlpm.v,0.75))
)</f>
        <v>#N/A</v>
      </c>
      <c r="CK18" t="e" cm="1">
        <f t="array" aca="1" ref="CK18" ca="1">_xlfn.LET(
  _xlpm.k,ROW(A17)-1,
  _xlpm.r,OFFSET($BK$2,0,_xlpm.k,ROWS($Y$2:$BK$1000),1),
  _xlpm.v,_xlfn._xlws.FILTER(_xlpm.r,ISNUMBER(_xlpm.r)),
  IF(COUNT(_xlpm.v)=0,NA(),MAX(_xlpm.v))
)</f>
        <v>#N/A</v>
      </c>
      <c r="CL18" t="e" cm="1" vm="1">
        <f t="array" aca="1" ref="CL18" ca="1">_xlfn.LET(_xlpm.r,OFFSET($BK$2,0,ROW(A17)-1,ROWS($Y$2:$BK$1000),1),
    _xlpm.v,_xlfn._xlws.FILTER(_xlpm.r,ISNUMBER(_xlpm.r)),
    _xlfn.PERCENTILE.INC(_xlpm.v,0.25))</f>
        <v>#VALUE!</v>
      </c>
      <c r="CM18" t="e" cm="1" vm="1">
        <f t="array" aca="1" ref="CM18" ca="1">_xlfn.LET(_xlpm.r,OFFSET($BK$2,0,ROW(A17)-1,ROWS($BK$2:$BK$1000),1),
    _xlpm.v,_xlfn._xlws.FILTER(_xlpm.r,ISNUMBER(_xlpm.r)),
    _xlfn.PERCENTILE.INC(_xlpm.v,0.5)-_xlfn.PERCENTILE.INC(_xlpm.v,0.25))</f>
        <v>#VALUE!</v>
      </c>
      <c r="CN18" t="e" cm="1" vm="1">
        <f t="array" aca="1" ref="CN18" ca="1">_xlfn.LET(_xlpm.r,OFFSET($BK$2,0,ROW(A17)-1,ROWS($BK$2:$BK$1000),1),
    _xlpm.v,_xlfn._xlws.FILTER(_xlpm.r,ISNUMBER(_xlpm.r)),
    _xlfn.PERCENTILE.INC(_xlpm.v,0.75)-_xlfn.PERCENTILE.INC(_xlpm.v,0.5))</f>
        <v>#VALUE!</v>
      </c>
      <c r="CO18" t="e" cm="1" vm="1">
        <f t="array" aca="1" ref="CO18" ca="1">_xlfn.LET(_xlpm.r,OFFSET($BK$2,0,ROW(A17)-1,ROWS($BK$2:$BK$1000),1),
    _xlpm.v,_xlfn._xlws.FILTER(_xlpm.r,ISNUMBER(_xlpm.r)),
    MAX(_xlpm.v)-_xlfn.PERCENTILE.INC(_xlpm.v,0.75))</f>
        <v>#VALUE!</v>
      </c>
      <c r="CP18" t="e" cm="1" vm="1">
        <f t="array" aca="1" ref="CP18" ca="1">_xlfn.LET(_xlpm.r,OFFSET($BK$2,0,ROW(A17)-1,ROWS($BK$2:$BK$1000),1),
    _xlpm.v,_xlfn._xlws.FILTER(_xlpm.r,ISNUMBER(_xlpm.r)),
    _xlfn.PERCENTILE.INC(_xlpm.v,0.25)-MIN(_xlpm.v))</f>
        <v>#VALUE!</v>
      </c>
      <c r="CQ18" t="e" cm="1" vm="1">
        <f t="array" aca="1" ref="CQ18" ca="1">_xlfn.LET(_xlpm.r,OFFSET($BK$2,0,ROW(A17)-1,ROWS($BK$2:$BK$1000),1),
    _xlpm.v,_xlfn._xlws.FILTER(_xlpm.r,ISNUMBER(_xlpm.r)),
    MAX(_xlpm.v)-_xlfn.PERCENTILE.INC(_xlpm.v,0.75))</f>
        <v>#VALUE!</v>
      </c>
      <c r="CR18" t="e">
        <f t="shared" ca="1" si="12"/>
        <v>#N/A</v>
      </c>
      <c r="CS18">
        <v>0</v>
      </c>
      <c r="CT18" t="e">
        <f t="shared" ca="1" si="13"/>
        <v>#N/A</v>
      </c>
      <c r="CU18">
        <v>3034.2095833333333</v>
      </c>
      <c r="CV18">
        <v>13</v>
      </c>
      <c r="DA18" t="s">
        <v>535</v>
      </c>
      <c r="DH18">
        <v>11642.797253594323</v>
      </c>
      <c r="DJ18">
        <v>3767.7683610121167</v>
      </c>
      <c r="EH18" s="126">
        <v>4915.3027074231395</v>
      </c>
      <c r="EI18">
        <v>6</v>
      </c>
    </row>
    <row r="19" spans="1:139">
      <c r="A19" t="s">
        <v>520</v>
      </c>
      <c r="B19" t="s">
        <v>470</v>
      </c>
      <c r="C19" t="s">
        <v>57</v>
      </c>
      <c r="D19" t="e" cm="1">
        <f t="array" ref="D19">_xlfn.LET(
 _xlpm.A,$A19,_xlpm.B,$B19,_xlpm.C,$C19,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#N/A</v>
      </c>
      <c r="E19" t="e" cm="1">
        <f t="array" ref="E19">_xlfn.LET(
 _xlpm.A,$A19,_xlpm.B,$B19,_xlpm.C,$C19,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9" t="e" cm="1">
        <f t="array" ref="F19">_xlfn.LET(
 _xlpm.A,$A19,_xlpm.B,$B19,_xlpm.C,$C19,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9" t="e" cm="1">
        <f t="array" ref="G19">_xlfn.LET(
 _xlpm.A,$A19,_xlpm.B,$B19,_xlpm.C,$C19,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9" t="e">
        <f t="shared" si="2"/>
        <v>#N/A</v>
      </c>
      <c r="I19">
        <f t="shared" si="3"/>
        <v>18</v>
      </c>
      <c r="J19" t="e">
        <f t="shared" si="4"/>
        <v>#N/A</v>
      </c>
      <c r="K19" t="e">
        <f t="shared" si="5"/>
        <v>#N/A</v>
      </c>
      <c r="L19" t="e">
        <f t="shared" si="6"/>
        <v>#N/A</v>
      </c>
      <c r="M19" t="e">
        <f t="shared" si="7"/>
        <v>#N/A</v>
      </c>
      <c r="N19" t="e">
        <f t="shared" si="8"/>
        <v>#N/A</v>
      </c>
      <c r="O19" t="e" cm="1">
        <f t="array" ref="O19">_xlfn.LET(
 _xlpm.A,$A19,_xlpm.B,$B19,_xlpm.C,$C19,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#N/A</v>
      </c>
      <c r="P19" t="str">
        <f t="shared" si="9"/>
        <v/>
      </c>
      <c r="AB19">
        <v>29106.993133985809</v>
      </c>
      <c r="AD19">
        <v>4112.2052264808362</v>
      </c>
      <c r="AJ19" s="120"/>
      <c r="AK19" s="120"/>
      <c r="AZ19">
        <v>5343.4791208735915</v>
      </c>
      <c r="BA19">
        <v>4</v>
      </c>
      <c r="BG19" t="s">
        <v>682</v>
      </c>
      <c r="BH19" t="s">
        <v>520</v>
      </c>
      <c r="BI19" t="s">
        <v>470</v>
      </c>
      <c r="BJ19" t="s">
        <v>57</v>
      </c>
      <c r="BN19">
        <v>29106.993133985809</v>
      </c>
      <c r="BP19">
        <v>5745.4214866434386</v>
      </c>
      <c r="CD19">
        <f t="shared" si="1"/>
        <v>18</v>
      </c>
      <c r="CE19" t="e" cm="1">
        <f t="array" aca="1" ref="CE19" ca="1">_xlfn.LET(
  _xlpm.r,OFFSET($BK$2,0,ROW(A18)-1,ROWS($Y$2:$BK$1000),1),
  _xlpm.v,_xlfn._xlws.FILTER(_xlpm.r,ISNUMBER(_xlpm.r)),
  IF(COUNT(_xlpm.v)=0,NA(),_xlfn.PERCENTILE.INC(_xlpm.v,0.975))
)</f>
        <v>#N/A</v>
      </c>
      <c r="CF19" s="13" t="e" cm="1">
        <f t="array" ref="CF19">_xlfn.LET(
  _xlpm.hdr, $BK$1:$CC$1,               _xlpm.k,   _xlfn.XMATCH($BG19,_xlpm.hdr,0),
  _xlpm.col, INDEX($BK$2:$CC$1000,,_xlpm.k),
  _xlpm.v,   _xlfn._xlws.FILTER(_xlpm.col,ISNUMBER(_xlpm.col)),
  IF(COUNT(_xlpm.v)=0, NA(), AVERAGE(_xlpm.v))
)</f>
        <v>#N/A</v>
      </c>
      <c r="CG19" t="e" cm="1">
        <f t="array" aca="1" ref="CG19" ca="1">_xlfn.LET(
  _xlpm.k,ROW(A18)-1,
  _xlpm.r,OFFSET($BK$2,0,_xlpm.k,ROWS($Y$2:$BK$1000),1),
  _xlpm.v,_xlfn._xlws.FILTER(_xlpm.r,ISNUMBER(_xlpm.r)),
  IF(COUNT(_xlpm.v)=0,NA(),MIN(_xlpm.v))
)</f>
        <v>#N/A</v>
      </c>
      <c r="CH19" t="e" cm="1">
        <f t="array" aca="1" ref="CH19" ca="1">_xlfn.LET(
  _xlpm.k,ROW(A18)-1,
  _xlpm.r,OFFSET($BK$2,0,_xlpm.k,ROWS($Y$2:$BK$1000),1),
  _xlpm.v,_xlfn._xlws.FILTER(_xlpm.r,ISNUMBER(_xlpm.r)),
  IF(COUNT(_xlpm.v)=0,NA(),_xlfn.PERCENTILE.INC(_xlpm.v,0.25))
)</f>
        <v>#N/A</v>
      </c>
      <c r="CI19" t="e" cm="1">
        <f t="array" aca="1" ref="CI19" ca="1">_xlfn.LET(
  _xlpm.k,ROW(B18)-1,
  _xlpm.r,OFFSET($BK$2,0,_xlpm.k,ROWS($Y$2:$BK$1000),1),
  _xlpm.v,_xlfn._xlws.FILTER(_xlpm.r,ISNUMBER(_xlpm.r)),
  IF(COUNT(_xlpm.v)=0,NA(),_xlfn.PERCENTILE.INC(_xlpm.v,0.5))
)</f>
        <v>#N/A</v>
      </c>
      <c r="CJ19" t="e" cm="1">
        <f t="array" aca="1" ref="CJ19" ca="1">_xlfn.LET(
  _xlpm.k,ROW(C18)-1,
  _xlpm.r,OFFSET($BK$2,0,_xlpm.k,ROWS($Y$2:$BK$1000),1),
  _xlpm.v,_xlfn._xlws.FILTER(_xlpm.r,ISNUMBER(_xlpm.r)),
  IF(COUNT(_xlpm.v)=0,NA(),_xlfn.PERCENTILE.INC(_xlpm.v,0.75))
)</f>
        <v>#N/A</v>
      </c>
      <c r="CK19" t="e" cm="1">
        <f t="array" aca="1" ref="CK19" ca="1">_xlfn.LET(
  _xlpm.k,ROW(A18)-1,
  _xlpm.r,OFFSET($BK$2,0,_xlpm.k,ROWS($Y$2:$BK$1000),1),
  _xlpm.v,_xlfn._xlws.FILTER(_xlpm.r,ISNUMBER(_xlpm.r)),
  IF(COUNT(_xlpm.v)=0,NA(),MAX(_xlpm.v))
)</f>
        <v>#N/A</v>
      </c>
      <c r="CL19" t="e" cm="1" vm="1">
        <f t="array" aca="1" ref="CL19" ca="1">_xlfn.LET(_xlpm.r,OFFSET($BK$2,0,ROW(A18)-1,ROWS($Y$2:$BK$1000),1),
    _xlpm.v,_xlfn._xlws.FILTER(_xlpm.r,ISNUMBER(_xlpm.r)),
    _xlfn.PERCENTILE.INC(_xlpm.v,0.25))</f>
        <v>#VALUE!</v>
      </c>
      <c r="CM19" t="e" cm="1" vm="1">
        <f t="array" aca="1" ref="CM19" ca="1">_xlfn.LET(_xlpm.r,OFFSET($BK$2,0,ROW(A18)-1,ROWS($BK$2:$BK$1000),1),
    _xlpm.v,_xlfn._xlws.FILTER(_xlpm.r,ISNUMBER(_xlpm.r)),
    _xlfn.PERCENTILE.INC(_xlpm.v,0.5)-_xlfn.PERCENTILE.INC(_xlpm.v,0.25))</f>
        <v>#VALUE!</v>
      </c>
      <c r="CN19" t="e" cm="1" vm="1">
        <f t="array" aca="1" ref="CN19" ca="1">_xlfn.LET(_xlpm.r,OFFSET($BK$2,0,ROW(A18)-1,ROWS($BK$2:$BK$1000),1),
    _xlpm.v,_xlfn._xlws.FILTER(_xlpm.r,ISNUMBER(_xlpm.r)),
    _xlfn.PERCENTILE.INC(_xlpm.v,0.75)-_xlfn.PERCENTILE.INC(_xlpm.v,0.5))</f>
        <v>#VALUE!</v>
      </c>
      <c r="CO19" t="e" cm="1" vm="1">
        <f t="array" aca="1" ref="CO19" ca="1">_xlfn.LET(_xlpm.r,OFFSET($BK$2,0,ROW(A18)-1,ROWS($BK$2:$BK$1000),1),
    _xlpm.v,_xlfn._xlws.FILTER(_xlpm.r,ISNUMBER(_xlpm.r)),
    MAX(_xlpm.v)-_xlfn.PERCENTILE.INC(_xlpm.v,0.75))</f>
        <v>#VALUE!</v>
      </c>
      <c r="CP19" t="e" cm="1" vm="1">
        <f t="array" aca="1" ref="CP19" ca="1">_xlfn.LET(_xlpm.r,OFFSET($BK$2,0,ROW(A18)-1,ROWS($BK$2:$BK$1000),1),
    _xlpm.v,_xlfn._xlws.FILTER(_xlpm.r,ISNUMBER(_xlpm.r)),
    _xlfn.PERCENTILE.INC(_xlpm.v,0.25)-MIN(_xlpm.v))</f>
        <v>#VALUE!</v>
      </c>
      <c r="CQ19" t="e" cm="1" vm="1">
        <f t="array" aca="1" ref="CQ19" ca="1">_xlfn.LET(_xlpm.r,OFFSET($BK$2,0,ROW(A18)-1,ROWS($BK$2:$BK$1000),1),
    _xlpm.v,_xlfn._xlws.FILTER(_xlpm.r,ISNUMBER(_xlpm.r)),
    MAX(_xlpm.v)-_xlfn.PERCENTILE.INC(_xlpm.v,0.75))</f>
        <v>#VALUE!</v>
      </c>
      <c r="CR19" t="e">
        <f t="shared" ca="1" si="12"/>
        <v>#N/A</v>
      </c>
      <c r="CS19">
        <v>0</v>
      </c>
      <c r="CT19" t="e">
        <f t="shared" ca="1" si="13"/>
        <v>#N/A</v>
      </c>
      <c r="CU19">
        <v>8603.6378615167214</v>
      </c>
      <c r="CV19">
        <v>16</v>
      </c>
      <c r="DA19" t="s">
        <v>536</v>
      </c>
      <c r="DH19">
        <v>29106.993133985809</v>
      </c>
      <c r="DJ19">
        <v>4112.2052264808362</v>
      </c>
      <c r="EH19" s="126">
        <v>4301.7749709639957</v>
      </c>
      <c r="EI19">
        <v>7</v>
      </c>
    </row>
    <row r="20" spans="1:139">
      <c r="A20" t="s">
        <v>520</v>
      </c>
      <c r="B20" t="s">
        <v>470</v>
      </c>
      <c r="C20" t="s">
        <v>52</v>
      </c>
      <c r="D20" cm="1">
        <f t="array" ref="D20">_xlfn.LET(
 _xlpm.A,$A20,_xlpm.B,$B20,_xlpm.C,$C20,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_xlpm.rf_ex,IFERROR(_xlfn.XLOOKUP(_xlpm.rt_raw,Map_Reactor[From],Map_Reactor[To],""),""),
 _xlpm.rf_wi,IFERROR(_xlfn.XLOOKUP(TRUE,ISNUMBER(SEARCH(Map_Reactor[From],_xlpm.rt_raw)),Map_Reactor[To]),""),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_xlpm.occZ,  IF(ISNUMBER(_xlpm.occ),_xlpm.occ,NA()),
 _xlpm.m, (_xlpm.cost="OCC")*_xlpm.ctOK*_xlpm.capOK*_xlpm.unitOK*(_xlpm.ct=_xlpm.A)*(_xlpm.rf=_xlpm.B)*(_xlpm.rd=_xlpm.C),
 _xlpm.v, IFERROR(_xlfn._xlws.FILTER(_xlpm.occZ,_xlpm.m),""),
 IF(COUNT(_xlpm.v)=0,NA(),MAX(_xlpm.v))
)</f>
        <v>11955.13458635234</v>
      </c>
      <c r="E20" cm="1">
        <f t="array" ref="E20">_xlfn.LET(
 _xlpm.A,$A20,_xlpm.B,$B20,_xlpm.C,$C20,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8439.7391187201483</v>
      </c>
      <c r="F20" cm="1">
        <f t="array" ref="F20">_xlfn.LET(
 _xlpm.A,$A20,_xlpm.B,$B20,_xlpm.C,$C20,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9158.1631924624417</v>
      </c>
      <c r="G20" cm="1">
        <f t="array" ref="G20">_xlfn.LET(
 _xlpm.A,$A20,_xlpm.B,$B20,_xlpm.C,$C20,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11815.286016657847</v>
      </c>
      <c r="H20">
        <f t="shared" si="2"/>
        <v>139.84856969449356</v>
      </c>
      <c r="I20">
        <f t="shared" si="3"/>
        <v>19</v>
      </c>
      <c r="J20" t="e">
        <f t="shared" si="4"/>
        <v>#N/A</v>
      </c>
      <c r="K20" t="e">
        <f t="shared" si="5"/>
        <v>#N/A</v>
      </c>
      <c r="L20">
        <f t="shared" si="6"/>
        <v>11815.286016657847</v>
      </c>
      <c r="M20" t="e">
        <f t="shared" si="7"/>
        <v>#N/A</v>
      </c>
      <c r="N20" t="e">
        <f t="shared" si="8"/>
        <v>#N/A</v>
      </c>
      <c r="O20" cm="1">
        <f t="array" ref="O20">_xlfn.LET(
 _xlpm.A,$A20,_xlpm.B,$B20,_xlpm.C,$C20,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_xlpm.m, (_xlpm.cost="OCC")*_xlpm.ctOK*_xlpm.capOK*_xlpm.unitOK*(_xlpm.ct=_xlpm.A)*(_xlpm.rf=_xlpm.B)*(_xlpm.rd=_xlpm.C),
 _xlpm.n, SUMPRODUCT(_xlpm.m*ISNUMBER(_xlpm.occ)),
 IF(_xlpm.n=0,NA(),_xlpm.n)
)</f>
        <v>3</v>
      </c>
      <c r="P20" t="str">
        <f t="shared" si="9"/>
        <v>n=3</v>
      </c>
      <c r="AD20">
        <v>4154.4938617886182</v>
      </c>
      <c r="AJ20" s="120"/>
      <c r="AK20" s="120"/>
      <c r="AZ20">
        <v>6131.3653812104103</v>
      </c>
      <c r="BA20">
        <v>4</v>
      </c>
      <c r="BG20" t="s">
        <v>683</v>
      </c>
      <c r="BH20" t="s">
        <v>520</v>
      </c>
      <c r="BI20" t="s">
        <v>470</v>
      </c>
      <c r="BJ20" t="s">
        <v>52</v>
      </c>
      <c r="BP20">
        <v>6058.9406794425095</v>
      </c>
      <c r="CD20">
        <f t="shared" si="1"/>
        <v>19</v>
      </c>
      <c r="CE20" cm="1">
        <f t="array" aca="1" ref="CE20" ca="1">_xlfn.LET(
  _xlpm.r,OFFSET($BK$2,0,ROW(A19)-1,ROWS($Y$2:$BK$1000),1),
  _xlpm.v,_xlfn._xlws.FILTER(_xlpm.r,ISNUMBER(_xlpm.r)),
  IF(COUNT(_xlpm.v)=0,NA(),_xlfn.PERCENTILE.INC(_xlpm.v,0.975))
)</f>
        <v>11815.286016657847</v>
      </c>
      <c r="CF20" s="13" cm="1">
        <f t="array" ref="CF20">_xlfn.LET(
  _xlpm.hdr, $BK$1:$CC$1,               _xlpm.k,   _xlfn.XMATCH($BG20,_xlpm.hdr,0),
  _xlpm.col, INDEX($BK$2:$CC$1000,,_xlpm.k),
  _xlpm.v,   _xlfn._xlws.FILTER(_xlpm.col,ISNUMBER(_xlpm.col)),
  IF(COUNT(_xlpm.v)=0, NA(), AVERAGE(_xlpm.v))
)</f>
        <v>8439.7391187201483</v>
      </c>
      <c r="CG20" cm="1">
        <f t="array" aca="1" ref="CG20" ca="1">_xlfn.LET(
  _xlpm.k,ROW(A19)-1,
  _xlpm.r,OFFSET($BK$2,0,_xlpm.k,ROWS($Y$2:$BK$1000),1),
  _xlpm.v,_xlfn._xlws.FILTER(_xlpm.r,ISNUMBER(_xlpm.r)),
  IF(COUNT(_xlpm.v)=0,NA(),MIN(_xlpm.v))
)</f>
        <v>4205.9195773456604</v>
      </c>
      <c r="CH20" cm="1">
        <f t="array" aca="1" ref="CH20" ca="1">_xlfn.LET(
  _xlpm.k,ROW(A19)-1,
  _xlpm.r,OFFSET($BK$2,0,_xlpm.k,ROWS($Y$2:$BK$1000),1),
  _xlpm.v,_xlfn._xlws.FILTER(_xlpm.r,ISNUMBER(_xlpm.r)),
  IF(COUNT(_xlpm.v)=0,NA(),_xlfn.PERCENTILE.INC(_xlpm.v,0.25))
)</f>
        <v>6682.0413849040506</v>
      </c>
      <c r="CI20" cm="1">
        <f t="array" aca="1" ref="CI20" ca="1">_xlfn.LET(
  _xlpm.k,ROW(B19)-1,
  _xlpm.r,OFFSET($BK$2,0,_xlpm.k,ROWS($Y$2:$BK$1000),1),
  _xlpm.v,_xlfn._xlws.FILTER(_xlpm.r,ISNUMBER(_xlpm.r)),
  IF(COUNT(_xlpm.v)=0,NA(),_xlfn.PERCENTILE.INC(_xlpm.v,0.5))
)</f>
        <v>9158.1631924624417</v>
      </c>
      <c r="CJ20" cm="1">
        <f t="array" aca="1" ref="CJ20" ca="1">_xlfn.LET(
  _xlpm.k,ROW(C19)-1,
  _xlpm.r,OFFSET($BK$2,0,_xlpm.k,ROWS($Y$2:$BK$1000),1),
  _xlpm.v,_xlfn._xlws.FILTER(_xlpm.r,ISNUMBER(_xlpm.r)),
  IF(COUNT(_xlpm.v)=0,NA(),_xlfn.PERCENTILE.INC(_xlpm.v,0.75))
)</f>
        <v>10556.648889407392</v>
      </c>
      <c r="CK20" cm="1">
        <f t="array" aca="1" ref="CK20" ca="1">_xlfn.LET(
  _xlpm.k,ROW(A19)-1,
  _xlpm.r,OFFSET($BK$2,0,_xlpm.k,ROWS($Y$2:$BK$1000),1),
  _xlpm.v,_xlfn._xlws.FILTER(_xlpm.r,ISNUMBER(_xlpm.r)),
  IF(COUNT(_xlpm.v)=0,NA(),MAX(_xlpm.v))
)</f>
        <v>11955.13458635234</v>
      </c>
      <c r="CL20" cm="1">
        <f t="array" aca="1" ref="CL20" ca="1">_xlfn.LET(_xlpm.r,OFFSET($BK$2,0,ROW(A19)-1,ROWS($Y$2:$BK$1000),1),
    _xlpm.v,_xlfn._xlws.FILTER(_xlpm.r,ISNUMBER(_xlpm.r)),
    _xlfn.PERCENTILE.INC(_xlpm.v,0.25))</f>
        <v>6682.0413849040506</v>
      </c>
      <c r="CM20" cm="1">
        <f t="array" aca="1" ref="CM20" ca="1">_xlfn.LET(_xlpm.r,OFFSET($BK$2,0,ROW(A19)-1,ROWS($BK$2:$BK$1000),1),
    _xlpm.v,_xlfn._xlws.FILTER(_xlpm.r,ISNUMBER(_xlpm.r)),
    _xlfn.PERCENTILE.INC(_xlpm.v,0.5)-_xlfn.PERCENTILE.INC(_xlpm.v,0.25))</f>
        <v>2476.1218075583911</v>
      </c>
      <c r="CN20" cm="1">
        <f t="array" aca="1" ref="CN20" ca="1">_xlfn.LET(_xlpm.r,OFFSET($BK$2,0,ROW(A19)-1,ROWS($BK$2:$BK$1000),1),
    _xlpm.v,_xlfn._xlws.FILTER(_xlpm.r,ISNUMBER(_xlpm.r)),
    _xlfn.PERCENTILE.INC(_xlpm.v,0.75)-_xlfn.PERCENTILE.INC(_xlpm.v,0.5))</f>
        <v>1398.4856969449502</v>
      </c>
      <c r="CO20" cm="1">
        <f t="array" aca="1" ref="CO20" ca="1">_xlfn.LET(_xlpm.r,OFFSET($BK$2,0,ROW(A19)-1,ROWS($BK$2:$BK$1000),1),
    _xlpm.v,_xlfn._xlws.FILTER(_xlpm.r,ISNUMBER(_xlpm.r)),
    MAX(_xlpm.v)-_xlfn.PERCENTILE.INC(_xlpm.v,0.75))</f>
        <v>1398.4856969449484</v>
      </c>
      <c r="CP20" cm="1">
        <f t="array" aca="1" ref="CP20" ca="1">_xlfn.LET(_xlpm.r,OFFSET($BK$2,0,ROW(A19)-1,ROWS($BK$2:$BK$1000),1),
    _xlpm.v,_xlfn._xlws.FILTER(_xlpm.r,ISNUMBER(_xlpm.r)),
    _xlfn.PERCENTILE.INC(_xlpm.v,0.25)-MIN(_xlpm.v))</f>
        <v>2476.1218075583902</v>
      </c>
      <c r="CQ20" cm="1">
        <f t="array" aca="1" ref="CQ20" ca="1">_xlfn.LET(_xlpm.r,OFFSET($BK$2,0,ROW(A19)-1,ROWS($BK$2:$BK$1000),1),
    _xlpm.v,_xlfn._xlws.FILTER(_xlpm.r,ISNUMBER(_xlpm.r)),
    MAX(_xlpm.v)-_xlfn.PERCENTILE.INC(_xlpm.v,0.75))</f>
        <v>1398.4856969449484</v>
      </c>
      <c r="CR20">
        <f t="shared" ca="1" si="12"/>
        <v>2476.1218075583902</v>
      </c>
      <c r="CS20">
        <v>0</v>
      </c>
      <c r="CT20">
        <f t="shared" ca="1" si="13"/>
        <v>1398.4856969449484</v>
      </c>
      <c r="CU20">
        <v>9158.1631924624417</v>
      </c>
      <c r="CV20">
        <v>19</v>
      </c>
      <c r="DA20" t="s">
        <v>537</v>
      </c>
      <c r="DJ20">
        <v>4154.4938617886182</v>
      </c>
      <c r="EH20" s="126">
        <v>11955.13458635234</v>
      </c>
      <c r="EI20">
        <v>10</v>
      </c>
    </row>
    <row r="21" spans="1:139">
      <c r="AD21">
        <v>4182.2002090592341</v>
      </c>
      <c r="AJ21" s="13"/>
      <c r="AK21" s="13"/>
      <c r="AZ21">
        <v>8197.5598455096588</v>
      </c>
      <c r="BA21">
        <v>4</v>
      </c>
      <c r="BP21">
        <v>7604.6632113821142</v>
      </c>
      <c r="CF21" s="13" t="str" cm="1">
        <f t="array" ref="CF21">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21">
        <v>3530.6284466440125</v>
      </c>
      <c r="CV21">
        <v>3</v>
      </c>
      <c r="DA21" t="s">
        <v>838</v>
      </c>
      <c r="DJ21">
        <v>4182.2002090592341</v>
      </c>
      <c r="EH21" s="126">
        <v>4466.4024745136494</v>
      </c>
      <c r="EI21">
        <v>3</v>
      </c>
    </row>
    <row r="22" spans="1:139">
      <c r="AD22">
        <v>5745.4214866434386</v>
      </c>
      <c r="AJ22" s="13"/>
      <c r="AK22" s="13"/>
      <c r="AZ22">
        <v>8499.6718272484759</v>
      </c>
      <c r="BA22">
        <v>4</v>
      </c>
      <c r="BP22">
        <v>8202.5370209059238</v>
      </c>
      <c r="CF22" s="13" t="str" cm="1">
        <f t="array" ref="CF22">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22">
        <v>24930.510324449704</v>
      </c>
      <c r="CV22">
        <v>4</v>
      </c>
      <c r="DJ22">
        <v>5745.4214866434386</v>
      </c>
      <c r="EH22" s="126">
        <v>8355.514428390672</v>
      </c>
      <c r="EI22">
        <v>4</v>
      </c>
    </row>
    <row r="23" spans="1:139">
      <c r="AD23">
        <v>6058.9406794425095</v>
      </c>
      <c r="AJ23" s="13"/>
      <c r="AK23" s="13"/>
      <c r="AZ23">
        <v>11655.186138911624</v>
      </c>
      <c r="BA23">
        <v>4</v>
      </c>
      <c r="BP23">
        <v>6747.7326652507072</v>
      </c>
      <c r="CF23" s="13" t="str" cm="1">
        <f t="array" ref="CF23">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23">
        <v>7502.812596837075</v>
      </c>
      <c r="CV23">
        <v>5</v>
      </c>
      <c r="DA23" t="s">
        <v>539</v>
      </c>
      <c r="DJ23">
        <v>6058.9406794425095</v>
      </c>
      <c r="EH23" s="126">
        <v>6326.4153748480385</v>
      </c>
      <c r="EI23">
        <v>5</v>
      </c>
    </row>
    <row r="24" spans="1:139">
      <c r="AD24">
        <v>7604.6632113821142</v>
      </c>
      <c r="AJ24" s="13"/>
      <c r="AK24" s="13"/>
      <c r="AZ24">
        <v>11863.247660672429</v>
      </c>
      <c r="BA24">
        <v>4</v>
      </c>
      <c r="BP24">
        <v>4915.2897655024944</v>
      </c>
      <c r="CF24" s="13" t="str" cm="1">
        <f t="array" ref="CF24">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24">
        <v>4077.8470351951037</v>
      </c>
      <c r="CV24">
        <v>6</v>
      </c>
      <c r="DA24" t="s">
        <v>540</v>
      </c>
      <c r="DJ24">
        <v>7604.6632113821142</v>
      </c>
      <c r="EH24" s="126">
        <v>4077.8470351951037</v>
      </c>
      <c r="EI24">
        <v>6</v>
      </c>
    </row>
    <row r="25" spans="1:139">
      <c r="AD25">
        <v>8202.5370209059238</v>
      </c>
      <c r="AJ25" s="13"/>
      <c r="AK25" s="13"/>
      <c r="AZ25">
        <v>6113.909565217391</v>
      </c>
      <c r="BA25">
        <v>4</v>
      </c>
      <c r="BP25">
        <v>5478.3564953670702</v>
      </c>
      <c r="CF25" s="13" t="str" cm="1">
        <f t="array" ref="CF25">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25">
        <v>4421.9798661567875</v>
      </c>
      <c r="CV25">
        <v>7</v>
      </c>
      <c r="DJ25">
        <v>8202.5370209059238</v>
      </c>
      <c r="EH25" s="126">
        <v>4421.9798661567875</v>
      </c>
      <c r="EI25">
        <v>7</v>
      </c>
    </row>
    <row r="26" spans="1:139">
      <c r="AD26">
        <v>6747.7326652507072</v>
      </c>
      <c r="AZ26">
        <v>11642.797253594323</v>
      </c>
      <c r="BA26">
        <v>4</v>
      </c>
      <c r="BP26">
        <v>5575.0049486813959</v>
      </c>
      <c r="CF26" s="13" t="str" cm="1">
        <f t="array" ref="CF26">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26">
        <v>6326.4153748480385</v>
      </c>
      <c r="CV26">
        <v>9</v>
      </c>
      <c r="DJ26">
        <v>6747.7326652507072</v>
      </c>
      <c r="EH26" s="126">
        <v>8293.5403792883008</v>
      </c>
      <c r="EI26">
        <v>3</v>
      </c>
    </row>
    <row r="27" spans="1:139">
      <c r="AD27">
        <v>4915.2897655024944</v>
      </c>
      <c r="AZ27">
        <v>29106.993133985809</v>
      </c>
      <c r="BA27">
        <v>4</v>
      </c>
      <c r="BP27">
        <v>5888.0385502494655</v>
      </c>
      <c r="CF27" s="13" t="str" cm="1">
        <f t="array" ref="CF27">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27">
        <v>3438.9745164233582</v>
      </c>
      <c r="CV27">
        <v>13</v>
      </c>
      <c r="DJ27">
        <v>4915.2897655024944</v>
      </c>
      <c r="EH27" s="126">
        <v>7837.9776810335725</v>
      </c>
      <c r="EI27">
        <v>4</v>
      </c>
    </row>
    <row r="28" spans="1:139">
      <c r="AD28">
        <v>5478.3564953670702</v>
      </c>
      <c r="AZ28">
        <v>4057.4152694979834</v>
      </c>
      <c r="BA28">
        <v>5</v>
      </c>
      <c r="BP28">
        <v>5575.9296513672143</v>
      </c>
      <c r="CF28" s="13" t="str" cm="1">
        <f t="array" ref="CF28">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28">
        <v>11955.13458635234</v>
      </c>
      <c r="CV28">
        <v>19</v>
      </c>
      <c r="DJ28">
        <v>5478.3564953670702</v>
      </c>
      <c r="EH28" s="126">
        <v>6445.5061993980289</v>
      </c>
      <c r="EI28">
        <v>5</v>
      </c>
    </row>
    <row r="29" spans="1:139">
      <c r="AD29">
        <v>5575.0049486813959</v>
      </c>
      <c r="AZ29">
        <v>4421.9798661567875</v>
      </c>
      <c r="BA29">
        <v>5</v>
      </c>
      <c r="BP29">
        <v>7924.8639972798692</v>
      </c>
      <c r="CF29" s="13" t="str" cm="1">
        <f t="array" ref="CF29">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29">
        <v>4466.4024745136494</v>
      </c>
      <c r="CV29">
        <v>3</v>
      </c>
      <c r="DJ29">
        <v>5575.0049486813959</v>
      </c>
      <c r="EH29" s="126">
        <v>4567.7650535577668</v>
      </c>
      <c r="EI29">
        <v>6</v>
      </c>
    </row>
    <row r="30" spans="1:139">
      <c r="AD30">
        <v>5888.0385502494655</v>
      </c>
      <c r="AZ30">
        <v>5882.8595673719446</v>
      </c>
      <c r="BA30">
        <v>5</v>
      </c>
      <c r="BP30">
        <v>11734.969398518611</v>
      </c>
      <c r="CF30" s="13" t="str" cm="1">
        <f t="array" ref="CF30">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30">
        <v>8355.514428390672</v>
      </c>
      <c r="CV30">
        <v>4</v>
      </c>
      <c r="DJ30">
        <v>5888.0385502494655</v>
      </c>
      <c r="EH30" s="126">
        <v>5882.8595673719446</v>
      </c>
      <c r="EI30">
        <v>7</v>
      </c>
    </row>
    <row r="31" spans="1:139">
      <c r="AD31">
        <v>8603.6378615167214</v>
      </c>
      <c r="AZ31">
        <v>6326.4153748480385</v>
      </c>
      <c r="BA31">
        <v>5</v>
      </c>
      <c r="BP31">
        <v>3161.7487226277376</v>
      </c>
      <c r="CF31" s="13" t="str" cm="1">
        <f t="array" ref="CF31">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31">
        <v>11235.299349718522</v>
      </c>
      <c r="CV31">
        <v>5</v>
      </c>
      <c r="DJ31">
        <v>8603.6378615167214</v>
      </c>
      <c r="EH31" s="126">
        <v>5012.440003439563</v>
      </c>
      <c r="EI31">
        <v>3</v>
      </c>
    </row>
    <row r="32" spans="1:139">
      <c r="AD32">
        <v>5575.9296513672143</v>
      </c>
      <c r="AZ32">
        <v>6445.5061993980289</v>
      </c>
      <c r="BA32">
        <v>5</v>
      </c>
      <c r="BP32">
        <v>4291.2719981751834</v>
      </c>
      <c r="CF32" s="13" t="str" cm="1">
        <f t="array" ref="CF32">_xlfn.LET(
  _xlpm.H,Fusion[#Headers],
  _xlpm.iSpec,_xlfn.XMATCH("*Specific*OCC*2018*",_xlpm.H,0),
  _xlpm.iCap, _xlfn.XMATCH("Capacity *MW*",_xlpm.H,0),
  _xlpm.iCT,  _xlfn.XMATCH("Confinement*",_xlpm.H,0),
  _xlpm.iRT,  _xlfn.XMATCH("Reactor Type*",_xlpm.H,0),
  _xlpm.iRD,  _xlfn.XMATCH("Readiness*",_xlpm.H,0),
  _xlpm.iCost,_xlfn.XMATCH("Cost Type*",_xlpm.H,0),
  _xlpm.iUnit,IFERROR(_xlfn.XMATCH("Capacity Unit*",_xlpm.H,0),0),
  _xlpm.occ,   INDEX(Fusion[],,_xlpm.iSpec),
  _xlpm.ct_raw,INDEX(Fusion[],,_xlpm.iCT),
  _xlpm.rt_raw,INDEX(Fusion[],,_xlpm.iRT),
  _xlpm.rd_raw,INDEX(Fusion[],,_xlpm.iRD),
  _xlpm.cost,  INDEX(Fusion[],,_xlpm.iCost),
  _xlpm.capMW, INDEX(Fusion[],,_xlpm.iCap),
  _xlpm.unit,  IF(_xlpm.iUnit&gt;0,INDEX(Fusion[],,_xlpm.iUnit),"MW"),
  _xlpm.ct, IFERROR(_xlfn.XLOOKUP(_xlpm.ct_raw,Map_Conf[From],Map_Conf[To],_xlpm.ct_raw),_xlpm.ct_raw),
  _xlpm.rd, IFERROR(
        _xlfn.XLOOKUP(
          TRIM(_xlpm.rd_raw),
          {"FOAK";"NOAK";"10th-OAK";"10th-of-a-kind";"10th OAK"},
          {"FOAK";"NOAK";"10th-OAK";"10th-OAK";"10th-OAK"}
        ),
        TRIM(_xlpm.rd_raw)
      ),
  _xlpm.capOK,  ISNUMBER(_xlpm.capMW)*(_xlpm.capMW&gt;0),
  _xlpm.unitOK, IF(_xlpm.iUnit&gt;0, ISNUMBER(SEARCH("MW",_xlpm.unit))*NOT(ISNUMBER(SEARCH("FUS",_xlpm.unit))), TRUE),
  _xlpm.subOK,  ISNUMBER(SEARCH(TRIM($J$2), TRIM(_xlpm.rt_raw))),
  IFERROR(
    _xlfn._xlws.FILTER(_xlpm.rd, (_xlpm.cost="OCC")*_xlpm.capOK*_xlpm.unitOK*(_xlpm.ct="MCF")*_xlpm.subOK ),
    ""
  )
)</f>
        <v/>
      </c>
      <c r="CU32">
        <v>4567.7650535577668</v>
      </c>
      <c r="CV32">
        <v>6</v>
      </c>
      <c r="DJ32">
        <v>5575.9296513672143</v>
      </c>
      <c r="EH32" s="126">
        <v>10125.764141478647</v>
      </c>
      <c r="EI32">
        <v>4</v>
      </c>
    </row>
    <row r="33" spans="30:139">
      <c r="AD33">
        <v>7924.8639972798692</v>
      </c>
      <c r="AZ33">
        <v>6730.1311012027963</v>
      </c>
      <c r="BA33">
        <v>5</v>
      </c>
      <c r="BP33">
        <v>4990.0642883211685</v>
      </c>
      <c r="CU33">
        <v>4411.9741663617315</v>
      </c>
      <c r="CV33">
        <v>7</v>
      </c>
      <c r="DJ33">
        <v>7924.8639972798692</v>
      </c>
      <c r="EH33" s="126">
        <v>6730.1311012027963</v>
      </c>
      <c r="EI33">
        <v>5</v>
      </c>
    </row>
    <row r="34" spans="30:139">
      <c r="AD34">
        <v>11734.969398518611</v>
      </c>
      <c r="AZ34">
        <v>8940.4134892889124</v>
      </c>
      <c r="BA34">
        <v>5</v>
      </c>
      <c r="BP34">
        <v>5024.4311222627739</v>
      </c>
      <c r="CU34">
        <v>6445.5061993980289</v>
      </c>
      <c r="CV34">
        <v>9</v>
      </c>
      <c r="DJ34">
        <v>11734.969398518611</v>
      </c>
      <c r="EH34" s="126">
        <v>6551.4527161438418</v>
      </c>
      <c r="EI34">
        <v>6</v>
      </c>
    </row>
    <row r="35" spans="30:139">
      <c r="AD35">
        <v>3438.9745164233582</v>
      </c>
      <c r="AZ35">
        <v>7502.812596837075</v>
      </c>
      <c r="BA35">
        <v>5</v>
      </c>
      <c r="BP35">
        <v>5872.146359489052</v>
      </c>
      <c r="CU35">
        <v>3489.3792062043799</v>
      </c>
      <c r="CV35">
        <v>13</v>
      </c>
      <c r="DJ35">
        <v>3438.9745164233582</v>
      </c>
      <c r="EH35" s="126">
        <v>6326.4153748480385</v>
      </c>
      <c r="EI35">
        <v>7</v>
      </c>
    </row>
    <row r="36" spans="30:139">
      <c r="AD36">
        <v>3489.3792062043799</v>
      </c>
      <c r="AZ36">
        <v>11235.299349718522</v>
      </c>
      <c r="BA36">
        <v>5</v>
      </c>
      <c r="BP36">
        <v>6385.3577463503652</v>
      </c>
      <c r="CU36">
        <v>8293.5403792883008</v>
      </c>
      <c r="CV36">
        <v>3</v>
      </c>
      <c r="DJ36">
        <v>3489.3792062043799</v>
      </c>
      <c r="EH36" s="126">
        <v>7454.1297240502054</v>
      </c>
      <c r="EI36">
        <v>3</v>
      </c>
    </row>
    <row r="37" spans="30:139">
      <c r="AD37">
        <v>3161.7487226277376</v>
      </c>
      <c r="AZ37">
        <v>15856.519626291001</v>
      </c>
      <c r="BA37">
        <v>5</v>
      </c>
      <c r="BP37">
        <v>5837.3891991838827</v>
      </c>
      <c r="CU37">
        <v>7837.9776810335725</v>
      </c>
      <c r="CV37">
        <v>4</v>
      </c>
      <c r="DJ37">
        <v>3161.7487226277376</v>
      </c>
      <c r="EH37" s="126">
        <v>13453.438306200078</v>
      </c>
      <c r="EI37">
        <v>4</v>
      </c>
    </row>
    <row r="38" spans="30:139">
      <c r="AD38">
        <v>4291.2719981751834</v>
      </c>
      <c r="AZ38">
        <v>2519.3719612638824</v>
      </c>
      <c r="BA38">
        <v>5</v>
      </c>
      <c r="BP38">
        <v>6134.3975486052414</v>
      </c>
      <c r="CU38">
        <v>15856.519626291001</v>
      </c>
      <c r="CV38">
        <v>5</v>
      </c>
      <c r="DJ38">
        <v>4291.2719981751834</v>
      </c>
      <c r="EH38" s="126">
        <v>8940.4134892889124</v>
      </c>
      <c r="EI38">
        <v>5</v>
      </c>
    </row>
    <row r="39" spans="30:139">
      <c r="AD39">
        <v>4990.0642883211685</v>
      </c>
      <c r="AZ39">
        <v>3275.3086956521738</v>
      </c>
      <c r="BA39">
        <v>5</v>
      </c>
      <c r="BP39">
        <v>3810.4547612259439</v>
      </c>
      <c r="CU39">
        <v>6551.4527161438418</v>
      </c>
      <c r="CV39">
        <v>6</v>
      </c>
      <c r="DJ39">
        <v>4990.0642883211685</v>
      </c>
      <c r="EH39" s="126">
        <v>2748.9648616180052</v>
      </c>
      <c r="EI39">
        <v>6</v>
      </c>
    </row>
    <row r="40" spans="30:139">
      <c r="AD40">
        <v>5024.4311222627739</v>
      </c>
      <c r="AZ40">
        <v>7688.8924367702002</v>
      </c>
      <c r="BA40">
        <v>6</v>
      </c>
      <c r="BP40">
        <v>3506.9096824549256</v>
      </c>
      <c r="CU40">
        <v>8940.4134892889124</v>
      </c>
      <c r="CV40">
        <v>7</v>
      </c>
      <c r="DJ40">
        <v>5024.4311222627739</v>
      </c>
      <c r="EH40" s="126">
        <v>6445.5061993980289</v>
      </c>
      <c r="EI40">
        <v>7</v>
      </c>
    </row>
    <row r="41" spans="30:139">
      <c r="AD41">
        <v>5872.146359489052</v>
      </c>
      <c r="AZ41">
        <v>9679.6293311032641</v>
      </c>
      <c r="BA41">
        <v>6</v>
      </c>
      <c r="BP41">
        <v>4547.829870886776</v>
      </c>
      <c r="CU41">
        <v>6730.1311012027963</v>
      </c>
      <c r="CV41">
        <v>9</v>
      </c>
      <c r="DJ41">
        <v>5872.146359489052</v>
      </c>
      <c r="EH41" s="126">
        <v>13540.787173624165</v>
      </c>
      <c r="EI41">
        <v>4</v>
      </c>
    </row>
    <row r="42" spans="30:139">
      <c r="AD42">
        <v>6385.3577463503652</v>
      </c>
      <c r="AZ42">
        <v>4915.3027074231395</v>
      </c>
      <c r="BA42">
        <v>6</v>
      </c>
      <c r="BP42">
        <v>5639.5343472996956</v>
      </c>
      <c r="CU42">
        <v>5012.440003439563</v>
      </c>
      <c r="CV42">
        <v>3</v>
      </c>
      <c r="DJ42">
        <v>6385.3577463503652</v>
      </c>
      <c r="EH42" s="126">
        <v>7502.812596837075</v>
      </c>
      <c r="EI42">
        <v>5</v>
      </c>
    </row>
    <row r="43" spans="30:139">
      <c r="AD43">
        <v>5837.3891991838827</v>
      </c>
      <c r="AZ43">
        <v>4077.8470351951037</v>
      </c>
      <c r="BA43">
        <v>6</v>
      </c>
      <c r="BP43">
        <v>7016.5731220221051</v>
      </c>
      <c r="CU43">
        <v>10125.764141478647</v>
      </c>
      <c r="CV43">
        <v>4</v>
      </c>
      <c r="DJ43">
        <v>5837.3891991838827</v>
      </c>
      <c r="EH43" s="126">
        <v>2990.4873334854019</v>
      </c>
      <c r="EI43">
        <v>6</v>
      </c>
    </row>
    <row r="44" spans="30:139">
      <c r="AD44">
        <v>6134.3975486052414</v>
      </c>
      <c r="AZ44">
        <v>4567.7650535577668</v>
      </c>
      <c r="BA44">
        <v>6</v>
      </c>
      <c r="BP44">
        <v>7199.697969986968</v>
      </c>
      <c r="CU44">
        <v>2519.3719612638824</v>
      </c>
      <c r="CV44">
        <v>5</v>
      </c>
      <c r="DJ44">
        <v>6134.3975486052414</v>
      </c>
      <c r="EH44" s="126">
        <v>6730.1311012027963</v>
      </c>
      <c r="EI44">
        <v>7</v>
      </c>
    </row>
    <row r="45" spans="30:139">
      <c r="AD45">
        <v>3810.4547612259439</v>
      </c>
      <c r="AZ45">
        <v>6551.4527161438418</v>
      </c>
      <c r="BA45">
        <v>6</v>
      </c>
      <c r="BP45">
        <v>4846.9197540160649</v>
      </c>
      <c r="CU45">
        <v>2748.9648616180052</v>
      </c>
      <c r="CV45">
        <v>6</v>
      </c>
      <c r="DJ45">
        <v>3810.4547612259439</v>
      </c>
      <c r="EH45" s="126">
        <v>11570.710845447591</v>
      </c>
      <c r="EI45">
        <v>4</v>
      </c>
    </row>
    <row r="46" spans="30:139">
      <c r="AD46">
        <v>3506.9096824549256</v>
      </c>
      <c r="AZ46">
        <v>2748.9648616180052</v>
      </c>
      <c r="BA46">
        <v>6</v>
      </c>
      <c r="BP46">
        <v>13440.489466307758</v>
      </c>
      <c r="CU46">
        <v>7004.1127811414517</v>
      </c>
      <c r="CV46">
        <v>7</v>
      </c>
      <c r="DJ46">
        <v>3506.9096824549256</v>
      </c>
      <c r="EH46" s="126">
        <v>11235.299349718522</v>
      </c>
      <c r="EI46">
        <v>5</v>
      </c>
    </row>
    <row r="47" spans="30:139">
      <c r="AD47">
        <v>4547.829870886776</v>
      </c>
      <c r="AZ47">
        <v>2990.4873334854019</v>
      </c>
      <c r="BA47">
        <v>6</v>
      </c>
      <c r="BP47">
        <v>8732.0979401957429</v>
      </c>
      <c r="CU47">
        <v>7454.1297240502054</v>
      </c>
      <c r="CV47">
        <v>3</v>
      </c>
      <c r="DJ47">
        <v>4547.829870886776</v>
      </c>
      <c r="EH47" s="126">
        <v>3034.2095833333333</v>
      </c>
      <c r="EI47">
        <v>6</v>
      </c>
    </row>
    <row r="48" spans="30:139">
      <c r="AD48">
        <v>5639.5343472996956</v>
      </c>
      <c r="AZ48">
        <v>3034.2095833333333</v>
      </c>
      <c r="BA48">
        <v>6</v>
      </c>
      <c r="CU48">
        <v>13453.438306200078</v>
      </c>
      <c r="CV48">
        <v>4</v>
      </c>
      <c r="DJ48">
        <v>5639.5343472996956</v>
      </c>
      <c r="EH48" s="126">
        <v>4411.9741663617315</v>
      </c>
      <c r="EI48">
        <v>7</v>
      </c>
    </row>
    <row r="49" spans="3:139">
      <c r="AD49">
        <v>7016.5731220221051</v>
      </c>
      <c r="AZ49">
        <v>3730.1379706508519</v>
      </c>
      <c r="BA49">
        <v>6</v>
      </c>
      <c r="CU49">
        <v>3275.3086956521738</v>
      </c>
      <c r="CV49">
        <v>5</v>
      </c>
      <c r="DJ49">
        <v>7016.5731220221051</v>
      </c>
      <c r="EH49" s="126">
        <v>5343.4791208735915</v>
      </c>
      <c r="EI49">
        <v>4</v>
      </c>
    </row>
    <row r="50" spans="3:139">
      <c r="AD50">
        <v>7199.697969986968</v>
      </c>
      <c r="AZ50">
        <v>4339.9583462591245</v>
      </c>
      <c r="BA50">
        <v>6</v>
      </c>
      <c r="CU50">
        <v>3730.1379706508519</v>
      </c>
      <c r="CV50">
        <v>6</v>
      </c>
      <c r="DJ50">
        <v>7199.697969986968</v>
      </c>
      <c r="EH50" s="126">
        <v>15856.519626291001</v>
      </c>
      <c r="EI50">
        <v>5</v>
      </c>
    </row>
    <row r="51" spans="3:139">
      <c r="AD51">
        <v>4846.9197540160649</v>
      </c>
      <c r="AZ51">
        <v>4369.3610819647201</v>
      </c>
      <c r="BA51">
        <v>6</v>
      </c>
      <c r="CU51">
        <v>7502.812596837075</v>
      </c>
      <c r="CV51">
        <v>7</v>
      </c>
      <c r="DJ51">
        <v>4846.9197540160649</v>
      </c>
      <c r="EH51" s="126">
        <v>3730.1379706508519</v>
      </c>
      <c r="EI51">
        <v>6</v>
      </c>
    </row>
    <row r="52" spans="3:139">
      <c r="C52" s="19"/>
      <c r="AD52">
        <v>13440.489466307758</v>
      </c>
      <c r="AZ52">
        <v>5107.2933774330904</v>
      </c>
      <c r="BA52">
        <v>6</v>
      </c>
      <c r="CU52">
        <v>13540.787173624165</v>
      </c>
      <c r="CV52">
        <v>4</v>
      </c>
      <c r="DJ52">
        <v>13440.489466307758</v>
      </c>
      <c r="EH52" s="126">
        <v>8940.4134892889124</v>
      </c>
      <c r="EI52">
        <v>7</v>
      </c>
    </row>
    <row r="53" spans="3:139">
      <c r="AD53">
        <v>8732.0979401957429</v>
      </c>
      <c r="AZ53">
        <v>5551.5801695559621</v>
      </c>
      <c r="BA53">
        <v>6</v>
      </c>
      <c r="CU53">
        <v>4339.9583462591245</v>
      </c>
      <c r="CV53">
        <v>6</v>
      </c>
      <c r="DJ53">
        <v>8732.0979401957429</v>
      </c>
      <c r="EH53" s="126">
        <v>6131.3653812104103</v>
      </c>
      <c r="EI53">
        <v>4</v>
      </c>
    </row>
    <row r="54" spans="3:139">
      <c r="AZ54">
        <v>5307.7629081632658</v>
      </c>
      <c r="BA54">
        <v>6</v>
      </c>
      <c r="CU54">
        <v>11235.299349718522</v>
      </c>
      <c r="CV54">
        <v>7</v>
      </c>
      <c r="EH54" s="126">
        <v>2519.3719612638824</v>
      </c>
      <c r="EI54">
        <v>5</v>
      </c>
    </row>
    <row r="55" spans="3:139">
      <c r="N55" s="421"/>
      <c r="O55" s="421"/>
      <c r="AZ55">
        <v>5849.3160000000007</v>
      </c>
      <c r="BA55">
        <v>6</v>
      </c>
      <c r="BB55" s="126"/>
      <c r="BC55"/>
      <c r="CU55">
        <v>11570.710845447591</v>
      </c>
      <c r="CV55">
        <v>4</v>
      </c>
      <c r="EH55" s="126">
        <v>4339.9583462591245</v>
      </c>
      <c r="EI55">
        <v>6</v>
      </c>
    </row>
    <row r="56" spans="3:139">
      <c r="D56" t="s">
        <v>729</v>
      </c>
      <c r="AZ56">
        <v>3767.7683610121167</v>
      </c>
      <c r="BA56">
        <v>6</v>
      </c>
      <c r="BB56" s="126"/>
      <c r="BC56"/>
      <c r="CU56">
        <v>4369.3610819647201</v>
      </c>
      <c r="CV56">
        <v>6</v>
      </c>
      <c r="EH56" s="126">
        <v>7004.1127811414517</v>
      </c>
      <c r="EI56">
        <v>7</v>
      </c>
    </row>
    <row r="57" spans="3:139">
      <c r="AZ57">
        <v>4112.2052264808362</v>
      </c>
      <c r="BA57">
        <v>6</v>
      </c>
      <c r="BB57" s="126"/>
      <c r="BC57"/>
      <c r="CU57">
        <v>15856.519626291001</v>
      </c>
      <c r="CV57">
        <v>7</v>
      </c>
      <c r="EH57" s="126">
        <v>8197.5598455096588</v>
      </c>
      <c r="EI57">
        <v>4</v>
      </c>
    </row>
    <row r="58" spans="3:139">
      <c r="AZ58">
        <v>4154.4938617886182</v>
      </c>
      <c r="BA58">
        <v>6</v>
      </c>
      <c r="BB58" s="126"/>
      <c r="BC58"/>
      <c r="CU58">
        <v>5343.4791208735915</v>
      </c>
      <c r="CV58">
        <v>4</v>
      </c>
      <c r="EH58" s="126">
        <v>3275.3086956521738</v>
      </c>
      <c r="EI58">
        <v>5</v>
      </c>
    </row>
    <row r="59" spans="3:139">
      <c r="AZ59">
        <v>4182.2002090592341</v>
      </c>
      <c r="BA59">
        <v>6</v>
      </c>
      <c r="BB59" s="126"/>
      <c r="BC59"/>
      <c r="CU59">
        <v>5107.2933774330904</v>
      </c>
      <c r="CV59">
        <v>6</v>
      </c>
      <c r="EH59" s="126">
        <v>4369.3610819647201</v>
      </c>
      <c r="EI59">
        <v>6</v>
      </c>
    </row>
    <row r="60" spans="3:139">
      <c r="AZ60">
        <v>5745.4214866434386</v>
      </c>
      <c r="BA60">
        <v>6</v>
      </c>
      <c r="BB60" s="126"/>
      <c r="BC60"/>
      <c r="CU60">
        <v>2519.3719612638824</v>
      </c>
      <c r="CV60">
        <v>7</v>
      </c>
      <c r="EH60" s="126">
        <v>7502.812596837075</v>
      </c>
      <c r="EI60">
        <v>7</v>
      </c>
    </row>
    <row r="61" spans="3:139">
      <c r="AZ61">
        <v>6058.9406794425095</v>
      </c>
      <c r="BA61">
        <v>6</v>
      </c>
      <c r="BB61" s="126"/>
      <c r="BC61"/>
      <c r="CU61">
        <v>6131.3653812104103</v>
      </c>
      <c r="CV61">
        <v>4</v>
      </c>
      <c r="EH61" s="126">
        <v>8499.6718272484759</v>
      </c>
      <c r="EI61">
        <v>4</v>
      </c>
    </row>
    <row r="62" spans="3:139">
      <c r="AZ62">
        <v>7604.6632113821142</v>
      </c>
      <c r="BA62">
        <v>6</v>
      </c>
      <c r="BB62" s="126"/>
      <c r="BC62"/>
      <c r="CU62">
        <v>5551.5801695559621</v>
      </c>
      <c r="CV62">
        <v>6</v>
      </c>
      <c r="EH62" s="126">
        <v>5107.2933774330904</v>
      </c>
      <c r="EI62">
        <v>6</v>
      </c>
    </row>
    <row r="63" spans="3:139">
      <c r="AZ63">
        <v>8202.5370209059238</v>
      </c>
      <c r="BA63">
        <v>6</v>
      </c>
      <c r="BB63" s="126"/>
      <c r="BC63"/>
      <c r="CU63">
        <v>3275.3086956521738</v>
      </c>
      <c r="CV63">
        <v>7</v>
      </c>
      <c r="EH63" s="126">
        <v>11235.299349718522</v>
      </c>
      <c r="EI63">
        <v>7</v>
      </c>
    </row>
    <row r="64" spans="3:139">
      <c r="AZ64">
        <v>6747.7326652507072</v>
      </c>
      <c r="BA64">
        <v>6</v>
      </c>
      <c r="BB64" s="126"/>
      <c r="BC64"/>
      <c r="CU64">
        <v>8197.5598455096588</v>
      </c>
      <c r="CV64">
        <v>4</v>
      </c>
      <c r="EH64" s="126">
        <v>11655.186138911624</v>
      </c>
      <c r="EI64">
        <v>4</v>
      </c>
    </row>
    <row r="65" spans="25:139">
      <c r="AZ65">
        <v>4915.2897655024944</v>
      </c>
      <c r="BA65">
        <v>6</v>
      </c>
      <c r="BB65" s="126"/>
      <c r="BC65"/>
      <c r="CU65">
        <v>5307.7629081632658</v>
      </c>
      <c r="CV65">
        <v>6</v>
      </c>
      <c r="EH65" s="126">
        <v>5551.5801695559621</v>
      </c>
      <c r="EI65">
        <v>6</v>
      </c>
    </row>
    <row r="66" spans="25:139">
      <c r="AZ66">
        <v>5478.3564953670702</v>
      </c>
      <c r="BA66">
        <v>6</v>
      </c>
      <c r="BB66" s="126"/>
      <c r="BC66"/>
      <c r="CU66">
        <v>8499.6718272484759</v>
      </c>
      <c r="CV66">
        <v>4</v>
      </c>
      <c r="EH66" s="126">
        <v>15856.519626291001</v>
      </c>
      <c r="EI66">
        <v>7</v>
      </c>
    </row>
    <row r="67" spans="25:139">
      <c r="AZ67">
        <v>5575.0049486813959</v>
      </c>
      <c r="BA67">
        <v>6</v>
      </c>
      <c r="BB67" s="126"/>
      <c r="BC67"/>
      <c r="CU67">
        <v>5849.3160000000007</v>
      </c>
      <c r="CV67">
        <v>6</v>
      </c>
      <c r="EH67" s="126">
        <v>11863.247660672429</v>
      </c>
      <c r="EI67">
        <v>4</v>
      </c>
    </row>
    <row r="68" spans="25:139">
      <c r="Y68" s="13"/>
      <c r="AZ68">
        <v>5888.0385502494655</v>
      </c>
      <c r="BA68">
        <v>6</v>
      </c>
      <c r="BB68" s="126"/>
      <c r="BC68"/>
      <c r="CU68">
        <v>11655.186138911624</v>
      </c>
      <c r="CV68">
        <v>4</v>
      </c>
      <c r="EH68" s="126">
        <v>5307.7629081632658</v>
      </c>
      <c r="EI68">
        <v>6</v>
      </c>
    </row>
    <row r="69" spans="25:139">
      <c r="AZ69">
        <v>8603.6378615167214</v>
      </c>
      <c r="BA69">
        <v>6</v>
      </c>
      <c r="BB69" s="126"/>
      <c r="BC69"/>
      <c r="CU69">
        <v>3767.7683610121167</v>
      </c>
      <c r="CV69">
        <v>6</v>
      </c>
      <c r="EH69" s="126">
        <v>2519.3719612638824</v>
      </c>
      <c r="EI69">
        <v>7</v>
      </c>
    </row>
    <row r="70" spans="25:139">
      <c r="AZ70">
        <v>5575.9296513672143</v>
      </c>
      <c r="BA70">
        <v>6</v>
      </c>
      <c r="BB70" s="126"/>
      <c r="BC70"/>
      <c r="CU70">
        <v>11863.247660672429</v>
      </c>
      <c r="CV70">
        <v>4</v>
      </c>
      <c r="EH70" s="126">
        <v>6113.909565217391</v>
      </c>
      <c r="EI70">
        <v>4</v>
      </c>
    </row>
    <row r="71" spans="25:139">
      <c r="AZ71">
        <v>7924.8639972798692</v>
      </c>
      <c r="BA71">
        <v>6</v>
      </c>
      <c r="BB71" s="126"/>
      <c r="BC71"/>
      <c r="CU71">
        <v>4112.2052264808362</v>
      </c>
      <c r="CV71">
        <v>6</v>
      </c>
      <c r="EH71" s="126">
        <v>5849.3160000000007</v>
      </c>
      <c r="EI71">
        <v>6</v>
      </c>
    </row>
    <row r="72" spans="25:139">
      <c r="AZ72">
        <v>11734.969398518611</v>
      </c>
      <c r="BA72">
        <v>6</v>
      </c>
      <c r="BB72" s="126"/>
      <c r="BC72"/>
      <c r="CU72">
        <v>6113.909565217391</v>
      </c>
      <c r="CV72">
        <v>4</v>
      </c>
      <c r="EH72" s="126">
        <v>3275.3086956521738</v>
      </c>
      <c r="EI72">
        <v>7</v>
      </c>
    </row>
    <row r="73" spans="25:139">
      <c r="AZ73">
        <v>3438.9745164233582</v>
      </c>
      <c r="BA73">
        <v>6</v>
      </c>
      <c r="BB73" s="126"/>
      <c r="BC73"/>
      <c r="CU73">
        <v>4154.4938617886182</v>
      </c>
      <c r="CV73">
        <v>6</v>
      </c>
      <c r="EH73" s="126">
        <v>11642.797253594323</v>
      </c>
      <c r="EI73">
        <v>4</v>
      </c>
    </row>
    <row r="74" spans="25:139">
      <c r="AZ74">
        <v>3489.3792062043799</v>
      </c>
      <c r="BA74">
        <v>6</v>
      </c>
      <c r="BB74" s="126"/>
      <c r="BC74"/>
      <c r="CU74">
        <v>11642.797253594323</v>
      </c>
      <c r="CV74">
        <v>4</v>
      </c>
      <c r="EH74" s="126">
        <v>3767.7683610121167</v>
      </c>
      <c r="EI74">
        <v>6</v>
      </c>
    </row>
    <row r="75" spans="25:139">
      <c r="AZ75">
        <v>3161.7487226277376</v>
      </c>
      <c r="BA75">
        <v>6</v>
      </c>
      <c r="BB75" s="126"/>
      <c r="BC75"/>
      <c r="CU75">
        <v>4182.2002090592341</v>
      </c>
      <c r="CV75">
        <v>6</v>
      </c>
      <c r="EH75" s="126">
        <v>29106.993133985809</v>
      </c>
      <c r="EI75">
        <v>4</v>
      </c>
    </row>
    <row r="76" spans="25:139">
      <c r="AZ76">
        <v>4291.2719981751834</v>
      </c>
      <c r="BA76">
        <v>6</v>
      </c>
      <c r="CU76">
        <v>29106.993133985809</v>
      </c>
      <c r="CV76">
        <v>4</v>
      </c>
      <c r="EH76" s="126">
        <v>4112.2052264808362</v>
      </c>
      <c r="EI76">
        <v>6</v>
      </c>
    </row>
    <row r="77" spans="25:139">
      <c r="AZ77">
        <v>4990.0642883211685</v>
      </c>
      <c r="BA77">
        <v>6</v>
      </c>
      <c r="CU77">
        <v>5745.4214866434386</v>
      </c>
      <c r="CV77">
        <v>6</v>
      </c>
      <c r="EH77" s="126">
        <v>4154.4938617886182</v>
      </c>
      <c r="EI77">
        <v>6</v>
      </c>
    </row>
    <row r="78" spans="25:139">
      <c r="AZ78">
        <v>5024.4311222627739</v>
      </c>
      <c r="BA78">
        <v>6</v>
      </c>
      <c r="CU78">
        <v>6058.9406794425095</v>
      </c>
      <c r="CV78">
        <v>6</v>
      </c>
      <c r="EH78" s="126">
        <v>4182.2002090592341</v>
      </c>
      <c r="EI78">
        <v>6</v>
      </c>
    </row>
    <row r="79" spans="25:139">
      <c r="AZ79">
        <v>5872.146359489052</v>
      </c>
      <c r="BA79">
        <v>6</v>
      </c>
      <c r="CU79">
        <v>7604.6632113821142</v>
      </c>
      <c r="CV79">
        <v>6</v>
      </c>
      <c r="EH79" s="126">
        <v>5745.4214866434386</v>
      </c>
      <c r="EI79">
        <v>6</v>
      </c>
    </row>
    <row r="80" spans="25:139">
      <c r="AZ80">
        <v>6385.3577463503652</v>
      </c>
      <c r="BA80">
        <v>6</v>
      </c>
      <c r="CU80">
        <v>8202.5370209059238</v>
      </c>
      <c r="CV80">
        <v>6</v>
      </c>
      <c r="EH80" s="126">
        <v>6058.9406794425095</v>
      </c>
      <c r="EI80">
        <v>6</v>
      </c>
    </row>
    <row r="81" spans="52:139">
      <c r="AZ81">
        <v>5837.3891991838827</v>
      </c>
      <c r="BA81">
        <v>6</v>
      </c>
      <c r="CU81">
        <v>6747.7326652507072</v>
      </c>
      <c r="CV81">
        <v>6</v>
      </c>
      <c r="EH81" s="126">
        <v>7604.6632113821142</v>
      </c>
      <c r="EI81">
        <v>6</v>
      </c>
    </row>
    <row r="82" spans="52:139">
      <c r="AZ82">
        <v>6134.3975486052414</v>
      </c>
      <c r="BA82">
        <v>6</v>
      </c>
      <c r="CU82">
        <v>4915.2897655024944</v>
      </c>
      <c r="CV82">
        <v>6</v>
      </c>
      <c r="EH82" s="126">
        <v>8202.5370209059238</v>
      </c>
      <c r="EI82">
        <v>6</v>
      </c>
    </row>
    <row r="83" spans="52:139">
      <c r="AZ83">
        <v>3810.4547612259439</v>
      </c>
      <c r="BA83">
        <v>6</v>
      </c>
      <c r="CU83">
        <v>5478.3564953670702</v>
      </c>
      <c r="CV83">
        <v>6</v>
      </c>
      <c r="EH83" s="126">
        <v>6747.7326652507072</v>
      </c>
      <c r="EI83">
        <v>6</v>
      </c>
    </row>
    <row r="84" spans="52:139">
      <c r="AZ84">
        <v>3506.9096824549256</v>
      </c>
      <c r="BA84">
        <v>6</v>
      </c>
      <c r="CU84">
        <v>5575.0049486813959</v>
      </c>
      <c r="CV84">
        <v>6</v>
      </c>
      <c r="EH84" s="126">
        <v>4915.2897655024944</v>
      </c>
      <c r="EI84">
        <v>6</v>
      </c>
    </row>
    <row r="85" spans="52:139">
      <c r="AZ85">
        <v>4547.829870886776</v>
      </c>
      <c r="BA85">
        <v>6</v>
      </c>
      <c r="CU85">
        <v>5888.0385502494655</v>
      </c>
      <c r="CV85">
        <v>6</v>
      </c>
      <c r="EH85" s="126">
        <v>5478.3564953670702</v>
      </c>
      <c r="EI85">
        <v>6</v>
      </c>
    </row>
    <row r="86" spans="52:139">
      <c r="AZ86">
        <v>5639.5343472996956</v>
      </c>
      <c r="BA86">
        <v>6</v>
      </c>
      <c r="CU86">
        <v>5575.9296513672143</v>
      </c>
      <c r="CV86">
        <v>6</v>
      </c>
      <c r="EH86" s="126">
        <v>5575.0049486813959</v>
      </c>
      <c r="EI86">
        <v>6</v>
      </c>
    </row>
    <row r="87" spans="52:139">
      <c r="AZ87">
        <v>7016.5731220221051</v>
      </c>
      <c r="BA87">
        <v>6</v>
      </c>
      <c r="CU87">
        <v>7924.8639972798692</v>
      </c>
      <c r="CV87">
        <v>6</v>
      </c>
      <c r="EH87" s="126">
        <v>5888.0385502494655</v>
      </c>
      <c r="EI87">
        <v>6</v>
      </c>
    </row>
    <row r="88" spans="52:139">
      <c r="AZ88">
        <v>7199.697969986968</v>
      </c>
      <c r="BA88">
        <v>6</v>
      </c>
      <c r="CU88">
        <v>11734.969398518611</v>
      </c>
      <c r="CV88">
        <v>6</v>
      </c>
      <c r="EH88" s="126">
        <v>8603.6378615167214</v>
      </c>
      <c r="EI88">
        <v>6</v>
      </c>
    </row>
    <row r="89" spans="52:139">
      <c r="AZ89">
        <v>4846.9197540160649</v>
      </c>
      <c r="BA89">
        <v>6</v>
      </c>
      <c r="CU89">
        <v>3161.7487226277376</v>
      </c>
      <c r="CV89">
        <v>6</v>
      </c>
      <c r="EH89" s="126">
        <v>5575.9296513672143</v>
      </c>
      <c r="EI89">
        <v>6</v>
      </c>
    </row>
    <row r="90" spans="52:139">
      <c r="AZ90">
        <v>13440.489466307758</v>
      </c>
      <c r="BA90">
        <v>6</v>
      </c>
      <c r="CU90">
        <v>4291.2719981751834</v>
      </c>
      <c r="CV90">
        <v>6</v>
      </c>
      <c r="EH90" s="126">
        <v>7924.8639972798692</v>
      </c>
      <c r="EI90">
        <v>6</v>
      </c>
    </row>
    <row r="91" spans="52:139">
      <c r="AZ91">
        <v>8732.0979401957429</v>
      </c>
      <c r="BA91">
        <v>6</v>
      </c>
      <c r="CU91">
        <v>4990.0642883211685</v>
      </c>
      <c r="CV91">
        <v>6</v>
      </c>
      <c r="EH91" s="126">
        <v>11734.969398518611</v>
      </c>
      <c r="EI91">
        <v>6</v>
      </c>
    </row>
    <row r="92" spans="52:139">
      <c r="AZ92">
        <v>4057.4152694979834</v>
      </c>
      <c r="BA92">
        <v>7</v>
      </c>
      <c r="CU92">
        <v>5024.4311222627739</v>
      </c>
      <c r="CV92">
        <v>6</v>
      </c>
      <c r="EH92" s="126">
        <v>3438.9745164233582</v>
      </c>
      <c r="EI92">
        <v>6</v>
      </c>
    </row>
    <row r="93" spans="52:139">
      <c r="AZ93">
        <v>3164.356504065041</v>
      </c>
      <c r="BA93">
        <v>7</v>
      </c>
      <c r="CU93">
        <v>5872.146359489052</v>
      </c>
      <c r="CV93">
        <v>6</v>
      </c>
      <c r="EH93" s="126">
        <v>3489.3792062043799</v>
      </c>
      <c r="EI93">
        <v>6</v>
      </c>
    </row>
    <row r="94" spans="52:139">
      <c r="AZ94">
        <v>4301.7749709639957</v>
      </c>
      <c r="BA94">
        <v>7</v>
      </c>
      <c r="CU94">
        <v>6385.3577463503652</v>
      </c>
      <c r="CV94">
        <v>6</v>
      </c>
      <c r="EH94" s="126">
        <v>3161.7487226277376</v>
      </c>
      <c r="EI94">
        <v>6</v>
      </c>
    </row>
    <row r="95" spans="52:139">
      <c r="AZ95">
        <v>4421.9798661567875</v>
      </c>
      <c r="BA95">
        <v>7</v>
      </c>
      <c r="CU95">
        <v>5837.3891991838827</v>
      </c>
      <c r="CV95">
        <v>6</v>
      </c>
      <c r="EH95" s="126">
        <v>4291.2719981751834</v>
      </c>
      <c r="EI95">
        <v>6</v>
      </c>
    </row>
    <row r="96" spans="52:139">
      <c r="AZ96">
        <v>5882.8595673719446</v>
      </c>
      <c r="BA96">
        <v>7</v>
      </c>
      <c r="CU96">
        <v>6134.3975486052414</v>
      </c>
      <c r="CV96">
        <v>6</v>
      </c>
      <c r="EH96" s="126">
        <v>4990.0642883211685</v>
      </c>
      <c r="EI96">
        <v>6</v>
      </c>
    </row>
    <row r="97" spans="52:139">
      <c r="AZ97">
        <v>6326.4153748480385</v>
      </c>
      <c r="BA97">
        <v>7</v>
      </c>
      <c r="CA97" s="1" t="s">
        <v>787</v>
      </c>
      <c r="CU97">
        <v>3810.4547612259439</v>
      </c>
      <c r="CV97">
        <v>6</v>
      </c>
      <c r="EH97" s="126">
        <v>5024.4311222627739</v>
      </c>
      <c r="EI97">
        <v>6</v>
      </c>
    </row>
    <row r="98" spans="52:139">
      <c r="AZ98">
        <v>6445.5061993980289</v>
      </c>
      <c r="BA98">
        <v>7</v>
      </c>
      <c r="BV98" t="s">
        <v>784</v>
      </c>
      <c r="CU98">
        <v>3506.9096824549256</v>
      </c>
      <c r="CV98">
        <v>6</v>
      </c>
      <c r="EH98" s="126">
        <v>5872.146359489052</v>
      </c>
      <c r="EI98">
        <v>6</v>
      </c>
    </row>
    <row r="99" spans="52:139">
      <c r="AZ99">
        <v>6730.1311012027963</v>
      </c>
      <c r="BA99">
        <v>7</v>
      </c>
      <c r="CU99">
        <v>4547.829870886776</v>
      </c>
      <c r="CV99">
        <v>6</v>
      </c>
      <c r="EH99" s="126">
        <v>6385.3577463503652</v>
      </c>
      <c r="EI99">
        <v>6</v>
      </c>
    </row>
    <row r="100" spans="52:139">
      <c r="AZ100">
        <v>4411.9741663617315</v>
      </c>
      <c r="BA100">
        <v>7</v>
      </c>
      <c r="BW100" t="s">
        <v>785</v>
      </c>
      <c r="CU100">
        <v>5639.5343472996956</v>
      </c>
      <c r="CV100">
        <v>6</v>
      </c>
      <c r="EH100" s="126">
        <v>5837.3891991838827</v>
      </c>
      <c r="EI100">
        <v>6</v>
      </c>
    </row>
    <row r="101" spans="52:139">
      <c r="AZ101">
        <v>8940.4134892889124</v>
      </c>
      <c r="BA101">
        <v>7</v>
      </c>
      <c r="CU101">
        <v>7016.5731220221051</v>
      </c>
      <c r="CV101">
        <v>6</v>
      </c>
      <c r="EH101" s="126">
        <v>6134.3975486052414</v>
      </c>
      <c r="EI101">
        <v>6</v>
      </c>
    </row>
    <row r="102" spans="52:139">
      <c r="AZ102">
        <v>7004.1127811414517</v>
      </c>
      <c r="BA102">
        <v>7</v>
      </c>
      <c r="BW102" t="s">
        <v>786</v>
      </c>
      <c r="CD102" t="s">
        <v>793</v>
      </c>
      <c r="CU102">
        <v>7199.697969986968</v>
      </c>
      <c r="CV102">
        <v>6</v>
      </c>
      <c r="EH102" s="126">
        <v>3810.4547612259439</v>
      </c>
      <c r="EI102">
        <v>6</v>
      </c>
    </row>
    <row r="103" spans="52:139">
      <c r="AZ103">
        <v>7502.812596837075</v>
      </c>
      <c r="BA103">
        <v>7</v>
      </c>
      <c r="CU103">
        <v>4846.9197540160649</v>
      </c>
      <c r="CV103">
        <v>6</v>
      </c>
      <c r="EH103" s="126">
        <v>3506.9096824549256</v>
      </c>
      <c r="EI103">
        <v>6</v>
      </c>
    </row>
    <row r="104" spans="52:139">
      <c r="AZ104">
        <v>11235.299349718522</v>
      </c>
      <c r="BA104">
        <v>7</v>
      </c>
      <c r="CU104">
        <v>13440.489466307758</v>
      </c>
      <c r="CV104">
        <v>6</v>
      </c>
      <c r="EH104" s="126">
        <v>4547.829870886776</v>
      </c>
      <c r="EI104">
        <v>6</v>
      </c>
    </row>
    <row r="105" spans="52:139">
      <c r="AZ105">
        <v>15856.519626291001</v>
      </c>
      <c r="BA105">
        <v>7</v>
      </c>
      <c r="CU105">
        <v>8732.0979401957429</v>
      </c>
      <c r="CV105">
        <v>6</v>
      </c>
      <c r="EH105" s="126">
        <v>5639.5343472996956</v>
      </c>
      <c r="EI105">
        <v>6</v>
      </c>
    </row>
    <row r="106" spans="52:139">
      <c r="AZ106">
        <v>2519.3719612638824</v>
      </c>
      <c r="BA106">
        <v>7</v>
      </c>
      <c r="EH106" s="126">
        <v>7016.5731220221051</v>
      </c>
      <c r="EI106">
        <v>6</v>
      </c>
    </row>
    <row r="107" spans="52:139">
      <c r="AZ107">
        <v>3275.3086956521738</v>
      </c>
      <c r="BA107">
        <v>7</v>
      </c>
      <c r="EH107" s="126">
        <v>7199.697969986968</v>
      </c>
      <c r="EI107">
        <v>6</v>
      </c>
    </row>
    <row r="108" spans="52:139">
      <c r="AZ108">
        <v>4205.9195773456604</v>
      </c>
      <c r="BA108">
        <v>10</v>
      </c>
      <c r="EH108" s="126">
        <v>4846.9197540160649</v>
      </c>
      <c r="EI108">
        <v>6</v>
      </c>
    </row>
    <row r="109" spans="52:139">
      <c r="AZ109">
        <v>9158.1631924624417</v>
      </c>
      <c r="BA109">
        <v>10</v>
      </c>
      <c r="EH109" s="126">
        <v>13440.489466307758</v>
      </c>
      <c r="EI109">
        <v>6</v>
      </c>
    </row>
    <row r="110" spans="52:139">
      <c r="AZ110">
        <v>11955.13458635234</v>
      </c>
      <c r="BA110">
        <v>10</v>
      </c>
      <c r="EH110" s="126">
        <v>8732.0979401957429</v>
      </c>
      <c r="EI110">
        <v>6</v>
      </c>
    </row>
    <row r="111" spans="52:139">
      <c r="EH111" s="126"/>
    </row>
    <row r="112" spans="52:139">
      <c r="EH112" s="126"/>
    </row>
    <row r="113" spans="1:139">
      <c r="EH113" s="126"/>
    </row>
    <row r="114" spans="1:139">
      <c r="EH114" s="126"/>
    </row>
    <row r="115" spans="1:139">
      <c r="EH115" s="126"/>
    </row>
    <row r="116" spans="1:139">
      <c r="EH116" s="126"/>
    </row>
    <row r="117" spans="1:139">
      <c r="EH117" s="126"/>
    </row>
    <row r="118" spans="1:139">
      <c r="EH118" s="126"/>
    </row>
    <row r="119" spans="1:139" s="81" customFormat="1" ht="20.399999999999999">
      <c r="A119" s="165" t="s">
        <v>723</v>
      </c>
      <c r="R119" s="164"/>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s="126"/>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s="126"/>
      <c r="EI119"/>
    </row>
    <row r="120" spans="1:139">
      <c r="EH120" s="126"/>
    </row>
    <row r="121" spans="1:139">
      <c r="A121" s="81" t="s">
        <v>524</v>
      </c>
      <c r="B121" s="81" t="s">
        <v>3</v>
      </c>
      <c r="C121" s="81" t="s">
        <v>525</v>
      </c>
      <c r="D121" s="81" t="s">
        <v>526</v>
      </c>
      <c r="E121" s="81" t="s">
        <v>527</v>
      </c>
      <c r="F121" s="81" t="s">
        <v>528</v>
      </c>
      <c r="G121" s="81" t="s">
        <v>529</v>
      </c>
      <c r="H121" s="81" t="s">
        <v>530</v>
      </c>
      <c r="I121" s="81"/>
      <c r="J121" s="81" t="s">
        <v>661</v>
      </c>
      <c r="K121" s="81" t="s">
        <v>662</v>
      </c>
      <c r="L121" s="81" t="s">
        <v>663</v>
      </c>
      <c r="M121" s="81" t="s">
        <v>664</v>
      </c>
      <c r="N121" s="81" t="s">
        <v>703</v>
      </c>
      <c r="O121" s="504" t="s">
        <v>531</v>
      </c>
      <c r="P121" s="504"/>
      <c r="EH121" s="126"/>
    </row>
    <row r="122" spans="1:139">
      <c r="A122" t="s">
        <v>519</v>
      </c>
      <c r="B122" t="s">
        <v>388</v>
      </c>
      <c r="C122" t="s">
        <v>32</v>
      </c>
      <c r="D122" t="e" cm="1">
        <f t="array" ref="D122">_xlfn.LET(
 _xlpm.A,$A122,_xlpm.B,$B122,_xlpm.C,$C122,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22" t="e" cm="1">
        <f t="array" ref="E122">_xlfn.LET(
 _xlpm.A,$A122,_xlpm.B,$B122,_xlpm.C,$C122,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22" t="e" cm="1">
        <f t="array" ref="F122">_xlfn.LET(
 _xlpm.A,$A122,_xlpm.B,$B122,_xlpm.C,$C122,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22" t="e" cm="1">
        <f t="array" ref="G122">_xlfn.LET(
 _xlpm.A,$A122,_xlpm.B,$B122,_xlpm.C,$C122,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22" t="e">
        <f>MAX($D122-$G122,0)</f>
        <v>#N/A</v>
      </c>
      <c r="I122">
        <f>ROW()-ROW($A$122)+1</f>
        <v>1</v>
      </c>
      <c r="J122" t="e">
        <f>IF($C122="FOAK", $G122, NA())</f>
        <v>#N/A</v>
      </c>
      <c r="K122" t="e">
        <f>IF($C122="NOAK", $G122, NA())</f>
        <v>#N/A</v>
      </c>
      <c r="L122" t="e">
        <f>IF($C122="10th-OAK", $G122, NA())</f>
        <v>#N/A</v>
      </c>
      <c r="M122" t="e">
        <f>IF($C122="75th-OAK", $G122, NA())</f>
        <v>#N/A</v>
      </c>
      <c r="N122" t="e">
        <f>IF($C122="100th-OAK", $G122, NA())</f>
        <v>#N/A</v>
      </c>
      <c r="O122" t="e" cm="1">
        <f t="array" ref="O122">_xlfn.LET(
 _xlpm.A,$A122,_xlpm.B,$B122,_xlpm.C,$C122,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22" t="str">
        <f>IFERROR("n="&amp;O122,"")</f>
        <v/>
      </c>
      <c r="EH122" s="126"/>
    </row>
    <row r="123" spans="1:139">
      <c r="A123" t="s">
        <v>519</v>
      </c>
      <c r="B123" t="s">
        <v>388</v>
      </c>
      <c r="C123" t="s">
        <v>57</v>
      </c>
      <c r="D123" cm="1">
        <f t="array" ref="D123">_xlfn.LET(
 _xlpm.A,$A123,_xlpm.B,$B123,_xlpm.C,$C123,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2100.3070606742936</v>
      </c>
      <c r="E123" cm="1">
        <f t="array" ref="E123">_xlfn.LET(
 _xlpm.A,$A123,_xlpm.B,$B123,_xlpm.C,$C123,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2100.3070606742936</v>
      </c>
      <c r="F123" cm="1">
        <f t="array" ref="F123">_xlfn.LET(
 _xlpm.A,$A123,_xlpm.B,$B123,_xlpm.C,$C123,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2100.3070606742936</v>
      </c>
      <c r="G123" cm="1">
        <f t="array" ref="G123">_xlfn.LET(
 _xlpm.A,$A123,_xlpm.B,$B123,_xlpm.C,$C123,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2100.3070606742936</v>
      </c>
      <c r="H123">
        <f t="shared" ref="H123:H138" si="14">MAX($D123-$G123,0)</f>
        <v>0</v>
      </c>
      <c r="I123">
        <f t="shared" ref="I123:I141" si="15">ROW()-ROW($A$122)+1</f>
        <v>2</v>
      </c>
      <c r="J123" t="e">
        <f t="shared" ref="J123:J141" si="16">IF($C123="FOAK", $G123, NA())</f>
        <v>#N/A</v>
      </c>
      <c r="K123">
        <f t="shared" ref="K123:K141" si="17">IF($C123="NOAK", $G123, NA())</f>
        <v>2100.3070606742936</v>
      </c>
      <c r="L123" t="e">
        <f t="shared" ref="L123:L141" si="18">IF($C123="10th-OAK", $G123, NA())</f>
        <v>#N/A</v>
      </c>
      <c r="M123" t="e">
        <f t="shared" ref="M123:M141" si="19">IF($C123="75th-OAK", $G123, NA())</f>
        <v>#N/A</v>
      </c>
      <c r="N123" t="e">
        <f t="shared" ref="N123:N141" si="20">IF($C123="100th-OAK", $G123, NA())</f>
        <v>#N/A</v>
      </c>
      <c r="O123" cm="1">
        <f t="array" ref="O123">_xlfn.LET(
 _xlpm.A,$A123,_xlpm.B,$B123,_xlpm.C,$C123,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1</v>
      </c>
      <c r="P123" t="str">
        <f t="shared" ref="P123:P141" si="21">IFERROR("n="&amp;O123,"")</f>
        <v>n=1</v>
      </c>
      <c r="EH123" s="126"/>
    </row>
    <row r="124" spans="1:139">
      <c r="A124" t="s">
        <v>519</v>
      </c>
      <c r="B124" t="s">
        <v>388</v>
      </c>
      <c r="C124" t="s">
        <v>52</v>
      </c>
      <c r="D124" cm="1">
        <f t="array" ref="D124">_xlfn.LET(
 _xlpm.A,$A124,_xlpm.B,$B124,_xlpm.C,$C124,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8293.5403792883008</v>
      </c>
      <c r="E124" cm="1">
        <f t="array" ref="E124">_xlfn.LET(
 _xlpm.A,$A124,_xlpm.B,$B124,_xlpm.C,$C124,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4458.9761418676444</v>
      </c>
      <c r="F124" cm="1">
        <f t="array" ref="F124">_xlfn.LET(
 _xlpm.A,$A124,_xlpm.B,$B124,_xlpm.C,$C124,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4466.4024745136494</v>
      </c>
      <c r="G124" cm="1">
        <f t="array" ref="G124">_xlfn.LET(
 _xlpm.A,$A124,_xlpm.B,$B124,_xlpm.C,$C124,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8167.628781002586</v>
      </c>
      <c r="H124">
        <f t="shared" si="14"/>
        <v>125.91159828571472</v>
      </c>
      <c r="I124">
        <f t="shared" si="15"/>
        <v>3</v>
      </c>
      <c r="J124" t="e">
        <f t="shared" si="16"/>
        <v>#N/A</v>
      </c>
      <c r="K124" t="e">
        <f t="shared" si="17"/>
        <v>#N/A</v>
      </c>
      <c r="L124">
        <f t="shared" si="18"/>
        <v>8167.628781002586</v>
      </c>
      <c r="M124" t="e">
        <f t="shared" si="19"/>
        <v>#N/A</v>
      </c>
      <c r="N124" t="e">
        <f t="shared" si="20"/>
        <v>#N/A</v>
      </c>
      <c r="O124" cm="1">
        <f t="array" ref="O124">_xlfn.LET(
 _xlpm.A,$A124,_xlpm.B,$B124,_xlpm.C,$C124,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7</v>
      </c>
      <c r="P124" t="str">
        <f t="shared" si="21"/>
        <v>n=7</v>
      </c>
      <c r="EH124" s="126"/>
    </row>
    <row r="125" spans="1:139">
      <c r="A125" t="s">
        <v>518</v>
      </c>
      <c r="B125" t="s">
        <v>62</v>
      </c>
      <c r="C125" t="s">
        <v>32</v>
      </c>
      <c r="D125" cm="1">
        <f t="array" ref="D125">_xlfn.LET(
 _xlpm.A,$A125,_xlpm.B,$B125,_xlpm.C,$C125,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29106.993133985809</v>
      </c>
      <c r="E125" cm="1">
        <f t="array" ref="E125">_xlfn.LET(
 _xlpm.A,$A125,_xlpm.B,$B125,_xlpm.C,$C125,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11915.65033208227</v>
      </c>
      <c r="F125" cm="1">
        <f t="array" ref="F125">_xlfn.LET(
 _xlpm.A,$A125,_xlpm.B,$B125,_xlpm.C,$C125,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11606.754049520958</v>
      </c>
      <c r="G125" cm="1">
        <f t="array" ref="G125">_xlfn.LET(
 _xlpm.A,$A125,_xlpm.B,$B125,_xlpm.C,$C125,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27331.987939932962</v>
      </c>
      <c r="H125">
        <f t="shared" si="14"/>
        <v>1775.0051940528465</v>
      </c>
      <c r="I125">
        <f t="shared" si="15"/>
        <v>4</v>
      </c>
      <c r="J125">
        <f t="shared" si="16"/>
        <v>27331.987939932962</v>
      </c>
      <c r="K125" t="e">
        <f t="shared" si="17"/>
        <v>#N/A</v>
      </c>
      <c r="L125" t="e">
        <f t="shared" si="18"/>
        <v>#N/A</v>
      </c>
      <c r="M125" t="e">
        <f t="shared" si="19"/>
        <v>#N/A</v>
      </c>
      <c r="N125" t="e">
        <f t="shared" si="20"/>
        <v>#N/A</v>
      </c>
      <c r="O125" cm="1">
        <f t="array" ref="O125">_xlfn.LET(
 _xlpm.A,$A125,_xlpm.B,$B125,_xlpm.C,$C125,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18</v>
      </c>
      <c r="P125" t="str">
        <f t="shared" si="21"/>
        <v>n=18</v>
      </c>
      <c r="EH125" s="126"/>
    </row>
    <row r="126" spans="1:139">
      <c r="A126" t="s">
        <v>518</v>
      </c>
      <c r="B126" t="s">
        <v>62</v>
      </c>
      <c r="C126" t="s">
        <v>57</v>
      </c>
      <c r="D126" cm="1">
        <f t="array" ref="D126">_xlfn.LET(
 _xlpm.A,$A126,_xlpm.B,$B126,_xlpm.C,$C126,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15856.519626291001</v>
      </c>
      <c r="E126" cm="1">
        <f t="array" ref="E126">_xlfn.LET(
 _xlpm.A,$A126,_xlpm.B,$B126,_xlpm.C,$C126,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7678.8150836011937</v>
      </c>
      <c r="F126" cm="1">
        <f t="array" ref="F126">_xlfn.LET(
 _xlpm.A,$A126,_xlpm.B,$B126,_xlpm.C,$C126,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7502.812596837075</v>
      </c>
      <c r="G126" cm="1">
        <f t="array" ref="G126">_xlfn.LET(
 _xlpm.A,$A126,_xlpm.B,$B126,_xlpm.C,$C126,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15163.336584805127</v>
      </c>
      <c r="H126">
        <f t="shared" si="14"/>
        <v>693.18304148587413</v>
      </c>
      <c r="I126">
        <f t="shared" si="15"/>
        <v>5</v>
      </c>
      <c r="J126" t="e">
        <f t="shared" si="16"/>
        <v>#N/A</v>
      </c>
      <c r="K126">
        <f t="shared" si="17"/>
        <v>15163.336584805127</v>
      </c>
      <c r="L126" t="e">
        <f t="shared" si="18"/>
        <v>#N/A</v>
      </c>
      <c r="M126" t="e">
        <f t="shared" si="19"/>
        <v>#N/A</v>
      </c>
      <c r="N126" t="e">
        <f t="shared" si="20"/>
        <v>#N/A</v>
      </c>
      <c r="O126" cm="1">
        <f t="array" ref="O126">_xlfn.LET(
 _xlpm.A,$A126,_xlpm.B,$B126,_xlpm.C,$C126,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7</v>
      </c>
      <c r="P126" t="str">
        <f t="shared" si="21"/>
        <v>n=7</v>
      </c>
      <c r="EH126" s="126"/>
    </row>
    <row r="127" spans="1:139">
      <c r="A127" t="s">
        <v>518</v>
      </c>
      <c r="B127" t="s">
        <v>62</v>
      </c>
      <c r="C127" t="s">
        <v>52</v>
      </c>
      <c r="D127" cm="1">
        <f t="array" ref="D127">_xlfn.LET(
 _xlpm.A,$A127,_xlpm.B,$B127,_xlpm.C,$C127,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13440.489466307758</v>
      </c>
      <c r="E127" cm="1">
        <f t="array" ref="E127">_xlfn.LET(
 _xlpm.A,$A127,_xlpm.B,$B127,_xlpm.C,$C127,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5715.4644368060463</v>
      </c>
      <c r="F127" cm="1">
        <f t="array" ref="F127">_xlfn.LET(
 _xlpm.A,$A127,_xlpm.B,$B127,_xlpm.C,$C127,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5514.9683324615162</v>
      </c>
      <c r="G127" cm="1">
        <f t="array" ref="G127">_xlfn.LET(
 _xlpm.A,$A127,_xlpm.B,$B127,_xlpm.C,$C127,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11359.610466228252</v>
      </c>
      <c r="H127">
        <f t="shared" si="14"/>
        <v>2080.8790000795052</v>
      </c>
      <c r="I127">
        <f t="shared" si="15"/>
        <v>6</v>
      </c>
      <c r="J127" t="e">
        <f t="shared" si="16"/>
        <v>#N/A</v>
      </c>
      <c r="K127" t="e">
        <f t="shared" si="17"/>
        <v>#N/A</v>
      </c>
      <c r="L127">
        <f t="shared" si="18"/>
        <v>11359.610466228252</v>
      </c>
      <c r="M127" t="e">
        <f t="shared" si="19"/>
        <v>#N/A</v>
      </c>
      <c r="N127" t="e">
        <f t="shared" si="20"/>
        <v>#N/A</v>
      </c>
      <c r="O127" cm="1">
        <f t="array" ref="O127">_xlfn.LET(
 _xlpm.A,$A127,_xlpm.B,$B127,_xlpm.C,$C127,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46</v>
      </c>
      <c r="P127" t="str">
        <f t="shared" si="21"/>
        <v>n=46</v>
      </c>
      <c r="EH127" s="126"/>
    </row>
    <row r="128" spans="1:139">
      <c r="A128" t="s">
        <v>518</v>
      </c>
      <c r="B128" t="s">
        <v>62</v>
      </c>
      <c r="C128" t="s">
        <v>351</v>
      </c>
      <c r="D128" t="e" cm="1">
        <f t="array" ref="D128">_xlfn.LET(
 _xlpm.A,$A128,_xlpm.B,$B128,_xlpm.C,$C128,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28" t="e" cm="1">
        <f t="array" ref="E128">_xlfn.LET(
 _xlpm.A,$A128,_xlpm.B,$B128,_xlpm.C,$C128,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28" t="e" cm="1">
        <f t="array" ref="F128">_xlfn.LET(
 _xlpm.A,$A128,_xlpm.B,$B128,_xlpm.C,$C128,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28" t="e" cm="1">
        <f t="array" ref="G128">_xlfn.LET(
 _xlpm.A,$A128,_xlpm.B,$B128,_xlpm.C,$C128,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28" t="e">
        <f t="shared" si="14"/>
        <v>#N/A</v>
      </c>
      <c r="I128">
        <f t="shared" si="15"/>
        <v>7</v>
      </c>
      <c r="J128" t="e">
        <f t="shared" si="16"/>
        <v>#N/A</v>
      </c>
      <c r="K128" t="e">
        <f t="shared" si="17"/>
        <v>#N/A</v>
      </c>
      <c r="L128" t="e">
        <f t="shared" si="18"/>
        <v>#N/A</v>
      </c>
      <c r="M128" t="e">
        <f t="shared" si="19"/>
        <v>#N/A</v>
      </c>
      <c r="N128" t="e">
        <f t="shared" si="20"/>
        <v>#N/A</v>
      </c>
      <c r="O128" t="e" cm="1">
        <f t="array" ref="O128">_xlfn.LET(
 _xlpm.A,$A128,_xlpm.B,$B128,_xlpm.C,$C128,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28" t="str">
        <f t="shared" si="21"/>
        <v/>
      </c>
      <c r="EH128" s="126"/>
    </row>
    <row r="129" spans="1:138">
      <c r="A129" t="s">
        <v>518</v>
      </c>
      <c r="B129" t="s">
        <v>62</v>
      </c>
      <c r="C129" t="s">
        <v>702</v>
      </c>
      <c r="D129" t="e" cm="1">
        <f t="array" ref="D129">_xlfn.LET(
 _xlpm.A,$A129,_xlpm.B,$B129,_xlpm.C,$C129,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29" t="e" cm="1">
        <f t="array" ref="E129">_xlfn.LET(
 _xlpm.A,$A129,_xlpm.B,$B129,_xlpm.C,$C129,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29" t="e" cm="1">
        <f t="array" ref="F129">_xlfn.LET(
 _xlpm.A,$A129,_xlpm.B,$B129,_xlpm.C,$C129,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29" t="e" cm="1">
        <f t="array" ref="G129">_xlfn.LET(
 _xlpm.A,$A129,_xlpm.B,$B129,_xlpm.C,$C129,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29" t="e">
        <f t="shared" si="14"/>
        <v>#N/A</v>
      </c>
      <c r="I129">
        <f t="shared" si="15"/>
        <v>8</v>
      </c>
      <c r="J129" t="e">
        <f t="shared" si="16"/>
        <v>#N/A</v>
      </c>
      <c r="K129" t="e">
        <f t="shared" si="17"/>
        <v>#N/A</v>
      </c>
      <c r="L129" t="e">
        <f t="shared" si="18"/>
        <v>#N/A</v>
      </c>
      <c r="M129" t="e">
        <f t="shared" si="19"/>
        <v>#N/A</v>
      </c>
      <c r="N129" t="e">
        <f t="shared" si="20"/>
        <v>#N/A</v>
      </c>
      <c r="O129" t="e" cm="1">
        <f t="array" ref="O129">_xlfn.LET(
 _xlpm.A,$A129,_xlpm.B,$B129,_xlpm.C,$C129,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29" t="str">
        <f t="shared" si="21"/>
        <v/>
      </c>
      <c r="EH129" s="126"/>
    </row>
    <row r="130" spans="1:138">
      <c r="A130" t="s">
        <v>518</v>
      </c>
      <c r="B130" t="s">
        <v>521</v>
      </c>
      <c r="C130" t="s">
        <v>32</v>
      </c>
      <c r="D130" t="e" cm="1">
        <f t="array" ref="D130">_xlfn.LET(
 _xlpm.A,$A130,_xlpm.B,$B130,_xlpm.C,$C130,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0" t="e" cm="1">
        <f t="array" ref="E130">_xlfn.LET(
 _xlpm.A,$A130,_xlpm.B,$B130,_xlpm.C,$C130,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0" t="e" cm="1">
        <f t="array" ref="F130">_xlfn.LET(
 _xlpm.A,$A130,_xlpm.B,$B130,_xlpm.C,$C130,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0" t="e" cm="1">
        <f t="array" ref="G130">_xlfn.LET(
 _xlpm.A,$A130,_xlpm.B,$B130,_xlpm.C,$C130,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0" t="e">
        <f t="shared" si="14"/>
        <v>#N/A</v>
      </c>
      <c r="I130">
        <f t="shared" si="15"/>
        <v>9</v>
      </c>
      <c r="J130" t="e">
        <f t="shared" si="16"/>
        <v>#N/A</v>
      </c>
      <c r="K130" t="e">
        <f t="shared" si="17"/>
        <v>#N/A</v>
      </c>
      <c r="L130" t="e">
        <f t="shared" si="18"/>
        <v>#N/A</v>
      </c>
      <c r="M130" t="e">
        <f t="shared" si="19"/>
        <v>#N/A</v>
      </c>
      <c r="N130" t="e">
        <f t="shared" si="20"/>
        <v>#N/A</v>
      </c>
      <c r="O130" t="e" cm="1">
        <f t="array" ref="O130">_xlfn.LET(
 _xlpm.A,$A130,_xlpm.B,$B130,_xlpm.C,$C130,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0" t="str">
        <f t="shared" si="21"/>
        <v/>
      </c>
      <c r="EH130" s="126"/>
    </row>
    <row r="131" spans="1:138">
      <c r="A131" t="s">
        <v>518</v>
      </c>
      <c r="B131" t="s">
        <v>521</v>
      </c>
      <c r="C131" t="s">
        <v>57</v>
      </c>
      <c r="D131" cm="1">
        <f t="array" ref="D131">_xlfn.LET(
 _xlpm.A,$A131,_xlpm.B,$B131,_xlpm.C,$C131,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6730.1311012027963</v>
      </c>
      <c r="E131" cm="1">
        <f t="array" ref="E131">_xlfn.LET(
 _xlpm.A,$A131,_xlpm.B,$B131,_xlpm.C,$C131,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5888.4655024637586</v>
      </c>
      <c r="F131" cm="1">
        <f t="array" ref="F131">_xlfn.LET(
 _xlpm.A,$A131,_xlpm.B,$B131,_xlpm.C,$C131,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6326.4153748480385</v>
      </c>
      <c r="G131" cm="1">
        <f t="array" ref="G131">_xlfn.LET(
 _xlpm.A,$A131,_xlpm.B,$B131,_xlpm.C,$C131,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6701.66861102232</v>
      </c>
      <c r="H131">
        <f t="shared" si="14"/>
        <v>28.462490180476379</v>
      </c>
      <c r="I131">
        <f t="shared" si="15"/>
        <v>10</v>
      </c>
      <c r="J131" t="e">
        <f t="shared" si="16"/>
        <v>#N/A</v>
      </c>
      <c r="K131">
        <f t="shared" si="17"/>
        <v>6701.66861102232</v>
      </c>
      <c r="L131" t="e">
        <f t="shared" si="18"/>
        <v>#N/A</v>
      </c>
      <c r="M131" t="e">
        <f t="shared" si="19"/>
        <v>#N/A</v>
      </c>
      <c r="N131" t="e">
        <f t="shared" si="20"/>
        <v>#N/A</v>
      </c>
      <c r="O131" cm="1">
        <f t="array" ref="O131">_xlfn.LET(
 _xlpm.A,$A131,_xlpm.B,$B131,_xlpm.C,$C131,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5</v>
      </c>
      <c r="P131" t="str">
        <f t="shared" si="21"/>
        <v>n=5</v>
      </c>
      <c r="EH131" s="126"/>
    </row>
    <row r="132" spans="1:138">
      <c r="A132" t="s">
        <v>518</v>
      </c>
      <c r="B132" t="s">
        <v>521</v>
      </c>
      <c r="C132" t="s">
        <v>52</v>
      </c>
      <c r="D132" t="e" cm="1">
        <f t="array" ref="D132">_xlfn.LET(
 _xlpm.A,$A132,_xlpm.B,$B132,_xlpm.C,$C132,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2" t="e" cm="1">
        <f t="array" ref="E132">_xlfn.LET(
 _xlpm.A,$A132,_xlpm.B,$B132,_xlpm.C,$C132,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2" t="e" cm="1">
        <f t="array" ref="F132">_xlfn.LET(
 _xlpm.A,$A132,_xlpm.B,$B132,_xlpm.C,$C132,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2" t="e" cm="1">
        <f t="array" ref="G132">_xlfn.LET(
 _xlpm.A,$A132,_xlpm.B,$B132,_xlpm.C,$C132,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2" t="e">
        <f t="shared" si="14"/>
        <v>#N/A</v>
      </c>
      <c r="I132">
        <f t="shared" si="15"/>
        <v>11</v>
      </c>
      <c r="J132" t="e">
        <f t="shared" si="16"/>
        <v>#N/A</v>
      </c>
      <c r="K132" t="e">
        <f t="shared" si="17"/>
        <v>#N/A</v>
      </c>
      <c r="L132" t="e">
        <f t="shared" si="18"/>
        <v>#N/A</v>
      </c>
      <c r="M132" t="e">
        <f t="shared" si="19"/>
        <v>#N/A</v>
      </c>
      <c r="N132" t="e">
        <f t="shared" si="20"/>
        <v>#N/A</v>
      </c>
      <c r="O132" t="e" cm="1">
        <f t="array" ref="O132">_xlfn.LET(
 _xlpm.A,$A132,_xlpm.B,$B132,_xlpm.C,$C132,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2" t="str">
        <f t="shared" si="21"/>
        <v/>
      </c>
      <c r="EH132" s="126"/>
    </row>
    <row r="133" spans="1:138">
      <c r="A133" t="s">
        <v>518</v>
      </c>
      <c r="B133" t="s">
        <v>523</v>
      </c>
      <c r="C133" t="s">
        <v>32</v>
      </c>
      <c r="D133" t="e" cm="1">
        <f t="array" ref="D133">_xlfn.LET(
 _xlpm.A,$A133,_xlpm.B,$B133,_xlpm.C,$C133,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3" t="e" cm="1">
        <f t="array" ref="E133">_xlfn.LET(
 _xlpm.A,$A133,_xlpm.B,$B133,_xlpm.C,$C133,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3" t="e" cm="1">
        <f t="array" ref="F133">_xlfn.LET(
 _xlpm.A,$A133,_xlpm.B,$B133,_xlpm.C,$C133,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3" t="e" cm="1">
        <f t="array" ref="G133">_xlfn.LET(
 _xlpm.A,$A133,_xlpm.B,$B133,_xlpm.C,$C133,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3" t="e">
        <f t="shared" si="14"/>
        <v>#N/A</v>
      </c>
      <c r="I133">
        <f t="shared" si="15"/>
        <v>12</v>
      </c>
      <c r="J133" t="e">
        <f t="shared" si="16"/>
        <v>#N/A</v>
      </c>
      <c r="K133" t="e">
        <f t="shared" si="17"/>
        <v>#N/A</v>
      </c>
      <c r="L133" t="e">
        <f t="shared" si="18"/>
        <v>#N/A</v>
      </c>
      <c r="M133" t="e">
        <f t="shared" si="19"/>
        <v>#N/A</v>
      </c>
      <c r="N133" t="e">
        <f t="shared" si="20"/>
        <v>#N/A</v>
      </c>
      <c r="O133" t="e" cm="1">
        <f t="array" ref="O133">_xlfn.LET(
 _xlpm.A,$A133,_xlpm.B,$B133,_xlpm.C,$C133,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3" t="str">
        <f t="shared" si="21"/>
        <v/>
      </c>
      <c r="EH133" s="126"/>
    </row>
    <row r="134" spans="1:138">
      <c r="A134" t="s">
        <v>518</v>
      </c>
      <c r="B134" t="s">
        <v>523</v>
      </c>
      <c r="C134" t="s">
        <v>57</v>
      </c>
      <c r="D134" t="e" cm="1">
        <f t="array" ref="D134">_xlfn.LET(
 _xlpm.A,$A134,_xlpm.B,$B134,_xlpm.C,$C134,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4" t="e" cm="1">
        <f t="array" ref="E134">_xlfn.LET(
 _xlpm.A,$A134,_xlpm.B,$B134,_xlpm.C,$C134,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4" t="e" cm="1">
        <f t="array" ref="F134">_xlfn.LET(
 _xlpm.A,$A134,_xlpm.B,$B134,_xlpm.C,$C134,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4" t="e" cm="1">
        <f t="array" ref="G134">_xlfn.LET(
 _xlpm.A,$A134,_xlpm.B,$B134,_xlpm.C,$C134,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4" t="e">
        <f t="shared" si="14"/>
        <v>#N/A</v>
      </c>
      <c r="I134">
        <f t="shared" si="15"/>
        <v>13</v>
      </c>
      <c r="J134" t="e">
        <f t="shared" si="16"/>
        <v>#N/A</v>
      </c>
      <c r="K134" t="e">
        <f t="shared" si="17"/>
        <v>#N/A</v>
      </c>
      <c r="L134" t="e">
        <f t="shared" si="18"/>
        <v>#N/A</v>
      </c>
      <c r="M134" t="e">
        <f t="shared" si="19"/>
        <v>#N/A</v>
      </c>
      <c r="N134" t="e">
        <f t="shared" si="20"/>
        <v>#N/A</v>
      </c>
      <c r="O134" t="e" cm="1">
        <f t="array" ref="O134">_xlfn.LET(
 _xlpm.A,$A134,_xlpm.B,$B134,_xlpm.C,$C134,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4" t="str">
        <f t="shared" si="21"/>
        <v/>
      </c>
      <c r="BC134"/>
      <c r="BD134" s="126"/>
      <c r="EH134" s="126"/>
    </row>
    <row r="135" spans="1:138">
      <c r="A135" t="s">
        <v>518</v>
      </c>
      <c r="B135" t="s">
        <v>523</v>
      </c>
      <c r="C135" t="s">
        <v>52</v>
      </c>
      <c r="D135" cm="1">
        <f t="array" ref="D135">_xlfn.LET(
 _xlpm.A,$A135,_xlpm.B,$B135,_xlpm.C,$C135,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3489.3792062043799</v>
      </c>
      <c r="E135" cm="1">
        <f t="array" ref="E135">_xlfn.LET(
 _xlpm.A,$A135,_xlpm.B,$B135,_xlpm.C,$C135,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3238.262659861618</v>
      </c>
      <c r="F135" cm="1">
        <f t="array" ref="F135">_xlfn.LET(
 _xlpm.A,$A135,_xlpm.B,$B135,_xlpm.C,$C135,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3236.5920498783457</v>
      </c>
      <c r="G135" cm="1">
        <f t="array" ref="G135">_xlfn.LET(
 _xlpm.A,$A135,_xlpm.B,$B135,_xlpm.C,$C135,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3485.5988544708034</v>
      </c>
      <c r="H135">
        <f t="shared" si="14"/>
        <v>3.7803517335764809</v>
      </c>
      <c r="I135">
        <f t="shared" si="15"/>
        <v>14</v>
      </c>
      <c r="J135" t="e">
        <f t="shared" si="16"/>
        <v>#N/A</v>
      </c>
      <c r="K135" t="e">
        <f t="shared" si="17"/>
        <v>#N/A</v>
      </c>
      <c r="L135">
        <f t="shared" si="18"/>
        <v>3485.5988544708034</v>
      </c>
      <c r="M135" t="e">
        <f t="shared" si="19"/>
        <v>#N/A</v>
      </c>
      <c r="N135" t="e">
        <f t="shared" si="20"/>
        <v>#N/A</v>
      </c>
      <c r="O135" cm="1">
        <f t="array" ref="O135">_xlfn.LET(
 _xlpm.A,$A135,_xlpm.B,$B135,_xlpm.C,$C135,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4</v>
      </c>
      <c r="P135" t="str">
        <f t="shared" si="21"/>
        <v>n=4</v>
      </c>
      <c r="BC135"/>
      <c r="BD135" s="126"/>
      <c r="EH135" s="126"/>
    </row>
    <row r="136" spans="1:138">
      <c r="A136" t="s">
        <v>518</v>
      </c>
      <c r="B136" t="s">
        <v>522</v>
      </c>
      <c r="C136" t="s">
        <v>32</v>
      </c>
      <c r="D136" t="e" cm="1">
        <f t="array" ref="D136">_xlfn.LET(
 _xlpm.A,$A136,_xlpm.B,$B136,_xlpm.C,$C136,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6" t="e" cm="1">
        <f t="array" ref="E136">_xlfn.LET(
 _xlpm.A,$A136,_xlpm.B,$B136,_xlpm.C,$C136,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6" t="e" cm="1">
        <f t="array" ref="F136">_xlfn.LET(
 _xlpm.A,$A136,_xlpm.B,$B136,_xlpm.C,$C136,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6" t="e" cm="1">
        <f t="array" ref="G136">_xlfn.LET(
 _xlpm.A,$A136,_xlpm.B,$B136,_xlpm.C,$C136,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6" t="e">
        <f t="shared" si="14"/>
        <v>#N/A</v>
      </c>
      <c r="I136">
        <f t="shared" si="15"/>
        <v>15</v>
      </c>
      <c r="J136" t="e">
        <f t="shared" si="16"/>
        <v>#N/A</v>
      </c>
      <c r="K136" t="e">
        <f t="shared" si="17"/>
        <v>#N/A</v>
      </c>
      <c r="L136" t="e">
        <f t="shared" si="18"/>
        <v>#N/A</v>
      </c>
      <c r="M136" t="e">
        <f t="shared" si="19"/>
        <v>#N/A</v>
      </c>
      <c r="N136" t="e">
        <f t="shared" si="20"/>
        <v>#N/A</v>
      </c>
      <c r="O136" t="e" cm="1">
        <f t="array" ref="O136">_xlfn.LET(
 _xlpm.A,$A136,_xlpm.B,$B136,_xlpm.C,$C136,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6" t="str">
        <f t="shared" si="21"/>
        <v/>
      </c>
      <c r="BC136"/>
      <c r="BF136" s="126"/>
      <c r="EH136" s="126"/>
    </row>
    <row r="137" spans="1:138">
      <c r="A137" t="s">
        <v>518</v>
      </c>
      <c r="B137" t="s">
        <v>522</v>
      </c>
      <c r="C137" t="s">
        <v>57</v>
      </c>
      <c r="D137" t="e" cm="1">
        <f t="array" ref="D137">_xlfn.LET(
 _xlpm.A,$A137,_xlpm.B,$B137,_xlpm.C,$C137,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7" t="e" cm="1">
        <f t="array" ref="E137">_xlfn.LET(
 _xlpm.A,$A137,_xlpm.B,$B137,_xlpm.C,$C137,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7" t="e" cm="1">
        <f t="array" ref="F137">_xlfn.LET(
 _xlpm.A,$A137,_xlpm.B,$B137,_xlpm.C,$C137,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7" t="e" cm="1">
        <f t="array" ref="G137">_xlfn.LET(
 _xlpm.A,$A137,_xlpm.B,$B137,_xlpm.C,$C137,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7" t="e">
        <f t="shared" si="14"/>
        <v>#N/A</v>
      </c>
      <c r="I137">
        <f t="shared" si="15"/>
        <v>16</v>
      </c>
      <c r="J137" t="e">
        <f t="shared" si="16"/>
        <v>#N/A</v>
      </c>
      <c r="K137" t="e">
        <f t="shared" si="17"/>
        <v>#N/A</v>
      </c>
      <c r="L137" t="e">
        <f t="shared" si="18"/>
        <v>#N/A</v>
      </c>
      <c r="M137" t="e">
        <f t="shared" si="19"/>
        <v>#N/A</v>
      </c>
      <c r="N137" t="e">
        <f t="shared" si="20"/>
        <v>#N/A</v>
      </c>
      <c r="O137" t="e" cm="1">
        <f t="array" ref="O137">_xlfn.LET(
 _xlpm.A,$A137,_xlpm.B,$B137,_xlpm.C,$C137,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7" t="str">
        <f t="shared" si="21"/>
        <v/>
      </c>
      <c r="BE137" s="80"/>
      <c r="BG137" s="126"/>
      <c r="EH137" s="126"/>
    </row>
    <row r="138" spans="1:138">
      <c r="A138" t="s">
        <v>518</v>
      </c>
      <c r="B138" t="s">
        <v>522</v>
      </c>
      <c r="C138" t="s">
        <v>52</v>
      </c>
      <c r="D138" cm="1">
        <f t="array" ref="D138">_xlfn.LET(
 _xlpm.A,$A138,_xlpm.B,$B138,_xlpm.C,$C138,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9679.6293311032641</v>
      </c>
      <c r="E138" cm="1">
        <f t="array" ref="E138">_xlfn.LET(
 _xlpm.A,$A138,_xlpm.B,$B138,_xlpm.C,$C138,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9141.6335963099918</v>
      </c>
      <c r="F138" cm="1">
        <f t="array" ref="F138">_xlfn.LET(
 _xlpm.A,$A138,_xlpm.B,$B138,_xlpm.C,$C138,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9141.6335963099918</v>
      </c>
      <c r="G138" cm="1">
        <f t="array" ref="G138">_xlfn.LET(
 _xlpm.A,$A138,_xlpm.B,$B138,_xlpm.C,$C138,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9652.7295443636012</v>
      </c>
      <c r="H138">
        <f t="shared" si="14"/>
        <v>26.899786739662886</v>
      </c>
      <c r="I138">
        <f t="shared" si="15"/>
        <v>17</v>
      </c>
      <c r="J138" t="e">
        <f t="shared" si="16"/>
        <v>#N/A</v>
      </c>
      <c r="K138" t="e">
        <f t="shared" si="17"/>
        <v>#N/A</v>
      </c>
      <c r="L138">
        <f t="shared" si="18"/>
        <v>9652.7295443636012</v>
      </c>
      <c r="M138" t="e">
        <f t="shared" si="19"/>
        <v>#N/A</v>
      </c>
      <c r="N138" t="e">
        <f t="shared" si="20"/>
        <v>#N/A</v>
      </c>
      <c r="O138" cm="1">
        <f t="array" ref="O138">_xlfn.LET(
 _xlpm.A,$A138,_xlpm.B,$B138,_xlpm.C,$C138,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2</v>
      </c>
      <c r="P138" t="str">
        <f t="shared" si="21"/>
        <v>n=2</v>
      </c>
      <c r="BF138" s="126"/>
      <c r="EH138" s="126"/>
    </row>
    <row r="139" spans="1:138">
      <c r="A139" t="s">
        <v>520</v>
      </c>
      <c r="B139" t="s">
        <v>470</v>
      </c>
      <c r="C139" t="s">
        <v>32</v>
      </c>
      <c r="D139" t="e" cm="1">
        <f t="array" ref="D139">_xlfn.LET(
 _xlpm.A,$A139,_xlpm.B,$B139,_xlpm.C,$C139,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39" t="e" cm="1">
        <f t="array" ref="E139">_xlfn.LET(
 _xlpm.A,$A139,_xlpm.B,$B139,_xlpm.C,$C139,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39" t="e" cm="1">
        <f t="array" ref="F139">_xlfn.LET(
 _xlpm.A,$A139,_xlpm.B,$B139,_xlpm.C,$C139,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39" t="e" cm="1">
        <f t="array" ref="G139">_xlfn.LET(
 _xlpm.A,$A139,_xlpm.B,$B139,_xlpm.C,$C139,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39" t="e">
        <f>MAX($D139-$G139,0)</f>
        <v>#N/A</v>
      </c>
      <c r="I139">
        <f t="shared" si="15"/>
        <v>18</v>
      </c>
      <c r="J139" t="e">
        <f t="shared" si="16"/>
        <v>#N/A</v>
      </c>
      <c r="K139" t="e">
        <f t="shared" si="17"/>
        <v>#N/A</v>
      </c>
      <c r="L139" t="e">
        <f t="shared" si="18"/>
        <v>#N/A</v>
      </c>
      <c r="M139" t="e">
        <f t="shared" si="19"/>
        <v>#N/A</v>
      </c>
      <c r="N139" t="e">
        <f t="shared" si="20"/>
        <v>#N/A</v>
      </c>
      <c r="O139" t="e" cm="1">
        <f t="array" ref="O139">_xlfn.LET(
 _xlpm.A,$A139,_xlpm.B,$B139,_xlpm.C,$C139,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39" t="str">
        <f t="shared" si="21"/>
        <v/>
      </c>
      <c r="BF139" s="126"/>
      <c r="EH139" s="126"/>
    </row>
    <row r="140" spans="1:138">
      <c r="A140" t="s">
        <v>520</v>
      </c>
      <c r="B140" t="s">
        <v>470</v>
      </c>
      <c r="C140" t="s">
        <v>57</v>
      </c>
      <c r="D140" t="e" cm="1">
        <f t="array" ref="D140">_xlfn.LET(
 _xlpm.A,$A140,_xlpm.B,$B140,_xlpm.C,$C140,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#N/A</v>
      </c>
      <c r="E140" t="e" cm="1">
        <f t="array" ref="E140">_xlfn.LET(
 _xlpm.A,$A140,_xlpm.B,$B140,_xlpm.C,$C140,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#N/A</v>
      </c>
      <c r="F140" t="e" cm="1">
        <f t="array" ref="F140">_xlfn.LET(
 _xlpm.A,$A140,_xlpm.B,$B140,_xlpm.C,$C140,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#N/A</v>
      </c>
      <c r="G140" t="e" cm="1">
        <f t="array" ref="G140">_xlfn.LET(
 _xlpm.A,$A140,_xlpm.B,$B140,_xlpm.C,$C140,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#N/A</v>
      </c>
      <c r="H140" t="e">
        <f>MAX($D140-$G140,0)</f>
        <v>#N/A</v>
      </c>
      <c r="I140">
        <f t="shared" si="15"/>
        <v>19</v>
      </c>
      <c r="J140" t="e">
        <f t="shared" si="16"/>
        <v>#N/A</v>
      </c>
      <c r="K140" t="e">
        <f t="shared" si="17"/>
        <v>#N/A</v>
      </c>
      <c r="L140" t="e">
        <f t="shared" si="18"/>
        <v>#N/A</v>
      </c>
      <c r="M140" t="e">
        <f t="shared" si="19"/>
        <v>#N/A</v>
      </c>
      <c r="N140" t="e">
        <f t="shared" si="20"/>
        <v>#N/A</v>
      </c>
      <c r="O140" t="e" cm="1">
        <f t="array" ref="O140">_xlfn.LET(
 _xlpm.A,$A140,_xlpm.B,$B140,_xlpm.C,$C140,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#N/A</v>
      </c>
      <c r="P140" t="str">
        <f t="shared" si="21"/>
        <v/>
      </c>
      <c r="BF140" s="126"/>
      <c r="EH140" s="126"/>
    </row>
    <row r="141" spans="1:138">
      <c r="A141" t="s">
        <v>520</v>
      </c>
      <c r="B141" t="s">
        <v>470</v>
      </c>
      <c r="C141" t="s">
        <v>52</v>
      </c>
      <c r="D141" cm="1">
        <f t="array" ref="D141">_xlfn.LET(
 _xlpm.A,$A141,_xlpm.B,$B141,_xlpm.C,$C141,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IF(COUNT(_xlpm.v)=0,NA(),MAX(_xlpm.v))
)</f>
        <v>11955.13458635234</v>
      </c>
      <c r="E141" cm="1">
        <f t="array" ref="E141">_xlfn.LET(
 _xlpm.A,$A141,_xlpm.B,$B141,_xlpm.C,$C141,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IF(COUNT(_xlpm.v)=0,NA(),AVERAGE(_xlpm.v))
)</f>
        <v>8439.7391187201483</v>
      </c>
      <c r="F141" cm="1">
        <f t="array" ref="F141">_xlfn.LET(
 _xlpm.A,$A141,_xlpm.B,$B141,_xlpm.C,$C141,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IF(COUNT(_xlpm.v)=0,NA(),MEDIAN(_xlpm.v))
)</f>
        <v>9158.1631924624417</v>
      </c>
      <c r="G141" cm="1">
        <f t="array" ref="G141">_xlfn.LET(
 _xlpm.A,$A141,_xlpm.B,$B141,_xlpm.C,$C141,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_xlpm.occ,INDEX(Fusion[],,_xlpm.iSpec), _xlpm.capMW,INDEX(Fusion[],,_xlpm.iCap),
 _xlpm.ct_raw,INDEX(Fusion[],,_xlpm.iCT), _xlpm.rt_raw,INDEX(Fusion[],,_xlpm.iRT),
 _xlpm.rd_raw,INDEX(Fusion[],,_xlpm.iRD), _xlpm.cost,INDEX(Fusion[],,_xlpm.iCost),
 _xlpm.unit,IF(_xlpm.iUnit&gt;0,INDEX(Fusion[],,_xlpm.iUnit),"MW"),
 _xlpm.ct,IFERROR(_xlfn.XLOOKUP(_xlpm.ct_raw,Map_Conf[From],Map_Conf[To],_xlpm.ct_raw),_xlpm.ct_raw),
 _xlpm.rd,IFERROR(_xlfn.XLOOKUP(TRIM(_xlpm.rd_raw),
    {"FOAK";"NOAK";"10th-OAK";"10th-of-a-kind";"10th OAK";"75th-OAK";"75th-of-a-kind";"75th OAK"},
    {"FOAK";"NOAK";"10th-OAK";"10th-OAK";"10th-OAK";"75th-OAK";"75th-OAK";"75th-OAK"}),TRIM(_xlpm.rd_raw)),
 _xlpm.rf_ex,IFERROR(_xlfn.XLOOKUP(_xlpm.rt_raw,Map_Reactor[From],Map_Reactor[To],""),""),
 _xlpm.rf_wi,IFERROR(_xlfn.XLOOKUP(TRUE,ISNUMBER(SEARCH(Map_Reactor[From],_xlpm.rt_raw)),Map_Reactor[To]),""),
 _xlpm.rf,IF(_xlpm.rf_ex&lt;&gt;"",_xlpm.rf_ex,IF(_xlpm.rf_wi&lt;&gt;"",_xlpm.rf_wi,IF(_xlpm.ct="ICF","Inertial",IF(_xlpm.ct="MIF","Magneto-Inertial","")))),
 _xlpm.ctOK,ISNUMBER(MATCH(_xlpm.ct,{"MCF";"ICF";"MIF"},0)),
 _xlpm.capOK,ISNUMBER(_xlpm.capMW)*(_xlpm.capMW&gt;0),
 _xlpm.unitOK,IF(_xlpm.iUnit&gt;0,ISNUMBER(SEARCH("MW",_xlpm.unit))*NOT(ISNUMBER(SEARCH("FUS",_xlpm.unit))),TRUE),
 _xlpm.occZ,IF(ISNUMBER(_xlpm.occ),_xlpm.occ,NA()),
 _xlpm.m,(_xlpm.cost="OCC")*_xlpm.ctOK*_xlpm.capOK*_xlpm.unitOK*(_xlpm.ct=_xlpm.A)*(_xlpm.rf=_xlpm.B)*(_xlpm.rd=_xlpm.C),
 _xlpm.v,IFERROR(_xlfn._xlws.FILTER(_xlpm.occZ,_xlpm.m),""),
 IF(COUNT(_xlpm.v)=0,NA(),_xlfn.PERCENTILE.INC(_xlpm.v,0.975))
)</f>
        <v>11815.286016657847</v>
      </c>
      <c r="H141">
        <f>MAX($D141-$G141,0)</f>
        <v>139.84856969449356</v>
      </c>
      <c r="I141">
        <f t="shared" si="15"/>
        <v>20</v>
      </c>
      <c r="J141" t="e">
        <f t="shared" si="16"/>
        <v>#N/A</v>
      </c>
      <c r="K141" t="e">
        <f t="shared" si="17"/>
        <v>#N/A</v>
      </c>
      <c r="L141">
        <f t="shared" si="18"/>
        <v>11815.286016657847</v>
      </c>
      <c r="M141" t="e">
        <f t="shared" si="19"/>
        <v>#N/A</v>
      </c>
      <c r="N141" t="e">
        <f t="shared" si="20"/>
        <v>#N/A</v>
      </c>
      <c r="O141" cm="1">
        <f t="array" ref="O141">_xlfn.LET(
 _xlpm.A,$A141,_xlpm.B,$B141,_xlpm.C,$C141,
 _xlpm.H,Fusion[#Headers],
 _xlpm.iSpec,_xlfn.XMATCH("*Specific*OCC*2018*",_xlpm.H,2),
 _xlpm.iCap, _xlfn.XMATCH("Capacity *MW*",_xlpm.H,2),
 _xlpm.iCT,  _xlfn.XMATCH("Confinement*",_xlpm.H,2),
 _xlpm.iRT,  _xlfn.XMATCH("Reactor Type*",_xlpm.H,2),
 _xlpm.iRD,  _xlfn.XMATCH("Readiness*",_xlpm.H,2),
 _xlpm.iCost,_xlfn.XMATCH("Cost Type*",_xlpm.H,2),
 _xlpm.iUnit,IFERROR(_xlfn.XMATCH("Capacity Unit*",_xlpm.H,2),0),
 _xlpm.occ,    INDEX(Fusion[],,_xlpm.iSpec),
 _xlpm.capMW,  INDEX(Fusion[],,_xlpm.iCap),
 _xlpm.ct_raw, INDEX(Fusion[],,_xlpm.iCT),
 _xlpm.rt_raw, INDEX(Fusion[],,_xlpm.iRT),
 _xlpm.rd_raw, INDEX(Fusion[],,_xlpm.iRD),
 _xlpm.cost,   INDEX(Fusion[],,_xlpm.iCost),
 _xlpm.unit,   IF(_xlpm.iUnit&gt;0,INDEX(Fusion[],,_xlpm.iUnit),"MW"),
 _xlpm.ct, IFERROR(_xlfn.XLOOKUP(_xlpm.ct_raw,Map_Conf[From],Map_Conf[To],_xlpm.ct_raw),_xlpm.ct_raw),
 _xlpm.rd, IFERROR(
       _xlfn.XLOOKUP(TRIM(_xlpm.rd_raw),
         {"FOAK";"NOAK";"10th-OAK";"10th-of-a-kind";"10th OAK";"75th-OAK";"75th-of-a-kind";"75th OAK"},
         {"FOAK";"NOAK";"10th-OAK";"10th-OAK";"10th-OAK";"75th-OAK";"75th-OAK";"75th-OAK"}
       ),
       TRIM(_xlpm.rd_raw)
     ),
 _xlpm.rf_ex, IFERROR(_xlfn.XLOOKUP(_xlpm.rt_raw,Map_Reactor[From],Map_Reactor[To],""),""),
 _xlpm.rf_wi, IFERROR(_xlfn.XLOOKUP(TRUE,ISNUMBER(SEARCH(Map_Reactor[From],_xlpm.rt_raw)),Map_Reactor[To]),""),
 _xlpm.rf,    IF(_xlpm.rf_ex&lt;&gt;"",_xlpm.rf_ex,IF(_xlpm.rf_wi&lt;&gt;"",_xlpm.rf_wi,IF(_xlpm.ct="ICF","Inertial",IF(_xlpm.ct="MIF","Magneto-Inertial","")))),
 _xlpm.ctOK,  ISNUMBER(MATCH(_xlpm.ct,{"MCF";"ICF";"MIF"},0)),
 _xlpm.capOK, ISNUMBER(_xlpm.capMW)*(_xlpm.capMW&gt;0),
 _xlpm.unitOK,IF(_xlpm.iUnit&gt;0,ISNUMBER(SEARCH("MW",_xlpm.unit))*NOT(ISNUMBER(SEARCH("FUS",_xlpm.unit))),TRUE),
 _xlpm.isHIF, ( ISNUMBER(SEARCH("Heavy Ion Fusion",_xlpm.rt_raw))
       +  ISNUMBER(SEARCH("Heavy-Ion Fusion",_xlpm.rt_raw))
       +  (TRIM(_xlpm.rt_raw)="HIF") )&gt;0,
 _xlpm.hifOK, 1 - ( (_xlpm.ct="ICF") * _xlpm.isHIF ),
 _xlpm.m, (_xlpm.cost="OCC")*_xlpm.ctOK*_xlpm.capOK*_xlpm.unitOK*(_xlpm.ct=_xlpm.A)*(_xlpm.rf=_xlpm.B)*(_xlpm.rd=_xlpm.C)*_xlpm.hifOK,
 _xlpm.n, SUMPRODUCT(_xlpm.m*ISNUMBER(_xlpm.occ)),
 IF(_xlpm.n=0,NA(),_xlpm.n)
)</f>
        <v>3</v>
      </c>
      <c r="P141" t="str">
        <f t="shared" si="21"/>
        <v>n=3</v>
      </c>
      <c r="BF141" s="126"/>
      <c r="EH141" s="126"/>
    </row>
    <row r="142" spans="1:138">
      <c r="BF142" s="126"/>
      <c r="EH142" s="126"/>
    </row>
    <row r="143" spans="1:138">
      <c r="BE143" s="126"/>
      <c r="EH143" s="126"/>
    </row>
    <row r="144" spans="1:138">
      <c r="BE144" s="126"/>
      <c r="EH144" s="126"/>
    </row>
    <row r="145" spans="138:138">
      <c r="EH145" s="126"/>
    </row>
    <row r="146" spans="138:138">
      <c r="EH146" s="126"/>
    </row>
    <row r="147" spans="138:138">
      <c r="EH147" s="126"/>
    </row>
    <row r="148" spans="138:138">
      <c r="EH148" s="126"/>
    </row>
    <row r="149" spans="138:138">
      <c r="EH149" s="126"/>
    </row>
    <row r="150" spans="138:138">
      <c r="EH150" s="126"/>
    </row>
    <row r="151" spans="138:138">
      <c r="EH151" s="126"/>
    </row>
    <row r="152" spans="138:138">
      <c r="EH152" s="126"/>
    </row>
    <row r="153" spans="138:138">
      <c r="EH153" s="126"/>
    </row>
    <row r="154" spans="138:138">
      <c r="EH154" s="126"/>
    </row>
    <row r="155" spans="138:138">
      <c r="EH155" s="126"/>
    </row>
    <row r="156" spans="138:138">
      <c r="EH156" s="126"/>
    </row>
    <row r="157" spans="138:138">
      <c r="EH157" s="126"/>
    </row>
    <row r="158" spans="138:138">
      <c r="EH158" s="126"/>
    </row>
    <row r="159" spans="138:138">
      <c r="EH159" s="126"/>
    </row>
    <row r="160" spans="138:138">
      <c r="EH160" s="126"/>
    </row>
    <row r="161" spans="138:138">
      <c r="EH161" s="126"/>
    </row>
    <row r="162" spans="138:138">
      <c r="EH162" s="126"/>
    </row>
    <row r="163" spans="138:138">
      <c r="EH163" s="126"/>
    </row>
    <row r="164" spans="138:138">
      <c r="EH164" s="126"/>
    </row>
    <row r="165" spans="138:138">
      <c r="EH165" s="126"/>
    </row>
    <row r="166" spans="138:138">
      <c r="EH166" s="126"/>
    </row>
    <row r="167" spans="138:138">
      <c r="EH167" s="126"/>
    </row>
    <row r="168" spans="138:138">
      <c r="EH168" s="126"/>
    </row>
    <row r="169" spans="138:138">
      <c r="EH169" s="126"/>
    </row>
    <row r="170" spans="138:138">
      <c r="EH170" s="126"/>
    </row>
    <row r="171" spans="138:138">
      <c r="EH171" s="126"/>
    </row>
    <row r="172" spans="138:138">
      <c r="EH172" s="126"/>
    </row>
    <row r="173" spans="138:138">
      <c r="EH173" s="126"/>
    </row>
    <row r="174" spans="138:138">
      <c r="EH174" s="126"/>
    </row>
    <row r="175" spans="138:138">
      <c r="EH175" s="126"/>
    </row>
    <row r="176" spans="138:138">
      <c r="EH176" s="126"/>
    </row>
    <row r="177" spans="138:138">
      <c r="EH177" s="126"/>
    </row>
    <row r="178" spans="138:138">
      <c r="EH178" s="126"/>
    </row>
    <row r="179" spans="138:138">
      <c r="EH179" s="126"/>
    </row>
    <row r="180" spans="138:138">
      <c r="EH180" s="126"/>
    </row>
    <row r="181" spans="138:138">
      <c r="EH181" s="126"/>
    </row>
    <row r="182" spans="138:138">
      <c r="EH182" s="126"/>
    </row>
    <row r="183" spans="138:138">
      <c r="EH183" s="126"/>
    </row>
    <row r="184" spans="138:138">
      <c r="EH184" s="126"/>
    </row>
    <row r="185" spans="138:138">
      <c r="EH185" s="126"/>
    </row>
    <row r="186" spans="138:138">
      <c r="EH186" s="126"/>
    </row>
    <row r="187" spans="138:138">
      <c r="EH187" s="126"/>
    </row>
    <row r="188" spans="138:138">
      <c r="EH188" s="126"/>
    </row>
    <row r="189" spans="138:138">
      <c r="EH189" s="126"/>
    </row>
    <row r="190" spans="138:138">
      <c r="EH190" s="126"/>
    </row>
    <row r="191" spans="138:138">
      <c r="EH191" s="126"/>
    </row>
    <row r="192" spans="138:138">
      <c r="EH192" s="126"/>
    </row>
    <row r="193" spans="138:138">
      <c r="EH193" s="126"/>
    </row>
    <row r="194" spans="138:138">
      <c r="EH194" s="126"/>
    </row>
    <row r="195" spans="138:138">
      <c r="EH195" s="126"/>
    </row>
    <row r="196" spans="138:138">
      <c r="EH196" s="126"/>
    </row>
    <row r="197" spans="138:138">
      <c r="EH197" s="126"/>
    </row>
    <row r="198" spans="138:138">
      <c r="EH198" s="126"/>
    </row>
    <row r="199" spans="138:138">
      <c r="EH199" s="126"/>
    </row>
    <row r="200" spans="138:138">
      <c r="EH200" s="126"/>
    </row>
    <row r="201" spans="138:138">
      <c r="EH201" s="126"/>
    </row>
    <row r="202" spans="138:138">
      <c r="EH202" s="126"/>
    </row>
    <row r="203" spans="138:138">
      <c r="EH203" s="126"/>
    </row>
    <row r="204" spans="138:138">
      <c r="EH204" s="126"/>
    </row>
    <row r="205" spans="138:138">
      <c r="EH205" s="126"/>
    </row>
    <row r="206" spans="138:138">
      <c r="EH206" s="126"/>
    </row>
    <row r="207" spans="138:138">
      <c r="EH207" s="126"/>
    </row>
    <row r="208" spans="138:138">
      <c r="EH208" s="126"/>
    </row>
    <row r="209" spans="138:138">
      <c r="EH209" s="126"/>
    </row>
    <row r="210" spans="138:138">
      <c r="EH210" s="126"/>
    </row>
    <row r="211" spans="138:138">
      <c r="EH211" s="126"/>
    </row>
    <row r="212" spans="138:138">
      <c r="EH212" s="126"/>
    </row>
    <row r="213" spans="138:138">
      <c r="EH213" s="126"/>
    </row>
    <row r="214" spans="138:138">
      <c r="EH214" s="126"/>
    </row>
    <row r="215" spans="138:138">
      <c r="EH215" s="126"/>
    </row>
    <row r="216" spans="138:138">
      <c r="EH216" s="126"/>
    </row>
    <row r="217" spans="138:138">
      <c r="EH217" s="126"/>
    </row>
    <row r="218" spans="138:138">
      <c r="EH218" s="126"/>
    </row>
    <row r="219" spans="138:138">
      <c r="EH219" s="126"/>
    </row>
    <row r="220" spans="138:138">
      <c r="EH220" s="126"/>
    </row>
    <row r="221" spans="138:138">
      <c r="EH221" s="126"/>
    </row>
    <row r="222" spans="138:138">
      <c r="EH222" s="126"/>
    </row>
    <row r="223" spans="138:138">
      <c r="EH223" s="126"/>
    </row>
    <row r="224" spans="138:138">
      <c r="EH224" s="126"/>
    </row>
    <row r="225" spans="138:138">
      <c r="EH225" s="126"/>
    </row>
    <row r="226" spans="138:138">
      <c r="EH226" s="126"/>
    </row>
    <row r="227" spans="138:138">
      <c r="EH227" s="126"/>
    </row>
    <row r="228" spans="138:138">
      <c r="EH228" s="126"/>
    </row>
    <row r="229" spans="138:138">
      <c r="EH229" s="126"/>
    </row>
    <row r="230" spans="138:138">
      <c r="EH230" s="126"/>
    </row>
    <row r="231" spans="138:138">
      <c r="EH231" s="126"/>
    </row>
    <row r="232" spans="138:138">
      <c r="EH232" s="126"/>
    </row>
    <row r="233" spans="138:138">
      <c r="EH233" s="126"/>
    </row>
    <row r="234" spans="138:138">
      <c r="EH234" s="126"/>
    </row>
    <row r="235" spans="138:138">
      <c r="EH235" s="126"/>
    </row>
    <row r="236" spans="138:138">
      <c r="EH236" s="126"/>
    </row>
    <row r="237" spans="138:138">
      <c r="EH237" s="126"/>
    </row>
    <row r="238" spans="138:138">
      <c r="EH238" s="126"/>
    </row>
    <row r="239" spans="138:138">
      <c r="EH239" s="126"/>
    </row>
    <row r="240" spans="138:138">
      <c r="EH240" s="126"/>
    </row>
    <row r="241" spans="138:138">
      <c r="EH241" s="126"/>
    </row>
    <row r="242" spans="138:138">
      <c r="EH242" s="126"/>
    </row>
    <row r="243" spans="138:138">
      <c r="EH243" s="126"/>
    </row>
    <row r="244" spans="138:138">
      <c r="EH244" s="126"/>
    </row>
    <row r="245" spans="138:138">
      <c r="EH245" s="126"/>
    </row>
    <row r="246" spans="138:138">
      <c r="EH246" s="126"/>
    </row>
    <row r="247" spans="138:138">
      <c r="EH247" s="126"/>
    </row>
    <row r="248" spans="138:138">
      <c r="EH248" s="126"/>
    </row>
    <row r="249" spans="138:138">
      <c r="EH249" s="126"/>
    </row>
    <row r="250" spans="138:138">
      <c r="EH250" s="126"/>
    </row>
    <row r="251" spans="138:138">
      <c r="EH251" s="126"/>
    </row>
    <row r="252" spans="138:138">
      <c r="EH252" s="126"/>
    </row>
    <row r="253" spans="138:138">
      <c r="EH253" s="126"/>
    </row>
    <row r="254" spans="138:138">
      <c r="EH254" s="126"/>
    </row>
    <row r="255" spans="138:138">
      <c r="EH255" s="126"/>
    </row>
    <row r="256" spans="138:138">
      <c r="EH256" s="126"/>
    </row>
    <row r="257" spans="138:138">
      <c r="EH257" s="126"/>
    </row>
    <row r="258" spans="138:138">
      <c r="EH258" s="126"/>
    </row>
    <row r="259" spans="138:138">
      <c r="EH259" s="126"/>
    </row>
    <row r="260" spans="138:138">
      <c r="EH260" s="126"/>
    </row>
    <row r="261" spans="138:138">
      <c r="EH261" s="126"/>
    </row>
    <row r="262" spans="138:138">
      <c r="EH262" s="126"/>
    </row>
    <row r="263" spans="138:138">
      <c r="EH263" s="126"/>
    </row>
    <row r="264" spans="138:138">
      <c r="EH264" s="126"/>
    </row>
    <row r="265" spans="138:138">
      <c r="EH265" s="126"/>
    </row>
    <row r="266" spans="138:138">
      <c r="EH266" s="126"/>
    </row>
  </sheetData>
  <mergeCells count="3">
    <mergeCell ref="O1:P1"/>
    <mergeCell ref="N55:O55"/>
    <mergeCell ref="O121:P121"/>
  </mergeCells>
  <hyperlinks>
    <hyperlink ref="CA97" r:id="rId1" xr:uid="{C1760CA5-7D97-46ED-9CAC-C88C9B6F3344}"/>
  </hyperlinks>
  <pageMargins left="0.7" right="0.7" top="0.78740157499999996" bottom="0.78740157499999996"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75D4-1D18-4C23-A00C-AC78149AB72A}">
  <dimension ref="A1"/>
  <sheetViews>
    <sheetView workbookViewId="0">
      <selection activeCell="A3" sqref="A3"/>
    </sheetView>
  </sheetViews>
  <sheetFormatPr baseColWidth="10" defaultColWidth="11.41015625" defaultRowHeight="12.9"/>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9EC2-CC8F-4679-B382-E44F0BC8DADF}">
  <dimension ref="A1"/>
  <sheetViews>
    <sheetView zoomScaleNormal="100" workbookViewId="0">
      <selection activeCell="A3" sqref="A3"/>
    </sheetView>
  </sheetViews>
  <sheetFormatPr baseColWidth="10" defaultColWidth="11.41015625" defaultRowHeight="12.9"/>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9c325554-edac-4d81-9176-2ca825994b4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kument" ma:contentTypeID="0x010100D1BDF6BDC7EC3F4FA4E63A0EBEFCBEE7" ma:contentTypeVersion="13" ma:contentTypeDescription="Ein neues Dokument erstellen." ma:contentTypeScope="" ma:versionID="5ddb40b5038d005e6a04e99ccd0f96e0">
  <xsd:schema xmlns:xsd="http://www.w3.org/2001/XMLSchema" xmlns:xs="http://www.w3.org/2001/XMLSchema" xmlns:p="http://schemas.microsoft.com/office/2006/metadata/properties" xmlns:ns3="9c325554-edac-4d81-9176-2ca825994b42" xmlns:ns4="6b8ba3af-9ed6-4f33-b34f-c197f026f399" targetNamespace="http://schemas.microsoft.com/office/2006/metadata/properties" ma:root="true" ma:fieldsID="db7aac8bfe0cc0e24fc0e88237f81ed5" ns3:_="" ns4:_="">
    <xsd:import namespace="9c325554-edac-4d81-9176-2ca825994b42"/>
    <xsd:import namespace="6b8ba3af-9ed6-4f33-b34f-c197f026f399"/>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GenerationTime" minOccurs="0"/>
                <xsd:element ref="ns3:MediaServiceEventHashCode" minOccurs="0"/>
                <xsd:element ref="ns3:MediaLengthInSeconds" minOccurs="0"/>
                <xsd:element ref="ns3:MediaServiceSearchProperties" minOccurs="0"/>
                <xsd:element ref="ns3:MediaServiceDateTake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325554-edac-4d81-9176-2ca825994b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8ba3af-9ed6-4f33-b34f-c197f026f399"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SharingHintHash" ma:index="14"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249AE9-06E5-4DFE-9F28-598A2ECADDD3}">
  <ds:schemaRefs>
    <ds:schemaRef ds:uri="http://schemas.microsoft.com/DataMashup"/>
  </ds:schemaRefs>
</ds:datastoreItem>
</file>

<file path=customXml/itemProps2.xml><?xml version="1.0" encoding="utf-8"?>
<ds:datastoreItem xmlns:ds="http://schemas.openxmlformats.org/officeDocument/2006/customXml" ds:itemID="{19ED793B-951A-4F15-9EEB-ABE9C6ADE756}">
  <ds:schemaRefs>
    <ds:schemaRef ds:uri="http://purl.org/dc/dcmitype/"/>
    <ds:schemaRef ds:uri="http://www.w3.org/XML/1998/namespace"/>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6b8ba3af-9ed6-4f33-b34f-c197f026f399"/>
    <ds:schemaRef ds:uri="9c325554-edac-4d81-9176-2ca825994b42"/>
  </ds:schemaRefs>
</ds:datastoreItem>
</file>

<file path=customXml/itemProps3.xml><?xml version="1.0" encoding="utf-8"?>
<ds:datastoreItem xmlns:ds="http://schemas.openxmlformats.org/officeDocument/2006/customXml" ds:itemID="{F0384DE9-4772-487D-BA89-311F7F747649}">
  <ds:schemaRefs>
    <ds:schemaRef ds:uri="http://schemas.microsoft.com/sharepoint/v3/contenttype/forms"/>
  </ds:schemaRefs>
</ds:datastoreItem>
</file>

<file path=customXml/itemProps4.xml><?xml version="1.0" encoding="utf-8"?>
<ds:datastoreItem xmlns:ds="http://schemas.openxmlformats.org/officeDocument/2006/customXml" ds:itemID="{A87BB37C-B5BB-4038-BBFA-95836C0662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325554-edac-4d81-9176-2ca825994b42"/>
    <ds:schemaRef ds:uri="6b8ba3af-9ed6-4f33-b34f-c197f026f3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16</vt:i4>
      </vt:variant>
      <vt:variant>
        <vt:lpstr>Benannte Bereiche</vt:lpstr>
      </vt:variant>
      <vt:variant>
        <vt:i4>1</vt:i4>
      </vt:variant>
    </vt:vector>
  </HeadingPairs>
  <TitlesOfParts>
    <vt:vector size="17" baseType="lpstr">
      <vt:lpstr>Table for Thesis</vt:lpstr>
      <vt:lpstr>Cost data collection_clean</vt:lpstr>
      <vt:lpstr>Cost data collection</vt:lpstr>
      <vt:lpstr>Specific OCC in $ per kW 2018 </vt:lpstr>
      <vt:lpstr>Other Costs in $ per kW 2018</vt:lpstr>
      <vt:lpstr>Charts --&gt;</vt:lpstr>
      <vt:lpstr>MAP</vt:lpstr>
      <vt:lpstr>OCC Costs w Contingency</vt:lpstr>
      <vt:lpstr>O&amp;M Costs fixed</vt:lpstr>
      <vt:lpstr>O&amp;M Costs variabel</vt:lpstr>
      <vt:lpstr>References</vt:lpstr>
      <vt:lpstr>Inflation</vt:lpstr>
      <vt:lpstr>OCC Chart_with_Contingency_tota</vt:lpstr>
      <vt:lpstr>ChartData_old</vt:lpstr>
      <vt:lpstr>Tabelle1</vt:lpstr>
      <vt:lpstr>Tabelle2</vt:lpstr>
      <vt:lpstr>OCC_COL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 Hazemann</dc:creator>
  <cp:keywords/>
  <dc:description/>
  <cp:lastModifiedBy>TU-Pseudonym 7527027543837186</cp:lastModifiedBy>
  <cp:revision/>
  <dcterms:created xsi:type="dcterms:W3CDTF">2022-05-02T13:06:33Z</dcterms:created>
  <dcterms:modified xsi:type="dcterms:W3CDTF">2026-01-08T18:26:42Z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0x010100D1BDF6BDC7EC3F4FA4E63A0EBEFCBEE7</vt:lpwstr>
  </property>
</Properties>
</file>