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tubcloud.tu-berlin.de/remote.php/webdav/Shared/wip_member/AT-OM/1_publications/_nuclear_reports/WNISR/2023_WNISR/_economics and fincance/"/>
    </mc:Choice>
  </mc:AlternateContent>
  <xr:revisionPtr revIDLastSave="0" documentId="8_{5294F764-ABC7-47F6-B74E-3E8ED9D2E3C2}" xr6:coauthVersionLast="47" xr6:coauthVersionMax="47" xr10:uidLastSave="{00000000-0000-0000-0000-000000000000}"/>
  <bookViews>
    <workbookView xWindow="-120" yWindow="-120" windowWidth="38640" windowHeight="21240" activeTab="6" xr2:uid="{6902420F-162E-44DE-90F0-2A2A6CAB225A}"/>
  </bookViews>
  <sheets>
    <sheet name="Data --&gt;" sheetId="6" r:id="rId1"/>
    <sheet name="Reactors" sheetId="1" r:id="rId2"/>
    <sheet name="Cost Data" sheetId="2" r:id="rId3"/>
    <sheet name="Sources" sheetId="3" r:id="rId4"/>
    <sheet name="Ownership" sheetId="4" r:id="rId5"/>
    <sheet name="Analysis --&gt;" sheetId="5" r:id="rId6"/>
    <sheet name="Decom Cost per Reactor" sheetId="7" r:id="rId7"/>
  </sheets>
  <definedNames>
    <definedName name="_xlnm._FilterDatabase" localSheetId="4" hidden="1">Ownership!$A$1:$O$1</definedName>
    <definedName name="_xlnm._FilterDatabase" localSheetId="1" hidden="1">Reactors!$A$1:$B$43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8" i="2" l="1"/>
  <c r="O14" i="2"/>
  <c r="O15" i="2"/>
  <c r="O16" i="2"/>
  <c r="O17" i="2"/>
  <c r="O13" i="2"/>
  <c r="O22" i="7"/>
  <c r="O24" i="7" s="1"/>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2" i="7"/>
  <c r="B3" i="7"/>
  <c r="G3" i="7" s="1"/>
  <c r="B4" i="7"/>
  <c r="G4" i="7" s="1"/>
  <c r="B5" i="7"/>
  <c r="B6" i="7"/>
  <c r="H6" i="7" s="1"/>
  <c r="B7" i="7"/>
  <c r="G7" i="7" s="1"/>
  <c r="B8" i="7"/>
  <c r="H8" i="7" s="1"/>
  <c r="B9" i="7"/>
  <c r="G9" i="7" s="1"/>
  <c r="B10" i="7"/>
  <c r="G10" i="7" s="1"/>
  <c r="B11" i="7"/>
  <c r="G11" i="7" s="1"/>
  <c r="B12" i="7"/>
  <c r="G12" i="7" s="1"/>
  <c r="B13" i="7"/>
  <c r="G13" i="7" s="1"/>
  <c r="B14" i="7"/>
  <c r="G14" i="7" s="1"/>
  <c r="B15" i="7"/>
  <c r="B16" i="7"/>
  <c r="G16" i="7" s="1"/>
  <c r="B17" i="7"/>
  <c r="B18" i="7"/>
  <c r="G18" i="7" s="1"/>
  <c r="B19" i="7"/>
  <c r="H19" i="7" s="1"/>
  <c r="B20" i="7"/>
  <c r="H20" i="7" s="1"/>
  <c r="B21" i="7"/>
  <c r="H21" i="7" s="1"/>
  <c r="B22" i="7"/>
  <c r="G22" i="7" s="1"/>
  <c r="B23" i="7"/>
  <c r="G23" i="7" s="1"/>
  <c r="B24" i="7"/>
  <c r="G24" i="7" s="1"/>
  <c r="B25" i="7"/>
  <c r="G25" i="7" s="1"/>
  <c r="B26" i="7"/>
  <c r="H26" i="7" s="1"/>
  <c r="B27" i="7"/>
  <c r="G27" i="7" s="1"/>
  <c r="B28" i="7"/>
  <c r="G28" i="7" s="1"/>
  <c r="B29" i="7"/>
  <c r="G29" i="7" s="1"/>
  <c r="B30" i="7"/>
  <c r="G30" i="7" s="1"/>
  <c r="B31" i="7"/>
  <c r="H31" i="7" s="1"/>
  <c r="B32" i="7"/>
  <c r="H32" i="7" s="1"/>
  <c r="B33" i="7"/>
  <c r="G33" i="7" s="1"/>
  <c r="B34" i="7"/>
  <c r="B35" i="7"/>
  <c r="G35" i="7" s="1"/>
  <c r="B36" i="7"/>
  <c r="G36" i="7" s="1"/>
  <c r="B37" i="7"/>
  <c r="H37" i="7" s="1"/>
  <c r="B38" i="7"/>
  <c r="B39" i="7"/>
  <c r="G39" i="7" s="1"/>
  <c r="B40" i="7"/>
  <c r="G40" i="7" s="1"/>
  <c r="B41" i="7"/>
  <c r="G41" i="7" s="1"/>
  <c r="B42" i="7"/>
  <c r="G42" i="7" s="1"/>
  <c r="B2" i="7"/>
  <c r="G2" i="7" s="1"/>
  <c r="G5" i="7"/>
  <c r="G6" i="7"/>
  <c r="G15" i="7"/>
  <c r="G17" i="7"/>
  <c r="G26" i="7"/>
  <c r="G31" i="7"/>
  <c r="G34" i="7"/>
  <c r="G38" i="7"/>
  <c r="H4" i="7"/>
  <c r="H5" i="7"/>
  <c r="H7" i="7"/>
  <c r="H9" i="7"/>
  <c r="H10" i="7"/>
  <c r="H14" i="7"/>
  <c r="H15" i="7"/>
  <c r="H17" i="7"/>
  <c r="H18" i="7"/>
  <c r="H22" i="7"/>
  <c r="H24" i="7"/>
  <c r="H25" i="7"/>
  <c r="H27" i="7"/>
  <c r="H29" i="7"/>
  <c r="H30" i="7"/>
  <c r="H33" i="7"/>
  <c r="H34" i="7"/>
  <c r="H38" i="7"/>
  <c r="H39" i="7"/>
  <c r="H41" i="7"/>
  <c r="H42" i="7"/>
  <c r="H2" i="7"/>
  <c r="F35" i="2"/>
  <c r="F34" i="2"/>
  <c r="F33" i="2"/>
  <c r="F32" i="2"/>
  <c r="F31" i="2"/>
  <c r="F30" i="2"/>
  <c r="F29" i="2"/>
  <c r="F28" i="2"/>
  <c r="F27" i="2"/>
  <c r="F26" i="2"/>
  <c r="F25" i="2"/>
  <c r="F24" i="2"/>
  <c r="F23" i="2"/>
  <c r="F22" i="2"/>
  <c r="G21" i="7" l="1"/>
  <c r="G20" i="7"/>
  <c r="I20" i="7" s="1"/>
  <c r="H13" i="7"/>
  <c r="G37" i="7"/>
  <c r="G32" i="7"/>
  <c r="I32" i="7" s="1"/>
  <c r="G8" i="7"/>
  <c r="I8" i="7" s="1"/>
  <c r="O23" i="7"/>
  <c r="H36" i="7"/>
  <c r="I36" i="7" s="1"/>
  <c r="H35" i="7"/>
  <c r="H12" i="7"/>
  <c r="I12" i="7" s="1"/>
  <c r="H28" i="7"/>
  <c r="I28" i="7" s="1"/>
  <c r="I31" i="7"/>
  <c r="H23" i="7"/>
  <c r="I23" i="7" s="1"/>
  <c r="H16" i="7"/>
  <c r="I16" i="7" s="1"/>
  <c r="J16" i="7" s="1"/>
  <c r="H40" i="7"/>
  <c r="I40" i="7" s="1"/>
  <c r="G19" i="7"/>
  <c r="I19" i="7" s="1"/>
  <c r="H11" i="7"/>
  <c r="I11" i="7" s="1"/>
  <c r="H3" i="7"/>
  <c r="I3" i="7" s="1"/>
  <c r="I39" i="7"/>
  <c r="I38" i="7"/>
  <c r="I30" i="7"/>
  <c r="I21" i="7"/>
  <c r="I13" i="7"/>
  <c r="I4" i="7"/>
  <c r="I41" i="7"/>
  <c r="I33" i="7"/>
  <c r="I25" i="7"/>
  <c r="I18" i="7"/>
  <c r="I10" i="7"/>
  <c r="I29" i="7"/>
  <c r="I37" i="7"/>
  <c r="I27" i="7"/>
  <c r="I9" i="7"/>
  <c r="I35" i="7"/>
  <c r="I26" i="7"/>
  <c r="I17" i="7"/>
  <c r="I2" i="7"/>
  <c r="I34" i="7"/>
  <c r="I24" i="7"/>
  <c r="I7" i="7"/>
  <c r="I42" i="7"/>
  <c r="I15" i="7"/>
  <c r="I6" i="7"/>
  <c r="I22" i="7"/>
  <c r="I14" i="7"/>
  <c r="I5" i="7"/>
  <c r="K40" i="7" l="1"/>
  <c r="J40" i="7"/>
  <c r="K5" i="7"/>
  <c r="J5" i="7"/>
  <c r="K34" i="7"/>
  <c r="J34" i="7"/>
  <c r="K38" i="7"/>
  <c r="J38" i="7"/>
  <c r="K31" i="7"/>
  <c r="J31" i="7"/>
  <c r="K7" i="7"/>
  <c r="J7" i="7"/>
  <c r="K27" i="7"/>
  <c r="J27" i="7"/>
  <c r="K4" i="7"/>
  <c r="J4" i="7"/>
  <c r="K19" i="7"/>
  <c r="J19" i="7"/>
  <c r="K8" i="7"/>
  <c r="J8" i="7"/>
  <c r="K14" i="7"/>
  <c r="J14" i="7"/>
  <c r="K2" i="7"/>
  <c r="N6" i="7" s="1" a="1"/>
  <c r="N6" i="7" s="1"/>
  <c r="J2" i="7"/>
  <c r="K10" i="7"/>
  <c r="J10" i="7"/>
  <c r="K30" i="7"/>
  <c r="J30" i="7"/>
  <c r="K32" i="7"/>
  <c r="J32" i="7"/>
  <c r="K22" i="7"/>
  <c r="J22" i="7"/>
  <c r="K17" i="7"/>
  <c r="J17" i="7"/>
  <c r="K18" i="7"/>
  <c r="J18" i="7"/>
  <c r="K6" i="7"/>
  <c r="J6" i="7"/>
  <c r="K26" i="7"/>
  <c r="J26" i="7"/>
  <c r="K25" i="7"/>
  <c r="J25" i="7"/>
  <c r="K39" i="7"/>
  <c r="J39" i="7"/>
  <c r="K28" i="7"/>
  <c r="J28" i="7"/>
  <c r="K29" i="7"/>
  <c r="J29" i="7"/>
  <c r="K21" i="7"/>
  <c r="J21" i="7"/>
  <c r="K3" i="7"/>
  <c r="J3" i="7"/>
  <c r="K12" i="7"/>
  <c r="J12" i="7"/>
  <c r="K20" i="7"/>
  <c r="J20" i="7"/>
  <c r="K36" i="7"/>
  <c r="J36" i="7"/>
  <c r="K24" i="7"/>
  <c r="J24" i="7"/>
  <c r="K37" i="7"/>
  <c r="J37" i="7"/>
  <c r="K13" i="7"/>
  <c r="J13" i="7"/>
  <c r="K23" i="7"/>
  <c r="J23" i="7"/>
  <c r="K15" i="7"/>
  <c r="K16" i="7" s="1"/>
  <c r="N13" i="7" s="1" a="1"/>
  <c r="N13" i="7" s="1"/>
  <c r="J15" i="7"/>
  <c r="K35" i="7"/>
  <c r="J35" i="7"/>
  <c r="K33" i="7"/>
  <c r="J33" i="7"/>
  <c r="K42" i="7"/>
  <c r="J42" i="7"/>
  <c r="K9" i="7"/>
  <c r="J9" i="7"/>
  <c r="K41" i="7"/>
  <c r="J41" i="7"/>
  <c r="K11" i="7"/>
  <c r="J11" i="7"/>
  <c r="P40" i="7" l="1" a="1"/>
  <c r="P40" i="7" s="1"/>
  <c r="P37" i="7" a="1"/>
  <c r="P37" i="7" s="1"/>
  <c r="P31" i="7" a="1"/>
  <c r="P31" i="7" s="1"/>
  <c r="N40" i="7"/>
  <c r="O37" i="7" a="1"/>
  <c r="O37" i="7" s="1"/>
  <c r="N32" i="7" a="1"/>
  <c r="N32" i="7" s="1"/>
  <c r="N38" i="7" a="1"/>
  <c r="N38" i="7" s="1"/>
  <c r="N37" i="7" a="1"/>
  <c r="N37" i="7" s="1"/>
  <c r="O32" i="7" a="1"/>
  <c r="O32" i="7" s="1"/>
  <c r="O38" i="7" a="1"/>
  <c r="O38" i="7" s="1"/>
  <c r="P33" i="7" a="1"/>
  <c r="P33" i="7" s="1"/>
  <c r="P32" i="7" a="1"/>
  <c r="P32" i="7" s="1"/>
  <c r="P38" i="7" a="1"/>
  <c r="P38" i="7" s="1"/>
  <c r="O33" i="7" a="1"/>
  <c r="O33" i="7" s="1"/>
  <c r="P30" i="7" a="1"/>
  <c r="P30" i="7" s="1"/>
  <c r="N39" i="7" a="1"/>
  <c r="N39" i="7" s="1"/>
  <c r="N33" i="7"/>
  <c r="O30" i="7" a="1"/>
  <c r="O30" i="7" s="1"/>
  <c r="O40" i="7" a="1"/>
  <c r="O40" i="7" s="1"/>
  <c r="O39" i="7" a="1"/>
  <c r="O39" i="7" s="1"/>
  <c r="N31" i="7" a="1"/>
  <c r="N31" i="7" s="1"/>
  <c r="N30" i="7" a="1"/>
  <c r="N30" i="7" s="1"/>
  <c r="P39" i="7" a="1"/>
  <c r="P39" i="7" s="1"/>
  <c r="O31" i="7" a="1"/>
  <c r="O31" i="7" s="1"/>
  <c r="N4" i="7" a="1"/>
  <c r="N4" i="7" s="1"/>
  <c r="O14" i="7" a="1"/>
  <c r="O14" i="7" s="1"/>
  <c r="N14" i="7"/>
  <c r="P14" i="7" a="1"/>
  <c r="P14" i="7" s="1"/>
  <c r="P5" i="7" a="1"/>
  <c r="P5" i="7" s="1"/>
  <c r="P6" i="7" a="1"/>
  <c r="P6" i="7" s="1"/>
  <c r="N5" i="7" a="1"/>
  <c r="N5" i="7" s="1"/>
  <c r="P4" i="7" a="1"/>
  <c r="P4" i="7" s="1"/>
  <c r="O6" i="7" a="1"/>
  <c r="O6" i="7" s="1"/>
  <c r="O7" i="7" a="1"/>
  <c r="O7" i="7" s="1"/>
  <c r="N7" i="7"/>
  <c r="P7" i="7" a="1"/>
  <c r="P7" i="7" s="1"/>
  <c r="O4" i="7" a="1"/>
  <c r="O4" i="7" s="1"/>
  <c r="O5" i="7" a="1"/>
  <c r="O5" i="7" s="1"/>
  <c r="O11" i="7" a="1"/>
  <c r="O11" i="7" s="1"/>
  <c r="O12" i="7" a="1"/>
  <c r="O12" i="7" s="1"/>
  <c r="N12" i="7" a="1"/>
  <c r="N12" i="7" s="1"/>
  <c r="O13" i="7" a="1"/>
  <c r="O13" i="7" s="1"/>
  <c r="N11" i="7" a="1"/>
  <c r="N11" i="7" s="1"/>
  <c r="P13" i="7" a="1"/>
  <c r="P13" i="7" s="1"/>
  <c r="P12" i="7" a="1"/>
  <c r="P12" i="7" s="1"/>
  <c r="P11" i="7" a="1"/>
  <c r="P1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<sst xmlns="http://schemas.openxmlformats.org/spreadsheetml/2006/main" count="968" uniqueCount="239">
  <si>
    <t>Reactor</t>
  </si>
  <si>
    <t>NPP</t>
  </si>
  <si>
    <t>Type</t>
  </si>
  <si>
    <t>Model</t>
  </si>
  <si>
    <t>GCR</t>
  </si>
  <si>
    <t>FBR</t>
  </si>
  <si>
    <t>PWR</t>
  </si>
  <si>
    <t>HWGCR</t>
  </si>
  <si>
    <t>HTGR</t>
  </si>
  <si>
    <t>Pebble bed reactor prototype</t>
  </si>
  <si>
    <t>BWR</t>
  </si>
  <si>
    <t>BWR-69</t>
  </si>
  <si>
    <t>VVER V-230</t>
  </si>
  <si>
    <t>BWR-72</t>
  </si>
  <si>
    <t>KNK II</t>
  </si>
  <si>
    <t>Prototype</t>
  </si>
  <si>
    <t>Lingen</t>
  </si>
  <si>
    <t>BWR with fossil fuel-fired superheater</t>
  </si>
  <si>
    <t>MZFR</t>
  </si>
  <si>
    <t>PHWR</t>
  </si>
  <si>
    <t>VVER-70</t>
  </si>
  <si>
    <t>THTR-300</t>
  </si>
  <si>
    <t>Pebble bed reactor</t>
  </si>
  <si>
    <t>Emsland</t>
  </si>
  <si>
    <t>Konvoi</t>
  </si>
  <si>
    <t>Country</t>
  </si>
  <si>
    <t>Germany</t>
  </si>
  <si>
    <t>CAORSO</t>
  </si>
  <si>
    <t>ENRICO FERMI (TRINO)</t>
  </si>
  <si>
    <t>GARIGLIANO</t>
  </si>
  <si>
    <t>LATINA</t>
  </si>
  <si>
    <t>AVR JUELICH (AVR)</t>
  </si>
  <si>
    <t>BIBLIS-A (KWB A)</t>
  </si>
  <si>
    <t>BIBLIS-B (KWB B)</t>
  </si>
  <si>
    <t>BROKDORF</t>
  </si>
  <si>
    <t>BRUNSBUETTEL (KKB)</t>
  </si>
  <si>
    <t>GRAFENRHEINFELD (KKG)</t>
  </si>
  <si>
    <t>GREIFSWALD-1 (KGR-1)</t>
  </si>
  <si>
    <t>GREIFSWALD-2 (KGR-2)</t>
  </si>
  <si>
    <t>GREIFSWALD-3 (KGR-3)</t>
  </si>
  <si>
    <t>GREIFSWALD-4 (KGR-4)</t>
  </si>
  <si>
    <t>GREIFSWALD-5 (KGR-5)</t>
  </si>
  <si>
    <t>GROHNDE</t>
  </si>
  <si>
    <t>GUNDREMMINGEN-A (KRB A)</t>
  </si>
  <si>
    <t>GUNDREMMINGEN-B (GUN-B)</t>
  </si>
  <si>
    <t>GUNDREMMINGEN-C (GUN-C)</t>
  </si>
  <si>
    <t>HDR GROSSWELZHEIM</t>
  </si>
  <si>
    <t>ISAR-1 (KKI-1)</t>
  </si>
  <si>
    <t>KRUEMMEL (KKK)</t>
  </si>
  <si>
    <t>LINGEN (KWL)</t>
  </si>
  <si>
    <t>MUELHEIM-KAERLICH (KMK)</t>
  </si>
  <si>
    <t>NECKARWESTHEIM-1 (GKN-1)</t>
  </si>
  <si>
    <t>NIEDERAICHBACH (KKN)</t>
  </si>
  <si>
    <t>OBRIGHEIM (KWO)</t>
  </si>
  <si>
    <t>PHILIPPSBURG-1 (KKP-1)</t>
  </si>
  <si>
    <t>PHILIPPSBURG-2 (KKP-2)</t>
  </si>
  <si>
    <t>RHEINSBERG (KKR)</t>
  </si>
  <si>
    <t>STADE (KKS)</t>
  </si>
  <si>
    <t>UNTERWESER (KKU)</t>
  </si>
  <si>
    <t>VAK KAHL</t>
  </si>
  <si>
    <t>WUERGASSEN (KWW)</t>
  </si>
  <si>
    <t>EMSLAND (KKE)</t>
  </si>
  <si>
    <t>ISAR-2 (KKI 2)</t>
  </si>
  <si>
    <t>NECKARWESTHEIM-2 (GKN-2)</t>
  </si>
  <si>
    <t>Italy</t>
  </si>
  <si>
    <t xml:space="preserve"> 
VVER V-230</t>
  </si>
  <si>
    <t>VVER V-213</t>
  </si>
  <si>
    <t>-</t>
  </si>
  <si>
    <t>Superheated steam reactor</t>
  </si>
  <si>
    <t>pressure tube reactor</t>
  </si>
  <si>
    <t>BWR-4 (Mark 2)</t>
  </si>
  <si>
    <t xml:space="preserve"> 
W (4-loop)</t>
  </si>
  <si>
    <t>BWR-1</t>
  </si>
  <si>
    <t>IGNALINA-1</t>
  </si>
  <si>
    <t>Lithuania</t>
  </si>
  <si>
    <t>IGNALINA-2</t>
  </si>
  <si>
    <t>LWGR</t>
  </si>
  <si>
    <t>RBMK-1500</t>
  </si>
  <si>
    <t>Shutdown Year</t>
  </si>
  <si>
    <t>Net Capacity [MW_el]</t>
  </si>
  <si>
    <t>Lifetime Electricity Supplied [TWh]</t>
  </si>
  <si>
    <t>n.a.</t>
  </si>
  <si>
    <t>x</t>
  </si>
  <si>
    <t>yes</t>
  </si>
  <si>
    <t>POP</t>
  </si>
  <si>
    <t>no</t>
  </si>
  <si>
    <t>interim storage</t>
  </si>
  <si>
    <t>green</t>
  </si>
  <si>
    <t>LTE</t>
  </si>
  <si>
    <t>brown</t>
  </si>
  <si>
    <t>Construction Start Date</t>
  </si>
  <si>
    <t>Construction Start Year</t>
  </si>
  <si>
    <t>Grid Connection Date</t>
  </si>
  <si>
    <t>Grid Connection Year</t>
  </si>
  <si>
    <t>Shutdown Date</t>
  </si>
  <si>
    <t>Time since shutdown (a)</t>
  </si>
  <si>
    <t>Operating Years (a)</t>
  </si>
  <si>
    <t>Closed</t>
  </si>
  <si>
    <t>In DECOM</t>
  </si>
  <si>
    <t>STAGE [1, 2, 3, LTE]</t>
  </si>
  <si>
    <t>Defueled</t>
  </si>
  <si>
    <t>Fully DECOM</t>
  </si>
  <si>
    <t>License [terminated, no]</t>
  </si>
  <si>
    <t>Released as [green, brown, ISFSI]</t>
  </si>
  <si>
    <t>Additional info on release</t>
  </si>
  <si>
    <t>Owner</t>
  </si>
  <si>
    <t>Arbeitsgemeinschaft Versuchsreaktor GmbH</t>
  </si>
  <si>
    <t>RWE</t>
  </si>
  <si>
    <t>PreussenElektra (80%); Vattenfall (20%)</t>
  </si>
  <si>
    <t>Vattenfall (66.6%), E.On (33.3%)</t>
  </si>
  <si>
    <t>E.On</t>
  </si>
  <si>
    <t>EWN</t>
  </si>
  <si>
    <t>PreussenElektra (83.3%), SW Bielefeld (16.7%)</t>
  </si>
  <si>
    <t>RWE (75%), E.On (25%)</t>
  </si>
  <si>
    <t>Karlsruher Institut für Technologie (Kernforschungszentrum Karlsruhe -KfK)</t>
  </si>
  <si>
    <t>Vattenfall (50%), E.On (50%)</t>
  </si>
  <si>
    <t>SCN</t>
  </si>
  <si>
    <t>Kerntechnische Entsorgung Karlsruhe GmbH</t>
  </si>
  <si>
    <t>(98.45%) EnBW 2. (1.55%) four other owners</t>
  </si>
  <si>
    <t>Kernkraftwerk Obigheim GmbH</t>
  </si>
  <si>
    <t>EnBW</t>
  </si>
  <si>
    <t>Kernkraftwerke Stade GmbH</t>
  </si>
  <si>
    <t>Hochtemepteratur Kernkraftwerk GmbH</t>
  </si>
  <si>
    <t>PreussenElektra</t>
  </si>
  <si>
    <t>IAE</t>
  </si>
  <si>
    <t>Sogin</t>
  </si>
  <si>
    <t>HEISSDAMPFREAKTOR-BETRIEBSGESELLSCHAFT MBH</t>
  </si>
  <si>
    <t>VERSUCHSATOMKRAFTWERK KAHL GMBH</t>
  </si>
  <si>
    <t>Reactor or NPP</t>
  </si>
  <si>
    <t>Estimated Cost</t>
  </si>
  <si>
    <t>Currency</t>
  </si>
  <si>
    <t>EUR_2020</t>
  </si>
  <si>
    <t>Source</t>
  </si>
  <si>
    <t>Wimmers et al (2023) Data Documentation 104</t>
  </si>
  <si>
    <t>Authors</t>
  </si>
  <si>
    <t>Year</t>
  </si>
  <si>
    <t>Title</t>
  </si>
  <si>
    <t xml:space="preserve">Wimmers et al </t>
  </si>
  <si>
    <t>Data Documentation 104: Decommissioning of Nuclear Power Plants</t>
  </si>
  <si>
    <t>Link</t>
  </si>
  <si>
    <t>https://www.diw.de/de/diw_01.c.864236.de/publikationen/data_documentation/2023_0104/decommissioning_of_nuclear_power_plants__regulation__financing__and_production.html</t>
  </si>
  <si>
    <t>Commercial</t>
  </si>
  <si>
    <t>Yes</t>
  </si>
  <si>
    <t>No</t>
  </si>
  <si>
    <t>Operator</t>
  </si>
  <si>
    <t>RWE Power AG</t>
  </si>
  <si>
    <t>Kernkraftwerk Brunsbüttel GmbH</t>
  </si>
  <si>
    <t>E.ON Kernkraft GmbH</t>
  </si>
  <si>
    <t>Kernkraftwerk Gundremmingen GmbH</t>
  </si>
  <si>
    <t>Heissdampfreaktor-Betriebsgesellschaft mbH</t>
  </si>
  <si>
    <t>Kerkraftwerk-Betriebsgesellschaft</t>
  </si>
  <si>
    <t xml:space="preserve">KERNKRAFTWERK-BETRIEBSGESELLSCHAFT MBH </t>
  </si>
  <si>
    <t>EnBW Kernkraft GmbH</t>
  </si>
  <si>
    <t>E.ON Kernkraft Stade GmbH &amp; Co oHG</t>
  </si>
  <si>
    <t>HOCHTEMPERATUR-KERNKRAFTWERK GMBH</t>
  </si>
  <si>
    <t>Versuchsatomkraftwerk Kahl GmbH</t>
  </si>
  <si>
    <t>PreussenElektra GmbH</t>
  </si>
  <si>
    <t>AVR Gmbh</t>
  </si>
  <si>
    <t>Preussenelektra (75%), SW München (25%)</t>
  </si>
  <si>
    <t>RWE (75%), PreussenElektra (25%)</t>
  </si>
  <si>
    <t>Provisions</t>
  </si>
  <si>
    <t>TWS Kernkraft GmbH</t>
  </si>
  <si>
    <t>KBR oHG</t>
  </si>
  <si>
    <t>KKS oHG</t>
  </si>
  <si>
    <t>KWG oHG</t>
  </si>
  <si>
    <t>KKK oHG</t>
  </si>
  <si>
    <t>RWE Nuclear GmbH</t>
  </si>
  <si>
    <t>KKE</t>
  </si>
  <si>
    <t>KWL</t>
  </si>
  <si>
    <t>Vattenfall</t>
  </si>
  <si>
    <t>KKB oHG</t>
  </si>
  <si>
    <t>KKI 2</t>
  </si>
  <si>
    <t>Stadtwerke München</t>
  </si>
  <si>
    <t>Phase</t>
  </si>
  <si>
    <t>Total</t>
  </si>
  <si>
    <t>Phase 1</t>
  </si>
  <si>
    <t>EUR_2021</t>
  </si>
  <si>
    <t>Undated</t>
  </si>
  <si>
    <t>Caorso Nuclear Power Plant</t>
  </si>
  <si>
    <t>https://www.sogin.it/en/closureoftheitaliannuclearcycle/italian-nuclear-sites/caorsonuclearpowerplant/Pagine/default.aspx</t>
  </si>
  <si>
    <t>Garigliano Nuclear Power Plant</t>
  </si>
  <si>
    <t>https://www.sogin.it/en/closureoftheitaliannuclearcycle/italian-nuclear-sites/gariglianonuclearpowerplant/Pagine/default.aspx</t>
  </si>
  <si>
    <t>Sogin (Undated) Caorso Nuclear Power Plant</t>
  </si>
  <si>
    <t>Sogin (Undated) Garigliano Nuclear Power Plant</t>
  </si>
  <si>
    <t>Latina Nuclear Power Plant</t>
  </si>
  <si>
    <t>https://www.sogin.it/en/closureoftheitaliannuclearcycle/italian-nuclear-sites/latinanuclearpowerplant/Pagine/default.aspx</t>
  </si>
  <si>
    <t>Sogin (Undated) Latina Nuclear Power Plant</t>
  </si>
  <si>
    <t>Sogin (Undated) Trino Nuclear Power Plant</t>
  </si>
  <si>
    <t>https://www.sogin.it/en/closureoftheitaliannuclearcycle/italian-nuclear-sites/trinonuclearpowerplant/Pagine/default.aspx</t>
  </si>
  <si>
    <t>Trino Nuclear Power Plant</t>
  </si>
  <si>
    <t>IGNALINA</t>
  </si>
  <si>
    <t>COM (2022) Decom report</t>
  </si>
  <si>
    <t>European Commission (COM)</t>
  </si>
  <si>
    <t>REPORT FROM THE COMMISSION TO THE EUROPEAN PARLIAMENT AND THE COUNCIL on the implementation of the work under the nuclear decommissioning assistance
programme to Bulgaria, Slovakia and Lithuania and JRC programme in 2021 and previous years</t>
  </si>
  <si>
    <t>https://www.europarl.europa.eu/RegData/docs_autres_institutions/commission_europeenne/com/2022/0663/COM_COM(2022)0663_EN.pdf</t>
  </si>
  <si>
    <t>ISAR-2 (KKI-2)</t>
  </si>
  <si>
    <t>GREIFSWALD &amp; RHEINSBERG</t>
  </si>
  <si>
    <t>Cost Type</t>
  </si>
  <si>
    <t>Estimation</t>
  </si>
  <si>
    <t>Provision</t>
  </si>
  <si>
    <t>KWO oHG</t>
  </si>
  <si>
    <t>Specific Cost [€/MWh]</t>
  </si>
  <si>
    <t>Kernkraftwerk Rheinsberg</t>
  </si>
  <si>
    <t>https://www.ewn-gmbh.de/fileadmin/user_upload/EWN/Projekte/Rueckbau_des_KKW_Rheinsberg/Brosch%C3%BCre_R%C3%BCckbau_KKR_10_2021.pdf</t>
  </si>
  <si>
    <t>IAEA</t>
  </si>
  <si>
    <t>PRIS Database</t>
  </si>
  <si>
    <t>https://pris.iaea.org/pris/home.aspx</t>
  </si>
  <si>
    <t>Weighted Average Cost (all)</t>
  </si>
  <si>
    <t>Weighted Average Cost (non-commercial)</t>
  </si>
  <si>
    <t>Weighted Average Cost (commercial)</t>
  </si>
  <si>
    <t>Weighted on Electriciy Generation</t>
  </si>
  <si>
    <t>Capacity</t>
  </si>
  <si>
    <t>Weighted on Net Capacity</t>
  </si>
  <si>
    <t>EUR_2013</t>
  </si>
  <si>
    <t>KIT</t>
  </si>
  <si>
    <t>https://www.ptka.kit.edu/ptka-alt/downloads/ptka-wte-e/PTE_S-FB27.pdf</t>
  </si>
  <si>
    <t>BMBF-Stilllegungsprojekte und BMBF geförderte FuE zu „Stilllegung/Rückbau kerntechnischer Anlagen“</t>
  </si>
  <si>
    <t>KIT (2014)</t>
  </si>
  <si>
    <t>*Note: Großwelzheim not included as there are no known cost data.</t>
  </si>
  <si>
    <t>&lt;--- Same Value as KGR-4 although never produced any Electricity!</t>
  </si>
  <si>
    <t>Nuclear Waste Management</t>
  </si>
  <si>
    <t>Absolute Cost [€]</t>
  </si>
  <si>
    <t>German KENFO Value at Creation</t>
  </si>
  <si>
    <t>Bn. €</t>
  </si>
  <si>
    <t>Total Generation German NPPs</t>
  </si>
  <si>
    <t>TWh</t>
  </si>
  <si>
    <t>€/MWh</t>
  </si>
  <si>
    <t>Wimmers et al. (2023) Ökonomische Aspekte</t>
  </si>
  <si>
    <t>Klein &amp; Warth Grant Thornthon</t>
  </si>
  <si>
    <t>Wimmers, von Hirschhausen, Göke, Kemfert</t>
  </si>
  <si>
    <t>Ökonomische Apsekte der Atomkraft</t>
  </si>
  <si>
    <t>https://www.gruene-bundestag.de/fileadmin/media/gruenebundestag_de/themen_az/atomausstieg/PDF/Studie_Oekonomische_Aspekte_der_Atomkraft.pdf</t>
  </si>
  <si>
    <t>Gutachtliche Stellungnahme zur Bewertung der Rückstellungen im Kernenergiebereich.</t>
  </si>
  <si>
    <t>Klein &amp; Warth Grant Thornthon (2015)</t>
  </si>
  <si>
    <t>Cost per MWh (KENFO VOLUME)</t>
  </si>
  <si>
    <t>Cost per MWh (Estimated Cost)</t>
  </si>
  <si>
    <t>Specific Cost [€/kW]</t>
  </si>
  <si>
    <t>COST PER TWH PRODUCED</t>
  </si>
  <si>
    <t>COST PER kW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</si>
</sst>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Verdana"/>
      <family val="2"/>
      <charset val="1"/>
    </font>
    <font>
      <sz val="10"/>
      <color rgb="FF000000"/>
      <name val="Verdana"/>
      <family val="2"/>
      <charset val="1"/>
    </font>
    <font>
      <sz val="8"/>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rgb="FFC0C0C0"/>
      </left>
      <right style="thin">
        <color rgb="FFC0C0C0"/>
      </right>
      <top style="thin">
        <color rgb="FFC0C0C0"/>
      </top>
      <bottom style="thin">
        <color rgb="FFC0C0C0"/>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24">
    <xf numFmtId="0" fontId="0" fillId="0" borderId="0" xfId="0"/>
    <xf numFmtId="0" fontId="1" fillId="0" borderId="0" xfId="0" applyFont="1" applyAlignment="1">
      <alignment wrapText="1"/>
    </xf>
    <xf numFmtId="0" fontId="3" fillId="0" borderId="1" xfId="1" applyFont="1" applyBorder="1" applyAlignment="1">
      <alignment horizontal="center"/>
    </xf>
    <xf numFmtId="0" fontId="3" fillId="0" borderId="1" xfId="1" applyFont="1" applyBorder="1"/>
    <xf numFmtId="14" fontId="0" fillId="0" borderId="0" xfId="0" applyNumberFormat="1"/>
    <xf numFmtId="2" fontId="3" fillId="0" borderId="1" xfId="1" applyNumberFormat="1" applyFont="1" applyBorder="1" applyAlignment="1">
      <alignment horizontal="center"/>
    </xf>
    <xf numFmtId="2" fontId="0" fillId="0" borderId="0" xfId="0" applyNumberFormat="1"/>
    <xf numFmtId="14" fontId="3" fillId="0" borderId="1" xfId="1" applyNumberFormat="1" applyFont="1" applyBorder="1" applyAlignment="1">
      <alignment horizontal="center"/>
    </xf>
    <xf numFmtId="0" fontId="1" fillId="0" borderId="0" xfId="0" applyFont="1"/>
    <xf numFmtId="14" fontId="1" fillId="0" borderId="0" xfId="0" applyNumberFormat="1" applyFont="1" applyAlignment="1">
      <alignment wrapText="1"/>
    </xf>
    <xf numFmtId="0" fontId="0" fillId="2" borderId="2" xfId="0" applyFill="1" applyBorder="1"/>
    <xf numFmtId="0" fontId="0" fillId="0" borderId="2" xfId="0" applyBorder="1"/>
    <xf numFmtId="0" fontId="1" fillId="0" borderId="2" xfId="0" applyFont="1" applyBorder="1"/>
    <xf numFmtId="0" fontId="0" fillId="2" borderId="0" xfId="0" applyFill="1"/>
    <xf numFmtId="0" fontId="5" fillId="3" borderId="3" xfId="0" applyFont="1" applyFill="1" applyBorder="1"/>
    <xf numFmtId="0" fontId="0" fillId="2" borderId="3" xfId="0" applyFill="1" applyBorder="1"/>
    <xf numFmtId="0" fontId="0" fillId="0" borderId="3" xfId="0" applyBorder="1"/>
    <xf numFmtId="0" fontId="5" fillId="3" borderId="2" xfId="0" applyFont="1" applyFill="1" applyBorder="1" applyAlignment="1">
      <alignment wrapText="1"/>
    </xf>
    <xf numFmtId="0" fontId="5" fillId="3" borderId="0" xfId="0" applyFont="1" applyFill="1" applyAlignment="1">
      <alignment wrapText="1"/>
    </xf>
    <xf numFmtId="0" fontId="0" fillId="0" borderId="0" xfId="0" applyAlignment="1">
      <alignment wrapText="1"/>
    </xf>
    <xf numFmtId="2" fontId="1" fillId="0" borderId="0" xfId="0" applyNumberFormat="1" applyFont="1"/>
    <xf numFmtId="2" fontId="0" fillId="4" borderId="0" xfId="0" applyNumberFormat="1" applyFill="1"/>
    <xf numFmtId="0" fontId="0" fillId="2" borderId="2" xfId="0" applyFont="1" applyFill="1" applyBorder="1"/>
    <xf numFmtId="0" fontId="0" fillId="0" borderId="2" xfId="0" applyFont="1" applyBorder="1"/>
  </cellXfs>
  <cellStyles count="2">
    <cellStyle name="Normal 2" xfId="1" xr:uid="{05E2EFC2-4798-45B5-9093-EC24B28CB60C}"/>
    <cellStyle name="Standard" xfId="0" builtinId="0"/>
  </cellStyles>
  <dxfs count="17">
    <dxf>
      <numFmt numFmtId="2" formatCode="0.00"/>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 formatCode="0.00"/>
    </dxf>
    <dxf>
      <numFmt numFmtId="19" formatCode="dd/mm/yyyy"/>
    </dxf>
    <dxf>
      <numFmt numFmtId="19" formatCode="dd/mm/yyyy"/>
    </dxf>
    <dxf>
      <numFmt numFmtId="0" formatCode="General"/>
    </dxf>
    <dxf>
      <numFmt numFmtId="19" formatCode="dd/mm/yyyy"/>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ABFD5-F1A8-476C-B580-00DCE966F24F}" name="DECOM_REACTORS" displayName="DECOM_REACTORS" ref="A1:Y43" totalsRowShown="0" headerRowDxfId="16">
  <autoFilter ref="A1:Y43" xr:uid="{72AABFD5-F1A8-476C-B580-00DCE966F24F}"/>
  <sortState xmlns:xlrd2="http://schemas.microsoft.com/office/spreadsheetml/2017/richdata2" ref="A2:Y43">
    <sortCondition ref="A1:A43"/>
  </sortState>
  <tableColumns count="25">
    <tableColumn id="1" xr3:uid="{A5AA032A-879E-4E44-925F-5521D1E617DC}" name="Reactor"/>
    <tableColumn id="2" xr3:uid="{EA5D52FE-EFBF-4EBF-8997-F7C70CE46D0E}" name="Country"/>
    <tableColumn id="24" xr3:uid="{B7A5AEDA-2CBE-413B-B50D-3A48F82271F7}" name="Commercial"/>
    <tableColumn id="3" xr3:uid="{EDDACD7D-BC97-44B5-A915-10A4841D138E}" name="Type"/>
    <tableColumn id="4" xr3:uid="{7E22B03A-FDF9-4CD8-A7C3-82F00831D9B0}" name="Model"/>
    <tableColumn id="5" xr3:uid="{0E86DA27-B6C6-45DF-9B36-8C8DA6FF7F75}" name="Net Capacity [MW_el]"/>
    <tableColumn id="25" xr3:uid="{A54F8C0F-524F-4FC2-A783-4EC11B798955}" name="Operator"/>
    <tableColumn id="6" xr3:uid="{DEC3B5F3-DC07-450A-A369-76B89A462C79}" name="Owner"/>
    <tableColumn id="7" xr3:uid="{2E1B75D2-6E57-47DC-9FC5-AA4FF04A147B}" name="Lifetime Electricity Supplied [TWh]"/>
    <tableColumn id="8" xr3:uid="{A6B468E2-8BD0-4CC2-8693-D07AD06035EE}" name="Construction Start Date" dataDxfId="15"/>
    <tableColumn id="9" xr3:uid="{40A69CD5-1E58-498F-8BD6-D757A03925E1}" name="Construction Start Year" dataDxfId="14"/>
    <tableColumn id="10" xr3:uid="{9925D19A-56C0-4ABF-8A9F-8B71FBD47834}" name="Grid Connection Date" dataDxfId="13"/>
    <tableColumn id="11" xr3:uid="{CC056760-E79F-4421-87F6-2AEA49EE823F}" name="Grid Connection Year"/>
    <tableColumn id="12" xr3:uid="{C7B474B7-8680-419C-9FD7-D4AE2A06C0E9}" name="Shutdown Date" dataDxfId="12"/>
    <tableColumn id="13" xr3:uid="{DF95AEBC-C943-42A0-B3A1-8B87E645507F}" name="Shutdown Year"/>
    <tableColumn id="14" xr3:uid="{7C474C08-B374-402F-B580-5B42EF3B0533}" name="Operating Years (a)"/>
    <tableColumn id="15" xr3:uid="{3C326DB7-050D-43D9-AC37-E0C83418FD76}" name="Time since shutdown (a)" dataDxfId="11"/>
    <tableColumn id="16" xr3:uid="{6E773815-B5F0-4064-9E46-A4421D735BCD}" name="Closed"/>
    <tableColumn id="17" xr3:uid="{D87BBED5-4DCB-4021-A83F-F7CB84BFD848}" name="In DECOM"/>
    <tableColumn id="18" xr3:uid="{B40268A9-049C-4DD3-94D2-21359548FE29}" name="STAGE [1, 2, 3, LTE]"/>
    <tableColumn id="19" xr3:uid="{2B667B45-9840-4155-8032-8FC1D9625045}" name="Defueled"/>
    <tableColumn id="20" xr3:uid="{91590D67-65F9-4CB2-9B38-C4D59B7D01F7}" name="Fully DECOM"/>
    <tableColumn id="21" xr3:uid="{868E88E2-EB10-4D3D-A21A-472A48AD27CA}" name="License [terminated, no]"/>
    <tableColumn id="22" xr3:uid="{CC16260B-89F4-458F-B2D7-CF841AA8994B}" name="Released as [green, brown, ISFSI]"/>
    <tableColumn id="23" xr3:uid="{B3455412-ADB5-40C8-A771-ECA0954A8DE5}" name="Additional info on relea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F78887-07C8-4E42-B4E3-C81D81A164A3}" name="DECOM_EST" displayName="DECOM_EST" ref="A1:H19" totalsRowShown="0">
  <autoFilter ref="A1:H19" xr:uid="{8BF78887-07C8-4E42-B4E3-C81D81A164A3}"/>
  <tableColumns count="8">
    <tableColumn id="8" xr3:uid="{AE9B5B26-1256-4002-B8E2-EE4B27D22DA5}" name="Type"/>
    <tableColumn id="1" xr3:uid="{D32D86AD-F0C9-4C58-860F-E27AE4B72A64}" name="Reactor or NPP"/>
    <tableColumn id="6" xr3:uid="{D6E2123F-3EC1-49E8-8678-FAF45CA2DADA}" name="Country"/>
    <tableColumn id="7" xr3:uid="{16FF03D1-8766-44D7-8BB0-81E3F2E51A0E}" name="Operator"/>
    <tableColumn id="2" xr3:uid="{1DC68C3E-F3B3-4E6B-A8D6-DFE4A662F643}" name="Estimated Cost"/>
    <tableColumn id="3" xr3:uid="{A2C27239-BE50-4681-8AB8-14906784A621}" name="Phase"/>
    <tableColumn id="4" xr3:uid="{416CD8A7-60EE-4307-91F5-75D71D3BC609}" name="Currency"/>
    <tableColumn id="5" xr3:uid="{ECE97B47-6568-4FCC-8150-F31CAD8DFBE9}" name="Sour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440EFD-020F-4905-AE4A-31A910D88C76}" name="DECOM_PROV" displayName="DECOM_PROV" ref="A21:H35" totalsRowShown="0">
  <autoFilter ref="A21:H35" xr:uid="{1B440EFD-020F-4905-AE4A-31A910D88C76}"/>
  <tableColumns count="8">
    <tableColumn id="8" xr3:uid="{BD907FC9-99B2-488B-A847-CA4709CE0F17}" name="Type" dataDxfId="10"/>
    <tableColumn id="1" xr3:uid="{62CAF18B-0124-4F02-804B-736AFD5F7ADA}" name="NPP"/>
    <tableColumn id="2" xr3:uid="{19DA0559-AAE3-45F7-AC6D-52497613FBE6}" name="Operator"/>
    <tableColumn id="3" xr3:uid="{CF5E753D-8C25-4F9D-A4D4-CF38883039CD}" name="Phase"/>
    <tableColumn id="4" xr3:uid="{487CB531-18FD-4E0C-9979-8D9B85847BE9}" name="Owner"/>
    <tableColumn id="5" xr3:uid="{66AF98DC-7BA6-415A-A261-E05DEBA7153D}" name="Provisions"/>
    <tableColumn id="6" xr3:uid="{84719A56-EAE3-41E4-845F-727F189C9CB6}" name="Currency"/>
    <tableColumn id="7" xr3:uid="{3C7CFF95-9DD4-4167-B0C7-0ED0CE34217C}" name="Sour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2EDCE1-262A-4351-BEFE-24D0F701D95F}" name="DECOM_OWN" displayName="DECOM_OWN" ref="A1:O43" totalsRowShown="0">
  <autoFilter ref="A1:O43" xr:uid="{1F2EDCE1-262A-4351-BEFE-24D0F701D95F}"/>
  <tableColumns count="15">
    <tableColumn id="1" xr3:uid="{53C281FB-124B-43C2-923D-C1128F378912}" name="Reactor"/>
    <tableColumn id="2" xr3:uid="{567EC6D0-EE84-47F5-AD27-BD25CF21CF42}" name="Country"/>
    <tableColumn id="3" xr3:uid="{03B16036-F6B9-4A1A-A19A-708AEE2126D9}" name="Cost Type"/>
    <tableColumn id="4" xr3:uid="{710EC72B-710E-4817-8A84-8B09D4BA8497}" name="AVR Gmbh"/>
    <tableColumn id="5" xr3:uid="{E8D58E45-3DF9-4C4A-873C-8EB33CDB5F66}" name="EnBW"/>
    <tableColumn id="6" xr3:uid="{613DFDF5-ED87-462C-86BB-67F6F63F7858}" name="E.On"/>
    <tableColumn id="7" xr3:uid="{FFEE4375-BBF2-4C2B-A0A2-83ED48C8A3ED}" name="RWE"/>
    <tableColumn id="8" xr3:uid="{28FD477B-0E0F-41B8-A156-5EB554EFFEE2}" name="Vattenfall"/>
    <tableColumn id="9" xr3:uid="{D0F9DAB5-FC9D-4BE8-9802-60363C2D613C}" name="Stadtwerke München"/>
    <tableColumn id="10" xr3:uid="{679F8602-CD49-4CFC-83DF-2817F0178948}" name="Sogin"/>
    <tableColumn id="11" xr3:uid="{3D1DDDC2-AEEA-42C4-8D9E-A4CA6361BB94}" name="IAE"/>
    <tableColumn id="12" xr3:uid="{54CE1A35-3A9D-434A-A206-CC8ED29CD2EB}" name="EWN"/>
    <tableColumn id="13" xr3:uid="{BAF3C268-43FF-485A-814B-567D266BE464}" name="Versuchsatomkraftwerk Kahl GmbH"/>
    <tableColumn id="14" xr3:uid="{06C7C1A5-3E3B-48DE-B8C3-27A283981081}" name="Karlsruher Institut für Technologie (Kernforschungszentrum Karlsruhe -KfK)"/>
    <tableColumn id="15" xr3:uid="{AC69F13D-342F-45C3-A94F-0C72F36D916C}" name="HOCHTEMPERATUR-KERNKRAFTWERK GMBH"/>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2E8C59-4FE4-4E7F-9322-F5CBC72F953D}" name="DECOM_COST_CALC" displayName="DECOM_COST_CALC" ref="A1:K42" totalsRowShown="0" headerRowDxfId="9" tableBorderDxfId="8">
  <autoFilter ref="A1:K42" xr:uid="{682E8C59-4FE4-4E7F-9322-F5CBC72F953D}"/>
  <tableColumns count="11">
    <tableColumn id="1" xr3:uid="{BD5E838E-B895-485C-992C-3D472AA51753}" name="Reactor" dataDxfId="7"/>
    <tableColumn id="2" xr3:uid="{FFFE6B75-E8D3-4E88-98F5-0BD66DF5A075}" name="Operator" dataDxfId="6">
      <calculatedColumnFormula>INDEX(DECOM_REACTORS[Operator],MATCH(A2,DECOM_REACTORS[Reactor],0))</calculatedColumnFormula>
    </tableColumn>
    <tableColumn id="3" xr3:uid="{B6C73D44-8E36-4203-AB16-CB27EFFD157A}" name="Country" dataDxfId="5">
      <calculatedColumnFormula>INDEX(DECOM_REACTORS[Country],MATCH(A2,DECOM_REACTORS[Reactor],0))</calculatedColumnFormula>
    </tableColumn>
    <tableColumn id="4" xr3:uid="{A8A8CA9F-A521-41A2-9EFE-10F25B7626F7}" name="Capacity" dataDxfId="4">
      <calculatedColumnFormula>INDEX(DECOM_REACTORS[Net Capacity '[MW_el']],MATCH(A2,DECOM_REACTORS[Reactor],0))</calculatedColumnFormula>
    </tableColumn>
    <tableColumn id="5" xr3:uid="{67CD1D1E-08A9-4ACC-9A78-7D7323F37A2B}" name="Lifetime Electricity Supplied [TWh]" dataDxfId="3">
      <calculatedColumnFormula>INDEX(DECOM_REACTORS[Lifetime Electricity Supplied '[TWh']],MATCH(A2,DECOM_REACTORS[Reactor],0))</calculatedColumnFormula>
    </tableColumn>
    <tableColumn id="6" xr3:uid="{18A42846-51CB-4B8B-A132-1AD06790998A}" name="Commercial" dataDxfId="2">
      <calculatedColumnFormula>INDEX(DECOM_REACTORS[Commercial],MATCH(A2,DECOM_REACTORS[Reactor],0))</calculatedColumnFormula>
    </tableColumn>
    <tableColumn id="7" xr3:uid="{E0304794-C2E3-4DB8-80E9-2310D8012B63}" name="Provision">
      <calculatedColumnFormula>IF(COUNTIFS(DECOM_PROV[NPP],A2)&gt;0,SUMIFS(DECOM_PROV[Provisions],DECOM_PROV[NPP],A2),SUMIFS(DECOM_PROV[Provisions],DECOM_PROV[Operator],B2)/COUNTIFS(DECOM_REACTORS[Operator],B2))</calculatedColumnFormula>
    </tableColumn>
    <tableColumn id="8" xr3:uid="{1CD24B41-008C-426C-9C86-9B0BEE3E025A}" name="Estimation">
      <calculatedColumnFormula>IF(COUNTIFS(DECOM_EST[Reactor or NPP],A2)&gt;0,SUMIFS(DECOM_EST[Estimated Cost],DECOM_EST[Reactor or NPP],A2),SUMIFS(DECOM_EST[Estimated Cost],DECOM_EST[Operator],B2)/COUNTIFS(DECOM_REACTORS[Operator],B2))</calculatedColumnFormula>
    </tableColumn>
    <tableColumn id="9" xr3:uid="{CE190610-7C60-4547-80C8-2E058686B9C3}" name="Absolute Cost [€]">
      <calculatedColumnFormula>IF(G2&lt;H2,H2,G2)</calculatedColumnFormula>
    </tableColumn>
    <tableColumn id="11" xr3:uid="{C3080C24-D1F1-43CF-9C82-A8DD81BBE5C0}" name="Specific Cost [€/kW]" dataDxfId="1">
      <calculatedColumnFormula>IFERROR(I2/(D2*1000),K1)</calculatedColumnFormula>
    </tableColumn>
    <tableColumn id="10" xr3:uid="{ECDE92BF-BED8-4E88-88DA-FFFE4FD0D028}" name="Specific Cost [€/MWh]" dataDxfId="0">
      <calculatedColumnFormula>IFERROR(I2/(E2*1000000),K1)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CE38-B0C8-47CD-A87F-4B54A0F2365A}">
  <sheetPr>
    <tabColor theme="7"/>
  </sheetPr>
  <dimension ref="A1"/>
  <sheetViews>
    <sheetView workbookViewId="0"/>
  </sheetViews>
  <sheetFormatPr baseColWidth="10" defaultRowHeight="1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
  <sheetViews>
    <sheetView workbookViewId="0">
      <selection activeCell="I17" sqref="I17"/>
    </sheetView>
  </sheetViews>
  <sheetFormatPr baseColWidth="10" defaultColWidth="8.85546875" defaultRowHeight="15" x14ac:dyDescent="0.25"/>
  <cols>
    <col min="1" max="1" width="44.140625" customWidth="1"/>
    <col min="2" max="3" width="21.7109375" customWidth="1"/>
    <col min="4" max="4" width="19.42578125" customWidth="1"/>
    <col min="5" max="5" width="37.85546875" customWidth="1"/>
    <col min="6" max="7" width="22" customWidth="1"/>
    <col min="8" max="8" width="12" bestFit="1" customWidth="1"/>
    <col min="9" max="9" width="32.85546875" customWidth="1"/>
    <col min="10" max="10" width="22.7109375" style="4" customWidth="1"/>
    <col min="11" max="11" width="22.7109375" customWidth="1"/>
    <col min="12" max="12" width="21.42578125" style="4" customWidth="1"/>
    <col min="13" max="13" width="21.28515625" customWidth="1"/>
    <col min="14" max="14" width="16.140625" style="4" customWidth="1"/>
    <col min="15" max="15" width="16" customWidth="1"/>
    <col min="16" max="16" width="19.42578125" customWidth="1"/>
    <col min="17" max="17" width="23.85546875" style="6" customWidth="1"/>
    <col min="19" max="19" width="11.5703125" customWidth="1"/>
    <col min="20" max="20" width="18.85546875" customWidth="1"/>
    <col min="21" max="21" width="11" customWidth="1"/>
    <col min="22" max="22" width="14" customWidth="1"/>
    <col min="23" max="23" width="24" customWidth="1"/>
    <col min="24" max="24" width="31.42578125" customWidth="1"/>
    <col min="25" max="25" width="25.28515625" customWidth="1"/>
  </cols>
  <sheetData>
    <row r="1" spans="1:25" s="1" customFormat="1" x14ac:dyDescent="0.25">
      <c r="A1" s="1" t="s">
        <v>0</v>
      </c>
      <c r="B1" s="1" t="s">
        <v>25</v>
      </c>
      <c r="C1" s="1" t="s">
        <v>141</v>
      </c>
      <c r="D1" s="1" t="s">
        <v>2</v>
      </c>
      <c r="E1" s="1" t="s">
        <v>3</v>
      </c>
      <c r="F1" s="1" t="s">
        <v>79</v>
      </c>
      <c r="G1" s="1" t="s">
        <v>144</v>
      </c>
      <c r="H1" s="1" t="s">
        <v>105</v>
      </c>
      <c r="I1" s="1" t="s">
        <v>80</v>
      </c>
      <c r="J1" s="9" t="s">
        <v>90</v>
      </c>
      <c r="K1" s="1" t="s">
        <v>91</v>
      </c>
      <c r="L1" s="9" t="s">
        <v>92</v>
      </c>
      <c r="M1" s="1" t="s">
        <v>93</v>
      </c>
      <c r="N1" s="1" t="s">
        <v>94</v>
      </c>
      <c r="O1" s="1" t="s">
        <v>78</v>
      </c>
      <c r="P1" s="1" t="s">
        <v>96</v>
      </c>
      <c r="Q1" s="1" t="s">
        <v>95</v>
      </c>
      <c r="R1" s="1" t="s">
        <v>97</v>
      </c>
      <c r="S1" s="1" t="s">
        <v>98</v>
      </c>
      <c r="T1" s="1" t="s">
        <v>99</v>
      </c>
      <c r="U1" s="1" t="s">
        <v>100</v>
      </c>
      <c r="V1" s="1" t="s">
        <v>101</v>
      </c>
      <c r="W1" s="1" t="s">
        <v>102</v>
      </c>
      <c r="X1" s="1" t="s">
        <v>103</v>
      </c>
      <c r="Y1" s="1" t="s">
        <v>104</v>
      </c>
    </row>
    <row r="2" spans="1:25" x14ac:dyDescent="0.25">
      <c r="A2" t="s">
        <v>31</v>
      </c>
      <c r="B2" t="s">
        <v>26</v>
      </c>
      <c r="C2" t="s">
        <v>143</v>
      </c>
      <c r="D2" t="s">
        <v>8</v>
      </c>
      <c r="E2" t="s">
        <v>9</v>
      </c>
      <c r="F2">
        <v>13</v>
      </c>
      <c r="G2" t="s">
        <v>157</v>
      </c>
      <c r="H2" t="s">
        <v>106</v>
      </c>
      <c r="I2">
        <v>1.51</v>
      </c>
      <c r="J2" s="4">
        <v>22494</v>
      </c>
      <c r="K2">
        <v>1961</v>
      </c>
      <c r="L2" s="4">
        <v>24823</v>
      </c>
      <c r="M2" s="2">
        <v>1967</v>
      </c>
      <c r="N2" s="7">
        <v>32508</v>
      </c>
      <c r="O2" s="2">
        <v>1988</v>
      </c>
      <c r="P2" s="2">
        <v>21</v>
      </c>
      <c r="Q2" s="5">
        <v>34.506849315068493</v>
      </c>
      <c r="R2" s="2" t="s">
        <v>82</v>
      </c>
      <c r="S2" s="2" t="s">
        <v>82</v>
      </c>
      <c r="T2" s="2">
        <v>2</v>
      </c>
      <c r="U2" t="s">
        <v>83</v>
      </c>
    </row>
    <row r="3" spans="1:25" x14ac:dyDescent="0.25">
      <c r="A3" t="s">
        <v>32</v>
      </c>
      <c r="B3" t="s">
        <v>26</v>
      </c>
      <c r="C3" t="s">
        <v>142</v>
      </c>
      <c r="D3" t="s">
        <v>6</v>
      </c>
      <c r="E3" t="s">
        <v>6</v>
      </c>
      <c r="F3">
        <v>1167</v>
      </c>
      <c r="G3" t="s">
        <v>166</v>
      </c>
      <c r="H3" t="s">
        <v>107</v>
      </c>
      <c r="I3">
        <v>232.78</v>
      </c>
      <c r="J3" s="4">
        <v>25569</v>
      </c>
      <c r="K3">
        <v>1970</v>
      </c>
      <c r="L3" s="4">
        <v>27266</v>
      </c>
      <c r="M3" s="2">
        <v>1974</v>
      </c>
      <c r="N3" s="7">
        <v>40761</v>
      </c>
      <c r="O3" s="2">
        <v>2011</v>
      </c>
      <c r="P3" s="2">
        <v>37</v>
      </c>
      <c r="Q3" s="5">
        <v>11.895890410958904</v>
      </c>
      <c r="R3" s="2" t="s">
        <v>82</v>
      </c>
      <c r="S3" s="2" t="s">
        <v>82</v>
      </c>
      <c r="T3" s="2">
        <v>1</v>
      </c>
      <c r="U3" t="s">
        <v>83</v>
      </c>
    </row>
    <row r="4" spans="1:25" x14ac:dyDescent="0.25">
      <c r="A4" t="s">
        <v>33</v>
      </c>
      <c r="B4" t="s">
        <v>26</v>
      </c>
      <c r="C4" t="s">
        <v>142</v>
      </c>
      <c r="D4" t="s">
        <v>6</v>
      </c>
      <c r="E4" t="s">
        <v>6</v>
      </c>
      <c r="F4">
        <v>1240</v>
      </c>
      <c r="G4" t="s">
        <v>166</v>
      </c>
      <c r="H4" t="s">
        <v>107</v>
      </c>
      <c r="I4">
        <v>247.35</v>
      </c>
      <c r="J4" s="4">
        <v>26330</v>
      </c>
      <c r="K4">
        <v>1972</v>
      </c>
      <c r="L4" s="4">
        <v>27856</v>
      </c>
      <c r="M4" s="2">
        <v>1976</v>
      </c>
      <c r="N4" s="7">
        <v>40761</v>
      </c>
      <c r="O4" s="2">
        <v>2011</v>
      </c>
      <c r="P4" s="2">
        <v>35</v>
      </c>
      <c r="Q4" s="5">
        <v>11.895890410958904</v>
      </c>
      <c r="R4" s="2" t="s">
        <v>82</v>
      </c>
      <c r="S4" s="2" t="s">
        <v>82</v>
      </c>
      <c r="T4" s="2">
        <v>1</v>
      </c>
      <c r="U4" t="s">
        <v>83</v>
      </c>
    </row>
    <row r="5" spans="1:25" x14ac:dyDescent="0.25">
      <c r="A5" t="s">
        <v>34</v>
      </c>
      <c r="B5" t="s">
        <v>26</v>
      </c>
      <c r="C5" t="s">
        <v>142</v>
      </c>
      <c r="D5" t="s">
        <v>6</v>
      </c>
      <c r="E5" t="s">
        <v>6</v>
      </c>
      <c r="F5">
        <v>1410</v>
      </c>
      <c r="G5" t="s">
        <v>162</v>
      </c>
      <c r="H5" t="s">
        <v>108</v>
      </c>
      <c r="I5">
        <v>364.35</v>
      </c>
      <c r="J5" s="4">
        <v>27760</v>
      </c>
      <c r="K5">
        <v>1976</v>
      </c>
      <c r="L5" s="4">
        <v>31699</v>
      </c>
      <c r="M5" s="2">
        <v>1986</v>
      </c>
      <c r="N5" s="7">
        <v>44561</v>
      </c>
      <c r="O5" s="2">
        <v>2021</v>
      </c>
      <c r="P5" s="2">
        <v>35</v>
      </c>
      <c r="Q5" s="5">
        <v>1.484931506849315</v>
      </c>
      <c r="R5" s="2" t="s">
        <v>82</v>
      </c>
      <c r="S5" s="2" t="s">
        <v>84</v>
      </c>
      <c r="T5" s="3" t="s">
        <v>81</v>
      </c>
      <c r="U5" t="s">
        <v>85</v>
      </c>
    </row>
    <row r="6" spans="1:25" x14ac:dyDescent="0.25">
      <c r="A6" t="s">
        <v>35</v>
      </c>
      <c r="B6" t="s">
        <v>26</v>
      </c>
      <c r="C6" t="s">
        <v>142</v>
      </c>
      <c r="D6" t="s">
        <v>10</v>
      </c>
      <c r="E6" t="s">
        <v>11</v>
      </c>
      <c r="F6">
        <v>771</v>
      </c>
      <c r="G6" t="s">
        <v>146</v>
      </c>
      <c r="H6" t="s">
        <v>109</v>
      </c>
      <c r="I6">
        <v>120.37</v>
      </c>
      <c r="J6" s="4">
        <v>25673</v>
      </c>
      <c r="K6">
        <v>1970</v>
      </c>
      <c r="L6" s="4">
        <v>27954</v>
      </c>
      <c r="M6" s="2">
        <v>1976</v>
      </c>
      <c r="N6" s="7">
        <v>40761</v>
      </c>
      <c r="O6" s="2">
        <v>2011</v>
      </c>
      <c r="P6" s="2">
        <v>35</v>
      </c>
      <c r="Q6" s="5">
        <v>11.895890410958904</v>
      </c>
      <c r="R6" s="2" t="s">
        <v>82</v>
      </c>
      <c r="S6" s="2" t="s">
        <v>82</v>
      </c>
      <c r="T6" s="2">
        <v>2</v>
      </c>
      <c r="U6" t="s">
        <v>83</v>
      </c>
    </row>
    <row r="7" spans="1:25" x14ac:dyDescent="0.25">
      <c r="A7" t="s">
        <v>27</v>
      </c>
      <c r="B7" t="s">
        <v>64</v>
      </c>
      <c r="C7" t="s">
        <v>142</v>
      </c>
      <c r="D7" t="s">
        <v>10</v>
      </c>
      <c r="E7" t="s">
        <v>70</v>
      </c>
      <c r="F7">
        <v>860</v>
      </c>
      <c r="G7" t="s">
        <v>125</v>
      </c>
      <c r="H7" t="s">
        <v>125</v>
      </c>
      <c r="I7">
        <v>27.73</v>
      </c>
      <c r="J7" s="4">
        <v>25569</v>
      </c>
      <c r="K7">
        <v>1970</v>
      </c>
      <c r="L7" s="4">
        <v>28633</v>
      </c>
      <c r="M7" s="2">
        <v>1978</v>
      </c>
      <c r="N7" s="7">
        <v>33055</v>
      </c>
      <c r="O7" s="2">
        <v>1990</v>
      </c>
      <c r="P7" s="2">
        <v>12</v>
      </c>
      <c r="Q7" s="5">
        <v>33.008219178082193</v>
      </c>
      <c r="R7" s="2" t="s">
        <v>82</v>
      </c>
      <c r="S7" s="2" t="s">
        <v>82</v>
      </c>
      <c r="T7" s="2">
        <v>1</v>
      </c>
      <c r="U7" t="s">
        <v>83</v>
      </c>
    </row>
    <row r="8" spans="1:25" x14ac:dyDescent="0.25">
      <c r="A8" t="s">
        <v>61</v>
      </c>
      <c r="B8" t="s">
        <v>26</v>
      </c>
      <c r="C8" t="s">
        <v>142</v>
      </c>
      <c r="D8" t="s">
        <v>6</v>
      </c>
      <c r="E8" t="s">
        <v>24</v>
      </c>
      <c r="F8">
        <v>1335</v>
      </c>
      <c r="G8" t="s">
        <v>167</v>
      </c>
      <c r="H8" t="s">
        <v>159</v>
      </c>
      <c r="I8">
        <v>370.62</v>
      </c>
      <c r="J8" s="4">
        <v>30173</v>
      </c>
      <c r="K8">
        <v>1982</v>
      </c>
      <c r="L8" s="4">
        <v>32252</v>
      </c>
      <c r="M8" s="2">
        <v>1988</v>
      </c>
      <c r="N8" s="7">
        <v>45031</v>
      </c>
      <c r="O8" s="2">
        <v>2023</v>
      </c>
      <c r="P8" s="2">
        <v>35</v>
      </c>
      <c r="Q8" s="5">
        <v>0.19726027397260273</v>
      </c>
      <c r="R8" s="2" t="s">
        <v>82</v>
      </c>
      <c r="S8" s="2" t="s">
        <v>84</v>
      </c>
      <c r="T8" s="2" t="s">
        <v>81</v>
      </c>
      <c r="U8" t="s">
        <v>85</v>
      </c>
    </row>
    <row r="9" spans="1:25" x14ac:dyDescent="0.25">
      <c r="A9" t="s">
        <v>28</v>
      </c>
      <c r="B9" t="s">
        <v>64</v>
      </c>
      <c r="C9" t="s">
        <v>142</v>
      </c>
      <c r="D9" t="s">
        <v>6</v>
      </c>
      <c r="E9" t="s">
        <v>71</v>
      </c>
      <c r="F9">
        <v>260</v>
      </c>
      <c r="G9" t="s">
        <v>125</v>
      </c>
      <c r="H9" t="s">
        <v>125</v>
      </c>
      <c r="I9">
        <v>24.31</v>
      </c>
      <c r="J9" s="4">
        <v>22463</v>
      </c>
      <c r="K9">
        <v>1961</v>
      </c>
      <c r="L9" s="4">
        <v>23672</v>
      </c>
      <c r="M9" s="2">
        <v>1964</v>
      </c>
      <c r="N9" s="7">
        <v>33055</v>
      </c>
      <c r="O9" s="2">
        <v>1990</v>
      </c>
      <c r="P9" s="2">
        <v>26</v>
      </c>
      <c r="Q9" s="5">
        <v>33.008219178082193</v>
      </c>
      <c r="R9" s="2" t="s">
        <v>82</v>
      </c>
      <c r="S9" s="2" t="s">
        <v>82</v>
      </c>
      <c r="T9" s="2">
        <v>1</v>
      </c>
      <c r="U9" t="s">
        <v>83</v>
      </c>
    </row>
    <row r="10" spans="1:25" x14ac:dyDescent="0.25">
      <c r="A10" t="s">
        <v>29</v>
      </c>
      <c r="B10" t="s">
        <v>64</v>
      </c>
      <c r="C10" t="s">
        <v>142</v>
      </c>
      <c r="D10" t="s">
        <v>10</v>
      </c>
      <c r="E10" t="s">
        <v>72</v>
      </c>
      <c r="F10">
        <v>150</v>
      </c>
      <c r="G10" t="s">
        <v>125</v>
      </c>
      <c r="H10" t="s">
        <v>125</v>
      </c>
      <c r="I10">
        <v>12.25</v>
      </c>
      <c r="J10" s="4">
        <v>21855</v>
      </c>
      <c r="K10">
        <v>1959</v>
      </c>
      <c r="L10" s="4">
        <v>23377</v>
      </c>
      <c r="M10" s="2">
        <v>1964</v>
      </c>
      <c r="N10" s="7">
        <v>30011</v>
      </c>
      <c r="O10" s="2">
        <v>1982</v>
      </c>
      <c r="P10" s="2">
        <v>18</v>
      </c>
      <c r="Q10" s="5">
        <v>41.347945205479455</v>
      </c>
      <c r="R10" s="2" t="s">
        <v>82</v>
      </c>
      <c r="S10" s="2" t="s">
        <v>82</v>
      </c>
      <c r="T10" s="2">
        <v>2</v>
      </c>
      <c r="U10" t="s">
        <v>83</v>
      </c>
    </row>
    <row r="11" spans="1:25" x14ac:dyDescent="0.25">
      <c r="A11" t="s">
        <v>36</v>
      </c>
      <c r="B11" t="s">
        <v>26</v>
      </c>
      <c r="C11" t="s">
        <v>142</v>
      </c>
      <c r="D11" t="s">
        <v>6</v>
      </c>
      <c r="E11" t="s">
        <v>6</v>
      </c>
      <c r="F11">
        <v>1275</v>
      </c>
      <c r="G11" t="s">
        <v>147</v>
      </c>
      <c r="H11" t="s">
        <v>110</v>
      </c>
      <c r="I11">
        <v>315.58</v>
      </c>
      <c r="J11" s="4">
        <v>27395</v>
      </c>
      <c r="K11">
        <v>1975</v>
      </c>
      <c r="L11" s="4">
        <v>29941</v>
      </c>
      <c r="M11" s="2">
        <v>1981</v>
      </c>
      <c r="N11" s="7">
        <v>42185</v>
      </c>
      <c r="O11" s="2">
        <v>2015</v>
      </c>
      <c r="P11" s="2">
        <v>34</v>
      </c>
      <c r="Q11" s="5">
        <v>7.9945205479452053</v>
      </c>
      <c r="R11" s="2" t="s">
        <v>82</v>
      </c>
      <c r="S11" s="2" t="s">
        <v>82</v>
      </c>
      <c r="T11" s="2">
        <v>2</v>
      </c>
      <c r="U11" t="s">
        <v>83</v>
      </c>
    </row>
    <row r="12" spans="1:25" x14ac:dyDescent="0.25">
      <c r="A12" t="s">
        <v>37</v>
      </c>
      <c r="B12" t="s">
        <v>26</v>
      </c>
      <c r="C12" t="s">
        <v>142</v>
      </c>
      <c r="D12" t="s">
        <v>6</v>
      </c>
      <c r="E12" t="s">
        <v>12</v>
      </c>
      <c r="F12">
        <v>408</v>
      </c>
      <c r="G12" t="s">
        <v>111</v>
      </c>
      <c r="H12" t="s">
        <v>111</v>
      </c>
      <c r="I12">
        <v>35.450000000000003</v>
      </c>
      <c r="J12" s="4">
        <v>25628</v>
      </c>
      <c r="K12">
        <v>1970</v>
      </c>
      <c r="L12" s="4">
        <v>27015</v>
      </c>
      <c r="M12" s="2">
        <v>1973</v>
      </c>
      <c r="N12" s="7">
        <v>32918</v>
      </c>
      <c r="O12" s="2">
        <v>1990</v>
      </c>
      <c r="P12" s="2">
        <v>17</v>
      </c>
      <c r="Q12" s="5">
        <v>33.38356164383562</v>
      </c>
      <c r="R12" s="2" t="s">
        <v>82</v>
      </c>
      <c r="S12" s="2" t="s">
        <v>82</v>
      </c>
      <c r="T12" s="2">
        <v>3</v>
      </c>
      <c r="U12" t="s">
        <v>83</v>
      </c>
    </row>
    <row r="13" spans="1:25" x14ac:dyDescent="0.25">
      <c r="A13" t="s">
        <v>38</v>
      </c>
      <c r="B13" t="s">
        <v>26</v>
      </c>
      <c r="C13" t="s">
        <v>142</v>
      </c>
      <c r="D13" t="s">
        <v>6</v>
      </c>
      <c r="E13" t="s">
        <v>12</v>
      </c>
      <c r="F13">
        <v>408</v>
      </c>
      <c r="G13" t="s">
        <v>111</v>
      </c>
      <c r="H13" t="s">
        <v>111</v>
      </c>
      <c r="I13">
        <v>36.57</v>
      </c>
      <c r="J13" s="4">
        <v>25628</v>
      </c>
      <c r="K13">
        <v>1970</v>
      </c>
      <c r="L13" s="4">
        <v>27386</v>
      </c>
      <c r="M13" s="2">
        <v>1974</v>
      </c>
      <c r="N13" s="7">
        <v>32918</v>
      </c>
      <c r="O13" s="2">
        <v>1990</v>
      </c>
      <c r="P13" s="2">
        <v>16</v>
      </c>
      <c r="Q13" s="5">
        <v>33.38356164383562</v>
      </c>
      <c r="R13" s="2" t="s">
        <v>82</v>
      </c>
      <c r="S13" s="2" t="s">
        <v>82</v>
      </c>
      <c r="T13" s="2">
        <v>3</v>
      </c>
      <c r="U13" t="s">
        <v>83</v>
      </c>
    </row>
    <row r="14" spans="1:25" x14ac:dyDescent="0.25">
      <c r="A14" t="s">
        <v>39</v>
      </c>
      <c r="B14" t="s">
        <v>26</v>
      </c>
      <c r="C14" t="s">
        <v>142</v>
      </c>
      <c r="D14" t="s">
        <v>6</v>
      </c>
      <c r="E14" t="s">
        <v>12</v>
      </c>
      <c r="F14">
        <v>408</v>
      </c>
      <c r="G14" t="s">
        <v>111</v>
      </c>
      <c r="H14" t="s">
        <v>111</v>
      </c>
      <c r="I14">
        <v>33.270000000000003</v>
      </c>
      <c r="J14" s="4">
        <v>26390</v>
      </c>
      <c r="K14">
        <v>1972</v>
      </c>
      <c r="L14" s="4">
        <v>28422</v>
      </c>
      <c r="M14" s="2">
        <v>1977</v>
      </c>
      <c r="N14" s="7">
        <v>32932</v>
      </c>
      <c r="O14" s="2">
        <v>1990</v>
      </c>
      <c r="P14" s="2">
        <v>13</v>
      </c>
      <c r="Q14" s="5">
        <v>33.345205479452055</v>
      </c>
      <c r="R14" s="2" t="s">
        <v>82</v>
      </c>
      <c r="S14" s="2" t="s">
        <v>82</v>
      </c>
      <c r="T14" s="2">
        <v>3</v>
      </c>
      <c r="U14" t="s">
        <v>83</v>
      </c>
    </row>
    <row r="15" spans="1:25" x14ac:dyDescent="0.25">
      <c r="A15" t="s">
        <v>40</v>
      </c>
      <c r="B15" t="s">
        <v>26</v>
      </c>
      <c r="C15" t="s">
        <v>142</v>
      </c>
      <c r="D15" t="s">
        <v>6</v>
      </c>
      <c r="E15" t="s">
        <v>65</v>
      </c>
      <c r="F15">
        <v>408</v>
      </c>
      <c r="G15" t="s">
        <v>111</v>
      </c>
      <c r="H15" t="s">
        <v>111</v>
      </c>
      <c r="I15">
        <v>28.92</v>
      </c>
      <c r="J15" s="4">
        <v>26390</v>
      </c>
      <c r="K15">
        <v>1972</v>
      </c>
      <c r="L15" s="4">
        <v>29101</v>
      </c>
      <c r="M15" s="2">
        <v>1979</v>
      </c>
      <c r="N15" s="7">
        <v>33076</v>
      </c>
      <c r="O15" s="2">
        <v>1990</v>
      </c>
      <c r="P15" s="2">
        <v>11</v>
      </c>
      <c r="Q15" s="5">
        <v>32.950684931506849</v>
      </c>
      <c r="R15" s="2" t="s">
        <v>82</v>
      </c>
      <c r="S15" s="2" t="s">
        <v>82</v>
      </c>
      <c r="T15" s="2">
        <v>3</v>
      </c>
      <c r="U15" t="s">
        <v>83</v>
      </c>
    </row>
    <row r="16" spans="1:25" x14ac:dyDescent="0.25">
      <c r="A16" t="s">
        <v>41</v>
      </c>
      <c r="B16" t="s">
        <v>26</v>
      </c>
      <c r="C16" t="s">
        <v>142</v>
      </c>
      <c r="D16" t="s">
        <v>6</v>
      </c>
      <c r="E16" t="s">
        <v>66</v>
      </c>
      <c r="F16">
        <v>408</v>
      </c>
      <c r="G16" t="s">
        <v>111</v>
      </c>
      <c r="H16" t="s">
        <v>111</v>
      </c>
      <c r="I16">
        <v>0</v>
      </c>
      <c r="J16" s="4">
        <v>28095</v>
      </c>
      <c r="K16">
        <v>1976</v>
      </c>
      <c r="L16" s="4">
        <v>32622</v>
      </c>
      <c r="M16" s="2">
        <v>1989</v>
      </c>
      <c r="N16" s="7">
        <v>32836</v>
      </c>
      <c r="O16" s="2">
        <v>1989</v>
      </c>
      <c r="P16" s="2">
        <v>0</v>
      </c>
      <c r="Q16" s="5">
        <v>33.608219178082194</v>
      </c>
      <c r="R16" s="2" t="s">
        <v>82</v>
      </c>
      <c r="S16" s="2" t="s">
        <v>82</v>
      </c>
      <c r="T16" s="2">
        <v>3</v>
      </c>
      <c r="U16" t="s">
        <v>83</v>
      </c>
    </row>
    <row r="17" spans="1:25" x14ac:dyDescent="0.25">
      <c r="A17" t="s">
        <v>42</v>
      </c>
      <c r="B17" t="s">
        <v>26</v>
      </c>
      <c r="C17" t="s">
        <v>142</v>
      </c>
      <c r="D17" t="s">
        <v>6</v>
      </c>
      <c r="E17" t="s">
        <v>6</v>
      </c>
      <c r="F17">
        <v>1360</v>
      </c>
      <c r="G17" t="s">
        <v>164</v>
      </c>
      <c r="H17" t="s">
        <v>112</v>
      </c>
      <c r="I17">
        <v>386.84</v>
      </c>
      <c r="J17" s="4">
        <v>27912</v>
      </c>
      <c r="K17">
        <v>1976</v>
      </c>
      <c r="L17" s="4">
        <v>30930</v>
      </c>
      <c r="M17" s="2">
        <v>1984</v>
      </c>
      <c r="N17" s="7">
        <v>44561</v>
      </c>
      <c r="O17" s="2">
        <v>2021</v>
      </c>
      <c r="P17" s="2">
        <v>37</v>
      </c>
      <c r="Q17" s="5">
        <v>1.484931506849315</v>
      </c>
      <c r="R17" s="2" t="s">
        <v>82</v>
      </c>
      <c r="S17" s="2" t="s">
        <v>84</v>
      </c>
      <c r="T17" s="3" t="s">
        <v>81</v>
      </c>
      <c r="U17" t="s">
        <v>85</v>
      </c>
    </row>
    <row r="18" spans="1:25" x14ac:dyDescent="0.25">
      <c r="A18" t="s">
        <v>43</v>
      </c>
      <c r="B18" t="s">
        <v>26</v>
      </c>
      <c r="C18" t="s">
        <v>142</v>
      </c>
      <c r="D18" t="s">
        <v>10</v>
      </c>
      <c r="E18" t="s">
        <v>67</v>
      </c>
      <c r="F18">
        <v>237</v>
      </c>
      <c r="G18" t="s">
        <v>148</v>
      </c>
      <c r="H18" t="s">
        <v>107</v>
      </c>
      <c r="I18">
        <v>13.79</v>
      </c>
      <c r="J18" s="4">
        <v>22992</v>
      </c>
      <c r="K18">
        <v>1962</v>
      </c>
      <c r="L18" s="4">
        <v>24442</v>
      </c>
      <c r="M18" s="2">
        <v>1966</v>
      </c>
      <c r="N18" s="7">
        <v>28138</v>
      </c>
      <c r="O18" s="2">
        <v>1977</v>
      </c>
      <c r="P18" s="2">
        <v>11</v>
      </c>
      <c r="Q18" s="5">
        <v>46.479452054794521</v>
      </c>
      <c r="R18" s="2" t="s">
        <v>82</v>
      </c>
      <c r="S18" s="2" t="s">
        <v>82</v>
      </c>
      <c r="T18" s="2">
        <v>3</v>
      </c>
      <c r="U18" t="s">
        <v>83</v>
      </c>
      <c r="W18" t="s">
        <v>85</v>
      </c>
      <c r="Y18" t="s">
        <v>86</v>
      </c>
    </row>
    <row r="19" spans="1:25" x14ac:dyDescent="0.25">
      <c r="A19" t="s">
        <v>44</v>
      </c>
      <c r="B19" t="s">
        <v>26</v>
      </c>
      <c r="C19" t="s">
        <v>142</v>
      </c>
      <c r="D19" t="s">
        <v>10</v>
      </c>
      <c r="E19" t="s">
        <v>13</v>
      </c>
      <c r="F19">
        <v>1284</v>
      </c>
      <c r="G19" t="s">
        <v>148</v>
      </c>
      <c r="H19" t="s">
        <v>113</v>
      </c>
      <c r="I19">
        <v>314.49</v>
      </c>
      <c r="J19" s="4">
        <v>27961</v>
      </c>
      <c r="K19">
        <v>1976</v>
      </c>
      <c r="L19" s="4">
        <v>30757</v>
      </c>
      <c r="M19" s="2">
        <v>1984</v>
      </c>
      <c r="N19" s="7">
        <v>43100</v>
      </c>
      <c r="O19" s="2">
        <v>2017</v>
      </c>
      <c r="P19" s="2">
        <v>33</v>
      </c>
      <c r="Q19" s="5">
        <v>5.4876712328767123</v>
      </c>
      <c r="R19" s="2" t="s">
        <v>82</v>
      </c>
      <c r="S19" s="2" t="s">
        <v>82</v>
      </c>
      <c r="T19" s="2">
        <v>1</v>
      </c>
      <c r="U19" t="s">
        <v>85</v>
      </c>
    </row>
    <row r="20" spans="1:25" x14ac:dyDescent="0.25">
      <c r="A20" t="s">
        <v>45</v>
      </c>
      <c r="B20" t="s">
        <v>26</v>
      </c>
      <c r="C20" t="s">
        <v>142</v>
      </c>
      <c r="D20" t="s">
        <v>10</v>
      </c>
      <c r="E20" t="s">
        <v>13</v>
      </c>
      <c r="F20">
        <v>1288</v>
      </c>
      <c r="G20" t="s">
        <v>148</v>
      </c>
      <c r="H20" t="s">
        <v>113</v>
      </c>
      <c r="I20">
        <v>344.66</v>
      </c>
      <c r="J20" s="4">
        <v>27961</v>
      </c>
      <c r="K20">
        <v>1976</v>
      </c>
      <c r="L20" s="4">
        <v>30988</v>
      </c>
      <c r="M20" s="2">
        <v>1984</v>
      </c>
      <c r="N20" s="7">
        <v>44561</v>
      </c>
      <c r="O20" s="2">
        <v>2021</v>
      </c>
      <c r="P20" s="2">
        <v>37</v>
      </c>
      <c r="Q20" s="5">
        <v>1.484931506849315</v>
      </c>
      <c r="R20" s="2" t="s">
        <v>82</v>
      </c>
      <c r="S20" s="2" t="s">
        <v>82</v>
      </c>
      <c r="T20" s="3">
        <v>1</v>
      </c>
      <c r="U20" t="s">
        <v>85</v>
      </c>
    </row>
    <row r="21" spans="1:25" x14ac:dyDescent="0.25">
      <c r="A21" t="s">
        <v>46</v>
      </c>
      <c r="B21" t="s">
        <v>26</v>
      </c>
      <c r="C21" t="s">
        <v>143</v>
      </c>
      <c r="D21" t="s">
        <v>10</v>
      </c>
      <c r="E21" t="s">
        <v>68</v>
      </c>
      <c r="F21">
        <v>25</v>
      </c>
      <c r="G21" t="s">
        <v>149</v>
      </c>
      <c r="H21" t="s">
        <v>126</v>
      </c>
      <c r="I21">
        <v>0.01</v>
      </c>
      <c r="J21" s="4">
        <v>23743</v>
      </c>
      <c r="K21">
        <v>1965</v>
      </c>
      <c r="L21" s="4">
        <v>25490</v>
      </c>
      <c r="M21" s="2">
        <v>1969</v>
      </c>
      <c r="N21" s="7">
        <v>26043</v>
      </c>
      <c r="O21" s="2">
        <v>1971</v>
      </c>
      <c r="P21" s="2">
        <v>2</v>
      </c>
      <c r="Q21" s="5">
        <v>52.219178082191782</v>
      </c>
      <c r="R21" s="2" t="s">
        <v>82</v>
      </c>
      <c r="S21" s="2"/>
      <c r="T21" s="2" t="s">
        <v>81</v>
      </c>
      <c r="U21" t="s">
        <v>81</v>
      </c>
      <c r="V21" t="s">
        <v>82</v>
      </c>
      <c r="W21" t="s">
        <v>83</v>
      </c>
      <c r="X21" t="s">
        <v>87</v>
      </c>
    </row>
    <row r="22" spans="1:25" x14ac:dyDescent="0.25">
      <c r="A22" t="s">
        <v>73</v>
      </c>
      <c r="B22" t="s">
        <v>74</v>
      </c>
      <c r="C22" t="s">
        <v>142</v>
      </c>
      <c r="D22" t="s">
        <v>76</v>
      </c>
      <c r="E22" t="s">
        <v>77</v>
      </c>
      <c r="F22">
        <v>1185</v>
      </c>
      <c r="G22" t="s">
        <v>124</v>
      </c>
      <c r="H22" t="s">
        <v>124</v>
      </c>
      <c r="I22">
        <v>86.39</v>
      </c>
      <c r="J22" s="4">
        <v>28246</v>
      </c>
      <c r="K22">
        <v>1977</v>
      </c>
      <c r="L22" s="4">
        <v>30681</v>
      </c>
      <c r="M22" s="2">
        <v>1983</v>
      </c>
      <c r="N22" s="7">
        <v>38342</v>
      </c>
      <c r="O22" s="2">
        <v>2004</v>
      </c>
      <c r="P22" s="2">
        <v>21</v>
      </c>
      <c r="Q22" s="5">
        <v>18.523287671232875</v>
      </c>
      <c r="R22" s="2" t="s">
        <v>82</v>
      </c>
      <c r="S22" s="2" t="s">
        <v>82</v>
      </c>
      <c r="T22" s="2">
        <v>1</v>
      </c>
      <c r="U22" t="s">
        <v>83</v>
      </c>
    </row>
    <row r="23" spans="1:25" x14ac:dyDescent="0.25">
      <c r="A23" t="s">
        <v>75</v>
      </c>
      <c r="B23" t="s">
        <v>74</v>
      </c>
      <c r="C23" t="s">
        <v>142</v>
      </c>
      <c r="D23" t="s">
        <v>76</v>
      </c>
      <c r="E23" t="s">
        <v>77</v>
      </c>
      <c r="F23">
        <v>1185</v>
      </c>
      <c r="G23" t="s">
        <v>124</v>
      </c>
      <c r="H23" t="s">
        <v>124</v>
      </c>
      <c r="I23">
        <v>155.19</v>
      </c>
      <c r="J23" s="4">
        <v>28491</v>
      </c>
      <c r="K23">
        <v>1978</v>
      </c>
      <c r="L23" s="4">
        <v>32009</v>
      </c>
      <c r="M23" s="2">
        <v>1987</v>
      </c>
      <c r="N23" s="7">
        <v>40178</v>
      </c>
      <c r="O23" s="2">
        <v>2009</v>
      </c>
      <c r="P23" s="2">
        <v>22</v>
      </c>
      <c r="Q23" s="5">
        <v>13.493150684931507</v>
      </c>
      <c r="R23" s="2" t="s">
        <v>82</v>
      </c>
      <c r="S23" s="2" t="s">
        <v>82</v>
      </c>
      <c r="T23" s="2">
        <v>1</v>
      </c>
      <c r="U23" t="s">
        <v>83</v>
      </c>
    </row>
    <row r="24" spans="1:25" x14ac:dyDescent="0.25">
      <c r="A24" t="s">
        <v>47</v>
      </c>
      <c r="B24" t="s">
        <v>26</v>
      </c>
      <c r="C24" t="s">
        <v>142</v>
      </c>
      <c r="D24" t="s">
        <v>10</v>
      </c>
      <c r="E24" t="s">
        <v>11</v>
      </c>
      <c r="F24">
        <v>878</v>
      </c>
      <c r="G24" t="s">
        <v>147</v>
      </c>
      <c r="H24" t="s">
        <v>110</v>
      </c>
      <c r="I24">
        <v>198.27</v>
      </c>
      <c r="J24" s="4">
        <v>26420</v>
      </c>
      <c r="K24">
        <v>1972</v>
      </c>
      <c r="L24" s="4">
        <v>28462</v>
      </c>
      <c r="M24" s="2">
        <v>1977</v>
      </c>
      <c r="N24" s="7">
        <v>40761</v>
      </c>
      <c r="O24" s="2">
        <v>2011</v>
      </c>
      <c r="P24" s="2">
        <v>34</v>
      </c>
      <c r="Q24" s="5">
        <v>11.895890410958904</v>
      </c>
      <c r="R24" s="2" t="s">
        <v>82</v>
      </c>
      <c r="S24" s="2" t="s">
        <v>82</v>
      </c>
      <c r="T24" s="2">
        <v>2</v>
      </c>
      <c r="U24" t="s">
        <v>83</v>
      </c>
    </row>
    <row r="25" spans="1:25" x14ac:dyDescent="0.25">
      <c r="A25" t="s">
        <v>62</v>
      </c>
      <c r="B25" t="s">
        <v>26</v>
      </c>
      <c r="C25" t="s">
        <v>142</v>
      </c>
      <c r="D25" t="s">
        <v>6</v>
      </c>
      <c r="E25" t="s">
        <v>24</v>
      </c>
      <c r="F25">
        <v>1410</v>
      </c>
      <c r="G25" t="s">
        <v>156</v>
      </c>
      <c r="H25" t="s">
        <v>158</v>
      </c>
      <c r="I25">
        <v>379.86</v>
      </c>
      <c r="J25" s="4">
        <v>30209</v>
      </c>
      <c r="K25">
        <v>1982</v>
      </c>
      <c r="L25" s="4">
        <v>32164</v>
      </c>
      <c r="M25" s="2">
        <v>1988</v>
      </c>
      <c r="N25" s="7">
        <v>45031</v>
      </c>
      <c r="O25" s="2">
        <v>2023</v>
      </c>
      <c r="P25" s="2">
        <v>35</v>
      </c>
      <c r="Q25" s="5">
        <v>0.19726027397260273</v>
      </c>
      <c r="R25" s="2" t="s">
        <v>82</v>
      </c>
      <c r="S25" s="2" t="s">
        <v>84</v>
      </c>
      <c r="T25" s="2" t="s">
        <v>81</v>
      </c>
      <c r="U25" t="s">
        <v>85</v>
      </c>
    </row>
    <row r="26" spans="1:25" x14ac:dyDescent="0.25">
      <c r="A26" t="s">
        <v>14</v>
      </c>
      <c r="B26" t="s">
        <v>26</v>
      </c>
      <c r="C26" t="s">
        <v>143</v>
      </c>
      <c r="D26" t="s">
        <v>5</v>
      </c>
      <c r="E26" t="s">
        <v>15</v>
      </c>
      <c r="F26">
        <v>17</v>
      </c>
      <c r="G26" t="s">
        <v>150</v>
      </c>
      <c r="I26">
        <v>0.32</v>
      </c>
      <c r="J26" s="4">
        <v>27273</v>
      </c>
      <c r="K26">
        <v>1974</v>
      </c>
      <c r="L26" s="4">
        <v>28589</v>
      </c>
      <c r="M26" s="2">
        <v>1978</v>
      </c>
      <c r="N26" s="7">
        <v>33473</v>
      </c>
      <c r="O26" s="2">
        <v>1991</v>
      </c>
      <c r="P26" s="2">
        <v>13</v>
      </c>
      <c r="Q26" s="5">
        <v>31.863013698630137</v>
      </c>
      <c r="R26" s="2" t="s">
        <v>82</v>
      </c>
      <c r="S26" s="2" t="s">
        <v>82</v>
      </c>
      <c r="T26" s="2">
        <v>2</v>
      </c>
      <c r="U26" t="s">
        <v>83</v>
      </c>
    </row>
    <row r="27" spans="1:25" x14ac:dyDescent="0.25">
      <c r="A27" t="s">
        <v>48</v>
      </c>
      <c r="B27" t="s">
        <v>26</v>
      </c>
      <c r="C27" t="s">
        <v>142</v>
      </c>
      <c r="D27" t="s">
        <v>10</v>
      </c>
      <c r="E27" t="s">
        <v>11</v>
      </c>
      <c r="F27">
        <v>1346</v>
      </c>
      <c r="G27" t="s">
        <v>165</v>
      </c>
      <c r="H27" t="s">
        <v>115</v>
      </c>
      <c r="I27">
        <v>201.71</v>
      </c>
      <c r="J27" s="4">
        <v>27124</v>
      </c>
      <c r="K27">
        <v>1974</v>
      </c>
      <c r="L27" s="4">
        <v>30587</v>
      </c>
      <c r="M27" s="2">
        <v>1983</v>
      </c>
      <c r="N27" s="7">
        <v>40761</v>
      </c>
      <c r="O27" s="2">
        <v>2011</v>
      </c>
      <c r="P27" s="2">
        <v>28</v>
      </c>
      <c r="Q27" s="5">
        <v>11.895890410958904</v>
      </c>
      <c r="R27" s="2" t="s">
        <v>82</v>
      </c>
      <c r="S27" s="2" t="s">
        <v>82</v>
      </c>
      <c r="T27" s="2">
        <v>1</v>
      </c>
      <c r="U27" t="s">
        <v>83</v>
      </c>
    </row>
    <row r="28" spans="1:25" x14ac:dyDescent="0.25">
      <c r="A28" t="s">
        <v>30</v>
      </c>
      <c r="B28" t="s">
        <v>64</v>
      </c>
      <c r="C28" t="s">
        <v>142</v>
      </c>
      <c r="D28" t="s">
        <v>4</v>
      </c>
      <c r="F28">
        <v>153</v>
      </c>
      <c r="G28" t="s">
        <v>125</v>
      </c>
      <c r="H28" t="s">
        <v>125</v>
      </c>
      <c r="I28">
        <v>25.49</v>
      </c>
      <c r="J28" s="4">
        <v>21490</v>
      </c>
      <c r="K28">
        <v>1958</v>
      </c>
      <c r="L28" s="4">
        <v>23143</v>
      </c>
      <c r="M28" s="2">
        <v>1963</v>
      </c>
      <c r="N28" s="7">
        <v>32112</v>
      </c>
      <c r="O28" s="2">
        <v>1987</v>
      </c>
      <c r="P28" s="2">
        <v>24</v>
      </c>
      <c r="Q28" s="5">
        <v>35.591780821917808</v>
      </c>
      <c r="R28" s="2" t="s">
        <v>82</v>
      </c>
      <c r="S28" s="2" t="s">
        <v>82</v>
      </c>
      <c r="T28" s="2">
        <v>1</v>
      </c>
      <c r="U28" t="s">
        <v>85</v>
      </c>
    </row>
    <row r="29" spans="1:25" x14ac:dyDescent="0.25">
      <c r="A29" t="s">
        <v>49</v>
      </c>
      <c r="B29" t="s">
        <v>26</v>
      </c>
      <c r="C29" t="s">
        <v>142</v>
      </c>
      <c r="D29" t="s">
        <v>10</v>
      </c>
      <c r="E29" t="s">
        <v>17</v>
      </c>
      <c r="F29">
        <v>183</v>
      </c>
      <c r="G29" t="s">
        <v>168</v>
      </c>
      <c r="H29" t="s">
        <v>107</v>
      </c>
      <c r="I29">
        <v>9.14</v>
      </c>
      <c r="J29" s="4">
        <v>23651</v>
      </c>
      <c r="K29">
        <v>1964</v>
      </c>
      <c r="L29" s="4">
        <v>25020</v>
      </c>
      <c r="M29" s="2">
        <v>1968</v>
      </c>
      <c r="N29" s="7">
        <v>28130</v>
      </c>
      <c r="O29" s="2">
        <v>1977</v>
      </c>
      <c r="P29" s="2">
        <v>9</v>
      </c>
      <c r="Q29" s="5">
        <v>46.5013698630137</v>
      </c>
      <c r="R29" s="2" t="s">
        <v>82</v>
      </c>
      <c r="S29" s="2" t="s">
        <v>82</v>
      </c>
      <c r="T29" s="2">
        <v>1</v>
      </c>
      <c r="U29" t="s">
        <v>83</v>
      </c>
    </row>
    <row r="30" spans="1:25" x14ac:dyDescent="0.25">
      <c r="A30" t="s">
        <v>50</v>
      </c>
      <c r="B30" t="s">
        <v>26</v>
      </c>
      <c r="C30" t="s">
        <v>142</v>
      </c>
      <c r="D30" t="s">
        <v>6</v>
      </c>
      <c r="E30" t="s">
        <v>6</v>
      </c>
      <c r="F30">
        <v>1219</v>
      </c>
      <c r="G30" t="s">
        <v>166</v>
      </c>
      <c r="H30" t="s">
        <v>116</v>
      </c>
      <c r="I30">
        <v>10.29</v>
      </c>
      <c r="J30" s="4">
        <v>27409</v>
      </c>
      <c r="K30">
        <v>1975</v>
      </c>
      <c r="L30" s="4">
        <v>31485</v>
      </c>
      <c r="M30" s="2">
        <v>1986</v>
      </c>
      <c r="N30" s="7">
        <v>32395</v>
      </c>
      <c r="O30" s="2">
        <v>1988</v>
      </c>
      <c r="P30" s="2">
        <v>2</v>
      </c>
      <c r="Q30" s="5">
        <v>34.816438356164383</v>
      </c>
      <c r="R30" s="2" t="s">
        <v>82</v>
      </c>
      <c r="S30" s="2" t="s">
        <v>82</v>
      </c>
      <c r="T30" s="2">
        <v>2</v>
      </c>
      <c r="U30" t="s">
        <v>83</v>
      </c>
    </row>
    <row r="31" spans="1:25" x14ac:dyDescent="0.25">
      <c r="A31" t="s">
        <v>18</v>
      </c>
      <c r="B31" t="s">
        <v>26</v>
      </c>
      <c r="C31" t="s">
        <v>143</v>
      </c>
      <c r="D31" t="s">
        <v>19</v>
      </c>
      <c r="E31" t="s">
        <v>67</v>
      </c>
      <c r="F31">
        <v>52</v>
      </c>
      <c r="G31" t="s">
        <v>151</v>
      </c>
      <c r="H31" t="s">
        <v>117</v>
      </c>
      <c r="I31">
        <v>4.79</v>
      </c>
      <c r="J31" s="4">
        <v>22616</v>
      </c>
      <c r="K31">
        <v>1961</v>
      </c>
      <c r="L31" s="4">
        <v>24175</v>
      </c>
      <c r="M31" s="2">
        <v>1966</v>
      </c>
      <c r="N31" s="7">
        <v>30805</v>
      </c>
      <c r="O31" s="2">
        <v>1984</v>
      </c>
      <c r="P31" s="2">
        <v>18</v>
      </c>
      <c r="Q31" s="5">
        <v>39.172602739726024</v>
      </c>
      <c r="R31" s="2" t="s">
        <v>82</v>
      </c>
      <c r="S31" s="2" t="s">
        <v>82</v>
      </c>
      <c r="T31" s="2">
        <v>3</v>
      </c>
      <c r="U31" t="s">
        <v>83</v>
      </c>
    </row>
    <row r="32" spans="1:25" x14ac:dyDescent="0.25">
      <c r="A32" t="s">
        <v>51</v>
      </c>
      <c r="B32" t="s">
        <v>26</v>
      </c>
      <c r="C32" t="s">
        <v>142</v>
      </c>
      <c r="D32" t="s">
        <v>6</v>
      </c>
      <c r="E32" t="s">
        <v>6</v>
      </c>
      <c r="F32">
        <v>785</v>
      </c>
      <c r="G32" t="s">
        <v>152</v>
      </c>
      <c r="H32" t="s">
        <v>118</v>
      </c>
      <c r="I32">
        <v>186.8</v>
      </c>
      <c r="J32" s="4">
        <v>26330</v>
      </c>
      <c r="K32">
        <v>1972</v>
      </c>
      <c r="L32" s="4">
        <v>27914</v>
      </c>
      <c r="M32" s="2">
        <v>1976</v>
      </c>
      <c r="N32" s="7">
        <v>40761</v>
      </c>
      <c r="O32" s="2">
        <v>2011</v>
      </c>
      <c r="P32" s="2">
        <v>35</v>
      </c>
      <c r="Q32" s="5">
        <v>11.895890410958904</v>
      </c>
      <c r="R32" s="2" t="s">
        <v>82</v>
      </c>
      <c r="S32" s="2" t="s">
        <v>82</v>
      </c>
      <c r="T32" s="2">
        <v>2</v>
      </c>
      <c r="U32" t="s">
        <v>83</v>
      </c>
    </row>
    <row r="33" spans="1:25" x14ac:dyDescent="0.25">
      <c r="A33" t="s">
        <v>63</v>
      </c>
      <c r="B33" t="s">
        <v>26</v>
      </c>
      <c r="C33" t="s">
        <v>142</v>
      </c>
      <c r="D33" t="s">
        <v>6</v>
      </c>
      <c r="E33" t="s">
        <v>24</v>
      </c>
      <c r="F33">
        <v>1310</v>
      </c>
      <c r="G33" t="s">
        <v>152</v>
      </c>
      <c r="H33" t="s">
        <v>120</v>
      </c>
      <c r="I33">
        <v>349.42</v>
      </c>
      <c r="J33" s="4">
        <v>30264</v>
      </c>
      <c r="K33">
        <v>1982</v>
      </c>
      <c r="L33" s="4">
        <v>32511</v>
      </c>
      <c r="M33" s="2">
        <v>1989</v>
      </c>
      <c r="N33" s="7">
        <v>45031</v>
      </c>
      <c r="O33" s="2">
        <v>2023</v>
      </c>
      <c r="P33" s="2">
        <v>34</v>
      </c>
      <c r="Q33" s="5">
        <v>0.19726027397260273</v>
      </c>
      <c r="R33" s="2" t="s">
        <v>82</v>
      </c>
      <c r="S33" s="2" t="s">
        <v>82</v>
      </c>
      <c r="T33" s="2">
        <v>1</v>
      </c>
      <c r="U33" t="s">
        <v>85</v>
      </c>
    </row>
    <row r="34" spans="1:25" x14ac:dyDescent="0.25">
      <c r="A34" t="s">
        <v>52</v>
      </c>
      <c r="B34" t="s">
        <v>26</v>
      </c>
      <c r="C34" t="s">
        <v>143</v>
      </c>
      <c r="D34" t="s">
        <v>7</v>
      </c>
      <c r="E34" t="s">
        <v>69</v>
      </c>
      <c r="F34">
        <v>100</v>
      </c>
      <c r="G34" t="s">
        <v>114</v>
      </c>
      <c r="H34" t="s">
        <v>114</v>
      </c>
      <c r="I34">
        <v>0.02</v>
      </c>
      <c r="J34" s="4">
        <v>24259</v>
      </c>
      <c r="K34">
        <v>1966</v>
      </c>
      <c r="L34" s="4">
        <v>26665</v>
      </c>
      <c r="M34" s="2">
        <v>1973</v>
      </c>
      <c r="N34" s="7">
        <v>27231</v>
      </c>
      <c r="O34" s="2">
        <v>1974</v>
      </c>
      <c r="P34" s="2">
        <v>1</v>
      </c>
      <c r="Q34" s="5">
        <v>48.964383561643835</v>
      </c>
      <c r="R34" s="2" t="s">
        <v>82</v>
      </c>
      <c r="S34" s="2"/>
      <c r="T34" s="2" t="s">
        <v>81</v>
      </c>
      <c r="U34" t="s">
        <v>81</v>
      </c>
      <c r="V34" t="s">
        <v>82</v>
      </c>
      <c r="W34" t="s">
        <v>83</v>
      </c>
      <c r="X34" t="s">
        <v>87</v>
      </c>
    </row>
    <row r="35" spans="1:25" x14ac:dyDescent="0.25">
      <c r="A35" t="s">
        <v>53</v>
      </c>
      <c r="B35" t="s">
        <v>26</v>
      </c>
      <c r="C35" t="s">
        <v>142</v>
      </c>
      <c r="D35" t="s">
        <v>6</v>
      </c>
      <c r="E35" t="s">
        <v>67</v>
      </c>
      <c r="F35">
        <v>340</v>
      </c>
      <c r="G35" t="s">
        <v>152</v>
      </c>
      <c r="H35" t="s">
        <v>119</v>
      </c>
      <c r="I35">
        <v>86.82</v>
      </c>
      <c r="J35" s="4">
        <v>23816</v>
      </c>
      <c r="K35">
        <v>1965</v>
      </c>
      <c r="L35" s="4">
        <v>25140</v>
      </c>
      <c r="M35" s="2">
        <v>1968</v>
      </c>
      <c r="N35" s="7">
        <v>38483</v>
      </c>
      <c r="O35" s="2">
        <v>2005</v>
      </c>
      <c r="P35" s="2">
        <v>37</v>
      </c>
      <c r="Q35" s="5">
        <v>18.136986301369863</v>
      </c>
      <c r="R35" s="2" t="s">
        <v>82</v>
      </c>
      <c r="S35" s="2" t="s">
        <v>82</v>
      </c>
      <c r="T35" s="2">
        <v>2</v>
      </c>
      <c r="U35" t="s">
        <v>83</v>
      </c>
    </row>
    <row r="36" spans="1:25" x14ac:dyDescent="0.25">
      <c r="A36" t="s">
        <v>54</v>
      </c>
      <c r="B36" t="s">
        <v>26</v>
      </c>
      <c r="C36" t="s">
        <v>142</v>
      </c>
      <c r="D36" t="s">
        <v>10</v>
      </c>
      <c r="E36" t="s">
        <v>11</v>
      </c>
      <c r="F36">
        <v>890</v>
      </c>
      <c r="G36" t="s">
        <v>152</v>
      </c>
      <c r="H36" t="s">
        <v>120</v>
      </c>
      <c r="I36">
        <v>187.55</v>
      </c>
      <c r="J36" s="4">
        <v>25842</v>
      </c>
      <c r="K36">
        <v>1970</v>
      </c>
      <c r="L36" s="4">
        <v>28982</v>
      </c>
      <c r="M36" s="2">
        <v>1979</v>
      </c>
      <c r="N36" s="7">
        <v>40761</v>
      </c>
      <c r="O36" s="2">
        <v>2011</v>
      </c>
      <c r="P36" s="2">
        <v>32</v>
      </c>
      <c r="Q36" s="5">
        <v>11.895890410958904</v>
      </c>
      <c r="R36" s="2" t="s">
        <v>82</v>
      </c>
      <c r="S36" s="2" t="s">
        <v>82</v>
      </c>
      <c r="T36" s="2">
        <v>2</v>
      </c>
      <c r="U36" t="s">
        <v>83</v>
      </c>
    </row>
    <row r="37" spans="1:25" x14ac:dyDescent="0.25">
      <c r="A37" t="s">
        <v>55</v>
      </c>
      <c r="B37" t="s">
        <v>26</v>
      </c>
      <c r="C37" t="s">
        <v>142</v>
      </c>
      <c r="D37" t="s">
        <v>6</v>
      </c>
      <c r="E37" t="s">
        <v>6</v>
      </c>
      <c r="F37">
        <v>1402</v>
      </c>
      <c r="G37" t="s">
        <v>152</v>
      </c>
      <c r="H37" t="s">
        <v>120</v>
      </c>
      <c r="I37">
        <v>357.04</v>
      </c>
      <c r="J37" s="4">
        <v>28313</v>
      </c>
      <c r="K37">
        <v>1977</v>
      </c>
      <c r="L37" s="4">
        <v>31033</v>
      </c>
      <c r="M37" s="2">
        <v>1984</v>
      </c>
      <c r="N37" s="7">
        <v>43830</v>
      </c>
      <c r="O37" s="2">
        <v>2019</v>
      </c>
      <c r="P37" s="2">
        <v>35</v>
      </c>
      <c r="Q37" s="5">
        <v>3.4876712328767123</v>
      </c>
      <c r="R37" s="2" t="s">
        <v>82</v>
      </c>
      <c r="S37" s="2" t="s">
        <v>82</v>
      </c>
      <c r="T37" s="2">
        <v>1</v>
      </c>
      <c r="U37" t="s">
        <v>83</v>
      </c>
    </row>
    <row r="38" spans="1:25" x14ac:dyDescent="0.25">
      <c r="A38" t="s">
        <v>56</v>
      </c>
      <c r="B38" t="s">
        <v>26</v>
      </c>
      <c r="C38" t="s">
        <v>142</v>
      </c>
      <c r="D38" t="s">
        <v>6</v>
      </c>
      <c r="E38" t="s">
        <v>20</v>
      </c>
      <c r="F38">
        <v>62</v>
      </c>
      <c r="G38" t="s">
        <v>111</v>
      </c>
      <c r="H38" t="s">
        <v>111</v>
      </c>
      <c r="I38">
        <v>9</v>
      </c>
      <c r="J38" s="4">
        <v>21916</v>
      </c>
      <c r="K38">
        <v>1960</v>
      </c>
      <c r="L38" s="4">
        <v>24233</v>
      </c>
      <c r="M38" s="2">
        <v>1966</v>
      </c>
      <c r="N38" s="7">
        <v>33025</v>
      </c>
      <c r="O38" s="2">
        <v>1990</v>
      </c>
      <c r="P38" s="2">
        <v>24</v>
      </c>
      <c r="Q38" s="5">
        <v>33.090410958904108</v>
      </c>
      <c r="R38" s="2" t="s">
        <v>82</v>
      </c>
      <c r="S38" s="2" t="s">
        <v>82</v>
      </c>
      <c r="T38" s="2">
        <v>3</v>
      </c>
      <c r="U38" t="s">
        <v>83</v>
      </c>
    </row>
    <row r="39" spans="1:25" x14ac:dyDescent="0.25">
      <c r="A39" t="s">
        <v>57</v>
      </c>
      <c r="B39" t="s">
        <v>26</v>
      </c>
      <c r="C39" t="s">
        <v>142</v>
      </c>
      <c r="D39" t="s">
        <v>6</v>
      </c>
      <c r="E39" t="s">
        <v>67</v>
      </c>
      <c r="F39">
        <v>640</v>
      </c>
      <c r="G39" t="s">
        <v>153</v>
      </c>
      <c r="H39" t="s">
        <v>121</v>
      </c>
      <c r="I39">
        <v>145.9</v>
      </c>
      <c r="J39" s="4">
        <v>24807</v>
      </c>
      <c r="K39">
        <v>1967</v>
      </c>
      <c r="L39" s="4">
        <v>26327</v>
      </c>
      <c r="M39" s="2">
        <v>1972</v>
      </c>
      <c r="N39" s="7">
        <v>37939</v>
      </c>
      <c r="O39" s="2">
        <v>2003</v>
      </c>
      <c r="P39" s="2">
        <v>31</v>
      </c>
      <c r="Q39" s="5">
        <v>19.627397260273973</v>
      </c>
      <c r="R39" s="2" t="s">
        <v>82</v>
      </c>
      <c r="S39" s="2" t="s">
        <v>82</v>
      </c>
      <c r="T39" s="2">
        <v>3</v>
      </c>
      <c r="U39" t="s">
        <v>83</v>
      </c>
    </row>
    <row r="40" spans="1:25" x14ac:dyDescent="0.25">
      <c r="A40" t="s">
        <v>21</v>
      </c>
      <c r="B40" t="s">
        <v>26</v>
      </c>
      <c r="C40" t="s">
        <v>143</v>
      </c>
      <c r="D40" t="s">
        <v>8</v>
      </c>
      <c r="E40" t="s">
        <v>22</v>
      </c>
      <c r="F40">
        <v>296</v>
      </c>
      <c r="G40" t="s">
        <v>154</v>
      </c>
      <c r="H40" t="s">
        <v>122</v>
      </c>
      <c r="I40">
        <v>2.76</v>
      </c>
      <c r="J40" s="4">
        <v>26054</v>
      </c>
      <c r="K40">
        <v>1971</v>
      </c>
      <c r="L40" s="4">
        <v>31367</v>
      </c>
      <c r="M40" s="2">
        <v>1985</v>
      </c>
      <c r="N40" s="7">
        <v>32253</v>
      </c>
      <c r="O40" s="2">
        <v>1988</v>
      </c>
      <c r="P40" s="2">
        <v>3</v>
      </c>
      <c r="Q40" s="5">
        <v>35.205479452054796</v>
      </c>
      <c r="R40" s="2" t="s">
        <v>82</v>
      </c>
      <c r="S40" s="2" t="s">
        <v>82</v>
      </c>
      <c r="T40" s="2" t="s">
        <v>88</v>
      </c>
      <c r="U40" t="s">
        <v>83</v>
      </c>
    </row>
    <row r="41" spans="1:25" x14ac:dyDescent="0.25">
      <c r="A41" t="s">
        <v>58</v>
      </c>
      <c r="B41" t="s">
        <v>26</v>
      </c>
      <c r="C41" t="s">
        <v>142</v>
      </c>
      <c r="D41" t="s">
        <v>6</v>
      </c>
      <c r="E41" t="s">
        <v>6</v>
      </c>
      <c r="F41">
        <v>1345</v>
      </c>
      <c r="G41" t="s">
        <v>147</v>
      </c>
      <c r="H41" t="s">
        <v>110</v>
      </c>
      <c r="I41">
        <v>289.75</v>
      </c>
      <c r="J41" s="4">
        <v>26481</v>
      </c>
      <c r="K41">
        <v>1972</v>
      </c>
      <c r="L41" s="4">
        <v>28762</v>
      </c>
      <c r="M41" s="2">
        <v>1978</v>
      </c>
      <c r="N41" s="7">
        <v>40761</v>
      </c>
      <c r="O41" s="2">
        <v>2011</v>
      </c>
      <c r="P41" s="2">
        <v>33</v>
      </c>
      <c r="Q41" s="5">
        <v>11.895890410958904</v>
      </c>
      <c r="R41" s="2" t="s">
        <v>82</v>
      </c>
      <c r="S41" s="2" t="s">
        <v>82</v>
      </c>
      <c r="T41" s="2">
        <v>2</v>
      </c>
      <c r="U41" t="s">
        <v>83</v>
      </c>
    </row>
    <row r="42" spans="1:25" x14ac:dyDescent="0.25">
      <c r="A42" t="s">
        <v>59</v>
      </c>
      <c r="B42" t="s">
        <v>26</v>
      </c>
      <c r="C42" t="s">
        <v>143</v>
      </c>
      <c r="D42" t="s">
        <v>10</v>
      </c>
      <c r="E42" t="s">
        <v>10</v>
      </c>
      <c r="F42">
        <v>15</v>
      </c>
      <c r="G42" t="s">
        <v>155</v>
      </c>
      <c r="H42" t="s">
        <v>127</v>
      </c>
      <c r="I42">
        <v>2.0499999999999998</v>
      </c>
      <c r="J42" s="4">
        <v>21367</v>
      </c>
      <c r="K42">
        <v>1958</v>
      </c>
      <c r="L42" s="4">
        <v>22449</v>
      </c>
      <c r="M42" s="2">
        <v>1961</v>
      </c>
      <c r="N42" s="7">
        <v>31376</v>
      </c>
      <c r="O42" s="2">
        <v>1985</v>
      </c>
      <c r="P42" s="2">
        <v>24</v>
      </c>
      <c r="Q42" s="5">
        <v>37.608219178082194</v>
      </c>
      <c r="R42" s="2" t="s">
        <v>82</v>
      </c>
      <c r="S42" s="2"/>
      <c r="T42" s="2" t="s">
        <v>81</v>
      </c>
      <c r="U42" t="s">
        <v>81</v>
      </c>
      <c r="V42" t="s">
        <v>82</v>
      </c>
      <c r="W42" t="s">
        <v>83</v>
      </c>
      <c r="X42" t="s">
        <v>87</v>
      </c>
    </row>
    <row r="43" spans="1:25" x14ac:dyDescent="0.25">
      <c r="A43" t="s">
        <v>60</v>
      </c>
      <c r="B43" t="s">
        <v>26</v>
      </c>
      <c r="C43" t="s">
        <v>142</v>
      </c>
      <c r="D43" t="s">
        <v>10</v>
      </c>
      <c r="E43" t="s">
        <v>67</v>
      </c>
      <c r="F43">
        <v>640</v>
      </c>
      <c r="G43" t="s">
        <v>147</v>
      </c>
      <c r="H43" t="s">
        <v>123</v>
      </c>
      <c r="I43">
        <v>69.680000000000007</v>
      </c>
      <c r="J43" s="4">
        <v>24863</v>
      </c>
      <c r="K43">
        <v>1968</v>
      </c>
      <c r="L43" s="4">
        <v>26285</v>
      </c>
      <c r="M43" s="2">
        <v>1971</v>
      </c>
      <c r="N43" s="7">
        <v>34572</v>
      </c>
      <c r="O43" s="2">
        <v>1994</v>
      </c>
      <c r="P43" s="2">
        <v>23</v>
      </c>
      <c r="Q43" s="5">
        <v>28.852054794520548</v>
      </c>
      <c r="R43" s="2" t="s">
        <v>82</v>
      </c>
      <c r="S43" s="2"/>
      <c r="T43" s="2" t="s">
        <v>81</v>
      </c>
      <c r="U43" t="s">
        <v>81</v>
      </c>
      <c r="V43" t="s">
        <v>82</v>
      </c>
      <c r="W43" t="s">
        <v>85</v>
      </c>
      <c r="X43" t="s">
        <v>89</v>
      </c>
      <c r="Y43" t="s">
        <v>86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65C6-3DA6-4712-A8A5-C8E479B1D6AF}">
  <dimension ref="A1:P36"/>
  <sheetViews>
    <sheetView workbookViewId="0">
      <selection activeCell="J18" sqref="J18"/>
    </sheetView>
  </sheetViews>
  <sheetFormatPr baseColWidth="10" defaultRowHeight="15" x14ac:dyDescent="0.25"/>
  <cols>
    <col min="2" max="2" width="30.7109375" customWidth="1"/>
    <col min="3" max="4" width="19.42578125" customWidth="1"/>
    <col min="5" max="5" width="16.7109375" customWidth="1"/>
    <col min="6" max="6" width="11.7109375" customWidth="1"/>
  </cols>
  <sheetData>
    <row r="1" spans="1:16" x14ac:dyDescent="0.25">
      <c r="A1" t="s">
        <v>2</v>
      </c>
      <c r="B1" t="s">
        <v>128</v>
      </c>
      <c r="C1" t="s">
        <v>25</v>
      </c>
      <c r="D1" t="s">
        <v>144</v>
      </c>
      <c r="E1" t="s">
        <v>129</v>
      </c>
      <c r="F1" t="s">
        <v>173</v>
      </c>
      <c r="G1" t="s">
        <v>130</v>
      </c>
      <c r="H1" t="s">
        <v>132</v>
      </c>
    </row>
    <row r="2" spans="1:16" x14ac:dyDescent="0.25">
      <c r="A2" t="s">
        <v>198</v>
      </c>
      <c r="B2" t="s">
        <v>59</v>
      </c>
      <c r="C2" t="s">
        <v>26</v>
      </c>
      <c r="D2" t="s">
        <v>155</v>
      </c>
      <c r="E2">
        <v>157600000</v>
      </c>
      <c r="F2" t="s">
        <v>174</v>
      </c>
      <c r="G2" t="s">
        <v>131</v>
      </c>
      <c r="H2" t="s">
        <v>133</v>
      </c>
    </row>
    <row r="3" spans="1:16" x14ac:dyDescent="0.25">
      <c r="A3" t="s">
        <v>198</v>
      </c>
      <c r="B3" t="s">
        <v>60</v>
      </c>
      <c r="C3" t="s">
        <v>26</v>
      </c>
      <c r="D3" t="s">
        <v>147</v>
      </c>
      <c r="E3">
        <v>1050600000</v>
      </c>
      <c r="F3" t="s">
        <v>174</v>
      </c>
      <c r="G3" t="s">
        <v>131</v>
      </c>
      <c r="H3" t="s">
        <v>133</v>
      </c>
    </row>
    <row r="4" spans="1:16" x14ac:dyDescent="0.25">
      <c r="A4" t="s">
        <v>198</v>
      </c>
      <c r="B4" t="s">
        <v>43</v>
      </c>
      <c r="C4" t="s">
        <v>26</v>
      </c>
      <c r="D4" t="s">
        <v>148</v>
      </c>
      <c r="E4">
        <v>2311300000</v>
      </c>
      <c r="F4" t="s">
        <v>174</v>
      </c>
      <c r="G4" t="s">
        <v>131</v>
      </c>
      <c r="H4" t="s">
        <v>133</v>
      </c>
    </row>
    <row r="5" spans="1:16" x14ac:dyDescent="0.25">
      <c r="A5" t="s">
        <v>198</v>
      </c>
      <c r="B5" t="s">
        <v>57</v>
      </c>
      <c r="C5" t="s">
        <v>26</v>
      </c>
      <c r="D5" t="s">
        <v>163</v>
      </c>
      <c r="E5">
        <v>525300000</v>
      </c>
      <c r="F5" t="s">
        <v>174</v>
      </c>
      <c r="G5" t="s">
        <v>131</v>
      </c>
      <c r="H5" t="s">
        <v>133</v>
      </c>
    </row>
    <row r="6" spans="1:16" x14ac:dyDescent="0.25">
      <c r="A6" t="s">
        <v>198</v>
      </c>
      <c r="B6" t="s">
        <v>53</v>
      </c>
      <c r="C6" t="s">
        <v>26</v>
      </c>
      <c r="D6" t="s">
        <v>200</v>
      </c>
      <c r="E6">
        <v>630400000</v>
      </c>
      <c r="F6" t="s">
        <v>174</v>
      </c>
      <c r="G6" t="s">
        <v>131</v>
      </c>
      <c r="H6" t="s">
        <v>133</v>
      </c>
    </row>
    <row r="7" spans="1:16" x14ac:dyDescent="0.25">
      <c r="A7" t="s">
        <v>198</v>
      </c>
      <c r="B7" t="s">
        <v>50</v>
      </c>
      <c r="C7" t="s">
        <v>26</v>
      </c>
      <c r="D7" t="s">
        <v>145</v>
      </c>
      <c r="E7">
        <v>761700000</v>
      </c>
      <c r="F7" t="s">
        <v>174</v>
      </c>
      <c r="G7" t="s">
        <v>131</v>
      </c>
      <c r="H7" t="s">
        <v>133</v>
      </c>
    </row>
    <row r="8" spans="1:16" x14ac:dyDescent="0.25">
      <c r="A8" t="s">
        <v>198</v>
      </c>
      <c r="B8" t="s">
        <v>196</v>
      </c>
      <c r="C8" t="s">
        <v>26</v>
      </c>
      <c r="D8" t="s">
        <v>111</v>
      </c>
      <c r="E8">
        <v>6800000000</v>
      </c>
      <c r="F8" t="s">
        <v>174</v>
      </c>
      <c r="G8" t="s">
        <v>131</v>
      </c>
      <c r="H8" t="s">
        <v>133</v>
      </c>
    </row>
    <row r="9" spans="1:16" x14ac:dyDescent="0.25">
      <c r="A9" t="s">
        <v>198</v>
      </c>
      <c r="B9" t="s">
        <v>52</v>
      </c>
      <c r="C9" t="s">
        <v>26</v>
      </c>
      <c r="D9" t="s">
        <v>114</v>
      </c>
      <c r="E9">
        <v>147100000</v>
      </c>
      <c r="F9" t="s">
        <v>174</v>
      </c>
      <c r="G9" t="s">
        <v>131</v>
      </c>
      <c r="H9" t="s">
        <v>133</v>
      </c>
    </row>
    <row r="10" spans="1:16" x14ac:dyDescent="0.25">
      <c r="A10" t="s">
        <v>198</v>
      </c>
      <c r="B10" t="s">
        <v>21</v>
      </c>
      <c r="C10" t="s">
        <v>26</v>
      </c>
      <c r="D10" t="s">
        <v>154</v>
      </c>
      <c r="E10">
        <v>709200000</v>
      </c>
      <c r="F10" t="s">
        <v>174</v>
      </c>
      <c r="G10" t="s">
        <v>131</v>
      </c>
      <c r="H10" t="s">
        <v>133</v>
      </c>
    </row>
    <row r="11" spans="1:16" x14ac:dyDescent="0.25">
      <c r="A11" t="s">
        <v>198</v>
      </c>
      <c r="B11" t="s">
        <v>31</v>
      </c>
      <c r="C11" t="s">
        <v>26</v>
      </c>
      <c r="D11" t="s">
        <v>157</v>
      </c>
      <c r="E11">
        <v>378200000</v>
      </c>
      <c r="F11" t="s">
        <v>174</v>
      </c>
      <c r="G11" t="s">
        <v>131</v>
      </c>
      <c r="H11" t="s">
        <v>133</v>
      </c>
    </row>
    <row r="12" spans="1:16" x14ac:dyDescent="0.25">
      <c r="A12" t="s">
        <v>198</v>
      </c>
      <c r="B12" t="s">
        <v>14</v>
      </c>
      <c r="C12" t="s">
        <v>26</v>
      </c>
      <c r="D12" t="s">
        <v>114</v>
      </c>
      <c r="E12">
        <v>367700000</v>
      </c>
      <c r="F12" t="s">
        <v>174</v>
      </c>
      <c r="G12" t="s">
        <v>131</v>
      </c>
      <c r="H12" t="s">
        <v>133</v>
      </c>
    </row>
    <row r="13" spans="1:16" x14ac:dyDescent="0.25">
      <c r="A13" t="s">
        <v>198</v>
      </c>
      <c r="B13" t="s">
        <v>27</v>
      </c>
      <c r="C13" t="s">
        <v>64</v>
      </c>
      <c r="D13" t="s">
        <v>125</v>
      </c>
      <c r="E13">
        <v>348258706.46766174</v>
      </c>
      <c r="F13" t="s">
        <v>175</v>
      </c>
      <c r="G13" t="s">
        <v>131</v>
      </c>
      <c r="H13" t="s">
        <v>182</v>
      </c>
      <c r="N13" s="23">
        <v>350000000</v>
      </c>
      <c r="O13">
        <f>N13/1.005</f>
        <v>348258706.46766174</v>
      </c>
      <c r="P13" t="s">
        <v>176</v>
      </c>
    </row>
    <row r="14" spans="1:16" x14ac:dyDescent="0.25">
      <c r="A14" t="s">
        <v>198</v>
      </c>
      <c r="B14" t="s">
        <v>29</v>
      </c>
      <c r="C14" t="s">
        <v>64</v>
      </c>
      <c r="D14" t="s">
        <v>125</v>
      </c>
      <c r="E14">
        <v>358208955.22388065</v>
      </c>
      <c r="F14" t="s">
        <v>175</v>
      </c>
      <c r="G14" t="s">
        <v>131</v>
      </c>
      <c r="H14" t="s">
        <v>183</v>
      </c>
      <c r="N14" s="22">
        <v>360000000</v>
      </c>
      <c r="O14">
        <f t="shared" ref="O14:O17" si="0">N14/1.005</f>
        <v>358208955.22388065</v>
      </c>
      <c r="P14" t="s">
        <v>176</v>
      </c>
    </row>
    <row r="15" spans="1:16" x14ac:dyDescent="0.25">
      <c r="A15" t="s">
        <v>198</v>
      </c>
      <c r="B15" t="s">
        <v>30</v>
      </c>
      <c r="C15" t="s">
        <v>64</v>
      </c>
      <c r="D15" t="s">
        <v>125</v>
      </c>
      <c r="E15">
        <v>311442786.06965178</v>
      </c>
      <c r="F15" t="s">
        <v>175</v>
      </c>
      <c r="G15" t="s">
        <v>131</v>
      </c>
      <c r="H15" t="s">
        <v>186</v>
      </c>
      <c r="N15" s="23">
        <v>313000000</v>
      </c>
      <c r="O15">
        <f t="shared" si="0"/>
        <v>311442786.06965178</v>
      </c>
      <c r="P15" t="s">
        <v>176</v>
      </c>
    </row>
    <row r="16" spans="1:16" x14ac:dyDescent="0.25">
      <c r="A16" t="s">
        <v>198</v>
      </c>
      <c r="B16" t="s">
        <v>28</v>
      </c>
      <c r="C16" t="s">
        <v>64</v>
      </c>
      <c r="D16" t="s">
        <v>125</v>
      </c>
      <c r="E16">
        <v>243781094.52736321</v>
      </c>
      <c r="F16" t="s">
        <v>175</v>
      </c>
      <c r="G16" t="s">
        <v>131</v>
      </c>
      <c r="H16" t="s">
        <v>187</v>
      </c>
      <c r="N16" s="22">
        <v>245000000</v>
      </c>
      <c r="O16">
        <f t="shared" si="0"/>
        <v>243781094.52736321</v>
      </c>
      <c r="P16" t="s">
        <v>176</v>
      </c>
    </row>
    <row r="17" spans="1:16" x14ac:dyDescent="0.25">
      <c r="A17" t="s">
        <v>198</v>
      </c>
      <c r="B17" t="s">
        <v>190</v>
      </c>
      <c r="C17" t="s">
        <v>74</v>
      </c>
      <c r="D17" t="s">
        <v>124</v>
      </c>
      <c r="E17">
        <v>3328358208.955224</v>
      </c>
      <c r="F17" t="s">
        <v>174</v>
      </c>
      <c r="G17" t="s">
        <v>131</v>
      </c>
      <c r="H17" t="s">
        <v>191</v>
      </c>
      <c r="N17" s="23">
        <v>3345000000</v>
      </c>
      <c r="O17">
        <f t="shared" si="0"/>
        <v>3328358208.955224</v>
      </c>
      <c r="P17" t="s">
        <v>176</v>
      </c>
    </row>
    <row r="18" spans="1:16" x14ac:dyDescent="0.25">
      <c r="A18" t="s">
        <v>198</v>
      </c>
      <c r="B18" t="s">
        <v>18</v>
      </c>
      <c r="C18" t="s">
        <v>26</v>
      </c>
      <c r="D18" t="s">
        <v>114</v>
      </c>
      <c r="E18">
        <v>390492000</v>
      </c>
      <c r="F18" t="s">
        <v>174</v>
      </c>
      <c r="G18" t="s">
        <v>131</v>
      </c>
      <c r="H18" t="s">
        <v>217</v>
      </c>
      <c r="N18" s="22">
        <v>360000000</v>
      </c>
      <c r="O18">
        <f>N18*1.0847</f>
        <v>390492000</v>
      </c>
      <c r="P18" t="s">
        <v>213</v>
      </c>
    </row>
    <row r="21" spans="1:16" x14ac:dyDescent="0.25">
      <c r="A21" s="14" t="s">
        <v>2</v>
      </c>
      <c r="B21" t="s">
        <v>1</v>
      </c>
      <c r="C21" t="s">
        <v>144</v>
      </c>
      <c r="D21" t="s">
        <v>173</v>
      </c>
      <c r="E21" t="s">
        <v>105</v>
      </c>
      <c r="F21" t="s">
        <v>160</v>
      </c>
      <c r="G21" t="s">
        <v>130</v>
      </c>
      <c r="H21" t="s">
        <v>132</v>
      </c>
    </row>
    <row r="22" spans="1:16" x14ac:dyDescent="0.25">
      <c r="A22" s="15" t="s">
        <v>199</v>
      </c>
      <c r="C22" t="s">
        <v>152</v>
      </c>
      <c r="E22" t="s">
        <v>120</v>
      </c>
      <c r="F22">
        <f>(1403+836+1263)*1000000</f>
        <v>3502000000</v>
      </c>
      <c r="G22" t="s">
        <v>131</v>
      </c>
      <c r="H22" t="s">
        <v>133</v>
      </c>
    </row>
    <row r="23" spans="1:16" x14ac:dyDescent="0.25">
      <c r="A23" s="15" t="s">
        <v>199</v>
      </c>
      <c r="B23" t="s">
        <v>51</v>
      </c>
      <c r="C23" t="s">
        <v>161</v>
      </c>
      <c r="E23" t="s">
        <v>120</v>
      </c>
      <c r="F23">
        <f>1000000*(428+252+414)</f>
        <v>1094000000</v>
      </c>
      <c r="G23" t="s">
        <v>131</v>
      </c>
      <c r="H23" t="s">
        <v>133</v>
      </c>
    </row>
    <row r="24" spans="1:16" x14ac:dyDescent="0.25">
      <c r="A24" s="15" t="s">
        <v>199</v>
      </c>
      <c r="B24" t="s">
        <v>53</v>
      </c>
      <c r="C24" t="s">
        <v>200</v>
      </c>
      <c r="E24" t="s">
        <v>120</v>
      </c>
      <c r="F24">
        <f>1000000*(77+54+62)</f>
        <v>193000000</v>
      </c>
      <c r="G24" t="s">
        <v>131</v>
      </c>
      <c r="H24" t="s">
        <v>133</v>
      </c>
    </row>
    <row r="25" spans="1:16" x14ac:dyDescent="0.25">
      <c r="A25" s="15" t="s">
        <v>199</v>
      </c>
      <c r="C25" t="s">
        <v>156</v>
      </c>
      <c r="E25" t="s">
        <v>110</v>
      </c>
      <c r="F25">
        <f>1000000*(1684+955+2029)</f>
        <v>4668000000</v>
      </c>
      <c r="G25" t="s">
        <v>131</v>
      </c>
      <c r="H25" t="s">
        <v>133</v>
      </c>
    </row>
    <row r="26" spans="1:16" x14ac:dyDescent="0.25">
      <c r="A26" s="15" t="s">
        <v>199</v>
      </c>
      <c r="B26" t="s">
        <v>34</v>
      </c>
      <c r="C26" t="s">
        <v>162</v>
      </c>
      <c r="E26" t="s">
        <v>110</v>
      </c>
      <c r="F26">
        <f>1000000*(654+315+589)</f>
        <v>1558000000</v>
      </c>
      <c r="G26" t="s">
        <v>131</v>
      </c>
      <c r="H26" t="s">
        <v>133</v>
      </c>
    </row>
    <row r="27" spans="1:16" x14ac:dyDescent="0.25">
      <c r="A27" s="15" t="s">
        <v>199</v>
      </c>
      <c r="B27" t="s">
        <v>57</v>
      </c>
      <c r="C27" t="s">
        <v>163</v>
      </c>
      <c r="E27" t="s">
        <v>110</v>
      </c>
      <c r="F27">
        <f>1000000*(44+39+175)</f>
        <v>258000000</v>
      </c>
      <c r="G27" t="s">
        <v>131</v>
      </c>
      <c r="H27" t="s">
        <v>133</v>
      </c>
    </row>
    <row r="28" spans="1:16" x14ac:dyDescent="0.25">
      <c r="A28" s="15" t="s">
        <v>199</v>
      </c>
      <c r="B28" t="s">
        <v>42</v>
      </c>
      <c r="C28" t="s">
        <v>164</v>
      </c>
      <c r="E28" t="s">
        <v>110</v>
      </c>
      <c r="F28">
        <f>1000000*(608+303+573)</f>
        <v>1484000000</v>
      </c>
      <c r="G28" t="s">
        <v>131</v>
      </c>
      <c r="H28" t="s">
        <v>133</v>
      </c>
    </row>
    <row r="29" spans="1:16" x14ac:dyDescent="0.25">
      <c r="A29" s="15" t="s">
        <v>199</v>
      </c>
      <c r="B29" t="s">
        <v>48</v>
      </c>
      <c r="C29" t="s">
        <v>165</v>
      </c>
      <c r="E29" t="s">
        <v>110</v>
      </c>
      <c r="F29">
        <f>1000000*(224.05+235.5+194.8)</f>
        <v>654350000</v>
      </c>
      <c r="G29" t="s">
        <v>131</v>
      </c>
      <c r="H29" t="s">
        <v>133</v>
      </c>
    </row>
    <row r="30" spans="1:16" x14ac:dyDescent="0.25">
      <c r="A30" s="15" t="s">
        <v>199</v>
      </c>
      <c r="C30" t="s">
        <v>166</v>
      </c>
      <c r="E30" t="s">
        <v>107</v>
      </c>
      <c r="F30">
        <f>1000000*(1814+1325+1328)</f>
        <v>4467000000</v>
      </c>
      <c r="G30" t="s">
        <v>131</v>
      </c>
      <c r="H30" t="s">
        <v>133</v>
      </c>
    </row>
    <row r="31" spans="1:16" x14ac:dyDescent="0.25">
      <c r="A31" s="15" t="s">
        <v>199</v>
      </c>
      <c r="B31" t="s">
        <v>23</v>
      </c>
      <c r="C31" t="s">
        <v>167</v>
      </c>
      <c r="E31" t="s">
        <v>107</v>
      </c>
      <c r="F31">
        <f>1000000*(741+347+274)</f>
        <v>1362000000</v>
      </c>
      <c r="G31" t="s">
        <v>131</v>
      </c>
      <c r="H31" t="s">
        <v>133</v>
      </c>
    </row>
    <row r="32" spans="1:16" x14ac:dyDescent="0.25">
      <c r="A32" s="15" t="s">
        <v>199</v>
      </c>
      <c r="B32" t="s">
        <v>16</v>
      </c>
      <c r="C32" t="s">
        <v>168</v>
      </c>
      <c r="E32" t="s">
        <v>107</v>
      </c>
      <c r="F32">
        <f>1000000*(64+99+39)</f>
        <v>202000000</v>
      </c>
      <c r="G32" t="s">
        <v>131</v>
      </c>
      <c r="H32" t="s">
        <v>133</v>
      </c>
    </row>
    <row r="33" spans="1:8" x14ac:dyDescent="0.25">
      <c r="A33" s="15" t="s">
        <v>199</v>
      </c>
      <c r="B33" t="s">
        <v>48</v>
      </c>
      <c r="C33" t="s">
        <v>165</v>
      </c>
      <c r="E33" t="s">
        <v>169</v>
      </c>
      <c r="F33">
        <f>1000000*(224.05+235.5+194.8)</f>
        <v>654350000</v>
      </c>
      <c r="G33" t="s">
        <v>131</v>
      </c>
      <c r="H33" t="s">
        <v>133</v>
      </c>
    </row>
    <row r="34" spans="1:8" x14ac:dyDescent="0.25">
      <c r="A34" s="15" t="s">
        <v>199</v>
      </c>
      <c r="B34" t="s">
        <v>35</v>
      </c>
      <c r="C34" t="s">
        <v>170</v>
      </c>
      <c r="E34" t="s">
        <v>169</v>
      </c>
      <c r="F34">
        <f>1000000*(329.8+347.8+415)</f>
        <v>1092600000</v>
      </c>
      <c r="G34" t="s">
        <v>131</v>
      </c>
      <c r="H34" t="s">
        <v>133</v>
      </c>
    </row>
    <row r="35" spans="1:8" x14ac:dyDescent="0.25">
      <c r="A35" s="15" t="s">
        <v>199</v>
      </c>
      <c r="B35" t="s">
        <v>195</v>
      </c>
      <c r="C35" t="s">
        <v>171</v>
      </c>
      <c r="E35" t="s">
        <v>172</v>
      </c>
      <c r="F35">
        <f>1000000*(172.3+108.9+126.6)</f>
        <v>407800000.00000006</v>
      </c>
      <c r="G35" t="s">
        <v>131</v>
      </c>
      <c r="H35" t="s">
        <v>133</v>
      </c>
    </row>
    <row r="36" spans="1:8" x14ac:dyDescent="0.25">
      <c r="A36" s="16"/>
    </row>
  </sheetData>
  <phoneticPr fontId="4" type="noConversion"/>
  <pageMargins left="0.7" right="0.7" top="0.78740157499999996" bottom="0.78740157499999996"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C46D2-6FD4-4819-A5E2-5B7A2EE84FE4}">
  <dimension ref="A2:D13"/>
  <sheetViews>
    <sheetView workbookViewId="0">
      <selection activeCell="B14" sqref="B14"/>
    </sheetView>
  </sheetViews>
  <sheetFormatPr baseColWidth="10" defaultRowHeight="15" x14ac:dyDescent="0.25"/>
  <sheetData>
    <row r="2" spans="1:4" x14ac:dyDescent="0.25">
      <c r="A2" t="s">
        <v>134</v>
      </c>
      <c r="B2" t="s">
        <v>135</v>
      </c>
      <c r="C2" t="s">
        <v>136</v>
      </c>
      <c r="D2" t="s">
        <v>139</v>
      </c>
    </row>
    <row r="3" spans="1:4" x14ac:dyDescent="0.25">
      <c r="A3" t="s">
        <v>137</v>
      </c>
      <c r="B3">
        <v>2023</v>
      </c>
      <c r="C3" t="s">
        <v>138</v>
      </c>
      <c r="D3" t="s">
        <v>140</v>
      </c>
    </row>
    <row r="4" spans="1:4" x14ac:dyDescent="0.25">
      <c r="A4" t="s">
        <v>125</v>
      </c>
      <c r="B4" t="s">
        <v>177</v>
      </c>
      <c r="C4" t="s">
        <v>178</v>
      </c>
      <c r="D4" t="s">
        <v>179</v>
      </c>
    </row>
    <row r="5" spans="1:4" x14ac:dyDescent="0.25">
      <c r="A5" t="s">
        <v>125</v>
      </c>
      <c r="B5" t="s">
        <v>177</v>
      </c>
      <c r="C5" t="s">
        <v>180</v>
      </c>
      <c r="D5" t="s">
        <v>181</v>
      </c>
    </row>
    <row r="6" spans="1:4" x14ac:dyDescent="0.25">
      <c r="A6" t="s">
        <v>125</v>
      </c>
      <c r="B6" t="s">
        <v>177</v>
      </c>
      <c r="C6" t="s">
        <v>184</v>
      </c>
      <c r="D6" t="s">
        <v>185</v>
      </c>
    </row>
    <row r="7" spans="1:4" x14ac:dyDescent="0.25">
      <c r="A7" t="s">
        <v>125</v>
      </c>
      <c r="B7" t="s">
        <v>177</v>
      </c>
      <c r="C7" t="s">
        <v>189</v>
      </c>
      <c r="D7" t="s">
        <v>188</v>
      </c>
    </row>
    <row r="8" spans="1:4" x14ac:dyDescent="0.25">
      <c r="A8" t="s">
        <v>192</v>
      </c>
      <c r="B8">
        <v>2022</v>
      </c>
      <c r="C8" t="s">
        <v>193</v>
      </c>
      <c r="D8" t="s">
        <v>194</v>
      </c>
    </row>
    <row r="9" spans="1:4" x14ac:dyDescent="0.25">
      <c r="A9" t="s">
        <v>111</v>
      </c>
      <c r="B9">
        <v>2021</v>
      </c>
      <c r="C9" t="s">
        <v>202</v>
      </c>
      <c r="D9" t="s">
        <v>203</v>
      </c>
    </row>
    <row r="10" spans="1:4" x14ac:dyDescent="0.25">
      <c r="A10" t="s">
        <v>204</v>
      </c>
      <c r="B10">
        <v>2023</v>
      </c>
      <c r="C10" t="s">
        <v>205</v>
      </c>
      <c r="D10" t="s">
        <v>206</v>
      </c>
    </row>
    <row r="11" spans="1:4" x14ac:dyDescent="0.25">
      <c r="A11" t="s">
        <v>214</v>
      </c>
      <c r="B11">
        <v>2014</v>
      </c>
      <c r="C11" t="s">
        <v>216</v>
      </c>
      <c r="D11" t="s">
        <v>215</v>
      </c>
    </row>
    <row r="12" spans="1:4" x14ac:dyDescent="0.25">
      <c r="A12" t="s">
        <v>229</v>
      </c>
      <c r="B12">
        <v>2023</v>
      </c>
      <c r="C12" t="s">
        <v>230</v>
      </c>
      <c r="D12" t="s">
        <v>231</v>
      </c>
    </row>
    <row r="13" spans="1:4" x14ac:dyDescent="0.25">
      <c r="A13" t="s">
        <v>228</v>
      </c>
      <c r="B13">
        <v>2015</v>
      </c>
      <c r="C13" t="s">
        <v>232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3035-772A-4D66-9D97-3AE4713761E2}">
  <dimension ref="A1:P43"/>
  <sheetViews>
    <sheetView workbookViewId="0">
      <selection sqref="A1:B43"/>
    </sheetView>
  </sheetViews>
  <sheetFormatPr baseColWidth="10" defaultRowHeight="15" x14ac:dyDescent="0.25"/>
  <cols>
    <col min="1" max="1" width="19.7109375" customWidth="1"/>
    <col min="2" max="2" width="14.85546875" customWidth="1"/>
    <col min="3" max="3" width="26.7109375" customWidth="1"/>
    <col min="4" max="4" width="12.28515625" customWidth="1"/>
    <col min="9" max="9" width="21.42578125" customWidth="1"/>
    <col min="13" max="13" width="33.42578125" customWidth="1"/>
    <col min="14" max="14" width="67.28515625" customWidth="1"/>
    <col min="15" max="15" width="41.42578125" customWidth="1"/>
  </cols>
  <sheetData>
    <row r="1" spans="1:16" x14ac:dyDescent="0.25">
      <c r="A1" s="8" t="s">
        <v>0</v>
      </c>
      <c r="B1" s="8" t="s">
        <v>25</v>
      </c>
      <c r="C1" s="8" t="s">
        <v>197</v>
      </c>
      <c r="D1" s="8" t="s">
        <v>157</v>
      </c>
      <c r="E1" s="12" t="s">
        <v>120</v>
      </c>
      <c r="F1" s="12" t="s">
        <v>110</v>
      </c>
      <c r="G1" s="12" t="s">
        <v>107</v>
      </c>
      <c r="H1" s="12" t="s">
        <v>169</v>
      </c>
      <c r="I1" s="12" t="s">
        <v>172</v>
      </c>
      <c r="J1" s="12" t="s">
        <v>125</v>
      </c>
      <c r="K1" s="12" t="s">
        <v>124</v>
      </c>
      <c r="L1" s="12" t="s">
        <v>111</v>
      </c>
      <c r="M1" s="12" t="s">
        <v>155</v>
      </c>
      <c r="N1" s="12" t="s">
        <v>114</v>
      </c>
      <c r="O1" s="12" t="s">
        <v>154</v>
      </c>
      <c r="P1" s="11"/>
    </row>
    <row r="2" spans="1:16" x14ac:dyDescent="0.25">
      <c r="A2" t="s">
        <v>31</v>
      </c>
      <c r="B2" t="s">
        <v>26</v>
      </c>
      <c r="C2" t="s">
        <v>198</v>
      </c>
      <c r="D2">
        <v>1</v>
      </c>
    </row>
    <row r="3" spans="1:16" x14ac:dyDescent="0.25">
      <c r="A3" t="s">
        <v>32</v>
      </c>
      <c r="B3" t="s">
        <v>26</v>
      </c>
      <c r="C3" t="s">
        <v>199</v>
      </c>
      <c r="G3">
        <v>1</v>
      </c>
    </row>
    <row r="4" spans="1:16" x14ac:dyDescent="0.25">
      <c r="A4" t="s">
        <v>33</v>
      </c>
      <c r="B4" t="s">
        <v>26</v>
      </c>
      <c r="C4" t="s">
        <v>199</v>
      </c>
      <c r="G4">
        <v>1</v>
      </c>
    </row>
    <row r="5" spans="1:16" x14ac:dyDescent="0.25">
      <c r="A5" t="s">
        <v>34</v>
      </c>
      <c r="B5" t="s">
        <v>26</v>
      </c>
      <c r="C5" t="s">
        <v>199</v>
      </c>
      <c r="F5">
        <v>1</v>
      </c>
      <c r="H5">
        <v>1</v>
      </c>
    </row>
    <row r="6" spans="1:16" x14ac:dyDescent="0.25">
      <c r="A6" t="s">
        <v>35</v>
      </c>
      <c r="B6" t="s">
        <v>26</v>
      </c>
      <c r="C6" t="s">
        <v>199</v>
      </c>
      <c r="F6">
        <v>1</v>
      </c>
      <c r="H6">
        <v>1</v>
      </c>
    </row>
    <row r="7" spans="1:16" x14ac:dyDescent="0.25">
      <c r="A7" t="s">
        <v>27</v>
      </c>
      <c r="B7" t="s">
        <v>64</v>
      </c>
      <c r="C7" t="s">
        <v>198</v>
      </c>
      <c r="J7">
        <v>1</v>
      </c>
    </row>
    <row r="8" spans="1:16" x14ac:dyDescent="0.25">
      <c r="A8" t="s">
        <v>61</v>
      </c>
      <c r="B8" t="s">
        <v>26</v>
      </c>
      <c r="C8" t="s">
        <v>199</v>
      </c>
      <c r="G8">
        <v>1</v>
      </c>
    </row>
    <row r="9" spans="1:16" x14ac:dyDescent="0.25">
      <c r="A9" t="s">
        <v>28</v>
      </c>
      <c r="B9" t="s">
        <v>64</v>
      </c>
      <c r="C9" t="s">
        <v>198</v>
      </c>
      <c r="J9" s="11">
        <v>1</v>
      </c>
    </row>
    <row r="10" spans="1:16" x14ac:dyDescent="0.25">
      <c r="A10" t="s">
        <v>29</v>
      </c>
      <c r="B10" t="s">
        <v>64</v>
      </c>
      <c r="C10" t="s">
        <v>198</v>
      </c>
      <c r="J10" s="11">
        <v>1</v>
      </c>
    </row>
    <row r="11" spans="1:16" x14ac:dyDescent="0.25">
      <c r="A11" t="s">
        <v>36</v>
      </c>
      <c r="B11" t="s">
        <v>26</v>
      </c>
      <c r="C11" t="s">
        <v>199</v>
      </c>
      <c r="F11">
        <v>1</v>
      </c>
      <c r="J11" s="11"/>
    </row>
    <row r="12" spans="1:16" x14ac:dyDescent="0.25">
      <c r="A12" t="s">
        <v>37</v>
      </c>
      <c r="B12" t="s">
        <v>26</v>
      </c>
      <c r="C12" t="s">
        <v>198</v>
      </c>
      <c r="J12" s="11"/>
      <c r="L12">
        <v>1</v>
      </c>
    </row>
    <row r="13" spans="1:16" x14ac:dyDescent="0.25">
      <c r="A13" t="s">
        <v>38</v>
      </c>
      <c r="B13" t="s">
        <v>26</v>
      </c>
      <c r="C13" t="s">
        <v>198</v>
      </c>
      <c r="J13" s="10"/>
      <c r="K13" s="11"/>
      <c r="L13">
        <v>1</v>
      </c>
    </row>
    <row r="14" spans="1:16" x14ac:dyDescent="0.25">
      <c r="A14" t="s">
        <v>39</v>
      </c>
      <c r="B14" t="s">
        <v>26</v>
      </c>
      <c r="C14" t="s">
        <v>198</v>
      </c>
      <c r="J14" s="11"/>
      <c r="K14" s="11"/>
      <c r="L14">
        <v>1</v>
      </c>
    </row>
    <row r="15" spans="1:16" x14ac:dyDescent="0.25">
      <c r="A15" t="s">
        <v>40</v>
      </c>
      <c r="B15" t="s">
        <v>26</v>
      </c>
      <c r="C15" t="s">
        <v>198</v>
      </c>
      <c r="K15" s="11"/>
      <c r="L15">
        <v>1</v>
      </c>
    </row>
    <row r="16" spans="1:16" x14ac:dyDescent="0.25">
      <c r="A16" t="s">
        <v>41</v>
      </c>
      <c r="B16" t="s">
        <v>26</v>
      </c>
      <c r="C16" t="s">
        <v>198</v>
      </c>
      <c r="J16" s="13"/>
      <c r="K16" s="11"/>
      <c r="L16">
        <v>1</v>
      </c>
    </row>
    <row r="17" spans="1:14" x14ac:dyDescent="0.25">
      <c r="A17" t="s">
        <v>42</v>
      </c>
      <c r="B17" t="s">
        <v>26</v>
      </c>
      <c r="C17" t="s">
        <v>199</v>
      </c>
      <c r="F17">
        <v>1</v>
      </c>
      <c r="K17" s="13"/>
    </row>
    <row r="18" spans="1:14" x14ac:dyDescent="0.25">
      <c r="A18" t="s">
        <v>43</v>
      </c>
      <c r="B18" t="s">
        <v>26</v>
      </c>
      <c r="C18" t="s">
        <v>198</v>
      </c>
      <c r="G18">
        <v>1</v>
      </c>
    </row>
    <row r="19" spans="1:14" x14ac:dyDescent="0.25">
      <c r="A19" t="s">
        <v>44</v>
      </c>
      <c r="B19" t="s">
        <v>26</v>
      </c>
      <c r="C19" t="s">
        <v>199</v>
      </c>
      <c r="G19">
        <v>1</v>
      </c>
      <c r="K19" s="13"/>
    </row>
    <row r="20" spans="1:14" x14ac:dyDescent="0.25">
      <c r="A20" t="s">
        <v>45</v>
      </c>
      <c r="B20" t="s">
        <v>26</v>
      </c>
      <c r="C20" t="s">
        <v>199</v>
      </c>
      <c r="G20">
        <v>1</v>
      </c>
    </row>
    <row r="21" spans="1:14" x14ac:dyDescent="0.25">
      <c r="A21" t="s">
        <v>46</v>
      </c>
      <c r="B21" t="s">
        <v>26</v>
      </c>
      <c r="C21" t="s">
        <v>199</v>
      </c>
      <c r="N21">
        <v>1</v>
      </c>
    </row>
    <row r="22" spans="1:14" x14ac:dyDescent="0.25">
      <c r="A22" t="s">
        <v>73</v>
      </c>
      <c r="B22" t="s">
        <v>74</v>
      </c>
      <c r="C22" t="s">
        <v>198</v>
      </c>
      <c r="K22">
        <v>1</v>
      </c>
    </row>
    <row r="23" spans="1:14" x14ac:dyDescent="0.25">
      <c r="A23" t="s">
        <v>75</v>
      </c>
      <c r="B23" t="s">
        <v>74</v>
      </c>
      <c r="C23" t="s">
        <v>198</v>
      </c>
      <c r="K23">
        <v>1</v>
      </c>
    </row>
    <row r="24" spans="1:14" x14ac:dyDescent="0.25">
      <c r="A24" t="s">
        <v>47</v>
      </c>
      <c r="B24" t="s">
        <v>26</v>
      </c>
      <c r="C24" t="s">
        <v>199</v>
      </c>
    </row>
    <row r="25" spans="1:14" x14ac:dyDescent="0.25">
      <c r="A25" t="s">
        <v>62</v>
      </c>
      <c r="B25" t="s">
        <v>26</v>
      </c>
      <c r="C25" t="s">
        <v>199</v>
      </c>
      <c r="F25">
        <v>1</v>
      </c>
      <c r="I25">
        <v>1</v>
      </c>
    </row>
    <row r="26" spans="1:14" x14ac:dyDescent="0.25">
      <c r="A26" t="s">
        <v>14</v>
      </c>
      <c r="B26" t="s">
        <v>26</v>
      </c>
      <c r="C26" t="s">
        <v>198</v>
      </c>
      <c r="N26">
        <v>1</v>
      </c>
    </row>
    <row r="27" spans="1:14" x14ac:dyDescent="0.25">
      <c r="A27" t="s">
        <v>48</v>
      </c>
      <c r="B27" t="s">
        <v>26</v>
      </c>
      <c r="C27" t="s">
        <v>199</v>
      </c>
      <c r="F27">
        <v>1</v>
      </c>
      <c r="H27">
        <v>1</v>
      </c>
    </row>
    <row r="28" spans="1:14" x14ac:dyDescent="0.25">
      <c r="A28" t="s">
        <v>30</v>
      </c>
      <c r="B28" t="s">
        <v>64</v>
      </c>
      <c r="C28" t="s">
        <v>198</v>
      </c>
      <c r="J28">
        <v>1</v>
      </c>
    </row>
    <row r="29" spans="1:14" x14ac:dyDescent="0.25">
      <c r="A29" t="s">
        <v>49</v>
      </c>
      <c r="B29" t="s">
        <v>26</v>
      </c>
      <c r="C29" t="s">
        <v>199</v>
      </c>
      <c r="G29">
        <v>1</v>
      </c>
    </row>
    <row r="30" spans="1:14" x14ac:dyDescent="0.25">
      <c r="A30" t="s">
        <v>50</v>
      </c>
      <c r="B30" t="s">
        <v>26</v>
      </c>
      <c r="C30" t="s">
        <v>198</v>
      </c>
      <c r="G30">
        <v>1</v>
      </c>
    </row>
    <row r="31" spans="1:14" x14ac:dyDescent="0.25">
      <c r="A31" t="s">
        <v>18</v>
      </c>
      <c r="B31" t="s">
        <v>26</v>
      </c>
      <c r="C31" t="s">
        <v>199</v>
      </c>
    </row>
    <row r="32" spans="1:14" x14ac:dyDescent="0.25">
      <c r="A32" t="s">
        <v>51</v>
      </c>
      <c r="B32" t="s">
        <v>26</v>
      </c>
      <c r="C32" t="s">
        <v>199</v>
      </c>
      <c r="E32">
        <v>1</v>
      </c>
    </row>
    <row r="33" spans="1:15" x14ac:dyDescent="0.25">
      <c r="A33" t="s">
        <v>63</v>
      </c>
      <c r="B33" t="s">
        <v>26</v>
      </c>
      <c r="C33" t="s">
        <v>199</v>
      </c>
      <c r="E33">
        <v>1</v>
      </c>
    </row>
    <row r="34" spans="1:15" x14ac:dyDescent="0.25">
      <c r="A34" t="s">
        <v>52</v>
      </c>
      <c r="B34" t="s">
        <v>26</v>
      </c>
      <c r="C34" t="s">
        <v>198</v>
      </c>
    </row>
    <row r="35" spans="1:15" x14ac:dyDescent="0.25">
      <c r="A35" t="s">
        <v>53</v>
      </c>
      <c r="B35" t="s">
        <v>26</v>
      </c>
      <c r="C35" t="s">
        <v>198</v>
      </c>
      <c r="E35">
        <v>1</v>
      </c>
    </row>
    <row r="36" spans="1:15" x14ac:dyDescent="0.25">
      <c r="A36" t="s">
        <v>54</v>
      </c>
      <c r="B36" t="s">
        <v>26</v>
      </c>
      <c r="C36" t="s">
        <v>199</v>
      </c>
      <c r="E36">
        <v>1</v>
      </c>
    </row>
    <row r="37" spans="1:15" x14ac:dyDescent="0.25">
      <c r="A37" t="s">
        <v>55</v>
      </c>
      <c r="B37" t="s">
        <v>26</v>
      </c>
      <c r="C37" t="s">
        <v>199</v>
      </c>
      <c r="E37">
        <v>1</v>
      </c>
    </row>
    <row r="38" spans="1:15" x14ac:dyDescent="0.25">
      <c r="A38" t="s">
        <v>56</v>
      </c>
      <c r="B38" t="s">
        <v>26</v>
      </c>
      <c r="C38" t="s">
        <v>198</v>
      </c>
    </row>
    <row r="39" spans="1:15" x14ac:dyDescent="0.25">
      <c r="A39" t="s">
        <v>57</v>
      </c>
      <c r="B39" t="s">
        <v>26</v>
      </c>
      <c r="C39" t="s">
        <v>198</v>
      </c>
      <c r="F39">
        <v>1</v>
      </c>
      <c r="H39">
        <v>1</v>
      </c>
    </row>
    <row r="40" spans="1:15" x14ac:dyDescent="0.25">
      <c r="A40" t="s">
        <v>21</v>
      </c>
      <c r="B40" t="s">
        <v>26</v>
      </c>
      <c r="C40" t="s">
        <v>198</v>
      </c>
      <c r="O40">
        <v>1</v>
      </c>
    </row>
    <row r="41" spans="1:15" x14ac:dyDescent="0.25">
      <c r="A41" t="s">
        <v>58</v>
      </c>
      <c r="B41" t="s">
        <v>26</v>
      </c>
      <c r="C41" t="s">
        <v>199</v>
      </c>
      <c r="F41">
        <v>1</v>
      </c>
    </row>
    <row r="42" spans="1:15" x14ac:dyDescent="0.25">
      <c r="A42" t="s">
        <v>59</v>
      </c>
      <c r="B42" t="s">
        <v>26</v>
      </c>
      <c r="C42" t="s">
        <v>198</v>
      </c>
      <c r="M42">
        <v>1</v>
      </c>
    </row>
    <row r="43" spans="1:15" x14ac:dyDescent="0.25">
      <c r="A43" t="s">
        <v>60</v>
      </c>
      <c r="B43" t="s">
        <v>26</v>
      </c>
      <c r="C43" t="s">
        <v>199</v>
      </c>
      <c r="F43">
        <v>1</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F0F3-3E63-4D24-AF48-A31532116C70}">
  <sheetPr>
    <tabColor theme="5"/>
  </sheetPr>
  <dimension ref="A1"/>
  <sheetViews>
    <sheetView workbookViewId="0"/>
  </sheetViews>
  <sheetFormatPr baseColWidth="10" defaultRowHeight="1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800E-0FDE-457D-B0FE-497CE7577795}">
  <dimension ref="A1:Q44"/>
  <sheetViews>
    <sheetView tabSelected="1" workbookViewId="0">
      <selection activeCell="K8" sqref="K8"/>
    </sheetView>
  </sheetViews>
  <sheetFormatPr baseColWidth="10" defaultRowHeight="15" x14ac:dyDescent="0.25"/>
  <cols>
    <col min="1" max="1" width="23.5703125" customWidth="1"/>
    <col min="2" max="4" width="21.28515625" customWidth="1"/>
    <col min="5" max="5" width="34" customWidth="1"/>
    <col min="6" max="6" width="15.28515625" customWidth="1"/>
    <col min="8" max="8" width="12.5703125" customWidth="1"/>
    <col min="9" max="10" width="18.85546875" customWidth="1"/>
    <col min="11" max="11" width="23" style="6" customWidth="1"/>
    <col min="13" max="13" width="12.85546875" customWidth="1"/>
    <col min="14" max="14" width="15.85546875" customWidth="1"/>
    <col min="15" max="15" width="19.85546875" customWidth="1"/>
    <col min="16" max="16" width="14" customWidth="1"/>
  </cols>
  <sheetData>
    <row r="1" spans="1:16" x14ac:dyDescent="0.25">
      <c r="A1" s="17" t="s">
        <v>0</v>
      </c>
      <c r="B1" s="17" t="s">
        <v>144</v>
      </c>
      <c r="C1" s="17" t="s">
        <v>25</v>
      </c>
      <c r="D1" s="17" t="s">
        <v>211</v>
      </c>
      <c r="E1" s="17" t="s">
        <v>80</v>
      </c>
      <c r="F1" s="18" t="s">
        <v>141</v>
      </c>
      <c r="G1" s="8" t="s">
        <v>199</v>
      </c>
      <c r="H1" s="8" t="s">
        <v>198</v>
      </c>
      <c r="I1" s="8" t="s">
        <v>221</v>
      </c>
      <c r="J1" s="8" t="s">
        <v>236</v>
      </c>
      <c r="K1" s="20" t="s">
        <v>201</v>
      </c>
      <c r="M1" s="8" t="s">
        <v>237</v>
      </c>
    </row>
    <row r="2" spans="1:16" x14ac:dyDescent="0.25">
      <c r="A2" s="10" t="s">
        <v>31</v>
      </c>
      <c r="B2" s="10" t="str">
        <f>INDEX(DECOM_REACTORS[Operator],MATCH(A2,DECOM_REACTORS[Reactor],0))</f>
        <v>AVR Gmbh</v>
      </c>
      <c r="C2" s="10" t="str">
        <f>INDEX(DECOM_REACTORS[Country],MATCH(A2,DECOM_REACTORS[Reactor],0))</f>
        <v>Germany</v>
      </c>
      <c r="D2" s="10">
        <f>INDEX(DECOM_REACTORS[Net Capacity '[MW_el']],MATCH(A2,DECOM_REACTORS[Reactor],0))</f>
        <v>13</v>
      </c>
      <c r="E2" s="10">
        <f>INDEX(DECOM_REACTORS[Lifetime Electricity Supplied '[TWh']],MATCH(A2,DECOM_REACTORS[Reactor],0))</f>
        <v>1.51</v>
      </c>
      <c r="F2" s="13" t="str">
        <f>INDEX(DECOM_REACTORS[Commercial],MATCH(A2,DECOM_REACTORS[Reactor],0))</f>
        <v>No</v>
      </c>
      <c r="G2">
        <f>IF(COUNTIFS(DECOM_PROV[NPP],A2)&gt;0,SUMIFS(DECOM_PROV[Provisions],DECOM_PROV[NPP],A2),SUMIFS(DECOM_PROV[Provisions],DECOM_PROV[Operator],B2)/COUNTIFS(DECOM_REACTORS[Operator],B2))</f>
        <v>0</v>
      </c>
      <c r="H2">
        <f>IF(COUNTIFS(DECOM_EST[Reactor or NPP],A2)&gt;0,SUMIFS(DECOM_EST[Estimated Cost],DECOM_EST[Reactor or NPP],A2),SUMIFS(DECOM_EST[Estimated Cost],DECOM_EST[Operator],B2)/COUNTIFS(DECOM_REACTORS[Operator],B2))</f>
        <v>378200000</v>
      </c>
      <c r="I2">
        <f>IF(G2&lt;H2,H2,G2)</f>
        <v>378200000</v>
      </c>
      <c r="J2">
        <f t="shared" ref="J2:J42" si="0">IFERROR(I2/(D2*1000),K1)</f>
        <v>29092.307692307691</v>
      </c>
      <c r="K2" s="6">
        <f>IFERROR(I2/(E2*1000000),K1)</f>
        <v>250.46357615894038</v>
      </c>
    </row>
    <row r="3" spans="1:16" ht="45" x14ac:dyDescent="0.25">
      <c r="A3" s="11" t="s">
        <v>32</v>
      </c>
      <c r="B3" s="10" t="str">
        <f>INDEX(DECOM_REACTORS[Operator],MATCH(A3,DECOM_REACTORS[Reactor],0))</f>
        <v>RWE Nuclear GmbH</v>
      </c>
      <c r="C3" s="10" t="str">
        <f>INDEX(DECOM_REACTORS[Country],MATCH(A3,DECOM_REACTORS[Reactor],0))</f>
        <v>Germany</v>
      </c>
      <c r="D3" s="10">
        <f>INDEX(DECOM_REACTORS[Net Capacity '[MW_el']],MATCH(A3,DECOM_REACTORS[Reactor],0))</f>
        <v>1167</v>
      </c>
      <c r="E3" s="10">
        <f>INDEX(DECOM_REACTORS[Lifetime Electricity Supplied '[TWh']],MATCH(A3,DECOM_REACTORS[Reactor],0))</f>
        <v>232.78</v>
      </c>
      <c r="F3" s="13" t="str">
        <f>INDEX(DECOM_REACTORS[Commercial],MATCH(A3,DECOM_REACTORS[Reactor],0))</f>
        <v>Yes</v>
      </c>
      <c r="G3">
        <f>IF(COUNTIFS(DECOM_PROV[NPP],A3)&gt;0,SUMIFS(DECOM_PROV[Provisions],DECOM_PROV[NPP],A3),SUMIFS(DECOM_PROV[Provisions],DECOM_PROV[Operator],B3)/COUNTIFS(DECOM_REACTORS[Operator],B3))</f>
        <v>1489000000</v>
      </c>
      <c r="H3">
        <f>IF(COUNTIFS(DECOM_EST[Reactor or NPP],A3)&gt;0,SUMIFS(DECOM_EST[Estimated Cost],DECOM_EST[Reactor or NPP],A3),SUMIFS(DECOM_EST[Estimated Cost],DECOM_EST[Operator],B3)/COUNTIFS(DECOM_REACTORS[Operator],B3))</f>
        <v>0</v>
      </c>
      <c r="I3">
        <f t="shared" ref="I3:I42" si="1">IF(G3&lt;H3,H3,G3)</f>
        <v>1489000000</v>
      </c>
      <c r="J3">
        <f t="shared" si="0"/>
        <v>1275.9211653813197</v>
      </c>
      <c r="K3" s="6">
        <f t="shared" ref="K3:K42" si="2">IFERROR(I3/(E3*1000000),K2)</f>
        <v>6.3965976458458629</v>
      </c>
      <c r="M3" s="1" t="s">
        <v>210</v>
      </c>
      <c r="N3" s="19" t="s">
        <v>207</v>
      </c>
      <c r="O3" s="19" t="s">
        <v>208</v>
      </c>
      <c r="P3" s="19" t="s">
        <v>209</v>
      </c>
    </row>
    <row r="4" spans="1:16" x14ac:dyDescent="0.25">
      <c r="A4" s="10" t="s">
        <v>33</v>
      </c>
      <c r="B4" s="10" t="str">
        <f>INDEX(DECOM_REACTORS[Operator],MATCH(A4,DECOM_REACTORS[Reactor],0))</f>
        <v>RWE Nuclear GmbH</v>
      </c>
      <c r="C4" s="10" t="str">
        <f>INDEX(DECOM_REACTORS[Country],MATCH(A4,DECOM_REACTORS[Reactor],0))</f>
        <v>Germany</v>
      </c>
      <c r="D4" s="10">
        <f>INDEX(DECOM_REACTORS[Net Capacity '[MW_el']],MATCH(A4,DECOM_REACTORS[Reactor],0))</f>
        <v>1240</v>
      </c>
      <c r="E4" s="10">
        <f>INDEX(DECOM_REACTORS[Lifetime Electricity Supplied '[TWh']],MATCH(A4,DECOM_REACTORS[Reactor],0))</f>
        <v>247.35</v>
      </c>
      <c r="F4" s="13" t="str">
        <f>INDEX(DECOM_REACTORS[Commercial],MATCH(A4,DECOM_REACTORS[Reactor],0))</f>
        <v>Yes</v>
      </c>
      <c r="G4">
        <f>IF(COUNTIFS(DECOM_PROV[NPP],A4)&gt;0,SUMIFS(DECOM_PROV[Provisions],DECOM_PROV[NPP],A4),SUMIFS(DECOM_PROV[Provisions],DECOM_PROV[Operator],B4)/COUNTIFS(DECOM_REACTORS[Operator],B4))</f>
        <v>1489000000</v>
      </c>
      <c r="H4">
        <f>IF(COUNTIFS(DECOM_EST[Reactor or NPP],A4)&gt;0,SUMIFS(DECOM_EST[Estimated Cost],DECOM_EST[Reactor or NPP],A4),SUMIFS(DECOM_EST[Estimated Cost],DECOM_EST[Operator],B4)/COUNTIFS(DECOM_REACTORS[Operator],B4))</f>
        <v>0</v>
      </c>
      <c r="I4">
        <f t="shared" si="1"/>
        <v>1489000000</v>
      </c>
      <c r="J4">
        <f t="shared" si="0"/>
        <v>1200.8064516129032</v>
      </c>
      <c r="K4" s="6">
        <f t="shared" si="2"/>
        <v>6.01980998585001</v>
      </c>
      <c r="M4" t="s">
        <v>26</v>
      </c>
      <c r="N4" s="6" cm="1">
        <f t="array" ref="N4">SUMPRODUCT($K$2:$K$42,$E$2:$E$42,($C$2:$C$42=$M4)*1)/SUMIFS($E$2:$E$42,$C$2:$C$42,$M4)</f>
        <v>6.3699248618011675</v>
      </c>
      <c r="O4" s="6" cm="1">
        <f t="array" ref="O4">SUMPRODUCT($K$2:$K$42,$E$2:$E$42,($C$2:$C$42=$M4)*1,($F$2:$F$42="No")*1)/SUMIFS($E$2:$E$42,$C$2:$C$42,$M4,$F$2:$F$42,"No")</f>
        <v>187.79842794759821</v>
      </c>
      <c r="P4" s="6" cm="1">
        <f t="array" ref="P4">SUMPRODUCT($K$2:$K$42,$E$2:$E$42,($C$2:$C$42=$M4)*1,($F$2:$F$42="Yes")*1)/SUMIFS($E$2:$E$42,$C$2:$C$42,$M4,$F$2:$F$42,"Yes")</f>
        <v>5.9799040103737413</v>
      </c>
    </row>
    <row r="5" spans="1:16" x14ac:dyDescent="0.25">
      <c r="A5" s="11" t="s">
        <v>34</v>
      </c>
      <c r="B5" s="10" t="str">
        <f>INDEX(DECOM_REACTORS[Operator],MATCH(A5,DECOM_REACTORS[Reactor],0))</f>
        <v>KBR oHG</v>
      </c>
      <c r="C5" s="10" t="str">
        <f>INDEX(DECOM_REACTORS[Country],MATCH(A5,DECOM_REACTORS[Reactor],0))</f>
        <v>Germany</v>
      </c>
      <c r="D5" s="10">
        <f>INDEX(DECOM_REACTORS[Net Capacity '[MW_el']],MATCH(A5,DECOM_REACTORS[Reactor],0))</f>
        <v>1410</v>
      </c>
      <c r="E5" s="10">
        <f>INDEX(DECOM_REACTORS[Lifetime Electricity Supplied '[TWh']],MATCH(A5,DECOM_REACTORS[Reactor],0))</f>
        <v>364.35</v>
      </c>
      <c r="F5" s="13" t="str">
        <f>INDEX(DECOM_REACTORS[Commercial],MATCH(A5,DECOM_REACTORS[Reactor],0))</f>
        <v>Yes</v>
      </c>
      <c r="G5">
        <f>IF(COUNTIFS(DECOM_PROV[NPP],A5)&gt;0,SUMIFS(DECOM_PROV[Provisions],DECOM_PROV[NPP],A5),SUMIFS(DECOM_PROV[Provisions],DECOM_PROV[Operator],B5)/COUNTIFS(DECOM_REACTORS[Operator],B5))</f>
        <v>1558000000</v>
      </c>
      <c r="H5">
        <f>IF(COUNTIFS(DECOM_EST[Reactor or NPP],A5)&gt;0,SUMIFS(DECOM_EST[Estimated Cost],DECOM_EST[Reactor or NPP],A5),SUMIFS(DECOM_EST[Estimated Cost],DECOM_EST[Operator],B5)/COUNTIFS(DECOM_REACTORS[Operator],B5))</f>
        <v>0</v>
      </c>
      <c r="I5">
        <f t="shared" si="1"/>
        <v>1558000000</v>
      </c>
      <c r="J5">
        <f t="shared" si="0"/>
        <v>1104.9645390070923</v>
      </c>
      <c r="K5" s="6">
        <f t="shared" si="2"/>
        <v>4.2761081377796071</v>
      </c>
      <c r="M5" t="s">
        <v>64</v>
      </c>
      <c r="N5" s="6" cm="1">
        <f t="array" ref="N5">SUMPRODUCT($K$2:$K$42,$E$2:$E$42,($C$2:$C$42=$M5)*1)/SUMIFS($E$2:$E$42,$C$2:$C$42,$M5)</f>
        <v>14.053147051554438</v>
      </c>
      <c r="O5" s="6" t="e" cm="1">
        <f t="array" ref="O5">SUMPRODUCT($K$2:$K$42,$E$2:$E$42,($C$2:$C$42=$M5)*1,($F$2:$F$42="No")*1)/SUMIFS($E$2:$E$42,$C$2:$C$42,$M5,$F$2:$F$42,"No")</f>
        <v>#DIV/0!</v>
      </c>
      <c r="P5" s="6" cm="1">
        <f t="array" ref="P5">SUMPRODUCT($K$2:$K$42,$E$2:$E$42,($C$2:$C$42=$M5)*1,($F$2:$F$42="Yes")*1)/SUMIFS($E$2:$E$42,$C$2:$C$42,$M5,$F$2:$F$42,"Yes")</f>
        <v>14.053147051554438</v>
      </c>
    </row>
    <row r="6" spans="1:16" x14ac:dyDescent="0.25">
      <c r="A6" s="10" t="s">
        <v>35</v>
      </c>
      <c r="B6" s="10" t="str">
        <f>INDEX(DECOM_REACTORS[Operator],MATCH(A6,DECOM_REACTORS[Reactor],0))</f>
        <v>Kernkraftwerk Brunsbüttel GmbH</v>
      </c>
      <c r="C6" s="10" t="str">
        <f>INDEX(DECOM_REACTORS[Country],MATCH(A6,DECOM_REACTORS[Reactor],0))</f>
        <v>Germany</v>
      </c>
      <c r="D6" s="10">
        <f>INDEX(DECOM_REACTORS[Net Capacity '[MW_el']],MATCH(A6,DECOM_REACTORS[Reactor],0))</f>
        <v>771</v>
      </c>
      <c r="E6" s="10">
        <f>INDEX(DECOM_REACTORS[Lifetime Electricity Supplied '[TWh']],MATCH(A6,DECOM_REACTORS[Reactor],0))</f>
        <v>120.37</v>
      </c>
      <c r="F6" s="13" t="str">
        <f>INDEX(DECOM_REACTORS[Commercial],MATCH(A6,DECOM_REACTORS[Reactor],0))</f>
        <v>Yes</v>
      </c>
      <c r="G6">
        <f>IF(COUNTIFS(DECOM_PROV[NPP],A6)&gt;0,SUMIFS(DECOM_PROV[Provisions],DECOM_PROV[NPP],A6),SUMIFS(DECOM_PROV[Provisions],DECOM_PROV[Operator],B6)/COUNTIFS(DECOM_REACTORS[Operator],B6))</f>
        <v>1092600000</v>
      </c>
      <c r="H6">
        <f>IF(COUNTIFS(DECOM_EST[Reactor or NPP],A6)&gt;0,SUMIFS(DECOM_EST[Estimated Cost],DECOM_EST[Reactor or NPP],A6),SUMIFS(DECOM_EST[Estimated Cost],DECOM_EST[Operator],B6)/COUNTIFS(DECOM_REACTORS[Operator],B6))</f>
        <v>0</v>
      </c>
      <c r="I6">
        <f t="shared" si="1"/>
        <v>1092600000</v>
      </c>
      <c r="J6">
        <f t="shared" si="0"/>
        <v>1417.1206225680935</v>
      </c>
      <c r="K6" s="6">
        <f t="shared" si="2"/>
        <v>9.077012544653984</v>
      </c>
      <c r="M6" t="s">
        <v>74</v>
      </c>
      <c r="N6" s="6" cm="1">
        <f t="array" ref="N6">SUMPRODUCT($K$2:$K$42,$E$2:$E$42,($C$2:$C$42=$M6)*1)/SUMIFS($E$2:$E$42,$C$2:$C$42,$M6)</f>
        <v>13.777457608060368</v>
      </c>
      <c r="O6" s="6" t="e" cm="1">
        <f t="array" ref="O6">SUMPRODUCT($K$2:$K$42,$E$2:$E$42,($C$2:$C$42=$M6)*1,($F$2:$F$42="No")*1)/SUMIFS($E$2:$E$42,$C$2:$C$42,$M6,$F$2:$F$42,"No")</f>
        <v>#DIV/0!</v>
      </c>
      <c r="P6" s="6" cm="1">
        <f t="array" ref="P6">SUMPRODUCT($K$2:$K$42,$E$2:$E$42,($C$2:$C$42=$M6)*1,($F$2:$F$42="Yes")*1)/SUMIFS($E$2:$E$42,$C$2:$C$42,$M6,$F$2:$F$42,"Yes")</f>
        <v>13.777457608060368</v>
      </c>
    </row>
    <row r="7" spans="1:16" x14ac:dyDescent="0.25">
      <c r="A7" s="11" t="s">
        <v>27</v>
      </c>
      <c r="B7" s="10" t="str">
        <f>INDEX(DECOM_REACTORS[Operator],MATCH(A7,DECOM_REACTORS[Reactor],0))</f>
        <v>Sogin</v>
      </c>
      <c r="C7" s="10" t="str">
        <f>INDEX(DECOM_REACTORS[Country],MATCH(A7,DECOM_REACTORS[Reactor],0))</f>
        <v>Italy</v>
      </c>
      <c r="D7" s="10">
        <f>INDEX(DECOM_REACTORS[Net Capacity '[MW_el']],MATCH(A7,DECOM_REACTORS[Reactor],0))</f>
        <v>860</v>
      </c>
      <c r="E7" s="10">
        <f>INDEX(DECOM_REACTORS[Lifetime Electricity Supplied '[TWh']],MATCH(A7,DECOM_REACTORS[Reactor],0))</f>
        <v>27.73</v>
      </c>
      <c r="F7" s="13" t="str">
        <f>INDEX(DECOM_REACTORS[Commercial],MATCH(A7,DECOM_REACTORS[Reactor],0))</f>
        <v>Yes</v>
      </c>
      <c r="G7">
        <f>IF(COUNTIFS(DECOM_PROV[NPP],A7)&gt;0,SUMIFS(DECOM_PROV[Provisions],DECOM_PROV[NPP],A7),SUMIFS(DECOM_PROV[Provisions],DECOM_PROV[Operator],B7)/COUNTIFS(DECOM_REACTORS[Operator],B7))</f>
        <v>0</v>
      </c>
      <c r="H7">
        <f>IF(COUNTIFS(DECOM_EST[Reactor or NPP],A7)&gt;0,SUMIFS(DECOM_EST[Estimated Cost],DECOM_EST[Reactor or NPP],A7),SUMIFS(DECOM_EST[Estimated Cost],DECOM_EST[Operator],B7)/COUNTIFS(DECOM_REACTORS[Operator],B7))</f>
        <v>348258706.46766174</v>
      </c>
      <c r="I7">
        <f t="shared" si="1"/>
        <v>348258706.46766174</v>
      </c>
      <c r="J7">
        <f t="shared" si="0"/>
        <v>404.95198426472297</v>
      </c>
      <c r="K7" s="6">
        <f t="shared" si="2"/>
        <v>12.558914766233745</v>
      </c>
      <c r="M7" t="s">
        <v>174</v>
      </c>
      <c r="N7" s="6">
        <f>SUMPRODUCT($K$2:$K$42,$E$2:$E$42)/SUM($E$2:$E$42)</f>
        <v>6.8072641565434102</v>
      </c>
      <c r="O7" s="6" cm="1">
        <f t="array" ref="O7">SUMPRODUCT($K$2:$K$42,$E$2:$E$42,($F$2:$F$42="No")*1)/SUMIFS($E$2:$E$42,$F$2:$F$42,"No")</f>
        <v>187.79842794759821</v>
      </c>
      <c r="P7" s="6" cm="1">
        <f t="array" ref="P7">SUMPRODUCT($K$2:$K$42,$E$2:$E$42,($F$2:$F$42="Yes")*1)/SUMIFS($E$2:$E$42,$F$2:$F$42,"Yes")</f>
        <v>6.440971411099194</v>
      </c>
    </row>
    <row r="8" spans="1:16" x14ac:dyDescent="0.25">
      <c r="A8" s="10" t="s">
        <v>61</v>
      </c>
      <c r="B8" s="10" t="str">
        <f>INDEX(DECOM_REACTORS[Operator],MATCH(A8,DECOM_REACTORS[Reactor],0))</f>
        <v>KKE</v>
      </c>
      <c r="C8" s="10" t="str">
        <f>INDEX(DECOM_REACTORS[Country],MATCH(A8,DECOM_REACTORS[Reactor],0))</f>
        <v>Germany</v>
      </c>
      <c r="D8" s="10">
        <f>INDEX(DECOM_REACTORS[Net Capacity '[MW_el']],MATCH(A8,DECOM_REACTORS[Reactor],0))</f>
        <v>1335</v>
      </c>
      <c r="E8" s="10">
        <f>INDEX(DECOM_REACTORS[Lifetime Electricity Supplied '[TWh']],MATCH(A8,DECOM_REACTORS[Reactor],0))</f>
        <v>370.62</v>
      </c>
      <c r="F8" s="13" t="str">
        <f>INDEX(DECOM_REACTORS[Commercial],MATCH(A8,DECOM_REACTORS[Reactor],0))</f>
        <v>Yes</v>
      </c>
      <c r="G8">
        <f>IF(COUNTIFS(DECOM_PROV[NPP],A8)&gt;0,SUMIFS(DECOM_PROV[Provisions],DECOM_PROV[NPP],A8),SUMIFS(DECOM_PROV[Provisions],DECOM_PROV[Operator],B8)/COUNTIFS(DECOM_REACTORS[Operator],B8))</f>
        <v>1362000000</v>
      </c>
      <c r="H8">
        <f>IF(COUNTIFS(DECOM_EST[Reactor or NPP],A8)&gt;0,SUMIFS(DECOM_EST[Estimated Cost],DECOM_EST[Reactor or NPP],A8),SUMIFS(DECOM_EST[Estimated Cost],DECOM_EST[Operator],B8)/COUNTIFS(DECOM_REACTORS[Operator],B8))</f>
        <v>0</v>
      </c>
      <c r="I8">
        <f t="shared" si="1"/>
        <v>1362000000</v>
      </c>
      <c r="J8">
        <f t="shared" si="0"/>
        <v>1020.2247191011236</v>
      </c>
      <c r="K8" s="6">
        <f t="shared" si="2"/>
        <v>3.6749231018293669</v>
      </c>
    </row>
    <row r="9" spans="1:16" x14ac:dyDescent="0.25">
      <c r="A9" s="11" t="s">
        <v>28</v>
      </c>
      <c r="B9" s="10" t="str">
        <f>INDEX(DECOM_REACTORS[Operator],MATCH(A9,DECOM_REACTORS[Reactor],0))</f>
        <v>Sogin</v>
      </c>
      <c r="C9" s="10" t="str">
        <f>INDEX(DECOM_REACTORS[Country],MATCH(A9,DECOM_REACTORS[Reactor],0))</f>
        <v>Italy</v>
      </c>
      <c r="D9" s="10">
        <f>INDEX(DECOM_REACTORS[Net Capacity '[MW_el']],MATCH(A9,DECOM_REACTORS[Reactor],0))</f>
        <v>260</v>
      </c>
      <c r="E9" s="10">
        <f>INDEX(DECOM_REACTORS[Lifetime Electricity Supplied '[TWh']],MATCH(A9,DECOM_REACTORS[Reactor],0))</f>
        <v>24.31</v>
      </c>
      <c r="F9" s="13" t="str">
        <f>INDEX(DECOM_REACTORS[Commercial],MATCH(A9,DECOM_REACTORS[Reactor],0))</f>
        <v>Yes</v>
      </c>
      <c r="G9">
        <f>IF(COUNTIFS(DECOM_PROV[NPP],A9)&gt;0,SUMIFS(DECOM_PROV[Provisions],DECOM_PROV[NPP],A9),SUMIFS(DECOM_PROV[Provisions],DECOM_PROV[Operator],B9)/COUNTIFS(DECOM_REACTORS[Operator],B9))</f>
        <v>0</v>
      </c>
      <c r="H9">
        <f>IF(COUNTIFS(DECOM_EST[Reactor or NPP],A9)&gt;0,SUMIFS(DECOM_EST[Estimated Cost],DECOM_EST[Reactor or NPP],A9),SUMIFS(DECOM_EST[Estimated Cost],DECOM_EST[Operator],B9)/COUNTIFS(DECOM_REACTORS[Operator],B9))</f>
        <v>243781094.52736321</v>
      </c>
      <c r="I9">
        <f t="shared" si="1"/>
        <v>243781094.52736321</v>
      </c>
      <c r="J9">
        <f t="shared" si="0"/>
        <v>937.61959433601237</v>
      </c>
      <c r="K9" s="6">
        <f t="shared" si="2"/>
        <v>10.028017051722058</v>
      </c>
    </row>
    <row r="10" spans="1:16" ht="45" x14ac:dyDescent="0.25">
      <c r="A10" s="10" t="s">
        <v>29</v>
      </c>
      <c r="B10" s="10" t="str">
        <f>INDEX(DECOM_REACTORS[Operator],MATCH(A10,DECOM_REACTORS[Reactor],0))</f>
        <v>Sogin</v>
      </c>
      <c r="C10" s="10" t="str">
        <f>INDEX(DECOM_REACTORS[Country],MATCH(A10,DECOM_REACTORS[Reactor],0))</f>
        <v>Italy</v>
      </c>
      <c r="D10" s="10">
        <f>INDEX(DECOM_REACTORS[Net Capacity '[MW_el']],MATCH(A10,DECOM_REACTORS[Reactor],0))</f>
        <v>150</v>
      </c>
      <c r="E10" s="10">
        <f>INDEX(DECOM_REACTORS[Lifetime Electricity Supplied '[TWh']],MATCH(A10,DECOM_REACTORS[Reactor],0))</f>
        <v>12.25</v>
      </c>
      <c r="F10" s="13" t="str">
        <f>INDEX(DECOM_REACTORS[Commercial],MATCH(A10,DECOM_REACTORS[Reactor],0))</f>
        <v>Yes</v>
      </c>
      <c r="G10">
        <f>IF(COUNTIFS(DECOM_PROV[NPP],A10)&gt;0,SUMIFS(DECOM_PROV[Provisions],DECOM_PROV[NPP],A10),SUMIFS(DECOM_PROV[Provisions],DECOM_PROV[Operator],B10)/COUNTIFS(DECOM_REACTORS[Operator],B10))</f>
        <v>0</v>
      </c>
      <c r="H10">
        <f>IF(COUNTIFS(DECOM_EST[Reactor or NPP],A10)&gt;0,SUMIFS(DECOM_EST[Estimated Cost],DECOM_EST[Reactor or NPP],A10),SUMIFS(DECOM_EST[Estimated Cost],DECOM_EST[Operator],B10)/COUNTIFS(DECOM_REACTORS[Operator],B10))</f>
        <v>358208955.22388065</v>
      </c>
      <c r="I10">
        <f t="shared" si="1"/>
        <v>358208955.22388065</v>
      </c>
      <c r="J10">
        <f t="shared" si="0"/>
        <v>2388.0597014925374</v>
      </c>
      <c r="K10" s="6">
        <f t="shared" si="2"/>
        <v>29.241547365214746</v>
      </c>
      <c r="M10" s="1" t="s">
        <v>212</v>
      </c>
      <c r="N10" s="19" t="s">
        <v>207</v>
      </c>
      <c r="O10" s="19" t="s">
        <v>208</v>
      </c>
      <c r="P10" s="19" t="s">
        <v>209</v>
      </c>
    </row>
    <row r="11" spans="1:16" x14ac:dyDescent="0.25">
      <c r="A11" s="11" t="s">
        <v>36</v>
      </c>
      <c r="B11" s="10" t="str">
        <f>INDEX(DECOM_REACTORS[Operator],MATCH(A11,DECOM_REACTORS[Reactor],0))</f>
        <v>E.ON Kernkraft GmbH</v>
      </c>
      <c r="C11" s="10" t="str">
        <f>INDEX(DECOM_REACTORS[Country],MATCH(A11,DECOM_REACTORS[Reactor],0))</f>
        <v>Germany</v>
      </c>
      <c r="D11" s="10">
        <f>INDEX(DECOM_REACTORS[Net Capacity '[MW_el']],MATCH(A11,DECOM_REACTORS[Reactor],0))</f>
        <v>1275</v>
      </c>
      <c r="E11" s="10">
        <f>INDEX(DECOM_REACTORS[Lifetime Electricity Supplied '[TWh']],MATCH(A11,DECOM_REACTORS[Reactor],0))</f>
        <v>315.58</v>
      </c>
      <c r="F11" s="13" t="str">
        <f>INDEX(DECOM_REACTORS[Commercial],MATCH(A11,DECOM_REACTORS[Reactor],0))</f>
        <v>Yes</v>
      </c>
      <c r="G11">
        <f>IF(COUNTIFS(DECOM_PROV[NPP],A11)&gt;0,SUMIFS(DECOM_PROV[Provisions],DECOM_PROV[NPP],A11),SUMIFS(DECOM_PROV[Provisions],DECOM_PROV[Operator],B11)/COUNTIFS(DECOM_REACTORS[Operator],B11))</f>
        <v>0</v>
      </c>
      <c r="H11">
        <f>IF(COUNTIFS(DECOM_EST[Reactor or NPP],A11)&gt;0,SUMIFS(DECOM_EST[Estimated Cost],DECOM_EST[Reactor or NPP],A11),SUMIFS(DECOM_EST[Estimated Cost],DECOM_EST[Operator],B11)/COUNTIFS(DECOM_REACTORS[Operator],B11))</f>
        <v>262650000</v>
      </c>
      <c r="I11">
        <f t="shared" si="1"/>
        <v>262650000</v>
      </c>
      <c r="J11">
        <f t="shared" si="0"/>
        <v>206</v>
      </c>
      <c r="K11" s="6">
        <f t="shared" si="2"/>
        <v>0.83227707712782817</v>
      </c>
      <c r="M11" t="s">
        <v>26</v>
      </c>
      <c r="N11" s="6" cm="1">
        <f t="array" ref="N11">SUMPRODUCT($K$2:$K$42,$D$2:$D$42,($C$2:$C$42=$M11)*1)/SUMIFS($D$2:$D$42,$C$2:$C$42,$M11)</f>
        <v>47.081685074836294</v>
      </c>
      <c r="O11" s="6" cm="1">
        <f t="array" ref="O11">SUMPRODUCT($K$2:$K$42,$D$2:$D$42,($C$2:$C$42=$M11)*1,($F$2:$F$42="No")*1)/SUMIFS($D$2:$D$42,$C$2:$C$42,$M11,$F$2:$F$42,"No")</f>
        <v>1703.3297195602333</v>
      </c>
      <c r="P11" s="6" cm="1">
        <f t="array" ref="P11">SUMPRODUCT($K$2:$K$42,$D$2:$D$42,($C$2:$C$42=$M11)*1,($F$2:$F$42="Yes")*1)/SUMIFS($D$2:$D$42,$C$2:$C$42,$M11,$F$2:$F$42,"Yes")</f>
        <v>15.502991452169301</v>
      </c>
    </row>
    <row r="12" spans="1:16" x14ac:dyDescent="0.25">
      <c r="A12" s="10" t="s">
        <v>37</v>
      </c>
      <c r="B12" s="10" t="str">
        <f>INDEX(DECOM_REACTORS[Operator],MATCH(A12,DECOM_REACTORS[Reactor],0))</f>
        <v>EWN</v>
      </c>
      <c r="C12" s="10" t="str">
        <f>INDEX(DECOM_REACTORS[Country],MATCH(A12,DECOM_REACTORS[Reactor],0))</f>
        <v>Germany</v>
      </c>
      <c r="D12" s="10">
        <f>INDEX(DECOM_REACTORS[Net Capacity '[MW_el']],MATCH(A12,DECOM_REACTORS[Reactor],0))</f>
        <v>408</v>
      </c>
      <c r="E12" s="10">
        <f>INDEX(DECOM_REACTORS[Lifetime Electricity Supplied '[TWh']],MATCH(A12,DECOM_REACTORS[Reactor],0))</f>
        <v>35.450000000000003</v>
      </c>
      <c r="F12" s="13" t="str">
        <f>INDEX(DECOM_REACTORS[Commercial],MATCH(A12,DECOM_REACTORS[Reactor],0))</f>
        <v>Yes</v>
      </c>
      <c r="G12">
        <f>IF(COUNTIFS(DECOM_PROV[NPP],A12)&gt;0,SUMIFS(DECOM_PROV[Provisions],DECOM_PROV[NPP],A12),SUMIFS(DECOM_PROV[Provisions],DECOM_PROV[Operator],B12)/COUNTIFS(DECOM_REACTORS[Operator],B12))</f>
        <v>0</v>
      </c>
      <c r="H12">
        <f>IF(COUNTIFS(DECOM_EST[Reactor or NPP],A12)&gt;0,SUMIFS(DECOM_EST[Estimated Cost],DECOM_EST[Reactor or NPP],A12),SUMIFS(DECOM_EST[Estimated Cost],DECOM_EST[Operator],B12)/COUNTIFS(DECOM_REACTORS[Operator],B12))</f>
        <v>1133333333.3333333</v>
      </c>
      <c r="I12">
        <f t="shared" si="1"/>
        <v>1133333333.3333333</v>
      </c>
      <c r="J12">
        <f t="shared" si="0"/>
        <v>2777.7777777777774</v>
      </c>
      <c r="K12" s="6">
        <f t="shared" si="2"/>
        <v>31.969910672308412</v>
      </c>
      <c r="M12" t="s">
        <v>64</v>
      </c>
      <c r="N12" s="6" cm="1">
        <f t="array" ref="N12">SUMPRODUCT($K$2:$K$42,$D$2:$D$42,($C$2:$C$42=$M12)*1)/SUMIFS($D$2:$D$42,$C$2:$C$42,$M12)</f>
        <v>13.818392865532111</v>
      </c>
      <c r="O12" s="6" t="e" cm="1">
        <f t="array" ref="O12">SUMPRODUCT($K$2:$K$42,$D$2:$D$42,($C$2:$C$42=$M12)*1,($F$2:$F$42="No")*1)/SUMIFS($D$2:$D$42,$C$2:$C$42,$M12,$F$2:$F$42,"No")</f>
        <v>#DIV/0!</v>
      </c>
      <c r="P12" s="6" cm="1">
        <f t="array" ref="P12">SUMPRODUCT($K$2:$K$42,$D$2:$D$42,($C$2:$C$42=$M12)*1,($F$2:$F$42="Yes")*1)/SUMIFS($D$2:$D$42,$C$2:$C$42,$M12,$F$2:$F$42,"Yes")</f>
        <v>13.818392865532111</v>
      </c>
    </row>
    <row r="13" spans="1:16" x14ac:dyDescent="0.25">
      <c r="A13" s="11" t="s">
        <v>38</v>
      </c>
      <c r="B13" s="10" t="str">
        <f>INDEX(DECOM_REACTORS[Operator],MATCH(A13,DECOM_REACTORS[Reactor],0))</f>
        <v>EWN</v>
      </c>
      <c r="C13" s="10" t="str">
        <f>INDEX(DECOM_REACTORS[Country],MATCH(A13,DECOM_REACTORS[Reactor],0))</f>
        <v>Germany</v>
      </c>
      <c r="D13" s="10">
        <f>INDEX(DECOM_REACTORS[Net Capacity '[MW_el']],MATCH(A13,DECOM_REACTORS[Reactor],0))</f>
        <v>408</v>
      </c>
      <c r="E13" s="10">
        <f>INDEX(DECOM_REACTORS[Lifetime Electricity Supplied '[TWh']],MATCH(A13,DECOM_REACTORS[Reactor],0))</f>
        <v>36.57</v>
      </c>
      <c r="F13" s="13" t="str">
        <f>INDEX(DECOM_REACTORS[Commercial],MATCH(A13,DECOM_REACTORS[Reactor],0))</f>
        <v>Yes</v>
      </c>
      <c r="G13">
        <f>IF(COUNTIFS(DECOM_PROV[NPP],A13)&gt;0,SUMIFS(DECOM_PROV[Provisions],DECOM_PROV[NPP],A13),SUMIFS(DECOM_PROV[Provisions],DECOM_PROV[Operator],B13)/COUNTIFS(DECOM_REACTORS[Operator],B13))</f>
        <v>0</v>
      </c>
      <c r="H13">
        <f>IF(COUNTIFS(DECOM_EST[Reactor or NPP],A13)&gt;0,SUMIFS(DECOM_EST[Estimated Cost],DECOM_EST[Reactor or NPP],A13),SUMIFS(DECOM_EST[Estimated Cost],DECOM_EST[Operator],B13)/COUNTIFS(DECOM_REACTORS[Operator],B13))</f>
        <v>1133333333.3333333</v>
      </c>
      <c r="I13">
        <f t="shared" si="1"/>
        <v>1133333333.3333333</v>
      </c>
      <c r="J13">
        <f t="shared" si="0"/>
        <v>2777.7777777777774</v>
      </c>
      <c r="K13" s="6">
        <f t="shared" si="2"/>
        <v>30.990793911220489</v>
      </c>
      <c r="M13" t="s">
        <v>74</v>
      </c>
      <c r="N13" s="6" cm="1">
        <f t="array" ref="N13">SUMPRODUCT($K$2:$K$42,$D$2:$D$42,($C$2:$C$42=$M13)*1)/SUMIFS($D$2:$D$42,$C$2:$C$42,$M13)</f>
        <v>14.993528130851328</v>
      </c>
      <c r="O13" s="6" t="e" cm="1">
        <f t="array" ref="O13">SUMPRODUCT($K$2:$K$42,$D$2:$D$42,($C$2:$C$42=$M13)*1,($F$2:$F$42="No")*1)/SUMIFS($D$2:$D$42,$C$2:$C$42,$M13,$F$2:$F$42,"No")</f>
        <v>#DIV/0!</v>
      </c>
      <c r="P13" s="6" cm="1">
        <f t="array" ref="P13">SUMPRODUCT($K$2:$K$42,$D$2:$D$42,($C$2:$C$42=$M13)*1,($F$2:$F$42="Yes")*1)/SUMIFS($D$2:$D$42,$C$2:$C$42,$M13,$F$2:$F$42,"Yes")</f>
        <v>14.993528130851328</v>
      </c>
    </row>
    <row r="14" spans="1:16" x14ac:dyDescent="0.25">
      <c r="A14" s="10" t="s">
        <v>39</v>
      </c>
      <c r="B14" s="10" t="str">
        <f>INDEX(DECOM_REACTORS[Operator],MATCH(A14,DECOM_REACTORS[Reactor],0))</f>
        <v>EWN</v>
      </c>
      <c r="C14" s="10" t="str">
        <f>INDEX(DECOM_REACTORS[Country],MATCH(A14,DECOM_REACTORS[Reactor],0))</f>
        <v>Germany</v>
      </c>
      <c r="D14" s="10">
        <f>INDEX(DECOM_REACTORS[Net Capacity '[MW_el']],MATCH(A14,DECOM_REACTORS[Reactor],0))</f>
        <v>408</v>
      </c>
      <c r="E14" s="10">
        <f>INDEX(DECOM_REACTORS[Lifetime Electricity Supplied '[TWh']],MATCH(A14,DECOM_REACTORS[Reactor],0))</f>
        <v>33.270000000000003</v>
      </c>
      <c r="F14" s="13" t="str">
        <f>INDEX(DECOM_REACTORS[Commercial],MATCH(A14,DECOM_REACTORS[Reactor],0))</f>
        <v>Yes</v>
      </c>
      <c r="G14">
        <f>IF(COUNTIFS(DECOM_PROV[NPP],A14)&gt;0,SUMIFS(DECOM_PROV[Provisions],DECOM_PROV[NPP],A14),SUMIFS(DECOM_PROV[Provisions],DECOM_PROV[Operator],B14)/COUNTIFS(DECOM_REACTORS[Operator],B14))</f>
        <v>0</v>
      </c>
      <c r="H14">
        <f>IF(COUNTIFS(DECOM_EST[Reactor or NPP],A14)&gt;0,SUMIFS(DECOM_EST[Estimated Cost],DECOM_EST[Reactor or NPP],A14),SUMIFS(DECOM_EST[Estimated Cost],DECOM_EST[Operator],B14)/COUNTIFS(DECOM_REACTORS[Operator],B14))</f>
        <v>1133333333.3333333</v>
      </c>
      <c r="I14">
        <f t="shared" si="1"/>
        <v>1133333333.3333333</v>
      </c>
      <c r="J14">
        <f t="shared" si="0"/>
        <v>2777.7777777777774</v>
      </c>
      <c r="K14" s="6">
        <f t="shared" si="2"/>
        <v>34.064722973649928</v>
      </c>
      <c r="M14" t="s">
        <v>174</v>
      </c>
      <c r="N14" s="6">
        <f>SUMPRODUCT($K$2:$K$42,$D$2:$D$42)/SUM($D$2:$D$42)</f>
        <v>42.988442969833997</v>
      </c>
      <c r="O14" s="6" cm="1">
        <f t="array" ref="O14">SUMPRODUCT($K$2:$K$42,$D$2:$D$42,($F$2:$F$42="No")*1)/SUMIFS($D$2:$D$42,$F$2:$F$42,"No")</f>
        <v>1703.3297195602333</v>
      </c>
      <c r="P14" s="6" cm="1">
        <f t="array" ref="P14">SUMPRODUCT($K$2:$K$42,$D$2:$D$42,($F$2:$F$42="Yes")*1)/SUMIFS($D$2:$D$42,$F$2:$F$42,"Yes")</f>
        <v>15.381419382681671</v>
      </c>
    </row>
    <row r="15" spans="1:16" x14ac:dyDescent="0.25">
      <c r="A15" s="11" t="s">
        <v>40</v>
      </c>
      <c r="B15" s="10" t="str">
        <f>INDEX(DECOM_REACTORS[Operator],MATCH(A15,DECOM_REACTORS[Reactor],0))</f>
        <v>EWN</v>
      </c>
      <c r="C15" s="10" t="str">
        <f>INDEX(DECOM_REACTORS[Country],MATCH(A15,DECOM_REACTORS[Reactor],0))</f>
        <v>Germany</v>
      </c>
      <c r="D15" s="10">
        <f>INDEX(DECOM_REACTORS[Net Capacity '[MW_el']],MATCH(A15,DECOM_REACTORS[Reactor],0))</f>
        <v>408</v>
      </c>
      <c r="E15" s="10">
        <f>INDEX(DECOM_REACTORS[Lifetime Electricity Supplied '[TWh']],MATCH(A15,DECOM_REACTORS[Reactor],0))</f>
        <v>28.92</v>
      </c>
      <c r="F15" s="13" t="str">
        <f>INDEX(DECOM_REACTORS[Commercial],MATCH(A15,DECOM_REACTORS[Reactor],0))</f>
        <v>Yes</v>
      </c>
      <c r="G15">
        <f>IF(COUNTIFS(DECOM_PROV[NPP],A15)&gt;0,SUMIFS(DECOM_PROV[Provisions],DECOM_PROV[NPP],A15),SUMIFS(DECOM_PROV[Provisions],DECOM_PROV[Operator],B15)/COUNTIFS(DECOM_REACTORS[Operator],B15))</f>
        <v>0</v>
      </c>
      <c r="H15">
        <f>IF(COUNTIFS(DECOM_EST[Reactor or NPP],A15)&gt;0,SUMIFS(DECOM_EST[Estimated Cost],DECOM_EST[Reactor or NPP],A15),SUMIFS(DECOM_EST[Estimated Cost],DECOM_EST[Operator],B15)/COUNTIFS(DECOM_REACTORS[Operator],B15))</f>
        <v>1133333333.3333333</v>
      </c>
      <c r="I15">
        <f t="shared" si="1"/>
        <v>1133333333.3333333</v>
      </c>
      <c r="J15">
        <f t="shared" si="0"/>
        <v>2777.7777777777774</v>
      </c>
      <c r="K15" s="6">
        <f t="shared" si="2"/>
        <v>39.188566159520512</v>
      </c>
    </row>
    <row r="16" spans="1:16" x14ac:dyDescent="0.25">
      <c r="A16" s="10" t="s">
        <v>41</v>
      </c>
      <c r="B16" s="10" t="str">
        <f>INDEX(DECOM_REACTORS[Operator],MATCH(A16,DECOM_REACTORS[Reactor],0))</f>
        <v>EWN</v>
      </c>
      <c r="C16" s="10" t="str">
        <f>INDEX(DECOM_REACTORS[Country],MATCH(A16,DECOM_REACTORS[Reactor],0))</f>
        <v>Germany</v>
      </c>
      <c r="D16" s="10">
        <f>INDEX(DECOM_REACTORS[Net Capacity '[MW_el']],MATCH(A16,DECOM_REACTORS[Reactor],0))</f>
        <v>408</v>
      </c>
      <c r="E16" s="10">
        <f>INDEX(DECOM_REACTORS[Lifetime Electricity Supplied '[TWh']],MATCH(A16,DECOM_REACTORS[Reactor],0))</f>
        <v>0</v>
      </c>
      <c r="F16" s="13" t="str">
        <f>INDEX(DECOM_REACTORS[Commercial],MATCH(A16,DECOM_REACTORS[Reactor],0))</f>
        <v>Yes</v>
      </c>
      <c r="G16">
        <f>IF(COUNTIFS(DECOM_PROV[NPP],A16)&gt;0,SUMIFS(DECOM_PROV[Provisions],DECOM_PROV[NPP],A16),SUMIFS(DECOM_PROV[Provisions],DECOM_PROV[Operator],B16)/COUNTIFS(DECOM_REACTORS[Operator],B16))</f>
        <v>0</v>
      </c>
      <c r="H16">
        <f>IF(COUNTIFS(DECOM_EST[Reactor or NPP],A16)&gt;0,SUMIFS(DECOM_EST[Estimated Cost],DECOM_EST[Reactor or NPP],A16),SUMIFS(DECOM_EST[Estimated Cost],DECOM_EST[Operator],B16)/COUNTIFS(DECOM_REACTORS[Operator],B16))</f>
        <v>1133333333.3333333</v>
      </c>
      <c r="I16">
        <f t="shared" si="1"/>
        <v>1133333333.3333333</v>
      </c>
      <c r="J16">
        <f t="shared" si="0"/>
        <v>2777.7777777777774</v>
      </c>
      <c r="K16" s="21">
        <f t="shared" si="2"/>
        <v>39.188566159520512</v>
      </c>
      <c r="L16" s="8" t="s">
        <v>219</v>
      </c>
    </row>
    <row r="17" spans="1:17" x14ac:dyDescent="0.25">
      <c r="A17" s="11" t="s">
        <v>42</v>
      </c>
      <c r="B17" s="10" t="str">
        <f>INDEX(DECOM_REACTORS[Operator],MATCH(A17,DECOM_REACTORS[Reactor],0))</f>
        <v>KWG oHG</v>
      </c>
      <c r="C17" s="10" t="str">
        <f>INDEX(DECOM_REACTORS[Country],MATCH(A17,DECOM_REACTORS[Reactor],0))</f>
        <v>Germany</v>
      </c>
      <c r="D17" s="10">
        <f>INDEX(DECOM_REACTORS[Net Capacity '[MW_el']],MATCH(A17,DECOM_REACTORS[Reactor],0))</f>
        <v>1360</v>
      </c>
      <c r="E17" s="10">
        <f>INDEX(DECOM_REACTORS[Lifetime Electricity Supplied '[TWh']],MATCH(A17,DECOM_REACTORS[Reactor],0))</f>
        <v>386.84</v>
      </c>
      <c r="F17" s="13" t="str">
        <f>INDEX(DECOM_REACTORS[Commercial],MATCH(A17,DECOM_REACTORS[Reactor],0))</f>
        <v>Yes</v>
      </c>
      <c r="G17">
        <f>IF(COUNTIFS(DECOM_PROV[NPP],A17)&gt;0,SUMIFS(DECOM_PROV[Provisions],DECOM_PROV[NPP],A17),SUMIFS(DECOM_PROV[Provisions],DECOM_PROV[Operator],B17)/COUNTIFS(DECOM_REACTORS[Operator],B17))</f>
        <v>1484000000</v>
      </c>
      <c r="H17">
        <f>IF(COUNTIFS(DECOM_EST[Reactor or NPP],A17)&gt;0,SUMIFS(DECOM_EST[Estimated Cost],DECOM_EST[Reactor or NPP],A17),SUMIFS(DECOM_EST[Estimated Cost],DECOM_EST[Operator],B17)/COUNTIFS(DECOM_REACTORS[Operator],B17))</f>
        <v>0</v>
      </c>
      <c r="I17">
        <f t="shared" si="1"/>
        <v>1484000000</v>
      </c>
      <c r="J17">
        <f t="shared" si="0"/>
        <v>1091.1764705882354</v>
      </c>
      <c r="K17" s="6">
        <f t="shared" si="2"/>
        <v>3.8362113535311755</v>
      </c>
    </row>
    <row r="18" spans="1:17" x14ac:dyDescent="0.25">
      <c r="A18" s="10" t="s">
        <v>43</v>
      </c>
      <c r="B18" s="10" t="str">
        <f>INDEX(DECOM_REACTORS[Operator],MATCH(A18,DECOM_REACTORS[Reactor],0))</f>
        <v>Kernkraftwerk Gundremmingen GmbH</v>
      </c>
      <c r="C18" s="10" t="str">
        <f>INDEX(DECOM_REACTORS[Country],MATCH(A18,DECOM_REACTORS[Reactor],0))</f>
        <v>Germany</v>
      </c>
      <c r="D18" s="10">
        <f>INDEX(DECOM_REACTORS[Net Capacity '[MW_el']],MATCH(A18,DECOM_REACTORS[Reactor],0))</f>
        <v>237</v>
      </c>
      <c r="E18" s="10">
        <f>INDEX(DECOM_REACTORS[Lifetime Electricity Supplied '[TWh']],MATCH(A18,DECOM_REACTORS[Reactor],0))</f>
        <v>13.79</v>
      </c>
      <c r="F18" s="13" t="str">
        <f>INDEX(DECOM_REACTORS[Commercial],MATCH(A18,DECOM_REACTORS[Reactor],0))</f>
        <v>Yes</v>
      </c>
      <c r="G18">
        <f>IF(COUNTIFS(DECOM_PROV[NPP],A18)&gt;0,SUMIFS(DECOM_PROV[Provisions],DECOM_PROV[NPP],A18),SUMIFS(DECOM_PROV[Provisions],DECOM_PROV[Operator],B18)/COUNTIFS(DECOM_REACTORS[Operator],B18))</f>
        <v>0</v>
      </c>
      <c r="H18">
        <f>IF(COUNTIFS(DECOM_EST[Reactor or NPP],A18)&gt;0,SUMIFS(DECOM_EST[Estimated Cost],DECOM_EST[Reactor or NPP],A18),SUMIFS(DECOM_EST[Estimated Cost],DECOM_EST[Operator],B18)/COUNTIFS(DECOM_REACTORS[Operator],B18))</f>
        <v>2311300000</v>
      </c>
      <c r="I18">
        <f t="shared" si="1"/>
        <v>2311300000</v>
      </c>
      <c r="J18">
        <f t="shared" si="0"/>
        <v>9752.3206751054859</v>
      </c>
      <c r="K18" s="6">
        <f t="shared" si="2"/>
        <v>167.60696156635242</v>
      </c>
    </row>
    <row r="19" spans="1:17" x14ac:dyDescent="0.25">
      <c r="A19" s="11" t="s">
        <v>44</v>
      </c>
      <c r="B19" s="10" t="str">
        <f>INDEX(DECOM_REACTORS[Operator],MATCH(A19,DECOM_REACTORS[Reactor],0))</f>
        <v>Kernkraftwerk Gundremmingen GmbH</v>
      </c>
      <c r="C19" s="10" t="str">
        <f>INDEX(DECOM_REACTORS[Country],MATCH(A19,DECOM_REACTORS[Reactor],0))</f>
        <v>Germany</v>
      </c>
      <c r="D19" s="10">
        <f>INDEX(DECOM_REACTORS[Net Capacity '[MW_el']],MATCH(A19,DECOM_REACTORS[Reactor],0))</f>
        <v>1284</v>
      </c>
      <c r="E19" s="10">
        <f>INDEX(DECOM_REACTORS[Lifetime Electricity Supplied '[TWh']],MATCH(A19,DECOM_REACTORS[Reactor],0))</f>
        <v>314.49</v>
      </c>
      <c r="F19" s="13" t="str">
        <f>INDEX(DECOM_REACTORS[Commercial],MATCH(A19,DECOM_REACTORS[Reactor],0))</f>
        <v>Yes</v>
      </c>
      <c r="G19">
        <f>IF(COUNTIFS(DECOM_PROV[NPP],A19)&gt;0,SUMIFS(DECOM_PROV[Provisions],DECOM_PROV[NPP],A19),SUMIFS(DECOM_PROV[Provisions],DECOM_PROV[Operator],B19)/COUNTIFS(DECOM_REACTORS[Operator],B19))</f>
        <v>0</v>
      </c>
      <c r="H19">
        <f>IF(COUNTIFS(DECOM_EST[Reactor or NPP],A19)&gt;0,SUMIFS(DECOM_EST[Estimated Cost],DECOM_EST[Reactor or NPP],A19),SUMIFS(DECOM_EST[Estimated Cost],DECOM_EST[Operator],B19)/COUNTIFS(DECOM_REACTORS[Operator],B19))</f>
        <v>770433333.33333337</v>
      </c>
      <c r="I19">
        <f t="shared" si="1"/>
        <v>770433333.33333337</v>
      </c>
      <c r="J19">
        <f t="shared" si="0"/>
        <v>600.02596053997922</v>
      </c>
      <c r="K19" s="6">
        <f t="shared" si="2"/>
        <v>2.449786426701432</v>
      </c>
      <c r="N19" s="8" t="s">
        <v>220</v>
      </c>
      <c r="Q19" t="s">
        <v>132</v>
      </c>
    </row>
    <row r="20" spans="1:17" x14ac:dyDescent="0.25">
      <c r="A20" s="10" t="s">
        <v>45</v>
      </c>
      <c r="B20" s="10" t="str">
        <f>INDEX(DECOM_REACTORS[Operator],MATCH(A20,DECOM_REACTORS[Reactor],0))</f>
        <v>Kernkraftwerk Gundremmingen GmbH</v>
      </c>
      <c r="C20" s="10" t="str">
        <f>INDEX(DECOM_REACTORS[Country],MATCH(A20,DECOM_REACTORS[Reactor],0))</f>
        <v>Germany</v>
      </c>
      <c r="D20" s="10">
        <f>INDEX(DECOM_REACTORS[Net Capacity '[MW_el']],MATCH(A20,DECOM_REACTORS[Reactor],0))</f>
        <v>1288</v>
      </c>
      <c r="E20" s="10">
        <f>INDEX(DECOM_REACTORS[Lifetime Electricity Supplied '[TWh']],MATCH(A20,DECOM_REACTORS[Reactor],0))</f>
        <v>344.66</v>
      </c>
      <c r="F20" s="13" t="str">
        <f>INDEX(DECOM_REACTORS[Commercial],MATCH(A20,DECOM_REACTORS[Reactor],0))</f>
        <v>Yes</v>
      </c>
      <c r="G20">
        <f>IF(COUNTIFS(DECOM_PROV[NPP],A20)&gt;0,SUMIFS(DECOM_PROV[Provisions],DECOM_PROV[NPP],A20),SUMIFS(DECOM_PROV[Provisions],DECOM_PROV[Operator],B20)/COUNTIFS(DECOM_REACTORS[Operator],B20))</f>
        <v>0</v>
      </c>
      <c r="H20">
        <f>IF(COUNTIFS(DECOM_EST[Reactor or NPP],A20)&gt;0,SUMIFS(DECOM_EST[Estimated Cost],DECOM_EST[Reactor or NPP],A20),SUMIFS(DECOM_EST[Estimated Cost],DECOM_EST[Operator],B20)/COUNTIFS(DECOM_REACTORS[Operator],B20))</f>
        <v>770433333.33333337</v>
      </c>
      <c r="I20">
        <f t="shared" si="1"/>
        <v>770433333.33333337</v>
      </c>
      <c r="J20">
        <f t="shared" si="0"/>
        <v>598.16252587991721</v>
      </c>
      <c r="K20" s="6">
        <f t="shared" si="2"/>
        <v>2.2353430433857522</v>
      </c>
      <c r="N20" t="s">
        <v>222</v>
      </c>
      <c r="O20">
        <v>23.556000000000001</v>
      </c>
      <c r="P20" t="s">
        <v>223</v>
      </c>
      <c r="Q20" t="s">
        <v>227</v>
      </c>
    </row>
    <row r="21" spans="1:17" x14ac:dyDescent="0.25">
      <c r="A21" s="10" t="s">
        <v>73</v>
      </c>
      <c r="B21" s="10" t="str">
        <f>INDEX(DECOM_REACTORS[Operator],MATCH(A21,DECOM_REACTORS[Reactor],0))</f>
        <v>IAE</v>
      </c>
      <c r="C21" s="10" t="str">
        <f>INDEX(DECOM_REACTORS[Country],MATCH(A21,DECOM_REACTORS[Reactor],0))</f>
        <v>Lithuania</v>
      </c>
      <c r="D21" s="10">
        <f>INDEX(DECOM_REACTORS[Net Capacity '[MW_el']],MATCH(A21,DECOM_REACTORS[Reactor],0))</f>
        <v>1185</v>
      </c>
      <c r="E21" s="10">
        <f>INDEX(DECOM_REACTORS[Lifetime Electricity Supplied '[TWh']],MATCH(A21,DECOM_REACTORS[Reactor],0))</f>
        <v>86.39</v>
      </c>
      <c r="F21" s="13" t="str">
        <f>INDEX(DECOM_REACTORS[Commercial],MATCH(A21,DECOM_REACTORS[Reactor],0))</f>
        <v>Yes</v>
      </c>
      <c r="G21">
        <f>IF(COUNTIFS(DECOM_PROV[NPP],A21)&gt;0,SUMIFS(DECOM_PROV[Provisions],DECOM_PROV[NPP],A21),SUMIFS(DECOM_PROV[Provisions],DECOM_PROV[Operator],B21)/COUNTIFS(DECOM_REACTORS[Operator],B21))</f>
        <v>0</v>
      </c>
      <c r="H21">
        <f>IF(COUNTIFS(DECOM_EST[Reactor or NPP],A21)&gt;0,SUMIFS(DECOM_EST[Estimated Cost],DECOM_EST[Reactor or NPP],A21),SUMIFS(DECOM_EST[Estimated Cost],DECOM_EST[Operator],B21)/COUNTIFS(DECOM_REACTORS[Operator],B21))</f>
        <v>1664179104.477612</v>
      </c>
      <c r="I21">
        <f t="shared" si="1"/>
        <v>1664179104.477612</v>
      </c>
      <c r="J21">
        <f t="shared" si="0"/>
        <v>1404.3705523017823</v>
      </c>
      <c r="K21" s="6">
        <f>IFERROR(I21/(E21*1000000),#REF!)</f>
        <v>19.263561806662949</v>
      </c>
      <c r="N21" t="s">
        <v>129</v>
      </c>
      <c r="O21">
        <v>140</v>
      </c>
      <c r="P21" t="s">
        <v>223</v>
      </c>
      <c r="Q21" t="s">
        <v>233</v>
      </c>
    </row>
    <row r="22" spans="1:17" x14ac:dyDescent="0.25">
      <c r="A22" s="11" t="s">
        <v>75</v>
      </c>
      <c r="B22" s="10" t="str">
        <f>INDEX(DECOM_REACTORS[Operator],MATCH(A22,DECOM_REACTORS[Reactor],0))</f>
        <v>IAE</v>
      </c>
      <c r="C22" s="10" t="str">
        <f>INDEX(DECOM_REACTORS[Country],MATCH(A22,DECOM_REACTORS[Reactor],0))</f>
        <v>Lithuania</v>
      </c>
      <c r="D22" s="10">
        <f>INDEX(DECOM_REACTORS[Net Capacity '[MW_el']],MATCH(A22,DECOM_REACTORS[Reactor],0))</f>
        <v>1185</v>
      </c>
      <c r="E22" s="10">
        <f>INDEX(DECOM_REACTORS[Lifetime Electricity Supplied '[TWh']],MATCH(A22,DECOM_REACTORS[Reactor],0))</f>
        <v>155.19</v>
      </c>
      <c r="F22" s="13" t="str">
        <f>INDEX(DECOM_REACTORS[Commercial],MATCH(A22,DECOM_REACTORS[Reactor],0))</f>
        <v>Yes</v>
      </c>
      <c r="G22">
        <f>IF(COUNTIFS(DECOM_PROV[NPP],A22)&gt;0,SUMIFS(DECOM_PROV[Provisions],DECOM_PROV[NPP],A22),SUMIFS(DECOM_PROV[Provisions],DECOM_PROV[Operator],B22)/COUNTIFS(DECOM_REACTORS[Operator],B22))</f>
        <v>0</v>
      </c>
      <c r="H22">
        <f>IF(COUNTIFS(DECOM_EST[Reactor or NPP],A22)&gt;0,SUMIFS(DECOM_EST[Estimated Cost],DECOM_EST[Reactor or NPP],A22),SUMIFS(DECOM_EST[Estimated Cost],DECOM_EST[Operator],B22)/COUNTIFS(DECOM_REACTORS[Operator],B22))</f>
        <v>1664179104.477612</v>
      </c>
      <c r="I22">
        <f t="shared" si="1"/>
        <v>1664179104.477612</v>
      </c>
      <c r="J22">
        <f t="shared" si="0"/>
        <v>1404.3705523017823</v>
      </c>
      <c r="K22" s="6">
        <f t="shared" si="2"/>
        <v>10.723494455039706</v>
      </c>
      <c r="N22" t="s">
        <v>224</v>
      </c>
      <c r="O22">
        <f>SUMIFS(Reactors!I:I,Reactors!B:B,"Germany")</f>
        <v>5337.7300000000014</v>
      </c>
      <c r="P22" t="s">
        <v>225</v>
      </c>
    </row>
    <row r="23" spans="1:17" x14ac:dyDescent="0.25">
      <c r="A23" s="10" t="s">
        <v>47</v>
      </c>
      <c r="B23" s="10" t="str">
        <f>INDEX(DECOM_REACTORS[Operator],MATCH(A23,DECOM_REACTORS[Reactor],0))</f>
        <v>E.ON Kernkraft GmbH</v>
      </c>
      <c r="C23" s="10" t="str">
        <f>INDEX(DECOM_REACTORS[Country],MATCH(A23,DECOM_REACTORS[Reactor],0))</f>
        <v>Germany</v>
      </c>
      <c r="D23" s="10">
        <f>INDEX(DECOM_REACTORS[Net Capacity '[MW_el']],MATCH(A23,DECOM_REACTORS[Reactor],0))</f>
        <v>878</v>
      </c>
      <c r="E23" s="10">
        <f>INDEX(DECOM_REACTORS[Lifetime Electricity Supplied '[TWh']],MATCH(A23,DECOM_REACTORS[Reactor],0))</f>
        <v>198.27</v>
      </c>
      <c r="F23" s="13" t="str">
        <f>INDEX(DECOM_REACTORS[Commercial],MATCH(A23,DECOM_REACTORS[Reactor],0))</f>
        <v>Yes</v>
      </c>
      <c r="G23">
        <f>IF(COUNTIFS(DECOM_PROV[NPP],A23)&gt;0,SUMIFS(DECOM_PROV[Provisions],DECOM_PROV[NPP],A23),SUMIFS(DECOM_PROV[Provisions],DECOM_PROV[Operator],B23)/COUNTIFS(DECOM_REACTORS[Operator],B23))</f>
        <v>0</v>
      </c>
      <c r="H23">
        <f>IF(COUNTIFS(DECOM_EST[Reactor or NPP],A23)&gt;0,SUMIFS(DECOM_EST[Estimated Cost],DECOM_EST[Reactor or NPP],A23),SUMIFS(DECOM_EST[Estimated Cost],DECOM_EST[Operator],B23)/COUNTIFS(DECOM_REACTORS[Operator],B23))</f>
        <v>262650000</v>
      </c>
      <c r="I23">
        <f t="shared" si="1"/>
        <v>262650000</v>
      </c>
      <c r="J23">
        <f t="shared" si="0"/>
        <v>299.14578587699316</v>
      </c>
      <c r="K23" s="6">
        <f t="shared" si="2"/>
        <v>1.3247087305189893</v>
      </c>
      <c r="N23" t="s">
        <v>234</v>
      </c>
      <c r="O23">
        <f>O20*1000/O22</f>
        <v>4.4131119408437653</v>
      </c>
      <c r="P23" t="s">
        <v>226</v>
      </c>
    </row>
    <row r="24" spans="1:17" x14ac:dyDescent="0.25">
      <c r="A24" s="11" t="s">
        <v>62</v>
      </c>
      <c r="B24" s="10" t="str">
        <f>INDEX(DECOM_REACTORS[Operator],MATCH(A24,DECOM_REACTORS[Reactor],0))</f>
        <v>PreussenElektra GmbH</v>
      </c>
      <c r="C24" s="10" t="str">
        <f>INDEX(DECOM_REACTORS[Country],MATCH(A24,DECOM_REACTORS[Reactor],0))</f>
        <v>Germany</v>
      </c>
      <c r="D24" s="10">
        <f>INDEX(DECOM_REACTORS[Net Capacity '[MW_el']],MATCH(A24,DECOM_REACTORS[Reactor],0))</f>
        <v>1410</v>
      </c>
      <c r="E24" s="10">
        <f>INDEX(DECOM_REACTORS[Lifetime Electricity Supplied '[TWh']],MATCH(A24,DECOM_REACTORS[Reactor],0))</f>
        <v>379.86</v>
      </c>
      <c r="F24" s="13" t="str">
        <f>INDEX(DECOM_REACTORS[Commercial],MATCH(A24,DECOM_REACTORS[Reactor],0))</f>
        <v>Yes</v>
      </c>
      <c r="G24">
        <f>IF(COUNTIFS(DECOM_PROV[NPP],A24)&gt;0,SUMIFS(DECOM_PROV[Provisions],DECOM_PROV[NPP],A24),SUMIFS(DECOM_PROV[Provisions],DECOM_PROV[Operator],B24)/COUNTIFS(DECOM_REACTORS[Operator],B24))</f>
        <v>4668000000</v>
      </c>
      <c r="H24">
        <f>IF(COUNTIFS(DECOM_EST[Reactor or NPP],A24)&gt;0,SUMIFS(DECOM_EST[Estimated Cost],DECOM_EST[Reactor or NPP],A24),SUMIFS(DECOM_EST[Estimated Cost],DECOM_EST[Operator],B24)/COUNTIFS(DECOM_REACTORS[Operator],B24))</f>
        <v>0</v>
      </c>
      <c r="I24">
        <f t="shared" si="1"/>
        <v>4668000000</v>
      </c>
      <c r="J24">
        <f t="shared" si="0"/>
        <v>3310.6382978723404</v>
      </c>
      <c r="K24" s="6">
        <f t="shared" si="2"/>
        <v>12.288737956089085</v>
      </c>
      <c r="N24" t="s">
        <v>235</v>
      </c>
      <c r="O24">
        <f>O21*1000/O22</f>
        <v>26.228377980901985</v>
      </c>
      <c r="P24" t="s">
        <v>226</v>
      </c>
    </row>
    <row r="25" spans="1:17" x14ac:dyDescent="0.25">
      <c r="A25" s="10" t="s">
        <v>14</v>
      </c>
      <c r="B25" s="10" t="str">
        <f>INDEX(DECOM_REACTORS[Operator],MATCH(A25,DECOM_REACTORS[Reactor],0))</f>
        <v>Kerkraftwerk-Betriebsgesellschaft</v>
      </c>
      <c r="C25" s="10" t="str">
        <f>INDEX(DECOM_REACTORS[Country],MATCH(A25,DECOM_REACTORS[Reactor],0))</f>
        <v>Germany</v>
      </c>
      <c r="D25" s="10">
        <f>INDEX(DECOM_REACTORS[Net Capacity '[MW_el']],MATCH(A25,DECOM_REACTORS[Reactor],0))</f>
        <v>17</v>
      </c>
      <c r="E25" s="10">
        <f>INDEX(DECOM_REACTORS[Lifetime Electricity Supplied '[TWh']],MATCH(A25,DECOM_REACTORS[Reactor],0))</f>
        <v>0.32</v>
      </c>
      <c r="F25" s="13" t="str">
        <f>INDEX(DECOM_REACTORS[Commercial],MATCH(A25,DECOM_REACTORS[Reactor],0))</f>
        <v>No</v>
      </c>
      <c r="G25">
        <f>IF(COUNTIFS(DECOM_PROV[NPP],A25)&gt;0,SUMIFS(DECOM_PROV[Provisions],DECOM_PROV[NPP],A25),SUMIFS(DECOM_PROV[Provisions],DECOM_PROV[Operator],B25)/COUNTIFS(DECOM_REACTORS[Operator],B25))</f>
        <v>0</v>
      </c>
      <c r="H25">
        <f>IF(COUNTIFS(DECOM_EST[Reactor or NPP],A25)&gt;0,SUMIFS(DECOM_EST[Estimated Cost],DECOM_EST[Reactor or NPP],A25),SUMIFS(DECOM_EST[Estimated Cost],DECOM_EST[Operator],B25)/COUNTIFS(DECOM_REACTORS[Operator],B25))</f>
        <v>367700000</v>
      </c>
      <c r="I25">
        <f t="shared" si="1"/>
        <v>367700000</v>
      </c>
      <c r="J25">
        <f t="shared" si="0"/>
        <v>21629.411764705881</v>
      </c>
      <c r="K25" s="6">
        <f t="shared" si="2"/>
        <v>1149.0625</v>
      </c>
    </row>
    <row r="26" spans="1:17" x14ac:dyDescent="0.25">
      <c r="A26" s="11" t="s">
        <v>48</v>
      </c>
      <c r="B26" s="10" t="str">
        <f>INDEX(DECOM_REACTORS[Operator],MATCH(A26,DECOM_REACTORS[Reactor],0))</f>
        <v>KKK oHG</v>
      </c>
      <c r="C26" s="10" t="str">
        <f>INDEX(DECOM_REACTORS[Country],MATCH(A26,DECOM_REACTORS[Reactor],0))</f>
        <v>Germany</v>
      </c>
      <c r="D26" s="10">
        <f>INDEX(DECOM_REACTORS[Net Capacity '[MW_el']],MATCH(A26,DECOM_REACTORS[Reactor],0))</f>
        <v>1346</v>
      </c>
      <c r="E26" s="10">
        <f>INDEX(DECOM_REACTORS[Lifetime Electricity Supplied '[TWh']],MATCH(A26,DECOM_REACTORS[Reactor],0))</f>
        <v>201.71</v>
      </c>
      <c r="F26" s="13" t="str">
        <f>INDEX(DECOM_REACTORS[Commercial],MATCH(A26,DECOM_REACTORS[Reactor],0))</f>
        <v>Yes</v>
      </c>
      <c r="G26">
        <f>IF(COUNTIFS(DECOM_PROV[NPP],A26)&gt;0,SUMIFS(DECOM_PROV[Provisions],DECOM_PROV[NPP],A26),SUMIFS(DECOM_PROV[Provisions],DECOM_PROV[Operator],B26)/COUNTIFS(DECOM_REACTORS[Operator],B26))</f>
        <v>1308700000</v>
      </c>
      <c r="H26">
        <f>IF(COUNTIFS(DECOM_EST[Reactor or NPP],A26)&gt;0,SUMIFS(DECOM_EST[Estimated Cost],DECOM_EST[Reactor or NPP],A26),SUMIFS(DECOM_EST[Estimated Cost],DECOM_EST[Operator],B26)/COUNTIFS(DECOM_REACTORS[Operator],B26))</f>
        <v>0</v>
      </c>
      <c r="I26">
        <f t="shared" si="1"/>
        <v>1308700000</v>
      </c>
      <c r="J26">
        <f t="shared" si="0"/>
        <v>972.28826151560179</v>
      </c>
      <c r="K26" s="6">
        <f t="shared" si="2"/>
        <v>6.4880273660205248</v>
      </c>
    </row>
    <row r="27" spans="1:17" x14ac:dyDescent="0.25">
      <c r="A27" s="10" t="s">
        <v>30</v>
      </c>
      <c r="B27" s="10" t="str">
        <f>INDEX(DECOM_REACTORS[Operator],MATCH(A27,DECOM_REACTORS[Reactor],0))</f>
        <v>Sogin</v>
      </c>
      <c r="C27" s="10" t="str">
        <f>INDEX(DECOM_REACTORS[Country],MATCH(A27,DECOM_REACTORS[Reactor],0))</f>
        <v>Italy</v>
      </c>
      <c r="D27" s="10">
        <f>INDEX(DECOM_REACTORS[Net Capacity '[MW_el']],MATCH(A27,DECOM_REACTORS[Reactor],0))</f>
        <v>153</v>
      </c>
      <c r="E27" s="10">
        <f>INDEX(DECOM_REACTORS[Lifetime Electricity Supplied '[TWh']],MATCH(A27,DECOM_REACTORS[Reactor],0))</f>
        <v>25.49</v>
      </c>
      <c r="F27" s="13" t="str">
        <f>INDEX(DECOM_REACTORS[Commercial],MATCH(A27,DECOM_REACTORS[Reactor],0))</f>
        <v>Yes</v>
      </c>
      <c r="G27">
        <f>IF(COUNTIFS(DECOM_PROV[NPP],A27)&gt;0,SUMIFS(DECOM_PROV[Provisions],DECOM_PROV[NPP],A27),SUMIFS(DECOM_PROV[Provisions],DECOM_PROV[Operator],B27)/COUNTIFS(DECOM_REACTORS[Operator],B27))</f>
        <v>0</v>
      </c>
      <c r="H27">
        <f>IF(COUNTIFS(DECOM_EST[Reactor or NPP],A27)&gt;0,SUMIFS(DECOM_EST[Estimated Cost],DECOM_EST[Reactor or NPP],A27),SUMIFS(DECOM_EST[Estimated Cost],DECOM_EST[Operator],B27)/COUNTIFS(DECOM_REACTORS[Operator],B27))</f>
        <v>311442786.06965178</v>
      </c>
      <c r="I27">
        <f t="shared" si="1"/>
        <v>311442786.06965178</v>
      </c>
      <c r="J27">
        <f t="shared" si="0"/>
        <v>2035.5737651611228</v>
      </c>
      <c r="K27" s="6">
        <f t="shared" si="2"/>
        <v>12.218234055302149</v>
      </c>
      <c r="M27" s="8" t="s">
        <v>238</v>
      </c>
    </row>
    <row r="28" spans="1:17" x14ac:dyDescent="0.25">
      <c r="A28" s="11" t="s">
        <v>49</v>
      </c>
      <c r="B28" s="10" t="str">
        <f>INDEX(DECOM_REACTORS[Operator],MATCH(A28,DECOM_REACTORS[Reactor],0))</f>
        <v>KWL</v>
      </c>
      <c r="C28" s="10" t="str">
        <f>INDEX(DECOM_REACTORS[Country],MATCH(A28,DECOM_REACTORS[Reactor],0))</f>
        <v>Germany</v>
      </c>
      <c r="D28" s="10">
        <f>INDEX(DECOM_REACTORS[Net Capacity '[MW_el']],MATCH(A28,DECOM_REACTORS[Reactor],0))</f>
        <v>183</v>
      </c>
      <c r="E28" s="10">
        <f>INDEX(DECOM_REACTORS[Lifetime Electricity Supplied '[TWh']],MATCH(A28,DECOM_REACTORS[Reactor],0))</f>
        <v>9.14</v>
      </c>
      <c r="F28" s="13" t="str">
        <f>INDEX(DECOM_REACTORS[Commercial],MATCH(A28,DECOM_REACTORS[Reactor],0))</f>
        <v>Yes</v>
      </c>
      <c r="G28">
        <f>IF(COUNTIFS(DECOM_PROV[NPP],A28)&gt;0,SUMIFS(DECOM_PROV[Provisions],DECOM_PROV[NPP],A28),SUMIFS(DECOM_PROV[Provisions],DECOM_PROV[Operator],B28)/COUNTIFS(DECOM_REACTORS[Operator],B28))</f>
        <v>202000000</v>
      </c>
      <c r="H28">
        <f>IF(COUNTIFS(DECOM_EST[Reactor or NPP],A28)&gt;0,SUMIFS(DECOM_EST[Estimated Cost],DECOM_EST[Reactor or NPP],A28),SUMIFS(DECOM_EST[Estimated Cost],DECOM_EST[Operator],B28)/COUNTIFS(DECOM_REACTORS[Operator],B28))</f>
        <v>0</v>
      </c>
      <c r="I28">
        <f t="shared" si="1"/>
        <v>202000000</v>
      </c>
      <c r="J28">
        <f t="shared" si="0"/>
        <v>1103.8251366120219</v>
      </c>
      <c r="K28" s="6">
        <f t="shared" si="2"/>
        <v>22.100656455142232</v>
      </c>
    </row>
    <row r="29" spans="1:17" ht="45" x14ac:dyDescent="0.25">
      <c r="A29" s="10" t="s">
        <v>50</v>
      </c>
      <c r="B29" s="10" t="str">
        <f>INDEX(DECOM_REACTORS[Operator],MATCH(A29,DECOM_REACTORS[Reactor],0))</f>
        <v>RWE Nuclear GmbH</v>
      </c>
      <c r="C29" s="10" t="str">
        <f>INDEX(DECOM_REACTORS[Country],MATCH(A29,DECOM_REACTORS[Reactor],0))</f>
        <v>Germany</v>
      </c>
      <c r="D29" s="10">
        <f>INDEX(DECOM_REACTORS[Net Capacity '[MW_el']],MATCH(A29,DECOM_REACTORS[Reactor],0))</f>
        <v>1219</v>
      </c>
      <c r="E29" s="10">
        <f>INDEX(DECOM_REACTORS[Lifetime Electricity Supplied '[TWh']],MATCH(A29,DECOM_REACTORS[Reactor],0))</f>
        <v>10.29</v>
      </c>
      <c r="F29" s="13" t="str">
        <f>INDEX(DECOM_REACTORS[Commercial],MATCH(A29,DECOM_REACTORS[Reactor],0))</f>
        <v>Yes</v>
      </c>
      <c r="G29">
        <f>IF(COUNTIFS(DECOM_PROV[NPP],A29)&gt;0,SUMIFS(DECOM_PROV[Provisions],DECOM_PROV[NPP],A29),SUMIFS(DECOM_PROV[Provisions],DECOM_PROV[Operator],B29)/COUNTIFS(DECOM_REACTORS[Operator],B29))</f>
        <v>1489000000</v>
      </c>
      <c r="H29">
        <f>IF(COUNTIFS(DECOM_EST[Reactor or NPP],A29)&gt;0,SUMIFS(DECOM_EST[Estimated Cost],DECOM_EST[Reactor or NPP],A29),SUMIFS(DECOM_EST[Estimated Cost],DECOM_EST[Operator],B29)/COUNTIFS(DECOM_REACTORS[Operator],B29))</f>
        <v>761700000</v>
      </c>
      <c r="I29">
        <f t="shared" si="1"/>
        <v>1489000000</v>
      </c>
      <c r="J29">
        <f t="shared" si="0"/>
        <v>1221.4930270713701</v>
      </c>
      <c r="K29" s="6">
        <f t="shared" si="2"/>
        <v>144.70359572400389</v>
      </c>
      <c r="M29" s="1" t="s">
        <v>210</v>
      </c>
      <c r="N29" s="19" t="s">
        <v>207</v>
      </c>
      <c r="O29" s="19" t="s">
        <v>208</v>
      </c>
      <c r="P29" s="19" t="s">
        <v>209</v>
      </c>
    </row>
    <row r="30" spans="1:17" x14ac:dyDescent="0.25">
      <c r="A30" s="11" t="s">
        <v>18</v>
      </c>
      <c r="B30" s="10" t="str">
        <f>INDEX(DECOM_REACTORS[Operator],MATCH(A30,DECOM_REACTORS[Reactor],0))</f>
        <v xml:space="preserve">KERNKRAFTWERK-BETRIEBSGESELLSCHAFT MBH </v>
      </c>
      <c r="C30" s="10" t="str">
        <f>INDEX(DECOM_REACTORS[Country],MATCH(A30,DECOM_REACTORS[Reactor],0))</f>
        <v>Germany</v>
      </c>
      <c r="D30" s="10">
        <f>INDEX(DECOM_REACTORS[Net Capacity '[MW_el']],MATCH(A30,DECOM_REACTORS[Reactor],0))</f>
        <v>52</v>
      </c>
      <c r="E30" s="10">
        <f>INDEX(DECOM_REACTORS[Lifetime Electricity Supplied '[TWh']],MATCH(A30,DECOM_REACTORS[Reactor],0))</f>
        <v>4.79</v>
      </c>
      <c r="F30" s="13" t="str">
        <f>INDEX(DECOM_REACTORS[Commercial],MATCH(A30,DECOM_REACTORS[Reactor],0))</f>
        <v>No</v>
      </c>
      <c r="G30">
        <f>IF(COUNTIFS(DECOM_PROV[NPP],A30)&gt;0,SUMIFS(DECOM_PROV[Provisions],DECOM_PROV[NPP],A30),SUMIFS(DECOM_PROV[Provisions],DECOM_PROV[Operator],B30)/COUNTIFS(DECOM_REACTORS[Operator],B30))</f>
        <v>0</v>
      </c>
      <c r="H30">
        <f>IF(COUNTIFS(DECOM_EST[Reactor or NPP],A30)&gt;0,SUMIFS(DECOM_EST[Estimated Cost],DECOM_EST[Reactor or NPP],A30),SUMIFS(DECOM_EST[Estimated Cost],DECOM_EST[Operator],B30)/COUNTIFS(DECOM_REACTORS[Operator],B30))</f>
        <v>390492000</v>
      </c>
      <c r="I30">
        <f t="shared" si="1"/>
        <v>390492000</v>
      </c>
      <c r="J30">
        <f t="shared" si="0"/>
        <v>7509.4615384615381</v>
      </c>
      <c r="K30" s="6">
        <f t="shared" si="2"/>
        <v>81.522338204592899</v>
      </c>
      <c r="M30" t="s">
        <v>26</v>
      </c>
      <c r="N30" s="6" cm="1">
        <f t="array" ref="N30">SUMPRODUCT($J$2:$J$42,$E$2:$E$42,($C$2:$C$42=$M30)*1)/SUMIFS($E$2:$E$42,$C$2:$C$42,$M30)</f>
        <v>1119.3139102995797</v>
      </c>
      <c r="O30" s="6" cm="1">
        <f t="array" ref="O30">SUMPRODUCT($J$2:$J$42,$E$2:$E$42,($C$2:$C$42=$M30)*1,($F$2:$F$42="No")*1)/SUMIFS($E$2:$E$42,$C$2:$C$42,$M30,$F$2:$F$42,"No")</f>
        <v>10043.844072209498</v>
      </c>
      <c r="P30" s="6" cm="1">
        <f t="array" ref="P30">SUMPRODUCT($J$2:$J$42,$E$2:$E$42,($C$2:$C$42=$M30)*1,($F$2:$F$42="Yes")*1)/SUMIFS($E$2:$E$42,$C$2:$C$42,$M30,$F$2:$F$42,"Yes")</f>
        <v>1100.128651130618</v>
      </c>
    </row>
    <row r="31" spans="1:17" x14ac:dyDescent="0.25">
      <c r="A31" s="10" t="s">
        <v>51</v>
      </c>
      <c r="B31" s="10" t="str">
        <f>INDEX(DECOM_REACTORS[Operator],MATCH(A31,DECOM_REACTORS[Reactor],0))</f>
        <v>EnBW Kernkraft GmbH</v>
      </c>
      <c r="C31" s="10" t="str">
        <f>INDEX(DECOM_REACTORS[Country],MATCH(A31,DECOM_REACTORS[Reactor],0))</f>
        <v>Germany</v>
      </c>
      <c r="D31" s="10">
        <f>INDEX(DECOM_REACTORS[Net Capacity '[MW_el']],MATCH(A31,DECOM_REACTORS[Reactor],0))</f>
        <v>785</v>
      </c>
      <c r="E31" s="10">
        <f>INDEX(DECOM_REACTORS[Lifetime Electricity Supplied '[TWh']],MATCH(A31,DECOM_REACTORS[Reactor],0))</f>
        <v>186.8</v>
      </c>
      <c r="F31" s="13" t="str">
        <f>INDEX(DECOM_REACTORS[Commercial],MATCH(A31,DECOM_REACTORS[Reactor],0))</f>
        <v>Yes</v>
      </c>
      <c r="G31">
        <f>IF(COUNTIFS(DECOM_PROV[NPP],A31)&gt;0,SUMIFS(DECOM_PROV[Provisions],DECOM_PROV[NPP],A31),SUMIFS(DECOM_PROV[Provisions],DECOM_PROV[Operator],B31)/COUNTIFS(DECOM_REACTORS[Operator],B31))</f>
        <v>1094000000</v>
      </c>
      <c r="H31">
        <f>IF(COUNTIFS(DECOM_EST[Reactor or NPP],A31)&gt;0,SUMIFS(DECOM_EST[Estimated Cost],DECOM_EST[Reactor or NPP],A31),SUMIFS(DECOM_EST[Estimated Cost],DECOM_EST[Operator],B31)/COUNTIFS(DECOM_REACTORS[Operator],B31))</f>
        <v>0</v>
      </c>
      <c r="I31">
        <f t="shared" si="1"/>
        <v>1094000000</v>
      </c>
      <c r="J31">
        <f t="shared" si="0"/>
        <v>1393.6305732484077</v>
      </c>
      <c r="K31" s="6">
        <f t="shared" si="2"/>
        <v>5.8565310492505356</v>
      </c>
      <c r="M31" t="s">
        <v>64</v>
      </c>
      <c r="N31" s="6" cm="1">
        <f t="array" ref="N31">SUMPRODUCT($J$2:$J$42,$E$2:$E$42,($C$2:$C$42=$M31)*1)/SUMIFS($E$2:$E$42,$C$2:$C$42,$M31)</f>
        <v>1282.7284192382472</v>
      </c>
      <c r="O31" s="6" t="e" cm="1">
        <f t="array" ref="O31">SUMPRODUCT($J$2:$J$42,$E$2:$E$42,($C$2:$C$42=$M31)*1,($F$2:$F$42="No")*1)/SUMIFS($E$2:$E$42,$C$2:$C$42,$M31,$F$2:$F$42,"No")</f>
        <v>#DIV/0!</v>
      </c>
      <c r="P31" s="6" cm="1">
        <f t="array" ref="P31">SUMPRODUCT($J$2:$J$42,$E$2:$E$42,($C$2:$C$42=$M31)*1,($F$2:$F$42="Yes")*1)/SUMIFS($E$2:$E$42,$C$2:$C$42,$M31,$F$2:$F$42,"Yes")</f>
        <v>1282.7284192382472</v>
      </c>
    </row>
    <row r="32" spans="1:17" x14ac:dyDescent="0.25">
      <c r="A32" s="11" t="s">
        <v>63</v>
      </c>
      <c r="B32" s="10" t="str">
        <f>INDEX(DECOM_REACTORS[Operator],MATCH(A32,DECOM_REACTORS[Reactor],0))</f>
        <v>EnBW Kernkraft GmbH</v>
      </c>
      <c r="C32" s="10" t="str">
        <f>INDEX(DECOM_REACTORS[Country],MATCH(A32,DECOM_REACTORS[Reactor],0))</f>
        <v>Germany</v>
      </c>
      <c r="D32" s="10">
        <f>INDEX(DECOM_REACTORS[Net Capacity '[MW_el']],MATCH(A32,DECOM_REACTORS[Reactor],0))</f>
        <v>1310</v>
      </c>
      <c r="E32" s="10">
        <f>INDEX(DECOM_REACTORS[Lifetime Electricity Supplied '[TWh']],MATCH(A32,DECOM_REACTORS[Reactor],0))</f>
        <v>349.42</v>
      </c>
      <c r="F32" s="13" t="str">
        <f>INDEX(DECOM_REACTORS[Commercial],MATCH(A32,DECOM_REACTORS[Reactor],0))</f>
        <v>Yes</v>
      </c>
      <c r="G32">
        <f>IF(COUNTIFS(DECOM_PROV[NPP],A32)&gt;0,SUMIFS(DECOM_PROV[Provisions],DECOM_PROV[NPP],A32),SUMIFS(DECOM_PROV[Provisions],DECOM_PROV[Operator],B32)/COUNTIFS(DECOM_REACTORS[Operator],B32))</f>
        <v>700400000</v>
      </c>
      <c r="H32">
        <f>IF(COUNTIFS(DECOM_EST[Reactor or NPP],A32)&gt;0,SUMIFS(DECOM_EST[Estimated Cost],DECOM_EST[Reactor or NPP],A32),SUMIFS(DECOM_EST[Estimated Cost],DECOM_EST[Operator],B32)/COUNTIFS(DECOM_REACTORS[Operator],B32))</f>
        <v>0</v>
      </c>
      <c r="I32">
        <f t="shared" si="1"/>
        <v>700400000</v>
      </c>
      <c r="J32">
        <f t="shared" si="0"/>
        <v>534.6564885496183</v>
      </c>
      <c r="K32" s="6">
        <f t="shared" si="2"/>
        <v>2.0044645412397686</v>
      </c>
      <c r="M32" t="s">
        <v>74</v>
      </c>
      <c r="N32" s="6" cm="1">
        <f t="array" ref="N32">SUMPRODUCT($J$2:$J$42,$E$2:$E$42,($C$2:$C$42=$M32)*1)/SUMIFS($E$2:$E$42,$C$2:$C$42,$M32)</f>
        <v>1404.3705523017823</v>
      </c>
      <c r="O32" s="6" t="e" cm="1">
        <f t="array" ref="O32">SUMPRODUCT($J$2:$J$42,$E$2:$E$42,($C$2:$C$42=$M32)*1,($F$2:$F$42="No")*1)/SUMIFS($E$2:$E$42,$C$2:$C$42,$M32,$F$2:$F$42,"No")</f>
        <v>#DIV/0!</v>
      </c>
      <c r="P32" s="6" cm="1">
        <f t="array" ref="P32">SUMPRODUCT($J$2:$J$42,$E$2:$E$42,($C$2:$C$42=$M32)*1,($F$2:$F$42="Yes")*1)/SUMIFS($E$2:$E$42,$C$2:$C$42,$M32,$F$2:$F$42,"Yes")</f>
        <v>1404.3705523017823</v>
      </c>
    </row>
    <row r="33" spans="1:16" x14ac:dyDescent="0.25">
      <c r="A33" s="10" t="s">
        <v>52</v>
      </c>
      <c r="B33" s="10" t="str">
        <f>INDEX(DECOM_REACTORS[Operator],MATCH(A33,DECOM_REACTORS[Reactor],0))</f>
        <v>Karlsruher Institut für Technologie (Kernforschungszentrum Karlsruhe -KfK)</v>
      </c>
      <c r="C33" s="10" t="str">
        <f>INDEX(DECOM_REACTORS[Country],MATCH(A33,DECOM_REACTORS[Reactor],0))</f>
        <v>Germany</v>
      </c>
      <c r="D33" s="10">
        <f>INDEX(DECOM_REACTORS[Net Capacity '[MW_el']],MATCH(A33,DECOM_REACTORS[Reactor],0))</f>
        <v>100</v>
      </c>
      <c r="E33" s="10">
        <f>INDEX(DECOM_REACTORS[Lifetime Electricity Supplied '[TWh']],MATCH(A33,DECOM_REACTORS[Reactor],0))</f>
        <v>0.02</v>
      </c>
      <c r="F33" s="13" t="str">
        <f>INDEX(DECOM_REACTORS[Commercial],MATCH(A33,DECOM_REACTORS[Reactor],0))</f>
        <v>No</v>
      </c>
      <c r="G33">
        <f>IF(COUNTIFS(DECOM_PROV[NPP],A33)&gt;0,SUMIFS(DECOM_PROV[Provisions],DECOM_PROV[NPP],A33),SUMIFS(DECOM_PROV[Provisions],DECOM_PROV[Operator],B33)/COUNTIFS(DECOM_REACTORS[Operator],B33))</f>
        <v>0</v>
      </c>
      <c r="H33">
        <f>IF(COUNTIFS(DECOM_EST[Reactor or NPP],A33)&gt;0,SUMIFS(DECOM_EST[Estimated Cost],DECOM_EST[Reactor or NPP],A33),SUMIFS(DECOM_EST[Estimated Cost],DECOM_EST[Operator],B33)/COUNTIFS(DECOM_REACTORS[Operator],B33))</f>
        <v>147100000</v>
      </c>
      <c r="I33">
        <f t="shared" si="1"/>
        <v>147100000</v>
      </c>
      <c r="J33">
        <f t="shared" si="0"/>
        <v>1471</v>
      </c>
      <c r="K33" s="6">
        <f t="shared" si="2"/>
        <v>7355</v>
      </c>
      <c r="M33" t="s">
        <v>174</v>
      </c>
      <c r="N33" s="6">
        <f>SUMPRODUCT($J$2:$J$42,$E$2:$E$42)/SUM($E$2:$E$42)</f>
        <v>1134.0491650829674</v>
      </c>
      <c r="O33" s="6" cm="1">
        <f t="array" ref="O33">SUMPRODUCT($J$2:$J$42,$E$2:$E$42,($F$2:$F$42="No")*1)/SUMIFS($E$2:$E$42,$F$2:$F$42,"No")</f>
        <v>10043.844072209498</v>
      </c>
      <c r="P33" s="6" cm="1">
        <f t="array" ref="P33">SUMPRODUCT($J$2:$J$42,$E$2:$E$42,($F$2:$F$42="Yes")*1)/SUMIFS($E$2:$E$42,$F$2:$F$42,"Yes")</f>
        <v>1116.0173829256687</v>
      </c>
    </row>
    <row r="34" spans="1:16" x14ac:dyDescent="0.25">
      <c r="A34" s="11" t="s">
        <v>53</v>
      </c>
      <c r="B34" s="10" t="str">
        <f>INDEX(DECOM_REACTORS[Operator],MATCH(A34,DECOM_REACTORS[Reactor],0))</f>
        <v>EnBW Kernkraft GmbH</v>
      </c>
      <c r="C34" s="10" t="str">
        <f>INDEX(DECOM_REACTORS[Country],MATCH(A34,DECOM_REACTORS[Reactor],0))</f>
        <v>Germany</v>
      </c>
      <c r="D34" s="10">
        <f>INDEX(DECOM_REACTORS[Net Capacity '[MW_el']],MATCH(A34,DECOM_REACTORS[Reactor],0))</f>
        <v>340</v>
      </c>
      <c r="E34" s="10">
        <f>INDEX(DECOM_REACTORS[Lifetime Electricity Supplied '[TWh']],MATCH(A34,DECOM_REACTORS[Reactor],0))</f>
        <v>86.82</v>
      </c>
      <c r="F34" s="13" t="str">
        <f>INDEX(DECOM_REACTORS[Commercial],MATCH(A34,DECOM_REACTORS[Reactor],0))</f>
        <v>Yes</v>
      </c>
      <c r="G34">
        <f>IF(COUNTIFS(DECOM_PROV[NPP],A34)&gt;0,SUMIFS(DECOM_PROV[Provisions],DECOM_PROV[NPP],A34),SUMIFS(DECOM_PROV[Provisions],DECOM_PROV[Operator],B34)/COUNTIFS(DECOM_REACTORS[Operator],B34))</f>
        <v>193000000</v>
      </c>
      <c r="H34">
        <f>IF(COUNTIFS(DECOM_EST[Reactor or NPP],A34)&gt;0,SUMIFS(DECOM_EST[Estimated Cost],DECOM_EST[Reactor or NPP],A34),SUMIFS(DECOM_EST[Estimated Cost],DECOM_EST[Operator],B34)/COUNTIFS(DECOM_REACTORS[Operator],B34))</f>
        <v>630400000</v>
      </c>
      <c r="I34">
        <f t="shared" si="1"/>
        <v>630400000</v>
      </c>
      <c r="J34">
        <f t="shared" si="0"/>
        <v>1854.1176470588234</v>
      </c>
      <c r="K34" s="6">
        <f t="shared" si="2"/>
        <v>7.2609997696383326</v>
      </c>
    </row>
    <row r="35" spans="1:16" x14ac:dyDescent="0.25">
      <c r="A35" s="10" t="s">
        <v>54</v>
      </c>
      <c r="B35" s="10" t="str">
        <f>INDEX(DECOM_REACTORS[Operator],MATCH(A35,DECOM_REACTORS[Reactor],0))</f>
        <v>EnBW Kernkraft GmbH</v>
      </c>
      <c r="C35" s="10" t="str">
        <f>INDEX(DECOM_REACTORS[Country],MATCH(A35,DECOM_REACTORS[Reactor],0))</f>
        <v>Germany</v>
      </c>
      <c r="D35" s="10">
        <f>INDEX(DECOM_REACTORS[Net Capacity '[MW_el']],MATCH(A35,DECOM_REACTORS[Reactor],0))</f>
        <v>890</v>
      </c>
      <c r="E35" s="10">
        <f>INDEX(DECOM_REACTORS[Lifetime Electricity Supplied '[TWh']],MATCH(A35,DECOM_REACTORS[Reactor],0))</f>
        <v>187.55</v>
      </c>
      <c r="F35" s="13" t="str">
        <f>INDEX(DECOM_REACTORS[Commercial],MATCH(A35,DECOM_REACTORS[Reactor],0))</f>
        <v>Yes</v>
      </c>
      <c r="G35">
        <f>IF(COUNTIFS(DECOM_PROV[NPP],A35)&gt;0,SUMIFS(DECOM_PROV[Provisions],DECOM_PROV[NPP],A35),SUMIFS(DECOM_PROV[Provisions],DECOM_PROV[Operator],B35)/COUNTIFS(DECOM_REACTORS[Operator],B35))</f>
        <v>700400000</v>
      </c>
      <c r="H35">
        <f>IF(COUNTIFS(DECOM_EST[Reactor or NPP],A35)&gt;0,SUMIFS(DECOM_EST[Estimated Cost],DECOM_EST[Reactor or NPP],A35),SUMIFS(DECOM_EST[Estimated Cost],DECOM_EST[Operator],B35)/COUNTIFS(DECOM_REACTORS[Operator],B35))</f>
        <v>0</v>
      </c>
      <c r="I35">
        <f t="shared" si="1"/>
        <v>700400000</v>
      </c>
      <c r="J35">
        <f t="shared" si="0"/>
        <v>786.96629213483141</v>
      </c>
      <c r="K35" s="6">
        <f t="shared" si="2"/>
        <v>3.7344708077845907</v>
      </c>
    </row>
    <row r="36" spans="1:16" ht="45" x14ac:dyDescent="0.25">
      <c r="A36" s="11" t="s">
        <v>55</v>
      </c>
      <c r="B36" s="10" t="str">
        <f>INDEX(DECOM_REACTORS[Operator],MATCH(A36,DECOM_REACTORS[Reactor],0))</f>
        <v>EnBW Kernkraft GmbH</v>
      </c>
      <c r="C36" s="10" t="str">
        <f>INDEX(DECOM_REACTORS[Country],MATCH(A36,DECOM_REACTORS[Reactor],0))</f>
        <v>Germany</v>
      </c>
      <c r="D36" s="10">
        <f>INDEX(DECOM_REACTORS[Net Capacity '[MW_el']],MATCH(A36,DECOM_REACTORS[Reactor],0))</f>
        <v>1402</v>
      </c>
      <c r="E36" s="10">
        <f>INDEX(DECOM_REACTORS[Lifetime Electricity Supplied '[TWh']],MATCH(A36,DECOM_REACTORS[Reactor],0))</f>
        <v>357.04</v>
      </c>
      <c r="F36" s="13" t="str">
        <f>INDEX(DECOM_REACTORS[Commercial],MATCH(A36,DECOM_REACTORS[Reactor],0))</f>
        <v>Yes</v>
      </c>
      <c r="G36">
        <f>IF(COUNTIFS(DECOM_PROV[NPP],A36)&gt;0,SUMIFS(DECOM_PROV[Provisions],DECOM_PROV[NPP],A36),SUMIFS(DECOM_PROV[Provisions],DECOM_PROV[Operator],B36)/COUNTIFS(DECOM_REACTORS[Operator],B36))</f>
        <v>700400000</v>
      </c>
      <c r="H36">
        <f>IF(COUNTIFS(DECOM_EST[Reactor or NPP],A36)&gt;0,SUMIFS(DECOM_EST[Estimated Cost],DECOM_EST[Reactor or NPP],A36),SUMIFS(DECOM_EST[Estimated Cost],DECOM_EST[Operator],B36)/COUNTIFS(DECOM_REACTORS[Operator],B36))</f>
        <v>0</v>
      </c>
      <c r="I36">
        <f t="shared" si="1"/>
        <v>700400000</v>
      </c>
      <c r="J36">
        <f t="shared" si="0"/>
        <v>499.57203994293866</v>
      </c>
      <c r="K36" s="6">
        <f t="shared" si="2"/>
        <v>1.9616849652699977</v>
      </c>
      <c r="M36" s="1" t="s">
        <v>212</v>
      </c>
      <c r="N36" s="19" t="s">
        <v>207</v>
      </c>
      <c r="O36" s="19" t="s">
        <v>208</v>
      </c>
      <c r="P36" s="19" t="s">
        <v>209</v>
      </c>
    </row>
    <row r="37" spans="1:16" x14ac:dyDescent="0.25">
      <c r="A37" s="10" t="s">
        <v>56</v>
      </c>
      <c r="B37" s="10" t="str">
        <f>INDEX(DECOM_REACTORS[Operator],MATCH(A37,DECOM_REACTORS[Reactor],0))</f>
        <v>EWN</v>
      </c>
      <c r="C37" s="10" t="str">
        <f>INDEX(DECOM_REACTORS[Country],MATCH(A37,DECOM_REACTORS[Reactor],0))</f>
        <v>Germany</v>
      </c>
      <c r="D37" s="10">
        <f>INDEX(DECOM_REACTORS[Net Capacity '[MW_el']],MATCH(A37,DECOM_REACTORS[Reactor],0))</f>
        <v>62</v>
      </c>
      <c r="E37" s="10">
        <f>INDEX(DECOM_REACTORS[Lifetime Electricity Supplied '[TWh']],MATCH(A37,DECOM_REACTORS[Reactor],0))</f>
        <v>9</v>
      </c>
      <c r="F37" s="13" t="str">
        <f>INDEX(DECOM_REACTORS[Commercial],MATCH(A37,DECOM_REACTORS[Reactor],0))</f>
        <v>Yes</v>
      </c>
      <c r="G37">
        <f>IF(COUNTIFS(DECOM_PROV[NPP],A37)&gt;0,SUMIFS(DECOM_PROV[Provisions],DECOM_PROV[NPP],A37),SUMIFS(DECOM_PROV[Provisions],DECOM_PROV[Operator],B37)/COUNTIFS(DECOM_REACTORS[Operator],B37))</f>
        <v>0</v>
      </c>
      <c r="H37">
        <f>IF(COUNTIFS(DECOM_EST[Reactor or NPP],A37)&gt;0,SUMIFS(DECOM_EST[Estimated Cost],DECOM_EST[Reactor or NPP],A37),SUMIFS(DECOM_EST[Estimated Cost],DECOM_EST[Operator],B37)/COUNTIFS(DECOM_REACTORS[Operator],B37))</f>
        <v>1133333333.3333333</v>
      </c>
      <c r="I37">
        <f t="shared" si="1"/>
        <v>1133333333.3333333</v>
      </c>
      <c r="J37">
        <f t="shared" si="0"/>
        <v>18279.569892473119</v>
      </c>
      <c r="K37" s="6">
        <f t="shared" si="2"/>
        <v>125.92592592592592</v>
      </c>
      <c r="M37" t="s">
        <v>26</v>
      </c>
      <c r="N37" s="6" cm="1">
        <f t="array" ref="N37">SUMPRODUCT($J$2:$J$42,$D$2:$D$42,($C$2:$C$42=$M37)*1)/SUMIFS($D$2:$D$42,$C$2:$C$42,$M37)</f>
        <v>1333.3665528146744</v>
      </c>
      <c r="O37" s="6" cm="1">
        <f t="array" ref="O37">SUMPRODUCT($J$2:$J$42,$D$2:$D$42,($C$2:$C$42=$M37)*1,($F$2:$F$42="No")*1)/SUMIFS($D$2:$D$42,$C$2:$C$42,$M37,$F$2:$F$42,"No")</f>
        <v>4361.6470588235297</v>
      </c>
      <c r="P37" s="6" cm="1">
        <f t="array" ref="P37">SUMPRODUCT($J$2:$J$42,$D$2:$D$42,($C$2:$C$42=$M37)*1,($F$2:$F$42="Yes")*1)/SUMIFS($D$2:$D$42,$C$2:$C$42,$M37,$F$2:$F$42,"Yes")</f>
        <v>1275.6281342254192</v>
      </c>
    </row>
    <row r="38" spans="1:16" x14ac:dyDescent="0.25">
      <c r="A38" s="11" t="s">
        <v>57</v>
      </c>
      <c r="B38" s="10" t="str">
        <f>INDEX(DECOM_REACTORS[Operator],MATCH(A38,DECOM_REACTORS[Reactor],0))</f>
        <v>E.ON Kernkraft Stade GmbH &amp; Co oHG</v>
      </c>
      <c r="C38" s="10" t="str">
        <f>INDEX(DECOM_REACTORS[Country],MATCH(A38,DECOM_REACTORS[Reactor],0))</f>
        <v>Germany</v>
      </c>
      <c r="D38" s="10">
        <f>INDEX(DECOM_REACTORS[Net Capacity '[MW_el']],MATCH(A38,DECOM_REACTORS[Reactor],0))</f>
        <v>640</v>
      </c>
      <c r="E38" s="10">
        <f>INDEX(DECOM_REACTORS[Lifetime Electricity Supplied '[TWh']],MATCH(A38,DECOM_REACTORS[Reactor],0))</f>
        <v>145.9</v>
      </c>
      <c r="F38" s="13" t="str">
        <f>INDEX(DECOM_REACTORS[Commercial],MATCH(A38,DECOM_REACTORS[Reactor],0))</f>
        <v>Yes</v>
      </c>
      <c r="G38">
        <f>IF(COUNTIFS(DECOM_PROV[NPP],A38)&gt;0,SUMIFS(DECOM_PROV[Provisions],DECOM_PROV[NPP],A38),SUMIFS(DECOM_PROV[Provisions],DECOM_PROV[Operator],B38)/COUNTIFS(DECOM_REACTORS[Operator],B38))</f>
        <v>258000000</v>
      </c>
      <c r="H38">
        <f>IF(COUNTIFS(DECOM_EST[Reactor or NPP],A38)&gt;0,SUMIFS(DECOM_EST[Estimated Cost],DECOM_EST[Reactor or NPP],A38),SUMIFS(DECOM_EST[Estimated Cost],DECOM_EST[Operator],B38)/COUNTIFS(DECOM_REACTORS[Operator],B38))</f>
        <v>525300000</v>
      </c>
      <c r="I38">
        <f t="shared" si="1"/>
        <v>525300000</v>
      </c>
      <c r="J38">
        <f t="shared" si="0"/>
        <v>820.78125</v>
      </c>
      <c r="K38" s="6">
        <f t="shared" si="2"/>
        <v>3.6004112405757369</v>
      </c>
      <c r="M38" t="s">
        <v>64</v>
      </c>
      <c r="N38" s="6" cm="1">
        <f t="array" ref="N38">SUMPRODUCT($J$2:$J$42,$D$2:$D$42,($C$2:$C$42=$M38)*1)/SUMIFS($D$2:$D$42,$C$2:$C$42,$M38)</f>
        <v>886.64198333700449</v>
      </c>
      <c r="O38" s="6" t="e" cm="1">
        <f t="array" ref="O38">SUMPRODUCT($J$2:$J$42,$D$2:$D$42,($C$2:$C$42=$M38)*1,($F$2:$F$42="No")*1)/SUMIFS($D$2:$D$42,$C$2:$C$42,$M38,$F$2:$F$42,"No")</f>
        <v>#DIV/0!</v>
      </c>
      <c r="P38" s="6" cm="1">
        <f t="array" ref="P38">SUMPRODUCT($J$2:$J$42,$D$2:$D$42,($C$2:$C$42=$M38)*1,($F$2:$F$42="Yes")*1)/SUMIFS($D$2:$D$42,$C$2:$C$42,$M38,$F$2:$F$42,"Yes")</f>
        <v>886.64198333700449</v>
      </c>
    </row>
    <row r="39" spans="1:16" x14ac:dyDescent="0.25">
      <c r="A39" s="10" t="s">
        <v>21</v>
      </c>
      <c r="B39" s="10" t="str">
        <f>INDEX(DECOM_REACTORS[Operator],MATCH(A39,DECOM_REACTORS[Reactor],0))</f>
        <v>HOCHTEMPERATUR-KERNKRAFTWERK GMBH</v>
      </c>
      <c r="C39" s="10" t="str">
        <f>INDEX(DECOM_REACTORS[Country],MATCH(A39,DECOM_REACTORS[Reactor],0))</f>
        <v>Germany</v>
      </c>
      <c r="D39" s="10">
        <f>INDEX(DECOM_REACTORS[Net Capacity '[MW_el']],MATCH(A39,DECOM_REACTORS[Reactor],0))</f>
        <v>296</v>
      </c>
      <c r="E39" s="10">
        <f>INDEX(DECOM_REACTORS[Lifetime Electricity Supplied '[TWh']],MATCH(A39,DECOM_REACTORS[Reactor],0))</f>
        <v>2.76</v>
      </c>
      <c r="F39" s="13" t="str">
        <f>INDEX(DECOM_REACTORS[Commercial],MATCH(A39,DECOM_REACTORS[Reactor],0))</f>
        <v>No</v>
      </c>
      <c r="G39">
        <f>IF(COUNTIFS(DECOM_PROV[NPP],A39)&gt;0,SUMIFS(DECOM_PROV[Provisions],DECOM_PROV[NPP],A39),SUMIFS(DECOM_PROV[Provisions],DECOM_PROV[Operator],B39)/COUNTIFS(DECOM_REACTORS[Operator],B39))</f>
        <v>0</v>
      </c>
      <c r="H39">
        <f>IF(COUNTIFS(DECOM_EST[Reactor or NPP],A39)&gt;0,SUMIFS(DECOM_EST[Estimated Cost],DECOM_EST[Reactor or NPP],A39),SUMIFS(DECOM_EST[Estimated Cost],DECOM_EST[Operator],B39)/COUNTIFS(DECOM_REACTORS[Operator],B39))</f>
        <v>709200000</v>
      </c>
      <c r="I39">
        <f t="shared" si="1"/>
        <v>709200000</v>
      </c>
      <c r="J39">
        <f t="shared" si="0"/>
        <v>2395.9459459459458</v>
      </c>
      <c r="K39" s="6">
        <f t="shared" si="2"/>
        <v>256.95652173913044</v>
      </c>
      <c r="M39" t="s">
        <v>74</v>
      </c>
      <c r="N39" s="6" cm="1">
        <f t="array" ref="N39">SUMPRODUCT($J$2:$J$42,$D$2:$D$42,($C$2:$C$42=$M39)*1)/SUMIFS($D$2:$D$42,$C$2:$C$42,$M39)</f>
        <v>1404.3705523017823</v>
      </c>
      <c r="O39" s="6" t="e" cm="1">
        <f t="array" ref="O39">SUMPRODUCT($J$2:$J$42,$D$2:$D$42,($C$2:$C$42=$M39)*1,($F$2:$F$42="No")*1)/SUMIFS($D$2:$D$42,$C$2:$C$42,$M39,$F$2:$F$42,"No")</f>
        <v>#DIV/0!</v>
      </c>
      <c r="P39" s="6" cm="1">
        <f t="array" ref="P39">SUMPRODUCT($J$2:$J$42,$D$2:$D$42,($C$2:$C$42=$M39)*1,($F$2:$F$42="Yes")*1)/SUMIFS($D$2:$D$42,$C$2:$C$42,$M39,$F$2:$F$42,"Yes")</f>
        <v>1404.3705523017823</v>
      </c>
    </row>
    <row r="40" spans="1:16" x14ac:dyDescent="0.25">
      <c r="A40" s="11" t="s">
        <v>58</v>
      </c>
      <c r="B40" s="10" t="str">
        <f>INDEX(DECOM_REACTORS[Operator],MATCH(A40,DECOM_REACTORS[Reactor],0))</f>
        <v>E.ON Kernkraft GmbH</v>
      </c>
      <c r="C40" s="10" t="str">
        <f>INDEX(DECOM_REACTORS[Country],MATCH(A40,DECOM_REACTORS[Reactor],0))</f>
        <v>Germany</v>
      </c>
      <c r="D40" s="10">
        <f>INDEX(DECOM_REACTORS[Net Capacity '[MW_el']],MATCH(A40,DECOM_REACTORS[Reactor],0))</f>
        <v>1345</v>
      </c>
      <c r="E40" s="10">
        <f>INDEX(DECOM_REACTORS[Lifetime Electricity Supplied '[TWh']],MATCH(A40,DECOM_REACTORS[Reactor],0))</f>
        <v>289.75</v>
      </c>
      <c r="F40" s="13" t="str">
        <f>INDEX(DECOM_REACTORS[Commercial],MATCH(A40,DECOM_REACTORS[Reactor],0))</f>
        <v>Yes</v>
      </c>
      <c r="G40">
        <f>IF(COUNTIFS(DECOM_PROV[NPP],A40)&gt;0,SUMIFS(DECOM_PROV[Provisions],DECOM_PROV[NPP],A40),SUMIFS(DECOM_PROV[Provisions],DECOM_PROV[Operator],B40)/COUNTIFS(DECOM_REACTORS[Operator],B40))</f>
        <v>0</v>
      </c>
      <c r="H40">
        <f>IF(COUNTIFS(DECOM_EST[Reactor or NPP],A40)&gt;0,SUMIFS(DECOM_EST[Estimated Cost],DECOM_EST[Reactor or NPP],A40),SUMIFS(DECOM_EST[Estimated Cost],DECOM_EST[Operator],B40)/COUNTIFS(DECOM_REACTORS[Operator],B40))</f>
        <v>262650000</v>
      </c>
      <c r="I40">
        <f t="shared" si="1"/>
        <v>262650000</v>
      </c>
      <c r="J40">
        <f t="shared" si="0"/>
        <v>195.27881040892194</v>
      </c>
      <c r="K40" s="6">
        <f t="shared" si="2"/>
        <v>0.90647109577221741</v>
      </c>
      <c r="M40" t="s">
        <v>174</v>
      </c>
      <c r="N40" s="6">
        <f>SUMPRODUCT($J$2:$J$42,$D$2:$D$42)/SUM($D$2:$D$42)</f>
        <v>1317.8601472285588</v>
      </c>
      <c r="O40" s="6" cm="1">
        <f t="array" ref="O40">SUMPRODUCT($J$2:$J$42,$D$2:$D$42,($F$2:$F$42="No")*1)/SUMIFS($D$2:$D$42,$F$2:$F$42,"No")</f>
        <v>4361.6470588235297</v>
      </c>
      <c r="P40" s="6" cm="1">
        <f t="array" ref="P40">SUMPRODUCT($J$2:$J$42,$D$2:$D$42,($F$2:$F$42="Yes")*1)/SUMIFS($D$2:$D$42,$F$2:$F$42,"Yes")</f>
        <v>1267.2501321386324</v>
      </c>
    </row>
    <row r="41" spans="1:16" x14ac:dyDescent="0.25">
      <c r="A41" s="10" t="s">
        <v>59</v>
      </c>
      <c r="B41" s="10" t="str">
        <f>INDEX(DECOM_REACTORS[Operator],MATCH(A41,DECOM_REACTORS[Reactor],0))</f>
        <v>Versuchsatomkraftwerk Kahl GmbH</v>
      </c>
      <c r="C41" s="10" t="str">
        <f>INDEX(DECOM_REACTORS[Country],MATCH(A41,DECOM_REACTORS[Reactor],0))</f>
        <v>Germany</v>
      </c>
      <c r="D41" s="10">
        <f>INDEX(DECOM_REACTORS[Net Capacity '[MW_el']],MATCH(A41,DECOM_REACTORS[Reactor],0))</f>
        <v>15</v>
      </c>
      <c r="E41" s="10">
        <f>INDEX(DECOM_REACTORS[Lifetime Electricity Supplied '[TWh']],MATCH(A41,DECOM_REACTORS[Reactor],0))</f>
        <v>2.0499999999999998</v>
      </c>
      <c r="F41" s="13" t="str">
        <f>INDEX(DECOM_REACTORS[Commercial],MATCH(A41,DECOM_REACTORS[Reactor],0))</f>
        <v>No</v>
      </c>
      <c r="G41">
        <f>IF(COUNTIFS(DECOM_PROV[NPP],A41)&gt;0,SUMIFS(DECOM_PROV[Provisions],DECOM_PROV[NPP],A41),SUMIFS(DECOM_PROV[Provisions],DECOM_PROV[Operator],B41)/COUNTIFS(DECOM_REACTORS[Operator],B41))</f>
        <v>0</v>
      </c>
      <c r="H41">
        <f>IF(COUNTIFS(DECOM_EST[Reactor or NPP],A41)&gt;0,SUMIFS(DECOM_EST[Estimated Cost],DECOM_EST[Reactor or NPP],A41),SUMIFS(DECOM_EST[Estimated Cost],DECOM_EST[Operator],B41)/COUNTIFS(DECOM_REACTORS[Operator],B41))</f>
        <v>157600000</v>
      </c>
      <c r="I41">
        <f t="shared" si="1"/>
        <v>157600000</v>
      </c>
      <c r="J41">
        <f t="shared" si="0"/>
        <v>10506.666666666666</v>
      </c>
      <c r="K41" s="6">
        <f t="shared" si="2"/>
        <v>76.878048780487816</v>
      </c>
    </row>
    <row r="42" spans="1:16" x14ac:dyDescent="0.25">
      <c r="A42" s="11" t="s">
        <v>60</v>
      </c>
      <c r="B42" s="10" t="str">
        <f>INDEX(DECOM_REACTORS[Operator],MATCH(A42,DECOM_REACTORS[Reactor],0))</f>
        <v>E.ON Kernkraft GmbH</v>
      </c>
      <c r="C42" s="10" t="str">
        <f>INDEX(DECOM_REACTORS[Country],MATCH(A42,DECOM_REACTORS[Reactor],0))</f>
        <v>Germany</v>
      </c>
      <c r="D42" s="10">
        <f>INDEX(DECOM_REACTORS[Net Capacity '[MW_el']],MATCH(A42,DECOM_REACTORS[Reactor],0))</f>
        <v>640</v>
      </c>
      <c r="E42" s="10">
        <f>INDEX(DECOM_REACTORS[Lifetime Electricity Supplied '[TWh']],MATCH(A42,DECOM_REACTORS[Reactor],0))</f>
        <v>69.680000000000007</v>
      </c>
      <c r="F42" s="13" t="str">
        <f>INDEX(DECOM_REACTORS[Commercial],MATCH(A42,DECOM_REACTORS[Reactor],0))</f>
        <v>Yes</v>
      </c>
      <c r="G42">
        <f>IF(COUNTIFS(DECOM_PROV[NPP],A42)&gt;0,SUMIFS(DECOM_PROV[Provisions],DECOM_PROV[NPP],A42),SUMIFS(DECOM_PROV[Provisions],DECOM_PROV[Operator],B42)/COUNTIFS(DECOM_REACTORS[Operator],B42))</f>
        <v>0</v>
      </c>
      <c r="H42">
        <f>IF(COUNTIFS(DECOM_EST[Reactor or NPP],A42)&gt;0,SUMIFS(DECOM_EST[Estimated Cost],DECOM_EST[Reactor or NPP],A42),SUMIFS(DECOM_EST[Estimated Cost],DECOM_EST[Operator],B42)/COUNTIFS(DECOM_REACTORS[Operator],B42))</f>
        <v>1050600000</v>
      </c>
      <c r="I42">
        <f t="shared" si="1"/>
        <v>1050600000</v>
      </c>
      <c r="J42">
        <f t="shared" si="0"/>
        <v>1641.5625</v>
      </c>
      <c r="K42" s="6">
        <f t="shared" si="2"/>
        <v>15.077497129735935</v>
      </c>
    </row>
    <row r="44" spans="1:16" x14ac:dyDescent="0.25">
      <c r="A44" t="s">
        <v>218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Data --&gt;</vt:lpstr>
      <vt:lpstr>Reactors</vt:lpstr>
      <vt:lpstr>Cost Data</vt:lpstr>
      <vt:lpstr>Sources</vt:lpstr>
      <vt:lpstr>Ownership</vt:lpstr>
      <vt:lpstr>Analysis --&gt;</vt:lpstr>
      <vt:lpstr>Decom Cost per Reactor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awi</dc:creator>
  <cp:lastModifiedBy>wip_awi</cp:lastModifiedBy>
  <dcterms:created xsi:type="dcterms:W3CDTF">2015-06-05T18:19:34Z</dcterms:created>
  <dcterms:modified xsi:type="dcterms:W3CDTF">2023-11-21T07:45:46Z</dcterms:modified>
</cp:coreProperties>
</file>