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"/>
    </mc:Choice>
  </mc:AlternateContent>
  <xr:revisionPtr revIDLastSave="0" documentId="13_ncr:1_{3C09AFF0-60F9-4353-99C0-42452BED4470}" xr6:coauthVersionLast="47" xr6:coauthVersionMax="47" xr10:uidLastSave="{00000000-0000-0000-0000-000000000000}"/>
  <bookViews>
    <workbookView xWindow="-120" yWindow="-120" windowWidth="29040" windowHeight="15840" firstSheet="7" activeTab="17" xr2:uid="{F815398C-2068-4EFB-A393-3176FD6A8F95}"/>
  </bookViews>
  <sheets>
    <sheet name="Width" sheetId="1" r:id="rId1"/>
    <sheet name="Shift" sheetId="2" r:id="rId2"/>
    <sheet name="Width (2)" sheetId="3" r:id="rId3"/>
    <sheet name="Ensembles" sheetId="4" r:id="rId4"/>
    <sheet name="Final selection" sheetId="5" r:id="rId5"/>
    <sheet name="Both" sheetId="6" r:id="rId6"/>
    <sheet name="Both vs. Shift" sheetId="7" r:id="rId7"/>
    <sheet name="Both vs. Shift on Shift Test" sheetId="18" r:id="rId8"/>
    <sheet name="Both (2)" sheetId="8" r:id="rId9"/>
    <sheet name="Both (3)" sheetId="9" r:id="rId10"/>
    <sheet name="Both (4)" sheetId="10" r:id="rId11"/>
    <sheet name="Both (5)" sheetId="11" r:id="rId12"/>
    <sheet name="Both (6)" sheetId="12" r:id="rId13"/>
    <sheet name="Both (7)" sheetId="13" r:id="rId14"/>
    <sheet name="Both (8)" sheetId="14" r:id="rId15"/>
    <sheet name="Both (9)" sheetId="15" r:id="rId16"/>
    <sheet name="Both (10)" sheetId="16" r:id="rId17"/>
    <sheet name="Both (11)" sheetId="17" r:id="rId18"/>
  </sheets>
  <definedNames>
    <definedName name="_xlnm._FilterDatabase" localSheetId="5" hidden="1">Both!$A$1:$T$41</definedName>
    <definedName name="_xlnm._FilterDatabase" localSheetId="16" hidden="1">'Both (10)'!$A$1:$T$41</definedName>
    <definedName name="_xlnm._FilterDatabase" localSheetId="17" hidden="1">'Both (11)'!$A$1:$T$41</definedName>
    <definedName name="_xlnm._FilterDatabase" localSheetId="8" hidden="1">'Both (2)'!$A$1:$T$41</definedName>
    <definedName name="_xlnm._FilterDatabase" localSheetId="9" hidden="1">'Both (3)'!$A$1:$T$41</definedName>
    <definedName name="_xlnm._FilterDatabase" localSheetId="10" hidden="1">'Both (4)'!$A$1:$T$41</definedName>
    <definedName name="_xlnm._FilterDatabase" localSheetId="11" hidden="1">'Both (5)'!$A$1:$T$41</definedName>
    <definedName name="_xlnm._FilterDatabase" localSheetId="12" hidden="1">'Both (6)'!$A$1:$T$41</definedName>
    <definedName name="_xlnm._FilterDatabase" localSheetId="13" hidden="1">'Both (7)'!$A$1:$T$41</definedName>
    <definedName name="_xlnm._FilterDatabase" localSheetId="14" hidden="1">'Both (8)'!$A$1:$T$41</definedName>
    <definedName name="_xlnm._FilterDatabase" localSheetId="15" hidden="1">'Both (9)'!$A$1:$T$41</definedName>
    <definedName name="_xlnm._FilterDatabase" localSheetId="6" hidden="1">'Both vs. Shift'!$A$1:$T$19</definedName>
    <definedName name="_xlnm._FilterDatabase" localSheetId="7" hidden="1">'Both vs. Shift on Shift Test'!$A$1:$T$17</definedName>
    <definedName name="_xlnm._FilterDatabase" localSheetId="3" hidden="1">Ensembles!$A$1:$O$1</definedName>
    <definedName name="_xlnm._FilterDatabase" localSheetId="4" hidden="1">'Final selection'!$A$1:$V$1</definedName>
    <definedName name="_xlnm._FilterDatabase" localSheetId="1" hidden="1">Shift!$A$1:$S$41</definedName>
    <definedName name="_xlnm._FilterDatabase" localSheetId="0" hidden="1">Width!$A$1:$M$1</definedName>
    <definedName name="_xlnm._FilterDatabase" localSheetId="2" hidden="1">'Width (2)'!$A$1:$O$41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F21" i="2"/>
  <c r="E21" i="2"/>
  <c r="H23" i="2"/>
  <c r="G23" i="2"/>
  <c r="F23" i="2"/>
  <c r="E23" i="2"/>
  <c r="H18" i="2"/>
  <c r="G18" i="2"/>
  <c r="F18" i="2"/>
  <c r="E18" i="2"/>
  <c r="H20" i="2"/>
  <c r="G20" i="2"/>
  <c r="F20" i="2"/>
  <c r="E20" i="2"/>
  <c r="H12" i="2"/>
  <c r="G12" i="2"/>
  <c r="F12" i="2"/>
  <c r="E12" i="2"/>
  <c r="H14" i="2"/>
  <c r="G14" i="2"/>
  <c r="F14" i="2"/>
  <c r="E14" i="2"/>
  <c r="H15" i="2"/>
  <c r="G15" i="2"/>
  <c r="F15" i="2"/>
  <c r="E15" i="2"/>
  <c r="H7" i="2"/>
  <c r="G7" i="2"/>
  <c r="F7" i="2"/>
  <c r="E7" i="2"/>
  <c r="H36" i="2"/>
  <c r="G36" i="2"/>
  <c r="F36" i="2"/>
  <c r="E36" i="2"/>
  <c r="H37" i="2"/>
  <c r="G37" i="2"/>
  <c r="F37" i="2"/>
  <c r="E37" i="2"/>
  <c r="H25" i="2"/>
  <c r="G25" i="2"/>
  <c r="F25" i="2"/>
  <c r="E25" i="2"/>
  <c r="H34" i="2"/>
  <c r="G34" i="2"/>
  <c r="F34" i="2"/>
  <c r="E34" i="2"/>
  <c r="H28" i="2"/>
  <c r="G28" i="2"/>
  <c r="F28" i="2"/>
  <c r="E28" i="2"/>
  <c r="H31" i="2"/>
  <c r="G31" i="2"/>
  <c r="F31" i="2"/>
  <c r="E31" i="2"/>
  <c r="H24" i="2"/>
  <c r="G24" i="2"/>
  <c r="F24" i="2"/>
  <c r="E24" i="2"/>
  <c r="H4" i="2"/>
  <c r="G4" i="2"/>
  <c r="F4" i="2"/>
  <c r="E4" i="2"/>
  <c r="H13" i="2"/>
  <c r="G13" i="2"/>
  <c r="F13" i="2"/>
  <c r="E13" i="2"/>
  <c r="H2" i="2"/>
  <c r="G2" i="2"/>
  <c r="F2" i="2"/>
  <c r="E2" i="2"/>
  <c r="H10" i="2"/>
  <c r="G10" i="2"/>
  <c r="F10" i="2"/>
  <c r="E10" i="2"/>
  <c r="H9" i="2"/>
  <c r="G9" i="2"/>
  <c r="F9" i="2"/>
  <c r="E9" i="2"/>
  <c r="H5" i="2"/>
  <c r="G5" i="2"/>
  <c r="F5" i="2"/>
  <c r="E5" i="2"/>
  <c r="H8" i="2"/>
  <c r="G8" i="2"/>
  <c r="F8" i="2"/>
  <c r="E8" i="2"/>
  <c r="H32" i="2"/>
  <c r="G32" i="2"/>
  <c r="F32" i="2"/>
  <c r="E32" i="2"/>
  <c r="H6" i="2"/>
  <c r="G6" i="2"/>
  <c r="F6" i="2"/>
  <c r="E6" i="2"/>
  <c r="H11" i="2"/>
  <c r="G11" i="2"/>
  <c r="F11" i="2"/>
  <c r="E11" i="2"/>
  <c r="H27" i="2"/>
  <c r="G27" i="2"/>
  <c r="F27" i="2"/>
  <c r="E27" i="2"/>
  <c r="H3" i="2"/>
  <c r="G3" i="2"/>
  <c r="F3" i="2"/>
  <c r="E3" i="2"/>
  <c r="H22" i="2"/>
  <c r="G22" i="2"/>
  <c r="F22" i="2"/>
  <c r="E22" i="2"/>
  <c r="H19" i="2"/>
  <c r="G19" i="2"/>
  <c r="F19" i="2"/>
  <c r="E19" i="2"/>
  <c r="H17" i="2"/>
  <c r="G17" i="2"/>
  <c r="F17" i="2"/>
  <c r="E17" i="2"/>
  <c r="H16" i="2"/>
  <c r="G16" i="2"/>
  <c r="F16" i="2"/>
  <c r="E16" i="2"/>
  <c r="H35" i="2"/>
  <c r="G35" i="2"/>
  <c r="F35" i="2"/>
  <c r="E35" i="2"/>
  <c r="H29" i="2"/>
  <c r="G29" i="2"/>
  <c r="F29" i="2"/>
  <c r="E29" i="2"/>
  <c r="H26" i="2"/>
  <c r="G26" i="2"/>
  <c r="F26" i="2"/>
  <c r="E26" i="2"/>
  <c r="H41" i="2"/>
  <c r="G41" i="2"/>
  <c r="F41" i="2"/>
  <c r="E41" i="2"/>
  <c r="H39" i="2"/>
  <c r="G39" i="2"/>
  <c r="F39" i="2"/>
  <c r="E39" i="2"/>
  <c r="H40" i="2"/>
  <c r="G40" i="2"/>
  <c r="F40" i="2"/>
  <c r="E40" i="2"/>
  <c r="H38" i="2"/>
  <c r="G38" i="2"/>
  <c r="F38" i="2"/>
  <c r="E38" i="2"/>
  <c r="H33" i="2"/>
  <c r="G33" i="2"/>
  <c r="F33" i="2"/>
  <c r="E33" i="2"/>
  <c r="H30" i="2"/>
  <c r="G30" i="2"/>
  <c r="F30" i="2"/>
  <c r="E30" i="2"/>
  <c r="N8" i="18" l="1"/>
  <c r="N15" i="18"/>
  <c r="N6" i="18"/>
  <c r="N9" i="18"/>
  <c r="N7" i="18"/>
  <c r="N5" i="18"/>
  <c r="N10" i="18"/>
  <c r="N16" i="18"/>
  <c r="N3" i="18"/>
  <c r="N2" i="18"/>
  <c r="N4" i="18"/>
  <c r="N11" i="18"/>
  <c r="N12" i="18"/>
  <c r="N17" i="18"/>
  <c r="N14" i="18"/>
  <c r="N13" i="18"/>
  <c r="P13" i="18"/>
  <c r="S15" i="18"/>
  <c r="R15" i="18"/>
  <c r="S8" i="18"/>
  <c r="R8" i="18"/>
  <c r="Q8" i="18"/>
  <c r="P8" i="18"/>
  <c r="S10" i="18"/>
  <c r="R10" i="18"/>
  <c r="Q10" i="18"/>
  <c r="P10" i="18"/>
  <c r="S9" i="18"/>
  <c r="R9" i="18"/>
  <c r="S6" i="18"/>
  <c r="R6" i="18"/>
  <c r="Q12" i="18"/>
  <c r="P6" i="18"/>
  <c r="P17" i="18"/>
  <c r="S7" i="18"/>
  <c r="R7" i="18"/>
  <c r="Q7" i="18"/>
  <c r="P7" i="18"/>
  <c r="P11" i="18"/>
  <c r="R11" i="18"/>
  <c r="R16" i="18"/>
  <c r="R2" i="18"/>
  <c r="U3" i="5"/>
  <c r="U4" i="5"/>
  <c r="U5" i="5"/>
  <c r="U6" i="5"/>
  <c r="U7" i="5"/>
  <c r="U8" i="5"/>
  <c r="U9" i="5"/>
  <c r="U10" i="5"/>
  <c r="U11" i="5"/>
  <c r="U12" i="5"/>
  <c r="U14" i="5"/>
  <c r="U15" i="5"/>
  <c r="U13" i="5"/>
  <c r="U16" i="5"/>
  <c r="U17" i="5"/>
  <c r="U2" i="5"/>
  <c r="T3" i="5"/>
  <c r="T4" i="5"/>
  <c r="T5" i="5"/>
  <c r="T6" i="5"/>
  <c r="T7" i="5"/>
  <c r="T8" i="5"/>
  <c r="T9" i="5"/>
  <c r="T10" i="5"/>
  <c r="T11" i="5"/>
  <c r="T12" i="5"/>
  <c r="T14" i="5"/>
  <c r="T15" i="5"/>
  <c r="T13" i="5"/>
  <c r="T16" i="5"/>
  <c r="T17" i="5"/>
  <c r="T2" i="5"/>
  <c r="S3" i="5"/>
  <c r="S4" i="5"/>
  <c r="S5" i="5"/>
  <c r="S6" i="5"/>
  <c r="S7" i="5"/>
  <c r="S8" i="5"/>
  <c r="S9" i="5"/>
  <c r="S10" i="5"/>
  <c r="S11" i="5"/>
  <c r="S12" i="5"/>
  <c r="S14" i="5"/>
  <c r="S15" i="5"/>
  <c r="S13" i="5"/>
  <c r="S16" i="5"/>
  <c r="S17" i="5"/>
  <c r="S2" i="5"/>
  <c r="R3" i="5"/>
  <c r="R4" i="5"/>
  <c r="R5" i="5"/>
  <c r="R6" i="5"/>
  <c r="V6" i="5" s="1"/>
  <c r="R7" i="5"/>
  <c r="V7" i="5" s="1"/>
  <c r="R8" i="5"/>
  <c r="V8" i="5" s="1"/>
  <c r="R9" i="5"/>
  <c r="R10" i="5"/>
  <c r="V10" i="5" s="1"/>
  <c r="R11" i="5"/>
  <c r="V11" i="5" s="1"/>
  <c r="R12" i="5"/>
  <c r="V12" i="5" s="1"/>
  <c r="R14" i="5"/>
  <c r="V14" i="5" s="1"/>
  <c r="R15" i="5"/>
  <c r="R13" i="5"/>
  <c r="V13" i="5" s="1"/>
  <c r="R16" i="5"/>
  <c r="V16" i="5" s="1"/>
  <c r="R17" i="5"/>
  <c r="R2" i="5"/>
  <c r="V2" i="5" s="1"/>
  <c r="I17" i="7"/>
  <c r="H17" i="7"/>
  <c r="G17" i="7"/>
  <c r="F17" i="7"/>
  <c r="I18" i="7"/>
  <c r="H18" i="7"/>
  <c r="G18" i="7"/>
  <c r="F18" i="7"/>
  <c r="I16" i="7"/>
  <c r="H16" i="7"/>
  <c r="G16" i="7"/>
  <c r="F16" i="7"/>
  <c r="I15" i="7"/>
  <c r="H15" i="7"/>
  <c r="G15" i="7"/>
  <c r="F15" i="7"/>
  <c r="I9" i="7"/>
  <c r="H9" i="7"/>
  <c r="G9" i="7"/>
  <c r="F9" i="7"/>
  <c r="I13" i="7"/>
  <c r="H13" i="7"/>
  <c r="G13" i="7"/>
  <c r="F13" i="7"/>
  <c r="I8" i="7"/>
  <c r="H8" i="7"/>
  <c r="G8" i="7"/>
  <c r="F8" i="7"/>
  <c r="I12" i="7"/>
  <c r="H12" i="7"/>
  <c r="G12" i="7"/>
  <c r="F12" i="7"/>
  <c r="P4" i="7"/>
  <c r="Q12" i="7"/>
  <c r="P6" i="7"/>
  <c r="R16" i="7"/>
  <c r="P9" i="7"/>
  <c r="P5" i="7"/>
  <c r="P14" i="7"/>
  <c r="P12" i="7"/>
  <c r="P10" i="7"/>
  <c r="P16" i="7"/>
  <c r="P15" i="7"/>
  <c r="P18" i="7"/>
  <c r="P2" i="7"/>
  <c r="Q5" i="7"/>
  <c r="Q3" i="7"/>
  <c r="Q8" i="7"/>
  <c r="Q4" i="7"/>
  <c r="Q7" i="7"/>
  <c r="Q6" i="7"/>
  <c r="Q11" i="7"/>
  <c r="Q14" i="7"/>
  <c r="Q9" i="7"/>
  <c r="Q10" i="7"/>
  <c r="Q16" i="7"/>
  <c r="Q13" i="7"/>
  <c r="Q17" i="7"/>
  <c r="Q19" i="7"/>
  <c r="Q15" i="7"/>
  <c r="Q18" i="7"/>
  <c r="Q2" i="7"/>
  <c r="R5" i="7"/>
  <c r="R3" i="7"/>
  <c r="R8" i="7"/>
  <c r="R4" i="7"/>
  <c r="R7" i="7"/>
  <c r="R6" i="7"/>
  <c r="R11" i="7"/>
  <c r="R14" i="7"/>
  <c r="R9" i="7"/>
  <c r="R12" i="7"/>
  <c r="R10" i="7"/>
  <c r="R13" i="7"/>
  <c r="R17" i="7"/>
  <c r="R19" i="7"/>
  <c r="R15" i="7"/>
  <c r="R18" i="7"/>
  <c r="R2" i="7"/>
  <c r="S5" i="7"/>
  <c r="S3" i="7"/>
  <c r="S8" i="7"/>
  <c r="S4" i="7"/>
  <c r="S7" i="7"/>
  <c r="S6" i="7"/>
  <c r="S11" i="7"/>
  <c r="S14" i="7"/>
  <c r="S9" i="7"/>
  <c r="S12" i="7"/>
  <c r="S10" i="7"/>
  <c r="S16" i="7"/>
  <c r="S13" i="7"/>
  <c r="S17" i="7"/>
  <c r="S19" i="7"/>
  <c r="S15" i="7"/>
  <c r="S18" i="7"/>
  <c r="S2" i="7"/>
  <c r="H16" i="17"/>
  <c r="G16" i="17"/>
  <c r="F16" i="17"/>
  <c r="E16" i="17"/>
  <c r="H20" i="17"/>
  <c r="G20" i="17"/>
  <c r="F20" i="17"/>
  <c r="E20" i="17"/>
  <c r="H26" i="17"/>
  <c r="G26" i="17"/>
  <c r="F26" i="17"/>
  <c r="E26" i="17"/>
  <c r="H23" i="17"/>
  <c r="G23" i="17"/>
  <c r="F23" i="17"/>
  <c r="E23" i="17"/>
  <c r="H18" i="17"/>
  <c r="G18" i="17"/>
  <c r="F18" i="17"/>
  <c r="E18" i="17"/>
  <c r="H10" i="17"/>
  <c r="G10" i="17"/>
  <c r="F10" i="17"/>
  <c r="E10" i="17"/>
  <c r="H12" i="17"/>
  <c r="G12" i="17"/>
  <c r="F12" i="17"/>
  <c r="E12" i="17"/>
  <c r="H14" i="17"/>
  <c r="G14" i="17"/>
  <c r="F14" i="17"/>
  <c r="E14" i="17"/>
  <c r="H13" i="17"/>
  <c r="G13" i="17"/>
  <c r="F13" i="17"/>
  <c r="E13" i="17"/>
  <c r="H6" i="17"/>
  <c r="G6" i="17"/>
  <c r="F6" i="17"/>
  <c r="E6" i="17"/>
  <c r="H19" i="17"/>
  <c r="G19" i="17"/>
  <c r="F19" i="17"/>
  <c r="E19" i="17"/>
  <c r="H15" i="17"/>
  <c r="G15" i="17"/>
  <c r="F15" i="17"/>
  <c r="E15" i="17"/>
  <c r="H8" i="17"/>
  <c r="G8" i="17"/>
  <c r="F8" i="17"/>
  <c r="E8" i="17"/>
  <c r="H11" i="17"/>
  <c r="G11" i="17"/>
  <c r="F11" i="17"/>
  <c r="E11" i="17"/>
  <c r="H7" i="17"/>
  <c r="G7" i="17"/>
  <c r="F7" i="17"/>
  <c r="E7" i="17"/>
  <c r="H9" i="17"/>
  <c r="G9" i="17"/>
  <c r="F9" i="17"/>
  <c r="E9" i="17"/>
  <c r="H2" i="17"/>
  <c r="G2" i="17"/>
  <c r="F2" i="17"/>
  <c r="E2" i="17"/>
  <c r="H4" i="17"/>
  <c r="G4" i="17"/>
  <c r="F4" i="17"/>
  <c r="E4" i="17"/>
  <c r="H3" i="17"/>
  <c r="G3" i="17"/>
  <c r="F3" i="17"/>
  <c r="E3" i="17"/>
  <c r="H5" i="17"/>
  <c r="G5" i="17"/>
  <c r="F5" i="17"/>
  <c r="E5" i="17"/>
  <c r="M41" i="17"/>
  <c r="H41" i="17"/>
  <c r="R41" i="17" s="1"/>
  <c r="G41" i="17"/>
  <c r="Q41" i="17" s="1"/>
  <c r="F41" i="17"/>
  <c r="P41" i="17" s="1"/>
  <c r="E41" i="17"/>
  <c r="O41" i="17" s="1"/>
  <c r="M40" i="17"/>
  <c r="H40" i="17"/>
  <c r="G40" i="17"/>
  <c r="Q40" i="17" s="1"/>
  <c r="F40" i="17"/>
  <c r="P40" i="17" s="1"/>
  <c r="E40" i="17"/>
  <c r="O40" i="17" s="1"/>
  <c r="Q39" i="17"/>
  <c r="M39" i="17"/>
  <c r="H39" i="17"/>
  <c r="G39" i="17"/>
  <c r="F39" i="17"/>
  <c r="E39" i="17"/>
  <c r="O39" i="17" s="1"/>
  <c r="O38" i="17"/>
  <c r="M38" i="17"/>
  <c r="H38" i="17"/>
  <c r="G38" i="17"/>
  <c r="F38" i="17"/>
  <c r="E38" i="17"/>
  <c r="M37" i="17"/>
  <c r="H37" i="17"/>
  <c r="R37" i="17" s="1"/>
  <c r="G37" i="17"/>
  <c r="Q37" i="17" s="1"/>
  <c r="F37" i="17"/>
  <c r="E37" i="17"/>
  <c r="M36" i="17"/>
  <c r="H36" i="17"/>
  <c r="R36" i="17" s="1"/>
  <c r="G36" i="17"/>
  <c r="Q36" i="17" s="1"/>
  <c r="F36" i="17"/>
  <c r="P36" i="17" s="1"/>
  <c r="E36" i="17"/>
  <c r="O36" i="17" s="1"/>
  <c r="M35" i="17"/>
  <c r="H35" i="17"/>
  <c r="R35" i="17" s="1"/>
  <c r="G35" i="17"/>
  <c r="Q35" i="17" s="1"/>
  <c r="F35" i="17"/>
  <c r="P35" i="17" s="1"/>
  <c r="E35" i="17"/>
  <c r="O35" i="17" s="1"/>
  <c r="M34" i="17"/>
  <c r="H34" i="17"/>
  <c r="G34" i="17"/>
  <c r="Q34" i="17" s="1"/>
  <c r="F34" i="17"/>
  <c r="P34" i="17" s="1"/>
  <c r="E34" i="17"/>
  <c r="O34" i="17" s="1"/>
  <c r="Q33" i="17"/>
  <c r="M33" i="17"/>
  <c r="H33" i="17"/>
  <c r="G33" i="17"/>
  <c r="F33" i="17"/>
  <c r="E33" i="17"/>
  <c r="O33" i="17" s="1"/>
  <c r="M32" i="17"/>
  <c r="H32" i="17"/>
  <c r="G32" i="17"/>
  <c r="F32" i="17"/>
  <c r="E32" i="17"/>
  <c r="M31" i="17"/>
  <c r="H31" i="17"/>
  <c r="R31" i="17" s="1"/>
  <c r="G31" i="17"/>
  <c r="Q31" i="17" s="1"/>
  <c r="F31" i="17"/>
  <c r="E31" i="17"/>
  <c r="M30" i="17"/>
  <c r="H30" i="17"/>
  <c r="R30" i="17" s="1"/>
  <c r="G30" i="17"/>
  <c r="Q30" i="17" s="1"/>
  <c r="F30" i="17"/>
  <c r="P30" i="17" s="1"/>
  <c r="E30" i="17"/>
  <c r="O30" i="17" s="1"/>
  <c r="M29" i="17"/>
  <c r="H29" i="17"/>
  <c r="R29" i="17" s="1"/>
  <c r="G29" i="17"/>
  <c r="Q29" i="17" s="1"/>
  <c r="F29" i="17"/>
  <c r="P29" i="17" s="1"/>
  <c r="E29" i="17"/>
  <c r="O29" i="17" s="1"/>
  <c r="M28" i="17"/>
  <c r="H28" i="17"/>
  <c r="G28" i="17"/>
  <c r="Q28" i="17" s="1"/>
  <c r="F28" i="17"/>
  <c r="P28" i="17" s="1"/>
  <c r="E28" i="17"/>
  <c r="O28" i="17" s="1"/>
  <c r="Q27" i="17"/>
  <c r="M27" i="17"/>
  <c r="H27" i="17"/>
  <c r="G27" i="17"/>
  <c r="F27" i="17"/>
  <c r="E27" i="17"/>
  <c r="O27" i="17" s="1"/>
  <c r="M26" i="17"/>
  <c r="M25" i="17"/>
  <c r="H25" i="17"/>
  <c r="R25" i="17" s="1"/>
  <c r="G25" i="17"/>
  <c r="Q25" i="17" s="1"/>
  <c r="F25" i="17"/>
  <c r="E25" i="17"/>
  <c r="M24" i="17"/>
  <c r="H24" i="17"/>
  <c r="R24" i="17" s="1"/>
  <c r="G24" i="17"/>
  <c r="Q24" i="17" s="1"/>
  <c r="F24" i="17"/>
  <c r="P24" i="17" s="1"/>
  <c r="E24" i="17"/>
  <c r="O24" i="17" s="1"/>
  <c r="M23" i="17"/>
  <c r="R23" i="17"/>
  <c r="Q23" i="17"/>
  <c r="P23" i="17"/>
  <c r="O23" i="17"/>
  <c r="M22" i="17"/>
  <c r="H22" i="17"/>
  <c r="G22" i="17"/>
  <c r="Q22" i="17" s="1"/>
  <c r="F22" i="17"/>
  <c r="P22" i="17" s="1"/>
  <c r="E22" i="17"/>
  <c r="O22" i="17" s="1"/>
  <c r="Q20" i="17"/>
  <c r="M20" i="17"/>
  <c r="O20" i="17"/>
  <c r="M19" i="17"/>
  <c r="M21" i="17"/>
  <c r="H21" i="17"/>
  <c r="R21" i="17" s="1"/>
  <c r="G21" i="17"/>
  <c r="Q21" i="17" s="1"/>
  <c r="F21" i="17"/>
  <c r="E21" i="17"/>
  <c r="M18" i="17"/>
  <c r="R18" i="17"/>
  <c r="Q18" i="17"/>
  <c r="P18" i="17"/>
  <c r="O18" i="17"/>
  <c r="M16" i="17"/>
  <c r="R16" i="17"/>
  <c r="Q16" i="17"/>
  <c r="P16" i="17"/>
  <c r="O9" i="17"/>
  <c r="M17" i="17"/>
  <c r="H17" i="17"/>
  <c r="G17" i="17"/>
  <c r="Q17" i="17" s="1"/>
  <c r="F17" i="17"/>
  <c r="P17" i="17" s="1"/>
  <c r="E17" i="17"/>
  <c r="O17" i="17" s="1"/>
  <c r="Q14" i="17"/>
  <c r="M14" i="17"/>
  <c r="O14" i="17"/>
  <c r="M15" i="17"/>
  <c r="M13" i="17"/>
  <c r="R13" i="17"/>
  <c r="Q13" i="17"/>
  <c r="M12" i="17"/>
  <c r="R12" i="17"/>
  <c r="Q12" i="17"/>
  <c r="P12" i="17"/>
  <c r="O12" i="17"/>
  <c r="M11" i="17"/>
  <c r="R11" i="17"/>
  <c r="Q11" i="17"/>
  <c r="P11" i="17"/>
  <c r="O11" i="17"/>
  <c r="M10" i="17"/>
  <c r="Q10" i="17"/>
  <c r="P10" i="17"/>
  <c r="O10" i="17"/>
  <c r="Q8" i="17"/>
  <c r="M8" i="17"/>
  <c r="O8" i="17"/>
  <c r="M9" i="17"/>
  <c r="O7" i="17"/>
  <c r="M7" i="17"/>
  <c r="R7" i="17"/>
  <c r="Q7" i="17"/>
  <c r="M6" i="17"/>
  <c r="R32" i="17"/>
  <c r="Q38" i="17"/>
  <c r="P9" i="17"/>
  <c r="O6" i="17"/>
  <c r="M5" i="17"/>
  <c r="R5" i="17"/>
  <c r="Q5" i="17"/>
  <c r="P5" i="17"/>
  <c r="O13" i="17"/>
  <c r="M4" i="17"/>
  <c r="Q4" i="17"/>
  <c r="P4" i="17"/>
  <c r="O4" i="17"/>
  <c r="Q3" i="17"/>
  <c r="M3" i="17"/>
  <c r="O3" i="17"/>
  <c r="M2" i="17"/>
  <c r="R39" i="17"/>
  <c r="P38" i="17"/>
  <c r="H17" i="16"/>
  <c r="G17" i="16"/>
  <c r="F17" i="16"/>
  <c r="E17" i="16"/>
  <c r="H21" i="16"/>
  <c r="G21" i="16"/>
  <c r="F21" i="16"/>
  <c r="E21" i="16"/>
  <c r="H26" i="16"/>
  <c r="G26" i="16"/>
  <c r="F26" i="16"/>
  <c r="E26" i="16"/>
  <c r="H23" i="16"/>
  <c r="G23" i="16"/>
  <c r="F23" i="16"/>
  <c r="E23" i="16"/>
  <c r="H18" i="16"/>
  <c r="G18" i="16"/>
  <c r="F18" i="16"/>
  <c r="E18" i="16"/>
  <c r="H16" i="16"/>
  <c r="G16" i="16"/>
  <c r="F16" i="16"/>
  <c r="E16" i="16"/>
  <c r="H10" i="16"/>
  <c r="G10" i="16"/>
  <c r="F10" i="16"/>
  <c r="E10" i="16"/>
  <c r="H12" i="16"/>
  <c r="G12" i="16"/>
  <c r="F12" i="16"/>
  <c r="E12" i="16"/>
  <c r="H15" i="16"/>
  <c r="G15" i="16"/>
  <c r="F15" i="16"/>
  <c r="E15" i="16"/>
  <c r="H13" i="16"/>
  <c r="G13" i="16"/>
  <c r="F13" i="16"/>
  <c r="E13" i="16"/>
  <c r="H6" i="16"/>
  <c r="G6" i="16"/>
  <c r="F6" i="16"/>
  <c r="E6" i="16"/>
  <c r="H20" i="16"/>
  <c r="G20" i="16"/>
  <c r="F20" i="16"/>
  <c r="E20" i="16"/>
  <c r="H14" i="16"/>
  <c r="G14" i="16"/>
  <c r="F14" i="16"/>
  <c r="E14" i="16"/>
  <c r="H9" i="16"/>
  <c r="G9" i="16"/>
  <c r="F9" i="16"/>
  <c r="E9" i="16"/>
  <c r="H11" i="16"/>
  <c r="G11" i="16"/>
  <c r="F11" i="16"/>
  <c r="E11" i="16"/>
  <c r="H7" i="16"/>
  <c r="G7" i="16"/>
  <c r="F7" i="16"/>
  <c r="E7" i="16"/>
  <c r="H8" i="16"/>
  <c r="G8" i="16"/>
  <c r="F8" i="16"/>
  <c r="E8" i="16"/>
  <c r="H2" i="16"/>
  <c r="G2" i="16"/>
  <c r="F2" i="16"/>
  <c r="E2" i="16"/>
  <c r="H4" i="16"/>
  <c r="G4" i="16"/>
  <c r="F4" i="16"/>
  <c r="E4" i="16"/>
  <c r="H3" i="16"/>
  <c r="G3" i="16"/>
  <c r="F3" i="16"/>
  <c r="E3" i="16"/>
  <c r="H5" i="16"/>
  <c r="G5" i="16"/>
  <c r="F5" i="16"/>
  <c r="E5" i="16"/>
  <c r="M41" i="16"/>
  <c r="H41" i="16"/>
  <c r="R41" i="16" s="1"/>
  <c r="G41" i="16"/>
  <c r="Q41" i="16" s="1"/>
  <c r="F41" i="16"/>
  <c r="P41" i="16" s="1"/>
  <c r="E41" i="16"/>
  <c r="O41" i="16" s="1"/>
  <c r="R40" i="16"/>
  <c r="M40" i="16"/>
  <c r="H40" i="16"/>
  <c r="G40" i="16"/>
  <c r="Q40" i="16" s="1"/>
  <c r="F40" i="16"/>
  <c r="P40" i="16" s="1"/>
  <c r="E40" i="16"/>
  <c r="O40" i="16" s="1"/>
  <c r="P39" i="16"/>
  <c r="M39" i="16"/>
  <c r="H39" i="16"/>
  <c r="G39" i="16"/>
  <c r="F39" i="16"/>
  <c r="E39" i="16"/>
  <c r="O39" i="16" s="1"/>
  <c r="M38" i="16"/>
  <c r="H38" i="16"/>
  <c r="G38" i="16"/>
  <c r="F38" i="16"/>
  <c r="E38" i="16"/>
  <c r="M37" i="16"/>
  <c r="H37" i="16"/>
  <c r="R37" i="16" s="1"/>
  <c r="G37" i="16"/>
  <c r="Q37" i="16" s="1"/>
  <c r="F37" i="16"/>
  <c r="E37" i="16"/>
  <c r="M36" i="16"/>
  <c r="H36" i="16"/>
  <c r="R36" i="16" s="1"/>
  <c r="G36" i="16"/>
  <c r="Q36" i="16" s="1"/>
  <c r="F36" i="16"/>
  <c r="P36" i="16" s="1"/>
  <c r="E36" i="16"/>
  <c r="O36" i="16" s="1"/>
  <c r="M35" i="16"/>
  <c r="H35" i="16"/>
  <c r="R35" i="16" s="1"/>
  <c r="G35" i="16"/>
  <c r="Q35" i="16" s="1"/>
  <c r="F35" i="16"/>
  <c r="P35" i="16" s="1"/>
  <c r="E35" i="16"/>
  <c r="O35" i="16" s="1"/>
  <c r="R34" i="16"/>
  <c r="M34" i="16"/>
  <c r="H34" i="16"/>
  <c r="G34" i="16"/>
  <c r="Q34" i="16" s="1"/>
  <c r="F34" i="16"/>
  <c r="P34" i="16" s="1"/>
  <c r="E34" i="16"/>
  <c r="O34" i="16" s="1"/>
  <c r="P33" i="16"/>
  <c r="M33" i="16"/>
  <c r="H33" i="16"/>
  <c r="G33" i="16"/>
  <c r="F33" i="16"/>
  <c r="E33" i="16"/>
  <c r="O33" i="16" s="1"/>
  <c r="M32" i="16"/>
  <c r="H32" i="16"/>
  <c r="G32" i="16"/>
  <c r="F32" i="16"/>
  <c r="E32" i="16"/>
  <c r="M31" i="16"/>
  <c r="H31" i="16"/>
  <c r="R31" i="16" s="1"/>
  <c r="G31" i="16"/>
  <c r="Q31" i="16" s="1"/>
  <c r="F31" i="16"/>
  <c r="E31" i="16"/>
  <c r="M30" i="16"/>
  <c r="H30" i="16"/>
  <c r="R30" i="16" s="1"/>
  <c r="G30" i="16"/>
  <c r="Q30" i="16" s="1"/>
  <c r="F30" i="16"/>
  <c r="P30" i="16" s="1"/>
  <c r="E30" i="16"/>
  <c r="O30" i="16" s="1"/>
  <c r="M29" i="16"/>
  <c r="H29" i="16"/>
  <c r="R29" i="16" s="1"/>
  <c r="G29" i="16"/>
  <c r="Q29" i="16" s="1"/>
  <c r="F29" i="16"/>
  <c r="P29" i="16" s="1"/>
  <c r="E29" i="16"/>
  <c r="O29" i="16" s="1"/>
  <c r="R28" i="16"/>
  <c r="M28" i="16"/>
  <c r="H28" i="16"/>
  <c r="G28" i="16"/>
  <c r="Q28" i="16" s="1"/>
  <c r="F28" i="16"/>
  <c r="P28" i="16" s="1"/>
  <c r="E28" i="16"/>
  <c r="O28" i="16" s="1"/>
  <c r="P27" i="16"/>
  <c r="M27" i="16"/>
  <c r="H27" i="16"/>
  <c r="G27" i="16"/>
  <c r="F27" i="16"/>
  <c r="E27" i="16"/>
  <c r="O27" i="16" s="1"/>
  <c r="M26" i="16"/>
  <c r="M25" i="16"/>
  <c r="H25" i="16"/>
  <c r="R25" i="16" s="1"/>
  <c r="G25" i="16"/>
  <c r="Q25" i="16" s="1"/>
  <c r="F25" i="16"/>
  <c r="E25" i="16"/>
  <c r="M23" i="16"/>
  <c r="R23" i="16"/>
  <c r="Q23" i="16"/>
  <c r="P23" i="16"/>
  <c r="O23" i="16"/>
  <c r="M24" i="16"/>
  <c r="H24" i="16"/>
  <c r="R24" i="16" s="1"/>
  <c r="G24" i="16"/>
  <c r="Q24" i="16" s="1"/>
  <c r="F24" i="16"/>
  <c r="P24" i="16" s="1"/>
  <c r="E24" i="16"/>
  <c r="O24" i="16" s="1"/>
  <c r="R21" i="16"/>
  <c r="M21" i="16"/>
  <c r="Q21" i="16"/>
  <c r="P21" i="16"/>
  <c r="O21" i="16"/>
  <c r="P22" i="16"/>
  <c r="M22" i="16"/>
  <c r="H22" i="16"/>
  <c r="G22" i="16"/>
  <c r="F22" i="16"/>
  <c r="E22" i="16"/>
  <c r="O22" i="16" s="1"/>
  <c r="M20" i="16"/>
  <c r="M18" i="16"/>
  <c r="R18" i="16"/>
  <c r="Q18" i="16"/>
  <c r="M17" i="16"/>
  <c r="R17" i="16"/>
  <c r="Q17" i="16"/>
  <c r="P17" i="16"/>
  <c r="O17" i="16"/>
  <c r="M19" i="16"/>
  <c r="H19" i="16"/>
  <c r="R19" i="16" s="1"/>
  <c r="G19" i="16"/>
  <c r="Q19" i="16" s="1"/>
  <c r="F19" i="16"/>
  <c r="P19" i="16" s="1"/>
  <c r="E19" i="16"/>
  <c r="O19" i="16" s="1"/>
  <c r="R15" i="16"/>
  <c r="M15" i="16"/>
  <c r="Q15" i="16"/>
  <c r="P15" i="16"/>
  <c r="O15" i="16"/>
  <c r="P14" i="16"/>
  <c r="M14" i="16"/>
  <c r="O14" i="16"/>
  <c r="M16" i="16"/>
  <c r="M13" i="16"/>
  <c r="R13" i="16"/>
  <c r="Q13" i="16"/>
  <c r="M12" i="16"/>
  <c r="R12" i="16"/>
  <c r="Q12" i="16"/>
  <c r="P12" i="16"/>
  <c r="O12" i="16"/>
  <c r="M10" i="16"/>
  <c r="R10" i="16"/>
  <c r="Q10" i="16"/>
  <c r="P10" i="16"/>
  <c r="O10" i="16"/>
  <c r="R11" i="16"/>
  <c r="M11" i="16"/>
  <c r="Q11" i="16"/>
  <c r="P11" i="16"/>
  <c r="O11" i="16"/>
  <c r="P9" i="16"/>
  <c r="M9" i="16"/>
  <c r="O9" i="16"/>
  <c r="M8" i="16"/>
  <c r="M7" i="16"/>
  <c r="R7" i="16"/>
  <c r="Q38" i="16"/>
  <c r="M6" i="16"/>
  <c r="R6" i="16"/>
  <c r="Q6" i="16"/>
  <c r="P6" i="16"/>
  <c r="O8" i="16"/>
  <c r="M5" i="16"/>
  <c r="R5" i="16"/>
  <c r="Q5" i="16"/>
  <c r="P5" i="16"/>
  <c r="O5" i="16"/>
  <c r="R4" i="16"/>
  <c r="M4" i="16"/>
  <c r="Q4" i="16"/>
  <c r="P4" i="16"/>
  <c r="O4" i="16"/>
  <c r="P2" i="16"/>
  <c r="M2" i="16"/>
  <c r="O2" i="16"/>
  <c r="M3" i="16"/>
  <c r="R38" i="16"/>
  <c r="P37" i="16"/>
  <c r="H18" i="15"/>
  <c r="G18" i="15"/>
  <c r="F18" i="15"/>
  <c r="E18" i="15"/>
  <c r="H22" i="15"/>
  <c r="G22" i="15"/>
  <c r="F22" i="15"/>
  <c r="E22" i="15"/>
  <c r="H26" i="15"/>
  <c r="G26" i="15"/>
  <c r="F26" i="15"/>
  <c r="E26" i="15"/>
  <c r="H24" i="15"/>
  <c r="G24" i="15"/>
  <c r="F24" i="15"/>
  <c r="E24" i="15"/>
  <c r="H19" i="15"/>
  <c r="G19" i="15"/>
  <c r="F19" i="15"/>
  <c r="E19" i="15"/>
  <c r="O20" i="15" s="1"/>
  <c r="H23" i="15"/>
  <c r="G23" i="15"/>
  <c r="F23" i="15"/>
  <c r="E23" i="15"/>
  <c r="H14" i="15"/>
  <c r="G14" i="15"/>
  <c r="F14" i="15"/>
  <c r="E14" i="15"/>
  <c r="H11" i="15"/>
  <c r="G11" i="15"/>
  <c r="F11" i="15"/>
  <c r="E11" i="15"/>
  <c r="H12" i="15"/>
  <c r="G12" i="15"/>
  <c r="F12" i="15"/>
  <c r="E12" i="15"/>
  <c r="H16" i="15"/>
  <c r="G16" i="15"/>
  <c r="F16" i="15"/>
  <c r="E16" i="15"/>
  <c r="H13" i="15"/>
  <c r="G13" i="15"/>
  <c r="F13" i="15"/>
  <c r="E13" i="15"/>
  <c r="H6" i="15"/>
  <c r="G6" i="15"/>
  <c r="F6" i="15"/>
  <c r="E6" i="15"/>
  <c r="H20" i="15"/>
  <c r="G20" i="15"/>
  <c r="F20" i="15"/>
  <c r="E20" i="15"/>
  <c r="H15" i="15"/>
  <c r="G15" i="15"/>
  <c r="F15" i="15"/>
  <c r="E15" i="15"/>
  <c r="H21" i="15"/>
  <c r="G21" i="15"/>
  <c r="F21" i="15"/>
  <c r="E21" i="15"/>
  <c r="H9" i="15"/>
  <c r="G9" i="15"/>
  <c r="F9" i="15"/>
  <c r="E9" i="15"/>
  <c r="H10" i="15"/>
  <c r="G10" i="15"/>
  <c r="F10" i="15"/>
  <c r="E10" i="15"/>
  <c r="H7" i="15"/>
  <c r="G7" i="15"/>
  <c r="F7" i="15"/>
  <c r="E7" i="15"/>
  <c r="H8" i="15"/>
  <c r="G8" i="15"/>
  <c r="F8" i="15"/>
  <c r="E8" i="15"/>
  <c r="H3" i="15"/>
  <c r="G3" i="15"/>
  <c r="F3" i="15"/>
  <c r="E3" i="15"/>
  <c r="H4" i="15"/>
  <c r="G4" i="15"/>
  <c r="F4" i="15"/>
  <c r="E4" i="15"/>
  <c r="H2" i="15"/>
  <c r="G2" i="15"/>
  <c r="F2" i="15"/>
  <c r="E2" i="15"/>
  <c r="H5" i="15"/>
  <c r="G5" i="15"/>
  <c r="F5" i="15"/>
  <c r="E5" i="15"/>
  <c r="M41" i="15"/>
  <c r="H41" i="15"/>
  <c r="R41" i="15" s="1"/>
  <c r="G41" i="15"/>
  <c r="Q41" i="15" s="1"/>
  <c r="F41" i="15"/>
  <c r="P41" i="15" s="1"/>
  <c r="E41" i="15"/>
  <c r="O41" i="15" s="1"/>
  <c r="M40" i="15"/>
  <c r="H40" i="15"/>
  <c r="G40" i="15"/>
  <c r="Q40" i="15" s="1"/>
  <c r="F40" i="15"/>
  <c r="P40" i="15" s="1"/>
  <c r="E40" i="15"/>
  <c r="M39" i="15"/>
  <c r="H39" i="15"/>
  <c r="G39" i="15"/>
  <c r="F39" i="15"/>
  <c r="E39" i="15"/>
  <c r="Q38" i="15"/>
  <c r="M38" i="15"/>
  <c r="H38" i="15"/>
  <c r="G38" i="15"/>
  <c r="F38" i="15"/>
  <c r="E38" i="15"/>
  <c r="O37" i="15"/>
  <c r="M37" i="15"/>
  <c r="H37" i="15"/>
  <c r="R37" i="15" s="1"/>
  <c r="G37" i="15"/>
  <c r="Q37" i="15" s="1"/>
  <c r="F37" i="15"/>
  <c r="E37" i="15"/>
  <c r="M36" i="15"/>
  <c r="H36" i="15"/>
  <c r="R36" i="15" s="1"/>
  <c r="G36" i="15"/>
  <c r="Q36" i="15" s="1"/>
  <c r="F36" i="15"/>
  <c r="P36" i="15" s="1"/>
  <c r="E36" i="15"/>
  <c r="O36" i="15" s="1"/>
  <c r="M35" i="15"/>
  <c r="H35" i="15"/>
  <c r="R35" i="15" s="1"/>
  <c r="G35" i="15"/>
  <c r="Q35" i="15" s="1"/>
  <c r="F35" i="15"/>
  <c r="P35" i="15" s="1"/>
  <c r="E35" i="15"/>
  <c r="M34" i="15"/>
  <c r="H34" i="15"/>
  <c r="G34" i="15"/>
  <c r="Q34" i="15" s="1"/>
  <c r="F34" i="15"/>
  <c r="P34" i="15" s="1"/>
  <c r="E34" i="15"/>
  <c r="O34" i="15" s="1"/>
  <c r="M33" i="15"/>
  <c r="H33" i="15"/>
  <c r="G33" i="15"/>
  <c r="F33" i="15"/>
  <c r="E33" i="15"/>
  <c r="O33" i="15" s="1"/>
  <c r="Q32" i="15"/>
  <c r="M32" i="15"/>
  <c r="H32" i="15"/>
  <c r="G32" i="15"/>
  <c r="F32" i="15"/>
  <c r="E32" i="15"/>
  <c r="O31" i="15"/>
  <c r="M31" i="15"/>
  <c r="H31" i="15"/>
  <c r="R31" i="15" s="1"/>
  <c r="G31" i="15"/>
  <c r="Q31" i="15" s="1"/>
  <c r="F31" i="15"/>
  <c r="E31" i="15"/>
  <c r="M30" i="15"/>
  <c r="H30" i="15"/>
  <c r="R30" i="15" s="1"/>
  <c r="G30" i="15"/>
  <c r="Q30" i="15" s="1"/>
  <c r="F30" i="15"/>
  <c r="P30" i="15" s="1"/>
  <c r="E30" i="15"/>
  <c r="O30" i="15" s="1"/>
  <c r="M29" i="15"/>
  <c r="H29" i="15"/>
  <c r="R29" i="15" s="1"/>
  <c r="G29" i="15"/>
  <c r="Q29" i="15" s="1"/>
  <c r="F29" i="15"/>
  <c r="P29" i="15" s="1"/>
  <c r="E29" i="15"/>
  <c r="O29" i="15" s="1"/>
  <c r="M28" i="15"/>
  <c r="H28" i="15"/>
  <c r="G28" i="15"/>
  <c r="Q28" i="15" s="1"/>
  <c r="F28" i="15"/>
  <c r="P28" i="15" s="1"/>
  <c r="E28" i="15"/>
  <c r="M27" i="15"/>
  <c r="H27" i="15"/>
  <c r="G27" i="15"/>
  <c r="F27" i="15"/>
  <c r="E27" i="15"/>
  <c r="Q26" i="15"/>
  <c r="O26" i="15"/>
  <c r="M26" i="15"/>
  <c r="M25" i="15"/>
  <c r="H25" i="15"/>
  <c r="R25" i="15" s="1"/>
  <c r="G25" i="15"/>
  <c r="Q25" i="15" s="1"/>
  <c r="F25" i="15"/>
  <c r="E25" i="15"/>
  <c r="M24" i="15"/>
  <c r="R24" i="15"/>
  <c r="Q24" i="15"/>
  <c r="P24" i="15"/>
  <c r="M21" i="15"/>
  <c r="R21" i="15"/>
  <c r="Q21" i="15"/>
  <c r="P21" i="15"/>
  <c r="O21" i="15"/>
  <c r="M19" i="15"/>
  <c r="Q19" i="15"/>
  <c r="P19" i="15"/>
  <c r="O19" i="15"/>
  <c r="Q20" i="15"/>
  <c r="M20" i="15"/>
  <c r="Q22" i="15"/>
  <c r="O22" i="15"/>
  <c r="M22" i="15"/>
  <c r="O23" i="15"/>
  <c r="M23" i="15"/>
  <c r="R23" i="15"/>
  <c r="Q23" i="15"/>
  <c r="M17" i="15"/>
  <c r="H17" i="15"/>
  <c r="R17" i="15" s="1"/>
  <c r="G17" i="15"/>
  <c r="Q17" i="15" s="1"/>
  <c r="F17" i="15"/>
  <c r="P17" i="15" s="1"/>
  <c r="E17" i="15"/>
  <c r="O17" i="15" s="1"/>
  <c r="M15" i="15"/>
  <c r="R15" i="15"/>
  <c r="Q15" i="15"/>
  <c r="P15" i="15"/>
  <c r="O15" i="15"/>
  <c r="M16" i="15"/>
  <c r="Q16" i="15"/>
  <c r="P16" i="15"/>
  <c r="Q14" i="15"/>
  <c r="M14" i="15"/>
  <c r="O14" i="15"/>
  <c r="Q18" i="15"/>
  <c r="O18" i="15"/>
  <c r="M18" i="15"/>
  <c r="M13" i="15"/>
  <c r="R13" i="15"/>
  <c r="Q13" i="15"/>
  <c r="M12" i="15"/>
  <c r="R12" i="15"/>
  <c r="Q12" i="15"/>
  <c r="P12" i="15"/>
  <c r="O12" i="15"/>
  <c r="M11" i="15"/>
  <c r="R11" i="15"/>
  <c r="Q11" i="15"/>
  <c r="P11" i="15"/>
  <c r="M10" i="15"/>
  <c r="Q10" i="15"/>
  <c r="P10" i="15"/>
  <c r="O10" i="15"/>
  <c r="Q9" i="15"/>
  <c r="M9" i="15"/>
  <c r="O9" i="15"/>
  <c r="Q8" i="15"/>
  <c r="O8" i="15"/>
  <c r="M8" i="15"/>
  <c r="M7" i="15"/>
  <c r="R7" i="15"/>
  <c r="Q7" i="15"/>
  <c r="M6" i="15"/>
  <c r="R32" i="15"/>
  <c r="Q6" i="15"/>
  <c r="P6" i="15"/>
  <c r="O6" i="15"/>
  <c r="M5" i="15"/>
  <c r="R5" i="15"/>
  <c r="Q5" i="15"/>
  <c r="P7" i="15"/>
  <c r="M4" i="15"/>
  <c r="Q4" i="15"/>
  <c r="P4" i="15"/>
  <c r="O4" i="15"/>
  <c r="Q2" i="15"/>
  <c r="M2" i="15"/>
  <c r="P38" i="15"/>
  <c r="O2" i="15"/>
  <c r="Q3" i="15"/>
  <c r="O3" i="15"/>
  <c r="M3" i="15"/>
  <c r="R39" i="15"/>
  <c r="P39" i="15"/>
  <c r="H14" i="14"/>
  <c r="G14" i="14"/>
  <c r="F14" i="14"/>
  <c r="E14" i="14"/>
  <c r="H20" i="14"/>
  <c r="G20" i="14"/>
  <c r="F20" i="14"/>
  <c r="E20" i="14"/>
  <c r="H26" i="14"/>
  <c r="G26" i="14"/>
  <c r="F26" i="14"/>
  <c r="E26" i="14"/>
  <c r="H24" i="14"/>
  <c r="G24" i="14"/>
  <c r="F24" i="14"/>
  <c r="E24" i="14"/>
  <c r="H22" i="14"/>
  <c r="G22" i="14"/>
  <c r="F22" i="14"/>
  <c r="E22" i="14"/>
  <c r="H19" i="14"/>
  <c r="G19" i="14"/>
  <c r="F19" i="14"/>
  <c r="E19" i="14"/>
  <c r="H15" i="14"/>
  <c r="G15" i="14"/>
  <c r="F15" i="14"/>
  <c r="E15" i="14"/>
  <c r="H18" i="14"/>
  <c r="G18" i="14"/>
  <c r="F18" i="14"/>
  <c r="E18" i="14"/>
  <c r="H11" i="14"/>
  <c r="G11" i="14"/>
  <c r="F11" i="14"/>
  <c r="E11" i="14"/>
  <c r="H12" i="14"/>
  <c r="G12" i="14"/>
  <c r="F12" i="14"/>
  <c r="E12" i="14"/>
  <c r="H16" i="14"/>
  <c r="G16" i="14"/>
  <c r="F16" i="14"/>
  <c r="E16" i="14"/>
  <c r="H13" i="14"/>
  <c r="G13" i="14"/>
  <c r="F13" i="14"/>
  <c r="E13" i="14"/>
  <c r="H6" i="14"/>
  <c r="G6" i="14"/>
  <c r="F6" i="14"/>
  <c r="E6" i="14"/>
  <c r="H21" i="14"/>
  <c r="G21" i="14"/>
  <c r="F21" i="14"/>
  <c r="E21" i="14"/>
  <c r="H17" i="14"/>
  <c r="G17" i="14"/>
  <c r="F17" i="14"/>
  <c r="E17" i="14"/>
  <c r="H23" i="14"/>
  <c r="G23" i="14"/>
  <c r="F23" i="14"/>
  <c r="E23" i="14"/>
  <c r="H9" i="14"/>
  <c r="G9" i="14"/>
  <c r="F9" i="14"/>
  <c r="E9" i="14"/>
  <c r="H10" i="14"/>
  <c r="G10" i="14"/>
  <c r="F10" i="14"/>
  <c r="E10" i="14"/>
  <c r="H7" i="14"/>
  <c r="G7" i="14"/>
  <c r="F7" i="14"/>
  <c r="E7" i="14"/>
  <c r="H8" i="14"/>
  <c r="G8" i="14"/>
  <c r="F8" i="14"/>
  <c r="E8" i="14"/>
  <c r="H2" i="14"/>
  <c r="G2" i="14"/>
  <c r="F2" i="14"/>
  <c r="E2" i="14"/>
  <c r="H4" i="14"/>
  <c r="G4" i="14"/>
  <c r="F4" i="14"/>
  <c r="E4" i="14"/>
  <c r="H3" i="14"/>
  <c r="G3" i="14"/>
  <c r="F3" i="14"/>
  <c r="E3" i="14"/>
  <c r="H5" i="14"/>
  <c r="G5" i="14"/>
  <c r="F5" i="14"/>
  <c r="E5" i="14"/>
  <c r="M41" i="14"/>
  <c r="H41" i="14"/>
  <c r="G41" i="14"/>
  <c r="F41" i="14"/>
  <c r="E41" i="14"/>
  <c r="M38" i="14"/>
  <c r="H38" i="14"/>
  <c r="G38" i="14"/>
  <c r="F38" i="14"/>
  <c r="E38" i="14"/>
  <c r="M36" i="14"/>
  <c r="H36" i="14"/>
  <c r="G36" i="14"/>
  <c r="F36" i="14"/>
  <c r="E36" i="14"/>
  <c r="M39" i="14"/>
  <c r="H39" i="14"/>
  <c r="G39" i="14"/>
  <c r="F39" i="14"/>
  <c r="E39" i="14"/>
  <c r="M33" i="14"/>
  <c r="H33" i="14"/>
  <c r="G33" i="14"/>
  <c r="F33" i="14"/>
  <c r="E33" i="14"/>
  <c r="M30" i="14"/>
  <c r="H30" i="14"/>
  <c r="G30" i="14"/>
  <c r="F30" i="14"/>
  <c r="E30" i="14"/>
  <c r="M37" i="14"/>
  <c r="H37" i="14"/>
  <c r="G37" i="14"/>
  <c r="F37" i="14"/>
  <c r="E37" i="14"/>
  <c r="M40" i="14"/>
  <c r="H40" i="14"/>
  <c r="G40" i="14"/>
  <c r="F40" i="14"/>
  <c r="E40" i="14"/>
  <c r="P27" i="14"/>
  <c r="M27" i="14"/>
  <c r="H27" i="14"/>
  <c r="G27" i="14"/>
  <c r="F27" i="14"/>
  <c r="E27" i="14"/>
  <c r="M31" i="14"/>
  <c r="H31" i="14"/>
  <c r="G31" i="14"/>
  <c r="F31" i="14"/>
  <c r="E31" i="14"/>
  <c r="M28" i="14"/>
  <c r="H28" i="14"/>
  <c r="G28" i="14"/>
  <c r="F28" i="14"/>
  <c r="E28" i="14"/>
  <c r="M18" i="14"/>
  <c r="M32" i="14"/>
  <c r="H32" i="14"/>
  <c r="G32" i="14"/>
  <c r="F32" i="14"/>
  <c r="E32" i="14"/>
  <c r="M35" i="14"/>
  <c r="H35" i="14"/>
  <c r="G35" i="14"/>
  <c r="F35" i="14"/>
  <c r="E35" i="14"/>
  <c r="M34" i="14"/>
  <c r="H34" i="14"/>
  <c r="G34" i="14"/>
  <c r="F34" i="14"/>
  <c r="E34" i="14"/>
  <c r="M15" i="14"/>
  <c r="M12" i="14"/>
  <c r="M13" i="14"/>
  <c r="M10" i="14"/>
  <c r="Q10" i="14"/>
  <c r="M11" i="14"/>
  <c r="M9" i="14"/>
  <c r="M29" i="14"/>
  <c r="H29" i="14"/>
  <c r="G29" i="14"/>
  <c r="F29" i="14"/>
  <c r="E29" i="14"/>
  <c r="M25" i="14"/>
  <c r="H25" i="14"/>
  <c r="R25" i="14" s="1"/>
  <c r="G25" i="14"/>
  <c r="Q25" i="14" s="1"/>
  <c r="F25" i="14"/>
  <c r="E25" i="14"/>
  <c r="M16" i="14"/>
  <c r="M23" i="14"/>
  <c r="Q23" i="14"/>
  <c r="M20" i="14"/>
  <c r="Q19" i="14"/>
  <c r="P19" i="14"/>
  <c r="M19" i="14"/>
  <c r="M8" i="14"/>
  <c r="M7" i="14"/>
  <c r="M24" i="14"/>
  <c r="M26" i="14"/>
  <c r="Q22" i="14"/>
  <c r="M22" i="14"/>
  <c r="Q14" i="14"/>
  <c r="M14" i="14"/>
  <c r="M21" i="14"/>
  <c r="M17" i="14"/>
  <c r="Q40" i="14"/>
  <c r="M6" i="14"/>
  <c r="Q8" i="14"/>
  <c r="P2" i="14"/>
  <c r="M4" i="14"/>
  <c r="Q5" i="14"/>
  <c r="M5" i="14"/>
  <c r="Q2" i="14"/>
  <c r="M2" i="14"/>
  <c r="M3" i="14"/>
  <c r="H16" i="13"/>
  <c r="G16" i="13"/>
  <c r="F16" i="13"/>
  <c r="E16" i="13"/>
  <c r="H22" i="13"/>
  <c r="G22" i="13"/>
  <c r="F22" i="13"/>
  <c r="E22" i="13"/>
  <c r="H24" i="13"/>
  <c r="G24" i="13"/>
  <c r="F24" i="13"/>
  <c r="E24" i="13"/>
  <c r="H26" i="13"/>
  <c r="G26" i="13"/>
  <c r="F26" i="13"/>
  <c r="E26" i="13"/>
  <c r="H19" i="13"/>
  <c r="G19" i="13"/>
  <c r="F19" i="13"/>
  <c r="E19" i="13"/>
  <c r="H20" i="13"/>
  <c r="G20" i="13"/>
  <c r="F20" i="13"/>
  <c r="E20" i="13"/>
  <c r="H15" i="13"/>
  <c r="G15" i="13"/>
  <c r="F15" i="13"/>
  <c r="E15" i="13"/>
  <c r="H18" i="13"/>
  <c r="G18" i="13"/>
  <c r="F18" i="13"/>
  <c r="E18" i="13"/>
  <c r="H11" i="13"/>
  <c r="G11" i="13"/>
  <c r="F11" i="13"/>
  <c r="E11" i="13"/>
  <c r="H12" i="13"/>
  <c r="G12" i="13"/>
  <c r="F12" i="13"/>
  <c r="E12" i="13"/>
  <c r="H13" i="13"/>
  <c r="G13" i="13"/>
  <c r="F13" i="13"/>
  <c r="E13" i="13"/>
  <c r="H14" i="13"/>
  <c r="G14" i="13"/>
  <c r="F14" i="13"/>
  <c r="E14" i="13"/>
  <c r="H4" i="13"/>
  <c r="G4" i="13"/>
  <c r="F4" i="13"/>
  <c r="E4" i="13"/>
  <c r="H21" i="13"/>
  <c r="G21" i="13"/>
  <c r="F21" i="13"/>
  <c r="E21" i="13"/>
  <c r="H17" i="13"/>
  <c r="G17" i="13"/>
  <c r="F17" i="13"/>
  <c r="E17" i="13"/>
  <c r="H23" i="13"/>
  <c r="G23" i="13"/>
  <c r="F23" i="13"/>
  <c r="E23" i="13"/>
  <c r="H25" i="13"/>
  <c r="G25" i="13"/>
  <c r="F25" i="13"/>
  <c r="E25" i="13"/>
  <c r="H9" i="13"/>
  <c r="G9" i="13"/>
  <c r="F9" i="13"/>
  <c r="E9" i="13"/>
  <c r="H10" i="13"/>
  <c r="G10" i="13"/>
  <c r="F10" i="13"/>
  <c r="E10" i="13"/>
  <c r="H7" i="13"/>
  <c r="G7" i="13"/>
  <c r="F7" i="13"/>
  <c r="E7" i="13"/>
  <c r="H8" i="13"/>
  <c r="G8" i="13"/>
  <c r="F8" i="13"/>
  <c r="E8" i="13"/>
  <c r="H2" i="13"/>
  <c r="G2" i="13"/>
  <c r="F2" i="13"/>
  <c r="E2" i="13"/>
  <c r="H5" i="13"/>
  <c r="G5" i="13"/>
  <c r="F5" i="13"/>
  <c r="E5" i="13"/>
  <c r="H3" i="13"/>
  <c r="G3" i="13"/>
  <c r="F3" i="13"/>
  <c r="E3" i="13"/>
  <c r="H6" i="13"/>
  <c r="G6" i="13"/>
  <c r="F6" i="13"/>
  <c r="E6" i="13"/>
  <c r="M41" i="13"/>
  <c r="H41" i="13"/>
  <c r="R41" i="13" s="1"/>
  <c r="G41" i="13"/>
  <c r="Q41" i="13" s="1"/>
  <c r="F41" i="13"/>
  <c r="P41" i="13" s="1"/>
  <c r="E41" i="13"/>
  <c r="O41" i="13" s="1"/>
  <c r="M40" i="13"/>
  <c r="H40" i="13"/>
  <c r="G40" i="13"/>
  <c r="Q40" i="13" s="1"/>
  <c r="F40" i="13"/>
  <c r="P40" i="13" s="1"/>
  <c r="E40" i="13"/>
  <c r="O40" i="13" s="1"/>
  <c r="Q39" i="13"/>
  <c r="M39" i="13"/>
  <c r="H39" i="13"/>
  <c r="G39" i="13"/>
  <c r="F39" i="13"/>
  <c r="E39" i="13"/>
  <c r="O39" i="13" s="1"/>
  <c r="O38" i="13"/>
  <c r="M38" i="13"/>
  <c r="H38" i="13"/>
  <c r="G38" i="13"/>
  <c r="F38" i="13"/>
  <c r="E38" i="13"/>
  <c r="M37" i="13"/>
  <c r="H37" i="13"/>
  <c r="R37" i="13" s="1"/>
  <c r="G37" i="13"/>
  <c r="Q37" i="13" s="1"/>
  <c r="F37" i="13"/>
  <c r="E37" i="13"/>
  <c r="M35" i="13"/>
  <c r="H35" i="13"/>
  <c r="R35" i="13" s="1"/>
  <c r="G35" i="13"/>
  <c r="Q35" i="13" s="1"/>
  <c r="F35" i="13"/>
  <c r="P35" i="13" s="1"/>
  <c r="E35" i="13"/>
  <c r="O35" i="13" s="1"/>
  <c r="M36" i="13"/>
  <c r="H36" i="13"/>
  <c r="R36" i="13" s="1"/>
  <c r="G36" i="13"/>
  <c r="Q36" i="13" s="1"/>
  <c r="F36" i="13"/>
  <c r="P36" i="13" s="1"/>
  <c r="E36" i="13"/>
  <c r="O36" i="13" s="1"/>
  <c r="M34" i="13"/>
  <c r="H34" i="13"/>
  <c r="G34" i="13"/>
  <c r="Q34" i="13" s="1"/>
  <c r="F34" i="13"/>
  <c r="P34" i="13" s="1"/>
  <c r="E34" i="13"/>
  <c r="O34" i="13" s="1"/>
  <c r="Q33" i="13"/>
  <c r="M33" i="13"/>
  <c r="H33" i="13"/>
  <c r="G33" i="13"/>
  <c r="F33" i="13"/>
  <c r="E33" i="13"/>
  <c r="O33" i="13" s="1"/>
  <c r="O32" i="13"/>
  <c r="M32" i="13"/>
  <c r="H32" i="13"/>
  <c r="G32" i="13"/>
  <c r="F32" i="13"/>
  <c r="E32" i="13"/>
  <c r="M31" i="13"/>
  <c r="H31" i="13"/>
  <c r="R31" i="13" s="1"/>
  <c r="G31" i="13"/>
  <c r="Q31" i="13" s="1"/>
  <c r="F31" i="13"/>
  <c r="E31" i="13"/>
  <c r="M30" i="13"/>
  <c r="H30" i="13"/>
  <c r="R30" i="13" s="1"/>
  <c r="G30" i="13"/>
  <c r="Q30" i="13" s="1"/>
  <c r="F30" i="13"/>
  <c r="P30" i="13" s="1"/>
  <c r="E30" i="13"/>
  <c r="O30" i="13" s="1"/>
  <c r="M29" i="13"/>
  <c r="H29" i="13"/>
  <c r="R29" i="13" s="1"/>
  <c r="G29" i="13"/>
  <c r="Q29" i="13" s="1"/>
  <c r="F29" i="13"/>
  <c r="P29" i="13" s="1"/>
  <c r="E29" i="13"/>
  <c r="O29" i="13" s="1"/>
  <c r="M28" i="13"/>
  <c r="H28" i="13"/>
  <c r="G28" i="13"/>
  <c r="Q28" i="13" s="1"/>
  <c r="F28" i="13"/>
  <c r="P28" i="13" s="1"/>
  <c r="E28" i="13"/>
  <c r="O28" i="13" s="1"/>
  <c r="Q27" i="13"/>
  <c r="M27" i="13"/>
  <c r="H27" i="13"/>
  <c r="G27" i="13"/>
  <c r="F27" i="13"/>
  <c r="E27" i="13"/>
  <c r="O27" i="13" s="1"/>
  <c r="O25" i="13"/>
  <c r="M25" i="13"/>
  <c r="M26" i="13"/>
  <c r="R26" i="13"/>
  <c r="Q26" i="13"/>
  <c r="M22" i="13"/>
  <c r="R22" i="13"/>
  <c r="Q22" i="13"/>
  <c r="P22" i="13"/>
  <c r="O22" i="13"/>
  <c r="M24" i="13"/>
  <c r="R24" i="13"/>
  <c r="Q24" i="13"/>
  <c r="P24" i="13"/>
  <c r="O24" i="13"/>
  <c r="M19" i="13"/>
  <c r="Q19" i="13"/>
  <c r="P19" i="13"/>
  <c r="O19" i="13"/>
  <c r="Q23" i="13"/>
  <c r="M23" i="13"/>
  <c r="O23" i="13"/>
  <c r="O21" i="13"/>
  <c r="M21" i="13"/>
  <c r="M18" i="13"/>
  <c r="R18" i="13"/>
  <c r="Q18" i="13"/>
  <c r="M20" i="13"/>
  <c r="R20" i="13"/>
  <c r="Q20" i="13"/>
  <c r="P20" i="13"/>
  <c r="O20" i="13"/>
  <c r="M16" i="13"/>
  <c r="R16" i="13"/>
  <c r="Q16" i="13"/>
  <c r="P16" i="13"/>
  <c r="O16" i="13"/>
  <c r="M17" i="13"/>
  <c r="P17" i="13"/>
  <c r="O17" i="13"/>
  <c r="Q15" i="13"/>
  <c r="M15" i="13"/>
  <c r="O14" i="13"/>
  <c r="M14" i="13"/>
  <c r="M11" i="13"/>
  <c r="R11" i="13"/>
  <c r="Q11" i="13"/>
  <c r="M13" i="13"/>
  <c r="R13" i="13"/>
  <c r="Q13" i="13"/>
  <c r="P13" i="13"/>
  <c r="O13" i="13"/>
  <c r="M12" i="13"/>
  <c r="R12" i="13"/>
  <c r="Q12" i="13"/>
  <c r="P12" i="13"/>
  <c r="O12" i="13"/>
  <c r="M8" i="13"/>
  <c r="P8" i="13"/>
  <c r="O8" i="13"/>
  <c r="Q10" i="13"/>
  <c r="M10" i="13"/>
  <c r="O9" i="13"/>
  <c r="M9" i="13"/>
  <c r="M7" i="13"/>
  <c r="R33" i="13"/>
  <c r="Q7" i="13"/>
  <c r="M6" i="13"/>
  <c r="R6" i="13"/>
  <c r="Q6" i="13"/>
  <c r="P2" i="13"/>
  <c r="O6" i="13"/>
  <c r="M5" i="13"/>
  <c r="R5" i="13"/>
  <c r="Q3" i="13"/>
  <c r="P5" i="13"/>
  <c r="O5" i="13"/>
  <c r="M3" i="13"/>
  <c r="P3" i="13"/>
  <c r="O4" i="13"/>
  <c r="Q4" i="13"/>
  <c r="M4" i="13"/>
  <c r="O2" i="13"/>
  <c r="M2" i="13"/>
  <c r="R38" i="13"/>
  <c r="Q17" i="13"/>
  <c r="P37" i="13"/>
  <c r="O15" i="13"/>
  <c r="H17" i="12"/>
  <c r="G17" i="12"/>
  <c r="F17" i="12"/>
  <c r="E17" i="12"/>
  <c r="H24" i="12"/>
  <c r="G24" i="12"/>
  <c r="F24" i="12"/>
  <c r="E24" i="12"/>
  <c r="H23" i="12"/>
  <c r="G23" i="12"/>
  <c r="F23" i="12"/>
  <c r="E23" i="12"/>
  <c r="H25" i="12"/>
  <c r="G25" i="12"/>
  <c r="F25" i="12"/>
  <c r="E25" i="12"/>
  <c r="H22" i="12"/>
  <c r="G22" i="12"/>
  <c r="F22" i="12"/>
  <c r="E22" i="12"/>
  <c r="O38" i="12" s="1"/>
  <c r="H29" i="12"/>
  <c r="G29" i="12"/>
  <c r="F29" i="12"/>
  <c r="E29" i="12"/>
  <c r="H18" i="12"/>
  <c r="G18" i="12"/>
  <c r="F18" i="12"/>
  <c r="E18" i="12"/>
  <c r="O13" i="12" s="1"/>
  <c r="H15" i="12"/>
  <c r="G15" i="12"/>
  <c r="F15" i="12"/>
  <c r="E15" i="12"/>
  <c r="H19" i="12"/>
  <c r="G19" i="12"/>
  <c r="F19" i="12"/>
  <c r="E19" i="12"/>
  <c r="H13" i="12"/>
  <c r="G13" i="12"/>
  <c r="F13" i="12"/>
  <c r="E13" i="12"/>
  <c r="H11" i="12"/>
  <c r="G11" i="12"/>
  <c r="F11" i="12"/>
  <c r="E11" i="12"/>
  <c r="H12" i="12"/>
  <c r="G12" i="12"/>
  <c r="F12" i="12"/>
  <c r="E12" i="12"/>
  <c r="H14" i="12"/>
  <c r="G14" i="12"/>
  <c r="F14" i="12"/>
  <c r="E14" i="12"/>
  <c r="H3" i="12"/>
  <c r="G3" i="12"/>
  <c r="F3" i="12"/>
  <c r="E3" i="12"/>
  <c r="H20" i="12"/>
  <c r="G20" i="12"/>
  <c r="F20" i="12"/>
  <c r="E20" i="12"/>
  <c r="H16" i="12"/>
  <c r="G16" i="12"/>
  <c r="F16" i="12"/>
  <c r="E16" i="12"/>
  <c r="H21" i="12"/>
  <c r="G21" i="12"/>
  <c r="F21" i="12"/>
  <c r="E21" i="12"/>
  <c r="H26" i="12"/>
  <c r="G26" i="12"/>
  <c r="F26" i="12"/>
  <c r="E26" i="12"/>
  <c r="H8" i="12"/>
  <c r="G8" i="12"/>
  <c r="F8" i="12"/>
  <c r="E8" i="12"/>
  <c r="H9" i="12"/>
  <c r="G9" i="12"/>
  <c r="F9" i="12"/>
  <c r="E9" i="12"/>
  <c r="H7" i="12"/>
  <c r="G7" i="12"/>
  <c r="F7" i="12"/>
  <c r="E7" i="12"/>
  <c r="H10" i="12"/>
  <c r="G10" i="12"/>
  <c r="F10" i="12"/>
  <c r="E10" i="12"/>
  <c r="H2" i="12"/>
  <c r="G2" i="12"/>
  <c r="F2" i="12"/>
  <c r="E2" i="12"/>
  <c r="H5" i="12"/>
  <c r="G5" i="12"/>
  <c r="F5" i="12"/>
  <c r="E5" i="12"/>
  <c r="H4" i="12"/>
  <c r="G4" i="12"/>
  <c r="F4" i="12"/>
  <c r="E4" i="12"/>
  <c r="H6" i="12"/>
  <c r="G6" i="12"/>
  <c r="F6" i="12"/>
  <c r="E6" i="12"/>
  <c r="M41" i="12"/>
  <c r="H41" i="12"/>
  <c r="R41" i="12" s="1"/>
  <c r="G41" i="12"/>
  <c r="F41" i="12"/>
  <c r="P41" i="12" s="1"/>
  <c r="E41" i="12"/>
  <c r="R38" i="12"/>
  <c r="M38" i="12"/>
  <c r="H38" i="12"/>
  <c r="G38" i="12"/>
  <c r="Q38" i="12" s="1"/>
  <c r="F38" i="12"/>
  <c r="P38" i="12" s="1"/>
  <c r="E38" i="12"/>
  <c r="P35" i="12"/>
  <c r="M35" i="12"/>
  <c r="H35" i="12"/>
  <c r="R35" i="12" s="1"/>
  <c r="G35" i="12"/>
  <c r="F35" i="12"/>
  <c r="E35" i="12"/>
  <c r="M39" i="12"/>
  <c r="H39" i="12"/>
  <c r="G39" i="12"/>
  <c r="F39" i="12"/>
  <c r="P39" i="12" s="1"/>
  <c r="E39" i="12"/>
  <c r="M33" i="12"/>
  <c r="H33" i="12"/>
  <c r="R33" i="12" s="1"/>
  <c r="G33" i="12"/>
  <c r="Q33" i="12" s="1"/>
  <c r="F33" i="12"/>
  <c r="E33" i="12"/>
  <c r="M30" i="12"/>
  <c r="H30" i="12"/>
  <c r="R30" i="12" s="1"/>
  <c r="G30" i="12"/>
  <c r="F30" i="12"/>
  <c r="P30" i="12" s="1"/>
  <c r="E30" i="12"/>
  <c r="O30" i="12" s="1"/>
  <c r="M40" i="12"/>
  <c r="H40" i="12"/>
  <c r="R40" i="12" s="1"/>
  <c r="G40" i="12"/>
  <c r="F40" i="12"/>
  <c r="P40" i="12" s="1"/>
  <c r="E40" i="12"/>
  <c r="R31" i="12"/>
  <c r="M31" i="12"/>
  <c r="H31" i="12"/>
  <c r="G31" i="12"/>
  <c r="Q31" i="12" s="1"/>
  <c r="F31" i="12"/>
  <c r="P31" i="12" s="1"/>
  <c r="E31" i="12"/>
  <c r="P37" i="12"/>
  <c r="M37" i="12"/>
  <c r="H37" i="12"/>
  <c r="R37" i="12" s="1"/>
  <c r="G37" i="12"/>
  <c r="F37" i="12"/>
  <c r="E37" i="12"/>
  <c r="M19" i="12"/>
  <c r="P19" i="12"/>
  <c r="M28" i="12"/>
  <c r="H28" i="12"/>
  <c r="R28" i="12" s="1"/>
  <c r="G28" i="12"/>
  <c r="Q28" i="12" s="1"/>
  <c r="F28" i="12"/>
  <c r="E28" i="12"/>
  <c r="M27" i="12"/>
  <c r="H27" i="12"/>
  <c r="R27" i="12" s="1"/>
  <c r="G27" i="12"/>
  <c r="F27" i="12"/>
  <c r="P27" i="12" s="1"/>
  <c r="E27" i="12"/>
  <c r="O27" i="12" s="1"/>
  <c r="M32" i="12"/>
  <c r="H32" i="12"/>
  <c r="R32" i="12" s="1"/>
  <c r="G32" i="12"/>
  <c r="F32" i="12"/>
  <c r="P32" i="12" s="1"/>
  <c r="E32" i="12"/>
  <c r="R36" i="12"/>
  <c r="M36" i="12"/>
  <c r="H36" i="12"/>
  <c r="G36" i="12"/>
  <c r="Q36" i="12" s="1"/>
  <c r="F36" i="12"/>
  <c r="P36" i="12" s="1"/>
  <c r="E36" i="12"/>
  <c r="P13" i="12"/>
  <c r="M13" i="12"/>
  <c r="R13" i="12"/>
  <c r="M34" i="12"/>
  <c r="H34" i="12"/>
  <c r="G34" i="12"/>
  <c r="F34" i="12"/>
  <c r="P34" i="12" s="1"/>
  <c r="E34" i="12"/>
  <c r="M15" i="12"/>
  <c r="R15" i="12"/>
  <c r="Q15" i="12"/>
  <c r="M11" i="12"/>
  <c r="R11" i="12"/>
  <c r="P11" i="12"/>
  <c r="M9" i="12"/>
  <c r="R9" i="12"/>
  <c r="P9" i="12"/>
  <c r="R8" i="12"/>
  <c r="M8" i="12"/>
  <c r="Q8" i="12"/>
  <c r="P8" i="12"/>
  <c r="P14" i="12"/>
  <c r="M14" i="12"/>
  <c r="R14" i="12"/>
  <c r="O14" i="12"/>
  <c r="M29" i="12"/>
  <c r="P29" i="12"/>
  <c r="M24" i="12"/>
  <c r="R24" i="12"/>
  <c r="Q24" i="12"/>
  <c r="M10" i="12"/>
  <c r="R10" i="12"/>
  <c r="P10" i="12"/>
  <c r="M26" i="12"/>
  <c r="R26" i="12"/>
  <c r="P26" i="12"/>
  <c r="R22" i="12"/>
  <c r="M22" i="12"/>
  <c r="Q22" i="12"/>
  <c r="P22" i="12"/>
  <c r="P12" i="12"/>
  <c r="M12" i="12"/>
  <c r="R12" i="12"/>
  <c r="O12" i="12"/>
  <c r="M18" i="12"/>
  <c r="P18" i="12"/>
  <c r="M7" i="12"/>
  <c r="R7" i="12"/>
  <c r="Q7" i="12"/>
  <c r="M17" i="12"/>
  <c r="R17" i="12"/>
  <c r="P17" i="12"/>
  <c r="O17" i="12"/>
  <c r="M25" i="12"/>
  <c r="R25" i="12"/>
  <c r="P25" i="12"/>
  <c r="R23" i="12"/>
  <c r="M23" i="12"/>
  <c r="Q23" i="12"/>
  <c r="P23" i="12"/>
  <c r="P21" i="12"/>
  <c r="M21" i="12"/>
  <c r="R21" i="12"/>
  <c r="O21" i="12"/>
  <c r="M20" i="12"/>
  <c r="P20" i="12"/>
  <c r="M16" i="12"/>
  <c r="R16" i="12"/>
  <c r="Q6" i="12"/>
  <c r="M5" i="12"/>
  <c r="R5" i="12"/>
  <c r="P5" i="12"/>
  <c r="O22" i="12"/>
  <c r="M6" i="12"/>
  <c r="R6" i="12"/>
  <c r="Q40" i="12"/>
  <c r="P6" i="12"/>
  <c r="R2" i="12"/>
  <c r="M2" i="12"/>
  <c r="Q2" i="12"/>
  <c r="P2" i="12"/>
  <c r="O31" i="12"/>
  <c r="P4" i="12"/>
  <c r="M4" i="12"/>
  <c r="R18" i="12"/>
  <c r="O4" i="12"/>
  <c r="M3" i="12"/>
  <c r="R39" i="12"/>
  <c r="Q41" i="12"/>
  <c r="P33" i="12"/>
  <c r="H15" i="11"/>
  <c r="G15" i="11"/>
  <c r="F15" i="11"/>
  <c r="E15" i="11"/>
  <c r="H24" i="11"/>
  <c r="G24" i="11"/>
  <c r="F24" i="11"/>
  <c r="E24" i="11"/>
  <c r="H22" i="11"/>
  <c r="G22" i="11"/>
  <c r="F22" i="11"/>
  <c r="E22" i="11"/>
  <c r="H25" i="11"/>
  <c r="G25" i="11"/>
  <c r="F25" i="11"/>
  <c r="E25" i="11"/>
  <c r="H32" i="11"/>
  <c r="G32" i="11"/>
  <c r="F32" i="11"/>
  <c r="E32" i="11"/>
  <c r="H23" i="11"/>
  <c r="G23" i="11"/>
  <c r="F23" i="11"/>
  <c r="E23" i="11"/>
  <c r="H29" i="11"/>
  <c r="G29" i="11"/>
  <c r="F29" i="11"/>
  <c r="E29" i="11"/>
  <c r="H27" i="11"/>
  <c r="G27" i="11"/>
  <c r="F27" i="11"/>
  <c r="E27" i="11"/>
  <c r="H16" i="11"/>
  <c r="G16" i="11"/>
  <c r="F16" i="11"/>
  <c r="E16" i="11"/>
  <c r="H28" i="11"/>
  <c r="G28" i="11"/>
  <c r="F28" i="11"/>
  <c r="P28" i="11" s="1"/>
  <c r="E28" i="11"/>
  <c r="H3" i="11"/>
  <c r="G3" i="11"/>
  <c r="F3" i="11"/>
  <c r="E3" i="11"/>
  <c r="H17" i="11"/>
  <c r="G17" i="11"/>
  <c r="F17" i="11"/>
  <c r="E17" i="11"/>
  <c r="H20" i="11"/>
  <c r="G20" i="11"/>
  <c r="F20" i="11"/>
  <c r="E20" i="11"/>
  <c r="H11" i="11"/>
  <c r="G11" i="11"/>
  <c r="F11" i="11"/>
  <c r="E11" i="11"/>
  <c r="H12" i="11"/>
  <c r="G12" i="11"/>
  <c r="F12" i="11"/>
  <c r="E12" i="11"/>
  <c r="H13" i="11"/>
  <c r="G13" i="11"/>
  <c r="F13" i="11"/>
  <c r="E13" i="11"/>
  <c r="H14" i="11"/>
  <c r="G14" i="11"/>
  <c r="F14" i="11"/>
  <c r="E14" i="11"/>
  <c r="H19" i="11"/>
  <c r="G19" i="11"/>
  <c r="F19" i="11"/>
  <c r="E19" i="11"/>
  <c r="H18" i="11"/>
  <c r="G18" i="11"/>
  <c r="F18" i="11"/>
  <c r="E18" i="11"/>
  <c r="H36" i="11"/>
  <c r="G36" i="11"/>
  <c r="F36" i="11"/>
  <c r="E36" i="11"/>
  <c r="H21" i="11"/>
  <c r="G21" i="11"/>
  <c r="F21" i="11"/>
  <c r="E21" i="11"/>
  <c r="O9" i="11" s="1"/>
  <c r="H34" i="11"/>
  <c r="G34" i="11"/>
  <c r="F34" i="11"/>
  <c r="E34" i="11"/>
  <c r="H26" i="11"/>
  <c r="G26" i="11"/>
  <c r="F26" i="11"/>
  <c r="E26" i="11"/>
  <c r="H8" i="11"/>
  <c r="G8" i="11"/>
  <c r="F8" i="11"/>
  <c r="E8" i="11"/>
  <c r="H10" i="11"/>
  <c r="G10" i="11"/>
  <c r="F10" i="11"/>
  <c r="E10" i="11"/>
  <c r="H7" i="11"/>
  <c r="G7" i="11"/>
  <c r="F7" i="11"/>
  <c r="E7" i="11"/>
  <c r="H9" i="11"/>
  <c r="G9" i="11"/>
  <c r="F9" i="11"/>
  <c r="E9" i="11"/>
  <c r="H2" i="11"/>
  <c r="G2" i="11"/>
  <c r="F2" i="11"/>
  <c r="E2" i="11"/>
  <c r="H5" i="11"/>
  <c r="G5" i="11"/>
  <c r="F5" i="11"/>
  <c r="E5" i="11"/>
  <c r="H4" i="11"/>
  <c r="G4" i="11"/>
  <c r="F4" i="11"/>
  <c r="E4" i="11"/>
  <c r="H6" i="11"/>
  <c r="G6" i="11"/>
  <c r="F6" i="11"/>
  <c r="E6" i="11"/>
  <c r="M41" i="11"/>
  <c r="H41" i="11"/>
  <c r="R41" i="11" s="1"/>
  <c r="G41" i="11"/>
  <c r="Q41" i="11" s="1"/>
  <c r="F41" i="11"/>
  <c r="P41" i="11" s="1"/>
  <c r="E41" i="11"/>
  <c r="O41" i="11" s="1"/>
  <c r="M38" i="11"/>
  <c r="H38" i="11"/>
  <c r="G38" i="11"/>
  <c r="Q38" i="11" s="1"/>
  <c r="F38" i="11"/>
  <c r="P38" i="11" s="1"/>
  <c r="E38" i="11"/>
  <c r="Q35" i="11"/>
  <c r="M35" i="11"/>
  <c r="H35" i="11"/>
  <c r="G35" i="11"/>
  <c r="F35" i="11"/>
  <c r="E35" i="11"/>
  <c r="O35" i="11" s="1"/>
  <c r="Q39" i="11"/>
  <c r="O39" i="11"/>
  <c r="M39" i="11"/>
  <c r="H39" i="11"/>
  <c r="G39" i="11"/>
  <c r="F39" i="11"/>
  <c r="E39" i="11"/>
  <c r="M33" i="11"/>
  <c r="H33" i="11"/>
  <c r="R33" i="11" s="1"/>
  <c r="G33" i="11"/>
  <c r="Q33" i="11" s="1"/>
  <c r="F33" i="11"/>
  <c r="E33" i="11"/>
  <c r="M30" i="11"/>
  <c r="H30" i="11"/>
  <c r="R30" i="11" s="1"/>
  <c r="G30" i="11"/>
  <c r="Q30" i="11" s="1"/>
  <c r="F30" i="11"/>
  <c r="P30" i="11" s="1"/>
  <c r="E30" i="11"/>
  <c r="M28" i="11"/>
  <c r="R28" i="11"/>
  <c r="Q28" i="11"/>
  <c r="O28" i="11"/>
  <c r="M20" i="11"/>
  <c r="Q20" i="11"/>
  <c r="P20" i="11"/>
  <c r="O20" i="11"/>
  <c r="Q31" i="11"/>
  <c r="M31" i="11"/>
  <c r="H31" i="11"/>
  <c r="G31" i="11"/>
  <c r="F31" i="11"/>
  <c r="E31" i="11"/>
  <c r="O31" i="11" s="1"/>
  <c r="O40" i="11"/>
  <c r="M40" i="11"/>
  <c r="H40" i="11"/>
  <c r="G40" i="11"/>
  <c r="F40" i="11"/>
  <c r="E40" i="11"/>
  <c r="M37" i="11"/>
  <c r="H37" i="11"/>
  <c r="R37" i="11" s="1"/>
  <c r="G37" i="11"/>
  <c r="Q37" i="11" s="1"/>
  <c r="F37" i="11"/>
  <c r="E37" i="11"/>
  <c r="M27" i="11"/>
  <c r="R27" i="11"/>
  <c r="Q27" i="11"/>
  <c r="P27" i="11"/>
  <c r="O27" i="11"/>
  <c r="M32" i="11"/>
  <c r="R32" i="11"/>
  <c r="Q32" i="11"/>
  <c r="P32" i="11"/>
  <c r="M36" i="11"/>
  <c r="Q36" i="11"/>
  <c r="P36" i="11"/>
  <c r="O36" i="11"/>
  <c r="Q34" i="11"/>
  <c r="M34" i="11"/>
  <c r="O34" i="11"/>
  <c r="O11" i="11"/>
  <c r="M11" i="11"/>
  <c r="M12" i="11"/>
  <c r="R12" i="11"/>
  <c r="Q12" i="11"/>
  <c r="M9" i="11"/>
  <c r="R9" i="11"/>
  <c r="Q9" i="11"/>
  <c r="P9" i="11"/>
  <c r="M8" i="11"/>
  <c r="R8" i="11"/>
  <c r="Q8" i="11"/>
  <c r="P8" i="11"/>
  <c r="O8" i="11"/>
  <c r="M16" i="11"/>
  <c r="Q16" i="11"/>
  <c r="P16" i="11"/>
  <c r="O16" i="11"/>
  <c r="Q17" i="11"/>
  <c r="M17" i="11"/>
  <c r="O17" i="11"/>
  <c r="Q10" i="11"/>
  <c r="O10" i="11"/>
  <c r="M10" i="11"/>
  <c r="M14" i="11"/>
  <c r="R14" i="11"/>
  <c r="Q14" i="11"/>
  <c r="M29" i="11"/>
  <c r="R29" i="11"/>
  <c r="Q29" i="11"/>
  <c r="P29" i="11"/>
  <c r="O29" i="11"/>
  <c r="M24" i="11"/>
  <c r="R24" i="11"/>
  <c r="Q24" i="11"/>
  <c r="P24" i="11"/>
  <c r="O24" i="11"/>
  <c r="M23" i="11"/>
  <c r="Q23" i="11"/>
  <c r="P23" i="11"/>
  <c r="O23" i="11"/>
  <c r="Q13" i="11"/>
  <c r="M13" i="11"/>
  <c r="O13" i="11"/>
  <c r="O7" i="11"/>
  <c r="M7" i="11"/>
  <c r="M26" i="11"/>
  <c r="R26" i="11"/>
  <c r="Q26" i="11"/>
  <c r="M15" i="11"/>
  <c r="R15" i="11"/>
  <c r="Q15" i="11"/>
  <c r="P15" i="11"/>
  <c r="O15" i="11"/>
  <c r="M22" i="11"/>
  <c r="R22" i="11"/>
  <c r="Q22" i="11"/>
  <c r="P22" i="11"/>
  <c r="M21" i="11"/>
  <c r="Q21" i="11"/>
  <c r="P21" i="11"/>
  <c r="O21" i="11"/>
  <c r="Q25" i="11"/>
  <c r="M25" i="11"/>
  <c r="O25" i="11"/>
  <c r="Q19" i="11"/>
  <c r="O19" i="11"/>
  <c r="M19" i="11"/>
  <c r="O18" i="11"/>
  <c r="M18" i="11"/>
  <c r="R18" i="11"/>
  <c r="Q18" i="11"/>
  <c r="M5" i="11"/>
  <c r="R4" i="11"/>
  <c r="Q5" i="11"/>
  <c r="P5" i="11"/>
  <c r="O5" i="11"/>
  <c r="M6" i="11"/>
  <c r="R6" i="11"/>
  <c r="Q6" i="11"/>
  <c r="P18" i="11"/>
  <c r="O14" i="11"/>
  <c r="M2" i="11"/>
  <c r="Q2" i="11"/>
  <c r="P2" i="11"/>
  <c r="O2" i="11"/>
  <c r="Q3" i="11"/>
  <c r="M3" i="11"/>
  <c r="O3" i="11"/>
  <c r="Q4" i="11"/>
  <c r="O4" i="11"/>
  <c r="M4" i="11"/>
  <c r="R39" i="11"/>
  <c r="P33" i="11"/>
  <c r="H15" i="10"/>
  <c r="G15" i="10"/>
  <c r="F15" i="10"/>
  <c r="E15" i="10"/>
  <c r="H26" i="10"/>
  <c r="G26" i="10"/>
  <c r="F26" i="10"/>
  <c r="E26" i="10"/>
  <c r="H22" i="10"/>
  <c r="G22" i="10"/>
  <c r="F22" i="10"/>
  <c r="E22" i="10"/>
  <c r="H24" i="10"/>
  <c r="G24" i="10"/>
  <c r="F24" i="10"/>
  <c r="E24" i="10"/>
  <c r="H31" i="10"/>
  <c r="G31" i="10"/>
  <c r="F31" i="10"/>
  <c r="E31" i="10"/>
  <c r="H25" i="10"/>
  <c r="G25" i="10"/>
  <c r="F25" i="10"/>
  <c r="E25" i="10"/>
  <c r="H32" i="10"/>
  <c r="G32" i="10"/>
  <c r="F32" i="10"/>
  <c r="E32" i="10"/>
  <c r="H29" i="10"/>
  <c r="G29" i="10"/>
  <c r="F29" i="10"/>
  <c r="E29" i="10"/>
  <c r="H27" i="10"/>
  <c r="G27" i="10"/>
  <c r="F27" i="10"/>
  <c r="E27" i="10"/>
  <c r="H30" i="10"/>
  <c r="G30" i="10"/>
  <c r="F30" i="10"/>
  <c r="E30" i="10"/>
  <c r="H33" i="10"/>
  <c r="G33" i="10"/>
  <c r="F33" i="10"/>
  <c r="E33" i="10"/>
  <c r="H19" i="10"/>
  <c r="G19" i="10"/>
  <c r="F19" i="10"/>
  <c r="E19" i="10"/>
  <c r="H28" i="10"/>
  <c r="G28" i="10"/>
  <c r="F28" i="10"/>
  <c r="E28" i="10"/>
  <c r="H18" i="10"/>
  <c r="G18" i="10"/>
  <c r="F18" i="10"/>
  <c r="E18" i="10"/>
  <c r="H21" i="10"/>
  <c r="G21" i="10"/>
  <c r="F21" i="10"/>
  <c r="E21" i="10"/>
  <c r="H12" i="10"/>
  <c r="G12" i="10"/>
  <c r="F12" i="10"/>
  <c r="E12" i="10"/>
  <c r="H11" i="10"/>
  <c r="G11" i="10"/>
  <c r="F11" i="10"/>
  <c r="E11" i="10"/>
  <c r="H16" i="10"/>
  <c r="G16" i="10"/>
  <c r="F16" i="10"/>
  <c r="E16" i="10"/>
  <c r="H13" i="10"/>
  <c r="G13" i="10"/>
  <c r="F13" i="10"/>
  <c r="E13" i="10"/>
  <c r="H37" i="10"/>
  <c r="G37" i="10"/>
  <c r="F37" i="10"/>
  <c r="E37" i="10"/>
  <c r="H2" i="10"/>
  <c r="G2" i="10"/>
  <c r="F2" i="10"/>
  <c r="E2" i="10"/>
  <c r="H40" i="10"/>
  <c r="G40" i="10"/>
  <c r="F40" i="10"/>
  <c r="E40" i="10"/>
  <c r="H17" i="10"/>
  <c r="G17" i="10"/>
  <c r="F17" i="10"/>
  <c r="E17" i="10"/>
  <c r="H14" i="10"/>
  <c r="G14" i="10"/>
  <c r="F14" i="10"/>
  <c r="E14" i="10"/>
  <c r="H36" i="10"/>
  <c r="G36" i="10"/>
  <c r="F36" i="10"/>
  <c r="E36" i="10"/>
  <c r="H20" i="10"/>
  <c r="G20" i="10"/>
  <c r="F20" i="10"/>
  <c r="E20" i="10"/>
  <c r="H35" i="10"/>
  <c r="G35" i="10"/>
  <c r="F35" i="10"/>
  <c r="E35" i="10"/>
  <c r="H23" i="10"/>
  <c r="G23" i="10"/>
  <c r="F23" i="10"/>
  <c r="E23" i="10"/>
  <c r="T7" i="18" l="1"/>
  <c r="T10" i="18"/>
  <c r="T8" i="18"/>
  <c r="Q6" i="18"/>
  <c r="T6" i="18" s="1"/>
  <c r="Q2" i="18"/>
  <c r="Q16" i="18"/>
  <c r="Q11" i="18"/>
  <c r="S5" i="18"/>
  <c r="Q17" i="18"/>
  <c r="S16" i="18"/>
  <c r="Q13" i="18"/>
  <c r="R17" i="18"/>
  <c r="P9" i="18"/>
  <c r="P15" i="18"/>
  <c r="R13" i="18"/>
  <c r="S2" i="18"/>
  <c r="S17" i="18"/>
  <c r="Q9" i="18"/>
  <c r="Q15" i="18"/>
  <c r="S13" i="18"/>
  <c r="S11" i="18"/>
  <c r="P3" i="18"/>
  <c r="P4" i="18"/>
  <c r="P12" i="18"/>
  <c r="R3" i="18"/>
  <c r="R4" i="18"/>
  <c r="R12" i="18"/>
  <c r="P14" i="18"/>
  <c r="S3" i="18"/>
  <c r="S4" i="18"/>
  <c r="S12" i="18"/>
  <c r="Q14" i="18"/>
  <c r="Q3" i="18"/>
  <c r="P5" i="18"/>
  <c r="R14" i="18"/>
  <c r="Q4" i="18"/>
  <c r="Q5" i="18"/>
  <c r="S14" i="18"/>
  <c r="P2" i="18"/>
  <c r="P16" i="18"/>
  <c r="R5" i="18"/>
  <c r="V9" i="5"/>
  <c r="V17" i="5"/>
  <c r="V5" i="5"/>
  <c r="V4" i="5"/>
  <c r="V3" i="5"/>
  <c r="V15" i="5"/>
  <c r="P7" i="7"/>
  <c r="P11" i="7"/>
  <c r="T11" i="7" s="1"/>
  <c r="P19" i="7"/>
  <c r="P8" i="7"/>
  <c r="P17" i="7"/>
  <c r="P3" i="7"/>
  <c r="P13" i="7"/>
  <c r="T29" i="17"/>
  <c r="T11" i="17"/>
  <c r="T41" i="17"/>
  <c r="T36" i="17"/>
  <c r="T18" i="17"/>
  <c r="T12" i="17"/>
  <c r="T24" i="17"/>
  <c r="T23" i="17"/>
  <c r="T30" i="17"/>
  <c r="T35" i="17"/>
  <c r="P3" i="17"/>
  <c r="R4" i="17"/>
  <c r="T4" i="17" s="1"/>
  <c r="P8" i="17"/>
  <c r="R10" i="17"/>
  <c r="T10" i="17" s="1"/>
  <c r="P14" i="17"/>
  <c r="R17" i="17"/>
  <c r="T17" i="17" s="1"/>
  <c r="P20" i="17"/>
  <c r="R22" i="17"/>
  <c r="T22" i="17" s="1"/>
  <c r="P27" i="17"/>
  <c r="R28" i="17"/>
  <c r="T28" i="17" s="1"/>
  <c r="P33" i="17"/>
  <c r="R34" i="17"/>
  <c r="T34" i="17" s="1"/>
  <c r="P39" i="17"/>
  <c r="T39" i="17" s="1"/>
  <c r="R40" i="17"/>
  <c r="T40" i="17" s="1"/>
  <c r="P19" i="17"/>
  <c r="R20" i="17"/>
  <c r="P26" i="17"/>
  <c r="R27" i="17"/>
  <c r="P32" i="17"/>
  <c r="R33" i="17"/>
  <c r="O2" i="17"/>
  <c r="O26" i="17"/>
  <c r="R14" i="17"/>
  <c r="Q9" i="17"/>
  <c r="Q26" i="17"/>
  <c r="P13" i="17"/>
  <c r="T13" i="17" s="1"/>
  <c r="R15" i="17"/>
  <c r="P21" i="17"/>
  <c r="R19" i="17"/>
  <c r="P25" i="17"/>
  <c r="R26" i="17"/>
  <c r="P31" i="17"/>
  <c r="R38" i="17"/>
  <c r="T38" i="17" s="1"/>
  <c r="R3" i="17"/>
  <c r="P15" i="17"/>
  <c r="Q15" i="17"/>
  <c r="O31" i="17"/>
  <c r="R2" i="17"/>
  <c r="P37" i="17"/>
  <c r="O15" i="17"/>
  <c r="O19" i="17"/>
  <c r="R8" i="17"/>
  <c r="O37" i="17"/>
  <c r="P6" i="17"/>
  <c r="O32" i="17"/>
  <c r="P2" i="17"/>
  <c r="O21" i="17"/>
  <c r="O25" i="17"/>
  <c r="Q32" i="17"/>
  <c r="R9" i="17"/>
  <c r="O5" i="17"/>
  <c r="T5" i="17" s="1"/>
  <c r="Q6" i="17"/>
  <c r="O16" i="17"/>
  <c r="T16" i="17" s="1"/>
  <c r="Q19" i="17"/>
  <c r="P7" i="17"/>
  <c r="T7" i="17" s="1"/>
  <c r="R6" i="17"/>
  <c r="Q2" i="17"/>
  <c r="T10" i="16"/>
  <c r="T29" i="16"/>
  <c r="T5" i="16"/>
  <c r="T24" i="16"/>
  <c r="T41" i="16"/>
  <c r="T30" i="16"/>
  <c r="T23" i="16"/>
  <c r="T4" i="16"/>
  <c r="T21" i="16"/>
  <c r="T40" i="16"/>
  <c r="T17" i="16"/>
  <c r="T36" i="16"/>
  <c r="T15" i="16"/>
  <c r="T34" i="16"/>
  <c r="T12" i="16"/>
  <c r="T11" i="16"/>
  <c r="T28" i="16"/>
  <c r="T19" i="16"/>
  <c r="T35" i="16"/>
  <c r="O16" i="16"/>
  <c r="Q14" i="16"/>
  <c r="O20" i="16"/>
  <c r="Q22" i="16"/>
  <c r="T22" i="16" s="1"/>
  <c r="O26" i="16"/>
  <c r="Q27" i="16"/>
  <c r="O32" i="16"/>
  <c r="Q33" i="16"/>
  <c r="O38" i="16"/>
  <c r="Q39" i="16"/>
  <c r="P3" i="16"/>
  <c r="R2" i="16"/>
  <c r="P8" i="16"/>
  <c r="R9" i="16"/>
  <c r="P16" i="16"/>
  <c r="R14" i="16"/>
  <c r="P20" i="16"/>
  <c r="R22" i="16"/>
  <c r="P26" i="16"/>
  <c r="R27" i="16"/>
  <c r="P32" i="16"/>
  <c r="R33" i="16"/>
  <c r="P38" i="16"/>
  <c r="R39" i="16"/>
  <c r="Q9" i="16"/>
  <c r="O13" i="16"/>
  <c r="O31" i="16"/>
  <c r="R3" i="16"/>
  <c r="P7" i="16"/>
  <c r="R8" i="16"/>
  <c r="P13" i="16"/>
  <c r="R16" i="16"/>
  <c r="P18" i="16"/>
  <c r="R20" i="16"/>
  <c r="P25" i="16"/>
  <c r="R26" i="16"/>
  <c r="P31" i="16"/>
  <c r="R32" i="16"/>
  <c r="O25" i="16"/>
  <c r="O6" i="16"/>
  <c r="T6" i="16" s="1"/>
  <c r="Q7" i="16"/>
  <c r="Q2" i="16"/>
  <c r="Q8" i="16"/>
  <c r="O37" i="16"/>
  <c r="T37" i="16" s="1"/>
  <c r="Q3" i="16"/>
  <c r="O3" i="16"/>
  <c r="Q20" i="16"/>
  <c r="O7" i="16"/>
  <c r="O18" i="16"/>
  <c r="Q32" i="16"/>
  <c r="Q16" i="16"/>
  <c r="Q26" i="16"/>
  <c r="O5" i="15"/>
  <c r="O11" i="15"/>
  <c r="O16" i="15"/>
  <c r="O25" i="15"/>
  <c r="O39" i="15"/>
  <c r="O7" i="15"/>
  <c r="T7" i="15" s="1"/>
  <c r="O13" i="15"/>
  <c r="O24" i="15"/>
  <c r="T17" i="15"/>
  <c r="O40" i="15"/>
  <c r="O27" i="15"/>
  <c r="O28" i="15"/>
  <c r="O35" i="15"/>
  <c r="T35" i="15" s="1"/>
  <c r="T36" i="15"/>
  <c r="T12" i="15"/>
  <c r="T29" i="15"/>
  <c r="T21" i="15"/>
  <c r="T41" i="15"/>
  <c r="T15" i="15"/>
  <c r="T30" i="15"/>
  <c r="T11" i="15"/>
  <c r="T24" i="15"/>
  <c r="P2" i="15"/>
  <c r="R4" i="15"/>
  <c r="T4" i="15" s="1"/>
  <c r="P9" i="15"/>
  <c r="R10" i="15"/>
  <c r="T10" i="15" s="1"/>
  <c r="P14" i="15"/>
  <c r="R16" i="15"/>
  <c r="T16" i="15" s="1"/>
  <c r="P20" i="15"/>
  <c r="R19" i="15"/>
  <c r="T19" i="15" s="1"/>
  <c r="P27" i="15"/>
  <c r="R28" i="15"/>
  <c r="P33" i="15"/>
  <c r="R34" i="15"/>
  <c r="T34" i="15" s="1"/>
  <c r="R40" i="15"/>
  <c r="Q27" i="15"/>
  <c r="O32" i="15"/>
  <c r="Q33" i="15"/>
  <c r="O38" i="15"/>
  <c r="Q39" i="15"/>
  <c r="P3" i="15"/>
  <c r="R2" i="15"/>
  <c r="P8" i="15"/>
  <c r="R9" i="15"/>
  <c r="P18" i="15"/>
  <c r="R14" i="15"/>
  <c r="P22" i="15"/>
  <c r="R20" i="15"/>
  <c r="P26" i="15"/>
  <c r="R27" i="15"/>
  <c r="P32" i="15"/>
  <c r="R33" i="15"/>
  <c r="R26" i="15"/>
  <c r="R3" i="15"/>
  <c r="R38" i="15"/>
  <c r="R18" i="15"/>
  <c r="P23" i="15"/>
  <c r="T23" i="15" s="1"/>
  <c r="P31" i="15"/>
  <c r="T31" i="15" s="1"/>
  <c r="P5" i="15"/>
  <c r="T5" i="15" s="1"/>
  <c r="R6" i="15"/>
  <c r="T6" i="15" s="1"/>
  <c r="R8" i="15"/>
  <c r="P25" i="15"/>
  <c r="P13" i="15"/>
  <c r="R22" i="15"/>
  <c r="P37" i="15"/>
  <c r="T37" i="15" s="1"/>
  <c r="O39" i="14"/>
  <c r="O6" i="14"/>
  <c r="O31" i="14"/>
  <c r="O15" i="14"/>
  <c r="O38" i="14"/>
  <c r="P22" i="14"/>
  <c r="R36" i="14"/>
  <c r="R9" i="14"/>
  <c r="R19" i="14"/>
  <c r="R2" i="14"/>
  <c r="R3" i="14"/>
  <c r="R27" i="14"/>
  <c r="R34" i="14"/>
  <c r="R14" i="14"/>
  <c r="R38" i="14"/>
  <c r="P5" i="14"/>
  <c r="R26" i="14"/>
  <c r="O19" i="14"/>
  <c r="P23" i="14"/>
  <c r="P10" i="14"/>
  <c r="Q12" i="14"/>
  <c r="Q32" i="14"/>
  <c r="R28" i="14"/>
  <c r="O27" i="14"/>
  <c r="R37" i="14"/>
  <c r="P36" i="14"/>
  <c r="R23" i="14"/>
  <c r="P38" i="14"/>
  <c r="O24" i="14"/>
  <c r="O20" i="14"/>
  <c r="P9" i="14"/>
  <c r="O35" i="14"/>
  <c r="P40" i="14"/>
  <c r="O30" i="14"/>
  <c r="R10" i="14"/>
  <c r="R6" i="14"/>
  <c r="O21" i="14"/>
  <c r="P24" i="14"/>
  <c r="R8" i="14"/>
  <c r="P20" i="14"/>
  <c r="O11" i="14"/>
  <c r="P35" i="14"/>
  <c r="O18" i="14"/>
  <c r="P30" i="14"/>
  <c r="R39" i="14"/>
  <c r="O34" i="14"/>
  <c r="R21" i="14"/>
  <c r="R5" i="14"/>
  <c r="Q24" i="14"/>
  <c r="O16" i="14"/>
  <c r="P11" i="14"/>
  <c r="O13" i="14"/>
  <c r="P18" i="14"/>
  <c r="R31" i="14"/>
  <c r="Q30" i="14"/>
  <c r="O9" i="14"/>
  <c r="R24" i="14"/>
  <c r="O8" i="14"/>
  <c r="P16" i="14"/>
  <c r="R29" i="14"/>
  <c r="P13" i="14"/>
  <c r="R15" i="14"/>
  <c r="Q18" i="14"/>
  <c r="R30" i="14"/>
  <c r="Q38" i="14"/>
  <c r="O3" i="14"/>
  <c r="O33" i="14"/>
  <c r="P17" i="14"/>
  <c r="R22" i="14"/>
  <c r="Q16" i="14"/>
  <c r="Q13" i="14"/>
  <c r="R18" i="14"/>
  <c r="O41" i="14"/>
  <c r="P34" i="14"/>
  <c r="O2" i="14"/>
  <c r="P4" i="14"/>
  <c r="Q17" i="14"/>
  <c r="Q36" i="14"/>
  <c r="Q27" i="14"/>
  <c r="Q34" i="14"/>
  <c r="Q9" i="14"/>
  <c r="Q20" i="14"/>
  <c r="R16" i="14"/>
  <c r="O29" i="14"/>
  <c r="R13" i="14"/>
  <c r="Q35" i="14"/>
  <c r="R40" i="14"/>
  <c r="P41" i="14"/>
  <c r="R12" i="14"/>
  <c r="Q4" i="14"/>
  <c r="R17" i="14"/>
  <c r="O26" i="14"/>
  <c r="P7" i="14"/>
  <c r="R20" i="14"/>
  <c r="Q11" i="14"/>
  <c r="R35" i="14"/>
  <c r="O37" i="14"/>
  <c r="P33" i="14"/>
  <c r="Q41" i="14"/>
  <c r="O22" i="14"/>
  <c r="R32" i="14"/>
  <c r="O40" i="14"/>
  <c r="R4" i="14"/>
  <c r="O14" i="14"/>
  <c r="P26" i="14"/>
  <c r="Q7" i="14"/>
  <c r="R11" i="14"/>
  <c r="O32" i="14"/>
  <c r="P28" i="14"/>
  <c r="P37" i="14"/>
  <c r="Q33" i="14"/>
  <c r="R41" i="14"/>
  <c r="P15" i="14"/>
  <c r="P21" i="14"/>
  <c r="P6" i="14"/>
  <c r="P39" i="14"/>
  <c r="P31" i="14"/>
  <c r="P29" i="14"/>
  <c r="P8" i="14"/>
  <c r="P3" i="14"/>
  <c r="O5" i="14"/>
  <c r="P14" i="14"/>
  <c r="Q26" i="14"/>
  <c r="R7" i="14"/>
  <c r="O23" i="14"/>
  <c r="P25" i="14"/>
  <c r="O10" i="14"/>
  <c r="P12" i="14"/>
  <c r="P32" i="14"/>
  <c r="Q28" i="14"/>
  <c r="Q37" i="14"/>
  <c r="R33" i="14"/>
  <c r="O36" i="14"/>
  <c r="Q3" i="14"/>
  <c r="O17" i="14"/>
  <c r="O7" i="14"/>
  <c r="Q29" i="14"/>
  <c r="Q15" i="14"/>
  <c r="Q31" i="14"/>
  <c r="Q39" i="14"/>
  <c r="O4" i="14"/>
  <c r="Q6" i="14"/>
  <c r="Q21" i="14"/>
  <c r="O25" i="14"/>
  <c r="O12" i="14"/>
  <c r="O28" i="14"/>
  <c r="T30" i="13"/>
  <c r="T13" i="13"/>
  <c r="T20" i="13"/>
  <c r="T41" i="13"/>
  <c r="T35" i="13"/>
  <c r="T22" i="13"/>
  <c r="T12" i="13"/>
  <c r="T29" i="13"/>
  <c r="T24" i="13"/>
  <c r="T16" i="13"/>
  <c r="T36" i="13"/>
  <c r="P14" i="13"/>
  <c r="R27" i="13"/>
  <c r="P4" i="13"/>
  <c r="R3" i="13"/>
  <c r="P10" i="13"/>
  <c r="R8" i="13"/>
  <c r="P15" i="13"/>
  <c r="R17" i="13"/>
  <c r="T17" i="13" s="1"/>
  <c r="P23" i="13"/>
  <c r="R19" i="13"/>
  <c r="T19" i="13" s="1"/>
  <c r="P27" i="13"/>
  <c r="R28" i="13"/>
  <c r="T28" i="13" s="1"/>
  <c r="P33" i="13"/>
  <c r="T33" i="13" s="1"/>
  <c r="R34" i="13"/>
  <c r="T34" i="13" s="1"/>
  <c r="P39" i="13"/>
  <c r="R40" i="13"/>
  <c r="T40" i="13" s="1"/>
  <c r="P25" i="13"/>
  <c r="Q2" i="13"/>
  <c r="O7" i="13"/>
  <c r="Q9" i="13"/>
  <c r="O11" i="13"/>
  <c r="Q14" i="13"/>
  <c r="O18" i="13"/>
  <c r="Q21" i="13"/>
  <c r="O26" i="13"/>
  <c r="Q25" i="13"/>
  <c r="O31" i="13"/>
  <c r="Q32" i="13"/>
  <c r="O37" i="13"/>
  <c r="T37" i="13" s="1"/>
  <c r="Q38" i="13"/>
  <c r="P9" i="13"/>
  <c r="P21" i="13"/>
  <c r="R39" i="13"/>
  <c r="R2" i="13"/>
  <c r="P7" i="13"/>
  <c r="R9" i="13"/>
  <c r="P11" i="13"/>
  <c r="R14" i="13"/>
  <c r="P18" i="13"/>
  <c r="R21" i="13"/>
  <c r="P26" i="13"/>
  <c r="R25" i="13"/>
  <c r="P31" i="13"/>
  <c r="R32" i="13"/>
  <c r="R4" i="13"/>
  <c r="P38" i="13"/>
  <c r="T38" i="13" s="1"/>
  <c r="R15" i="13"/>
  <c r="P6" i="13"/>
  <c r="T6" i="13" s="1"/>
  <c r="R7" i="13"/>
  <c r="R10" i="13"/>
  <c r="R23" i="13"/>
  <c r="P32" i="13"/>
  <c r="O3" i="13"/>
  <c r="Q5" i="13"/>
  <c r="T5" i="13" s="1"/>
  <c r="O10" i="13"/>
  <c r="Q8" i="13"/>
  <c r="O37" i="12"/>
  <c r="O10" i="12"/>
  <c r="O11" i="12"/>
  <c r="O35" i="12"/>
  <c r="T22" i="12"/>
  <c r="T31" i="12"/>
  <c r="T38" i="12"/>
  <c r="O18" i="12"/>
  <c r="Q12" i="12"/>
  <c r="T12" i="12" s="1"/>
  <c r="O29" i="12"/>
  <c r="Q14" i="12"/>
  <c r="T14" i="12" s="1"/>
  <c r="O34" i="12"/>
  <c r="Q13" i="12"/>
  <c r="T13" i="12" s="1"/>
  <c r="O19" i="12"/>
  <c r="Q37" i="12"/>
  <c r="O39" i="12"/>
  <c r="Q35" i="12"/>
  <c r="P3" i="12"/>
  <c r="R4" i="12"/>
  <c r="O20" i="12"/>
  <c r="Q3" i="12"/>
  <c r="O7" i="12"/>
  <c r="Q18" i="12"/>
  <c r="O24" i="12"/>
  <c r="Q29" i="12"/>
  <c r="O15" i="12"/>
  <c r="Q34" i="12"/>
  <c r="O28" i="12"/>
  <c r="Q19" i="12"/>
  <c r="O33" i="12"/>
  <c r="T33" i="12" s="1"/>
  <c r="Q39" i="12"/>
  <c r="R3" i="12"/>
  <c r="P16" i="12"/>
  <c r="R20" i="12"/>
  <c r="P7" i="12"/>
  <c r="P24" i="12"/>
  <c r="R29" i="12"/>
  <c r="P15" i="12"/>
  <c r="R34" i="12"/>
  <c r="P28" i="12"/>
  <c r="R19" i="12"/>
  <c r="O5" i="12"/>
  <c r="Q16" i="12"/>
  <c r="Q5" i="12"/>
  <c r="O25" i="12"/>
  <c r="Q17" i="12"/>
  <c r="T17" i="12" s="1"/>
  <c r="O26" i="12"/>
  <c r="Q10" i="12"/>
  <c r="T10" i="12" s="1"/>
  <c r="O9" i="12"/>
  <c r="Q11" i="12"/>
  <c r="T11" i="12" s="1"/>
  <c r="O32" i="12"/>
  <c r="O40" i="12"/>
  <c r="T40" i="12" s="1"/>
  <c r="Q30" i="12"/>
  <c r="T30" i="12" s="1"/>
  <c r="O41" i="12"/>
  <c r="T41" i="12" s="1"/>
  <c r="Q4" i="12"/>
  <c r="T4" i="12" s="1"/>
  <c r="O6" i="12"/>
  <c r="T6" i="12" s="1"/>
  <c r="Q27" i="12"/>
  <c r="T27" i="12" s="1"/>
  <c r="O3" i="12"/>
  <c r="Q20" i="12"/>
  <c r="O23" i="12"/>
  <c r="T23" i="12" s="1"/>
  <c r="Q25" i="12"/>
  <c r="Q26" i="12"/>
  <c r="O8" i="12"/>
  <c r="T8" i="12" s="1"/>
  <c r="Q9" i="12"/>
  <c r="O36" i="12"/>
  <c r="T36" i="12" s="1"/>
  <c r="Q32" i="12"/>
  <c r="Q21" i="12"/>
  <c r="T21" i="12" s="1"/>
  <c r="O2" i="12"/>
  <c r="T2" i="12" s="1"/>
  <c r="O16" i="12"/>
  <c r="O22" i="11"/>
  <c r="T22" i="11" s="1"/>
  <c r="O26" i="11"/>
  <c r="O32" i="11"/>
  <c r="T32" i="11" s="1"/>
  <c r="O38" i="11"/>
  <c r="O30" i="11"/>
  <c r="T30" i="11" s="1"/>
  <c r="T41" i="11"/>
  <c r="T27" i="11"/>
  <c r="T15" i="11"/>
  <c r="T29" i="11"/>
  <c r="T18" i="11"/>
  <c r="T8" i="11"/>
  <c r="T24" i="11"/>
  <c r="T28" i="11"/>
  <c r="T9" i="11"/>
  <c r="P3" i="11"/>
  <c r="R2" i="11"/>
  <c r="T2" i="11" s="1"/>
  <c r="P25" i="11"/>
  <c r="R21" i="11"/>
  <c r="T21" i="11" s="1"/>
  <c r="P13" i="11"/>
  <c r="R23" i="11"/>
  <c r="T23" i="11" s="1"/>
  <c r="P17" i="11"/>
  <c r="R16" i="11"/>
  <c r="T16" i="11" s="1"/>
  <c r="P34" i="11"/>
  <c r="R36" i="11"/>
  <c r="T36" i="11" s="1"/>
  <c r="P31" i="11"/>
  <c r="R20" i="11"/>
  <c r="T20" i="11" s="1"/>
  <c r="P35" i="11"/>
  <c r="R38" i="11"/>
  <c r="P4" i="11"/>
  <c r="T4" i="11" s="1"/>
  <c r="R3" i="11"/>
  <c r="P19" i="11"/>
  <c r="R25" i="11"/>
  <c r="P7" i="11"/>
  <c r="R13" i="11"/>
  <c r="P10" i="11"/>
  <c r="R17" i="11"/>
  <c r="P11" i="11"/>
  <c r="R34" i="11"/>
  <c r="P40" i="11"/>
  <c r="R31" i="11"/>
  <c r="P39" i="11"/>
  <c r="T39" i="11" s="1"/>
  <c r="R35" i="11"/>
  <c r="Q7" i="11"/>
  <c r="Q40" i="11"/>
  <c r="P26" i="11"/>
  <c r="T26" i="11" s="1"/>
  <c r="R7" i="11"/>
  <c r="P14" i="11"/>
  <c r="T14" i="11" s="1"/>
  <c r="R10" i="11"/>
  <c r="P12" i="11"/>
  <c r="R11" i="11"/>
  <c r="P37" i="11"/>
  <c r="R40" i="11"/>
  <c r="Q11" i="11"/>
  <c r="O33" i="11"/>
  <c r="T33" i="11" s="1"/>
  <c r="O6" i="11"/>
  <c r="O37" i="11"/>
  <c r="P6" i="11"/>
  <c r="R5" i="11"/>
  <c r="T5" i="11" s="1"/>
  <c r="O12" i="11"/>
  <c r="R19" i="11"/>
  <c r="H8" i="10"/>
  <c r="G8" i="10"/>
  <c r="F8" i="10"/>
  <c r="E8" i="10"/>
  <c r="H9" i="10"/>
  <c r="G9" i="10"/>
  <c r="F9" i="10"/>
  <c r="E9" i="10"/>
  <c r="H7" i="10"/>
  <c r="G7" i="10"/>
  <c r="F7" i="10"/>
  <c r="E7" i="10"/>
  <c r="H10" i="10"/>
  <c r="G10" i="10"/>
  <c r="F10" i="10"/>
  <c r="E10" i="10"/>
  <c r="H3" i="10"/>
  <c r="G3" i="10"/>
  <c r="F3" i="10"/>
  <c r="E3" i="10"/>
  <c r="H5" i="10"/>
  <c r="G5" i="10"/>
  <c r="F5" i="10"/>
  <c r="E5" i="10"/>
  <c r="H4" i="10"/>
  <c r="G4" i="10"/>
  <c r="F4" i="10"/>
  <c r="E4" i="10"/>
  <c r="H6" i="10"/>
  <c r="G6" i="10"/>
  <c r="F6" i="10"/>
  <c r="E6" i="10"/>
  <c r="M38" i="10"/>
  <c r="H38" i="10"/>
  <c r="R38" i="10" s="1"/>
  <c r="G38" i="10"/>
  <c r="Q38" i="10" s="1"/>
  <c r="F38" i="10"/>
  <c r="P38" i="10" s="1"/>
  <c r="E38" i="10"/>
  <c r="O38" i="10" s="1"/>
  <c r="M41" i="10"/>
  <c r="H41" i="10"/>
  <c r="G41" i="10"/>
  <c r="Q41" i="10" s="1"/>
  <c r="F41" i="10"/>
  <c r="P41" i="10" s="1"/>
  <c r="E41" i="10"/>
  <c r="O41" i="10" s="1"/>
  <c r="Q34" i="10"/>
  <c r="M34" i="10"/>
  <c r="H34" i="10"/>
  <c r="G34" i="10"/>
  <c r="F34" i="10"/>
  <c r="E34" i="10"/>
  <c r="O34" i="10" s="1"/>
  <c r="O30" i="10"/>
  <c r="M30" i="10"/>
  <c r="M39" i="10"/>
  <c r="H39" i="10"/>
  <c r="R39" i="10" s="1"/>
  <c r="G39" i="10"/>
  <c r="Q39" i="10" s="1"/>
  <c r="F39" i="10"/>
  <c r="E39" i="10"/>
  <c r="M33" i="10"/>
  <c r="R33" i="10"/>
  <c r="Q33" i="10"/>
  <c r="P33" i="10"/>
  <c r="O33" i="10"/>
  <c r="M21" i="10"/>
  <c r="R21" i="10"/>
  <c r="Q21" i="10"/>
  <c r="P21" i="10"/>
  <c r="O21" i="10"/>
  <c r="M28" i="10"/>
  <c r="Q28" i="10"/>
  <c r="P28" i="10"/>
  <c r="O28" i="10"/>
  <c r="Q37" i="10"/>
  <c r="M37" i="10"/>
  <c r="O37" i="10"/>
  <c r="O32" i="10"/>
  <c r="M32" i="10"/>
  <c r="M27" i="10"/>
  <c r="R27" i="10"/>
  <c r="Q27" i="10"/>
  <c r="M10" i="10"/>
  <c r="R10" i="10"/>
  <c r="Q10" i="10"/>
  <c r="P10" i="10"/>
  <c r="O10" i="10"/>
  <c r="M36" i="10"/>
  <c r="R36" i="10"/>
  <c r="Q36" i="10"/>
  <c r="P36" i="10"/>
  <c r="O36" i="10"/>
  <c r="M35" i="10"/>
  <c r="Q35" i="10"/>
  <c r="P35" i="10"/>
  <c r="O35" i="10"/>
  <c r="Q31" i="10"/>
  <c r="M31" i="10"/>
  <c r="O31" i="10"/>
  <c r="O9" i="10"/>
  <c r="M9" i="10"/>
  <c r="M18" i="10"/>
  <c r="R18" i="10"/>
  <c r="Q18" i="10"/>
  <c r="M11" i="10"/>
  <c r="R11" i="10"/>
  <c r="Q11" i="10"/>
  <c r="P11" i="10"/>
  <c r="O11" i="10"/>
  <c r="M12" i="10"/>
  <c r="R12" i="10"/>
  <c r="Q12" i="10"/>
  <c r="P12" i="10"/>
  <c r="O12" i="10"/>
  <c r="M25" i="10"/>
  <c r="Q25" i="10"/>
  <c r="P25" i="10"/>
  <c r="O25" i="10"/>
  <c r="Q8" i="10"/>
  <c r="M8" i="10"/>
  <c r="O8" i="10"/>
  <c r="O7" i="10"/>
  <c r="M7" i="10"/>
  <c r="M26" i="10"/>
  <c r="R26" i="10"/>
  <c r="Q26" i="10"/>
  <c r="M40" i="10"/>
  <c r="R40" i="10"/>
  <c r="Q40" i="10"/>
  <c r="P40" i="10"/>
  <c r="O40" i="10"/>
  <c r="M29" i="10"/>
  <c r="R29" i="10"/>
  <c r="Q29" i="10"/>
  <c r="P29" i="10"/>
  <c r="O29" i="10"/>
  <c r="M13" i="10"/>
  <c r="Q13" i="10"/>
  <c r="P13" i="10"/>
  <c r="O13" i="10"/>
  <c r="Q19" i="10"/>
  <c r="M19" i="10"/>
  <c r="O19" i="10"/>
  <c r="O23" i="10"/>
  <c r="M23" i="10"/>
  <c r="M16" i="10"/>
  <c r="R16" i="10"/>
  <c r="Q16" i="10"/>
  <c r="M15" i="10"/>
  <c r="R15" i="10"/>
  <c r="Q15" i="10"/>
  <c r="P15" i="10"/>
  <c r="O15" i="10"/>
  <c r="M20" i="10"/>
  <c r="R20" i="10"/>
  <c r="Q20" i="10"/>
  <c r="P20" i="10"/>
  <c r="O20" i="10"/>
  <c r="M24" i="10"/>
  <c r="Q24" i="10"/>
  <c r="P24" i="10"/>
  <c r="O24" i="10"/>
  <c r="Q22" i="10"/>
  <c r="M22" i="10"/>
  <c r="O22" i="10"/>
  <c r="O5" i="10"/>
  <c r="M5" i="10"/>
  <c r="M17" i="10"/>
  <c r="R31" i="10"/>
  <c r="Q17" i="10"/>
  <c r="M3" i="10"/>
  <c r="R3" i="10"/>
  <c r="Q3" i="10"/>
  <c r="P7" i="10"/>
  <c r="O3" i="10"/>
  <c r="M14" i="10"/>
  <c r="R14" i="10"/>
  <c r="Q14" i="10"/>
  <c r="P14" i="10"/>
  <c r="O14" i="10"/>
  <c r="M6" i="10"/>
  <c r="Q6" i="10"/>
  <c r="P6" i="10"/>
  <c r="O6" i="10"/>
  <c r="Q2" i="10"/>
  <c r="M2" i="10"/>
  <c r="O2" i="10"/>
  <c r="O4" i="10"/>
  <c r="M4" i="10"/>
  <c r="R30" i="10"/>
  <c r="Q30" i="10"/>
  <c r="P39" i="10"/>
  <c r="O39" i="10"/>
  <c r="H19" i="9"/>
  <c r="G19" i="9"/>
  <c r="F19" i="9"/>
  <c r="E19" i="9"/>
  <c r="H25" i="9"/>
  <c r="G25" i="9"/>
  <c r="F25" i="9"/>
  <c r="E25" i="9"/>
  <c r="H22" i="9"/>
  <c r="G22" i="9"/>
  <c r="F22" i="9"/>
  <c r="E22" i="9"/>
  <c r="H24" i="9"/>
  <c r="G24" i="9"/>
  <c r="F24" i="9"/>
  <c r="E24" i="9"/>
  <c r="H34" i="9"/>
  <c r="G34" i="9"/>
  <c r="F34" i="9"/>
  <c r="E34" i="9"/>
  <c r="H26" i="9"/>
  <c r="G26" i="9"/>
  <c r="F26" i="9"/>
  <c r="E26" i="9"/>
  <c r="H33" i="9"/>
  <c r="G33" i="9"/>
  <c r="F33" i="9"/>
  <c r="E33" i="9"/>
  <c r="H30" i="9"/>
  <c r="G30" i="9"/>
  <c r="F30" i="9"/>
  <c r="E30" i="9"/>
  <c r="H28" i="9"/>
  <c r="G28" i="9"/>
  <c r="F28" i="9"/>
  <c r="E28" i="9"/>
  <c r="H32" i="9"/>
  <c r="G32" i="9"/>
  <c r="F32" i="9"/>
  <c r="E32" i="9"/>
  <c r="H31" i="9"/>
  <c r="G31" i="9"/>
  <c r="F31" i="9"/>
  <c r="E31" i="9"/>
  <c r="H35" i="9"/>
  <c r="G35" i="9"/>
  <c r="F35" i="9"/>
  <c r="E35" i="9"/>
  <c r="H20" i="9"/>
  <c r="G20" i="9"/>
  <c r="F20" i="9"/>
  <c r="E20" i="9"/>
  <c r="H29" i="9"/>
  <c r="G29" i="9"/>
  <c r="F29" i="9"/>
  <c r="E29" i="9"/>
  <c r="H40" i="9"/>
  <c r="G40" i="9"/>
  <c r="F40" i="9"/>
  <c r="E40" i="9"/>
  <c r="H39" i="9"/>
  <c r="G39" i="9"/>
  <c r="F39" i="9"/>
  <c r="E39" i="9"/>
  <c r="H16" i="9"/>
  <c r="G16" i="9"/>
  <c r="F16" i="9"/>
  <c r="E16" i="9"/>
  <c r="H23" i="9"/>
  <c r="G23" i="9"/>
  <c r="F23" i="9"/>
  <c r="E23" i="9"/>
  <c r="H11" i="9"/>
  <c r="G11" i="9"/>
  <c r="F11" i="9"/>
  <c r="E11" i="9"/>
  <c r="H13" i="9"/>
  <c r="G13" i="9"/>
  <c r="F13" i="9"/>
  <c r="E13" i="9"/>
  <c r="H18" i="9"/>
  <c r="G18" i="9"/>
  <c r="F18" i="9"/>
  <c r="E18" i="9"/>
  <c r="H12" i="9"/>
  <c r="G12" i="9"/>
  <c r="F12" i="9"/>
  <c r="E12" i="9"/>
  <c r="H37" i="9"/>
  <c r="G37" i="9"/>
  <c r="F37" i="9"/>
  <c r="E37" i="9"/>
  <c r="H2" i="9"/>
  <c r="G2" i="9"/>
  <c r="F2" i="9"/>
  <c r="E2" i="9"/>
  <c r="H27" i="9"/>
  <c r="G27" i="9"/>
  <c r="F27" i="9"/>
  <c r="E27" i="9"/>
  <c r="H15" i="9"/>
  <c r="G15" i="9"/>
  <c r="F15" i="9"/>
  <c r="E15" i="9"/>
  <c r="H41" i="9"/>
  <c r="G41" i="9"/>
  <c r="F41" i="9"/>
  <c r="P41" i="9" s="1"/>
  <c r="E41" i="9"/>
  <c r="H14" i="9"/>
  <c r="G14" i="9"/>
  <c r="F14" i="9"/>
  <c r="E14" i="9"/>
  <c r="H38" i="9"/>
  <c r="G38" i="9"/>
  <c r="F38" i="9"/>
  <c r="E38" i="9"/>
  <c r="H17" i="9"/>
  <c r="G17" i="9"/>
  <c r="F17" i="9"/>
  <c r="E17" i="9"/>
  <c r="H36" i="9"/>
  <c r="G36" i="9"/>
  <c r="F36" i="9"/>
  <c r="E36" i="9"/>
  <c r="H21" i="9"/>
  <c r="G21" i="9"/>
  <c r="F21" i="9"/>
  <c r="E21" i="9"/>
  <c r="H4" i="9"/>
  <c r="H8" i="9"/>
  <c r="G8" i="9"/>
  <c r="F8" i="9"/>
  <c r="E8" i="9"/>
  <c r="H9" i="9"/>
  <c r="G9" i="9"/>
  <c r="F9" i="9"/>
  <c r="E9" i="9"/>
  <c r="H7" i="9"/>
  <c r="G7" i="9"/>
  <c r="F7" i="9"/>
  <c r="E7" i="9"/>
  <c r="H10" i="9"/>
  <c r="G10" i="9"/>
  <c r="F10" i="9"/>
  <c r="E10" i="9"/>
  <c r="G4" i="9"/>
  <c r="F4" i="9"/>
  <c r="E4" i="9"/>
  <c r="H6" i="9"/>
  <c r="G6" i="9"/>
  <c r="F6" i="9"/>
  <c r="E6" i="9"/>
  <c r="H3" i="9"/>
  <c r="G3" i="9"/>
  <c r="F3" i="9"/>
  <c r="E3" i="9"/>
  <c r="H5" i="9"/>
  <c r="G5" i="9"/>
  <c r="F5" i="9"/>
  <c r="E5" i="9"/>
  <c r="M39" i="9"/>
  <c r="R39" i="9"/>
  <c r="P39" i="9"/>
  <c r="O39" i="9"/>
  <c r="M41" i="9"/>
  <c r="Q41" i="9"/>
  <c r="Q40" i="9"/>
  <c r="M40" i="9"/>
  <c r="O40" i="9"/>
  <c r="O35" i="9"/>
  <c r="M35" i="9"/>
  <c r="M31" i="9"/>
  <c r="R31" i="9"/>
  <c r="Q31" i="9"/>
  <c r="M23" i="9"/>
  <c r="R23" i="9"/>
  <c r="Q23" i="9"/>
  <c r="P23" i="9"/>
  <c r="O23" i="9"/>
  <c r="M29" i="9"/>
  <c r="R29" i="9"/>
  <c r="P29" i="9"/>
  <c r="O29" i="9"/>
  <c r="M32" i="9"/>
  <c r="Q32" i="9"/>
  <c r="P32" i="9"/>
  <c r="Q37" i="9"/>
  <c r="M37" i="9"/>
  <c r="O37" i="9"/>
  <c r="O33" i="9"/>
  <c r="M33" i="9"/>
  <c r="M28" i="9"/>
  <c r="R28" i="9"/>
  <c r="Q28" i="9"/>
  <c r="M9" i="9"/>
  <c r="R9" i="9"/>
  <c r="Q9" i="9"/>
  <c r="P9" i="9"/>
  <c r="O9" i="9"/>
  <c r="M10" i="9"/>
  <c r="R10" i="9"/>
  <c r="P10" i="9"/>
  <c r="O10" i="9"/>
  <c r="M26" i="9"/>
  <c r="Q26" i="9"/>
  <c r="P26" i="9"/>
  <c r="Q34" i="9"/>
  <c r="M34" i="9"/>
  <c r="O34" i="9"/>
  <c r="O16" i="9"/>
  <c r="M16" i="9"/>
  <c r="M30" i="9"/>
  <c r="R30" i="9"/>
  <c r="Q30" i="9"/>
  <c r="M13" i="9"/>
  <c r="R13" i="9"/>
  <c r="Q13" i="9"/>
  <c r="P13" i="9"/>
  <c r="O13" i="9"/>
  <c r="M11" i="9"/>
  <c r="R11" i="9"/>
  <c r="P11" i="9"/>
  <c r="O11" i="9"/>
  <c r="M8" i="9"/>
  <c r="Q8" i="9"/>
  <c r="P8" i="9"/>
  <c r="Q21" i="9"/>
  <c r="M21" i="9"/>
  <c r="O21" i="9"/>
  <c r="O24" i="9"/>
  <c r="M24" i="9"/>
  <c r="M22" i="9"/>
  <c r="R22" i="9"/>
  <c r="Q22" i="9"/>
  <c r="M7" i="9"/>
  <c r="R7" i="9"/>
  <c r="Q7" i="9"/>
  <c r="P7" i="9"/>
  <c r="O7" i="9"/>
  <c r="M19" i="9"/>
  <c r="R19" i="9"/>
  <c r="P19" i="9"/>
  <c r="O19" i="9"/>
  <c r="M12" i="9"/>
  <c r="Q12" i="9"/>
  <c r="P12" i="9"/>
  <c r="Q27" i="9"/>
  <c r="M27" i="9"/>
  <c r="O27" i="9"/>
  <c r="O20" i="9"/>
  <c r="M20" i="9"/>
  <c r="M36" i="9"/>
  <c r="R36" i="9"/>
  <c r="Q36" i="9"/>
  <c r="M18" i="9"/>
  <c r="R18" i="9"/>
  <c r="Q18" i="9"/>
  <c r="P18" i="9"/>
  <c r="O18" i="9"/>
  <c r="M17" i="9"/>
  <c r="R17" i="9"/>
  <c r="P17" i="9"/>
  <c r="O17" i="9"/>
  <c r="M25" i="9"/>
  <c r="Q25" i="9"/>
  <c r="P25" i="9"/>
  <c r="Q38" i="9"/>
  <c r="M38" i="9"/>
  <c r="O38" i="9"/>
  <c r="O6" i="9"/>
  <c r="M6" i="9"/>
  <c r="M15" i="9"/>
  <c r="R27" i="9"/>
  <c r="Q15" i="9"/>
  <c r="M14" i="9"/>
  <c r="R14" i="9"/>
  <c r="Q17" i="9"/>
  <c r="P6" i="9"/>
  <c r="O14" i="9"/>
  <c r="M4" i="9"/>
  <c r="R4" i="9"/>
  <c r="Q10" i="9"/>
  <c r="P4" i="9"/>
  <c r="O12" i="9"/>
  <c r="M5" i="9"/>
  <c r="Q5" i="9"/>
  <c r="P5" i="9"/>
  <c r="O26" i="9"/>
  <c r="Q2" i="9"/>
  <c r="M2" i="9"/>
  <c r="R24" i="9"/>
  <c r="O2" i="9"/>
  <c r="O3" i="9"/>
  <c r="M3" i="9"/>
  <c r="R35" i="9"/>
  <c r="Q39" i="9"/>
  <c r="P31" i="9"/>
  <c r="O41" i="9"/>
  <c r="H21" i="8"/>
  <c r="G21" i="8"/>
  <c r="F21" i="8"/>
  <c r="E21" i="8"/>
  <c r="H20" i="8"/>
  <c r="G20" i="8"/>
  <c r="F20" i="8"/>
  <c r="E20" i="8"/>
  <c r="H28" i="8"/>
  <c r="G28" i="8"/>
  <c r="F28" i="8"/>
  <c r="E28" i="8"/>
  <c r="H29" i="8"/>
  <c r="G29" i="8"/>
  <c r="F29" i="8"/>
  <c r="E29" i="8"/>
  <c r="H22" i="8"/>
  <c r="G22" i="8"/>
  <c r="F22" i="8"/>
  <c r="E22" i="8"/>
  <c r="H32" i="8"/>
  <c r="G32" i="8"/>
  <c r="F32" i="8"/>
  <c r="E32" i="8"/>
  <c r="H24" i="8"/>
  <c r="G24" i="8"/>
  <c r="F24" i="8"/>
  <c r="E24" i="8"/>
  <c r="H35" i="8"/>
  <c r="G35" i="8"/>
  <c r="F35" i="8"/>
  <c r="E35" i="8"/>
  <c r="H27" i="8"/>
  <c r="G27" i="8"/>
  <c r="F27" i="8"/>
  <c r="E27" i="8"/>
  <c r="H30" i="8"/>
  <c r="G30" i="8"/>
  <c r="F30" i="8"/>
  <c r="E30" i="8"/>
  <c r="H26" i="8"/>
  <c r="G26" i="8"/>
  <c r="F26" i="8"/>
  <c r="E26" i="8"/>
  <c r="H33" i="8"/>
  <c r="G33" i="8"/>
  <c r="F33" i="8"/>
  <c r="E33" i="8"/>
  <c r="H17" i="8"/>
  <c r="G17" i="8"/>
  <c r="F17" i="8"/>
  <c r="E17" i="8"/>
  <c r="H34" i="8"/>
  <c r="G34" i="8"/>
  <c r="F34" i="8"/>
  <c r="E34" i="8"/>
  <c r="H39" i="8"/>
  <c r="G39" i="8"/>
  <c r="F39" i="8"/>
  <c r="E39" i="8"/>
  <c r="H36" i="8"/>
  <c r="G36" i="8"/>
  <c r="F36" i="8"/>
  <c r="E36" i="8"/>
  <c r="H14" i="8"/>
  <c r="G14" i="8"/>
  <c r="F14" i="8"/>
  <c r="E14" i="8"/>
  <c r="H16" i="8"/>
  <c r="G16" i="8"/>
  <c r="F16" i="8"/>
  <c r="E16" i="8"/>
  <c r="H11" i="8"/>
  <c r="G11" i="8"/>
  <c r="F11" i="8"/>
  <c r="E11" i="8"/>
  <c r="H9" i="8"/>
  <c r="G9" i="8"/>
  <c r="F9" i="8"/>
  <c r="E9" i="8"/>
  <c r="H15" i="8"/>
  <c r="G15" i="8"/>
  <c r="F15" i="8"/>
  <c r="E15" i="8"/>
  <c r="H12" i="8"/>
  <c r="G12" i="8"/>
  <c r="F12" i="8"/>
  <c r="E12" i="8"/>
  <c r="H38" i="8"/>
  <c r="G38" i="8"/>
  <c r="F38" i="8"/>
  <c r="E38" i="8"/>
  <c r="H3" i="8"/>
  <c r="G3" i="8"/>
  <c r="F3" i="8"/>
  <c r="E3" i="8"/>
  <c r="H23" i="8"/>
  <c r="G23" i="8"/>
  <c r="F23" i="8"/>
  <c r="E23" i="8"/>
  <c r="H18" i="8"/>
  <c r="G18" i="8"/>
  <c r="F18" i="8"/>
  <c r="E18" i="8"/>
  <c r="H41" i="8"/>
  <c r="R41" i="8" s="1"/>
  <c r="G41" i="8"/>
  <c r="Q41" i="8" s="1"/>
  <c r="F41" i="8"/>
  <c r="E41" i="8"/>
  <c r="O41" i="8" s="1"/>
  <c r="H25" i="8"/>
  <c r="G25" i="8"/>
  <c r="F25" i="8"/>
  <c r="E25" i="8"/>
  <c r="H40" i="8"/>
  <c r="G40" i="8"/>
  <c r="F40" i="8"/>
  <c r="E40" i="8"/>
  <c r="H19" i="8"/>
  <c r="G19" i="8"/>
  <c r="F19" i="8"/>
  <c r="E19" i="8"/>
  <c r="H37" i="8"/>
  <c r="G37" i="8"/>
  <c r="F37" i="8"/>
  <c r="E37" i="8"/>
  <c r="H31" i="8"/>
  <c r="G31" i="8"/>
  <c r="F31" i="8"/>
  <c r="E31" i="8"/>
  <c r="H7" i="8"/>
  <c r="G7" i="8"/>
  <c r="F7" i="8"/>
  <c r="E7" i="8"/>
  <c r="H13" i="8"/>
  <c r="G13" i="8"/>
  <c r="F13" i="8"/>
  <c r="E13" i="8"/>
  <c r="H8" i="8"/>
  <c r="G8" i="8"/>
  <c r="F8" i="8"/>
  <c r="E8" i="8"/>
  <c r="H10" i="8"/>
  <c r="G10" i="8"/>
  <c r="F10" i="8"/>
  <c r="E10" i="8"/>
  <c r="H2" i="8"/>
  <c r="G2" i="8"/>
  <c r="F2" i="8"/>
  <c r="E2" i="8"/>
  <c r="H5" i="8"/>
  <c r="G5" i="8"/>
  <c r="F5" i="8"/>
  <c r="E5" i="8"/>
  <c r="H4" i="8"/>
  <c r="G4" i="8"/>
  <c r="F4" i="8"/>
  <c r="E4" i="8"/>
  <c r="H6" i="8"/>
  <c r="G6" i="8"/>
  <c r="F6" i="8"/>
  <c r="E6" i="8"/>
  <c r="R36" i="8"/>
  <c r="Q36" i="8"/>
  <c r="P36" i="8"/>
  <c r="O36" i="8"/>
  <c r="M36" i="8"/>
  <c r="P41" i="8"/>
  <c r="M41" i="8"/>
  <c r="R39" i="8"/>
  <c r="Q39" i="8"/>
  <c r="P39" i="8"/>
  <c r="O39" i="8"/>
  <c r="M39" i="8"/>
  <c r="R16" i="8"/>
  <c r="Q16" i="8"/>
  <c r="P16" i="8"/>
  <c r="O16" i="8"/>
  <c r="M16" i="8"/>
  <c r="R26" i="8"/>
  <c r="Q26" i="8"/>
  <c r="P26" i="8"/>
  <c r="O26" i="8"/>
  <c r="M26" i="8"/>
  <c r="R30" i="8"/>
  <c r="Q30" i="8"/>
  <c r="P30" i="8"/>
  <c r="O30" i="8"/>
  <c r="M30" i="8"/>
  <c r="R33" i="8"/>
  <c r="Q33" i="8"/>
  <c r="P33" i="8"/>
  <c r="O33" i="8"/>
  <c r="M33" i="8"/>
  <c r="R34" i="8"/>
  <c r="Q34" i="8"/>
  <c r="P34" i="8"/>
  <c r="O34" i="8"/>
  <c r="M34" i="8"/>
  <c r="R38" i="8"/>
  <c r="Q38" i="8"/>
  <c r="P38" i="8"/>
  <c r="O38" i="8"/>
  <c r="M38" i="8"/>
  <c r="R14" i="8"/>
  <c r="Q14" i="8"/>
  <c r="P14" i="8"/>
  <c r="O14" i="8"/>
  <c r="M14" i="8"/>
  <c r="R32" i="8"/>
  <c r="Q32" i="8"/>
  <c r="P32" i="8"/>
  <c r="O32" i="8"/>
  <c r="M32" i="8"/>
  <c r="R27" i="8"/>
  <c r="Q27" i="8"/>
  <c r="P27" i="8"/>
  <c r="O27" i="8"/>
  <c r="M27" i="8"/>
  <c r="R11" i="8"/>
  <c r="Q11" i="8"/>
  <c r="P11" i="8"/>
  <c r="O11" i="8"/>
  <c r="M11" i="8"/>
  <c r="R9" i="8"/>
  <c r="Q9" i="8"/>
  <c r="P9" i="8"/>
  <c r="O9" i="8"/>
  <c r="M9" i="8"/>
  <c r="R24" i="8"/>
  <c r="Q24" i="8"/>
  <c r="P24" i="8"/>
  <c r="O24" i="8"/>
  <c r="M24" i="8"/>
  <c r="R13" i="8"/>
  <c r="Q13" i="8"/>
  <c r="P13" i="8"/>
  <c r="O13" i="8"/>
  <c r="M13" i="8"/>
  <c r="R10" i="8"/>
  <c r="Q10" i="8"/>
  <c r="P10" i="8"/>
  <c r="O10" i="8"/>
  <c r="M10" i="8"/>
  <c r="R35" i="8"/>
  <c r="Q35" i="8"/>
  <c r="P35" i="8"/>
  <c r="O35" i="8"/>
  <c r="M35" i="8"/>
  <c r="R31" i="8"/>
  <c r="Q31" i="8"/>
  <c r="P31" i="8"/>
  <c r="O31" i="8"/>
  <c r="M31" i="8"/>
  <c r="R20" i="8"/>
  <c r="Q20" i="8"/>
  <c r="P20" i="8"/>
  <c r="O20" i="8"/>
  <c r="M20" i="8"/>
  <c r="R29" i="8"/>
  <c r="Q29" i="8"/>
  <c r="P29" i="8"/>
  <c r="O29" i="8"/>
  <c r="M29" i="8"/>
  <c r="R22" i="8"/>
  <c r="Q22" i="8"/>
  <c r="P22" i="8"/>
  <c r="O22" i="8"/>
  <c r="M22" i="8"/>
  <c r="R21" i="8"/>
  <c r="Q21" i="8"/>
  <c r="P21" i="8"/>
  <c r="O21" i="8"/>
  <c r="M21" i="8"/>
  <c r="R17" i="8"/>
  <c r="Q17" i="8"/>
  <c r="P17" i="8"/>
  <c r="O17" i="8"/>
  <c r="M17" i="8"/>
  <c r="R12" i="8"/>
  <c r="Q12" i="8"/>
  <c r="P12" i="8"/>
  <c r="O12" i="8"/>
  <c r="M12" i="8"/>
  <c r="R28" i="8"/>
  <c r="Q28" i="8"/>
  <c r="P28" i="8"/>
  <c r="O28" i="8"/>
  <c r="M28" i="8"/>
  <c r="R37" i="8"/>
  <c r="Q37" i="8"/>
  <c r="P37" i="8"/>
  <c r="O37" i="8"/>
  <c r="M37" i="8"/>
  <c r="R7" i="8"/>
  <c r="Q7" i="8"/>
  <c r="P7" i="8"/>
  <c r="O7" i="8"/>
  <c r="M7" i="8"/>
  <c r="R15" i="8"/>
  <c r="Q15" i="8"/>
  <c r="P15" i="8"/>
  <c r="O15" i="8"/>
  <c r="M15" i="8"/>
  <c r="R8" i="8"/>
  <c r="Q8" i="8"/>
  <c r="P8" i="8"/>
  <c r="O8" i="8"/>
  <c r="M8" i="8"/>
  <c r="R5" i="8"/>
  <c r="Q5" i="8"/>
  <c r="P5" i="8"/>
  <c r="O5" i="8"/>
  <c r="M5" i="8"/>
  <c r="R40" i="8"/>
  <c r="Q40" i="8"/>
  <c r="P40" i="8"/>
  <c r="O40" i="8"/>
  <c r="M40" i="8"/>
  <c r="R25" i="8"/>
  <c r="Q25" i="8"/>
  <c r="P25" i="8"/>
  <c r="O25" i="8"/>
  <c r="M25" i="8"/>
  <c r="R23" i="8"/>
  <c r="Q23" i="8"/>
  <c r="P23" i="8"/>
  <c r="O23" i="8"/>
  <c r="M23" i="8"/>
  <c r="R19" i="8"/>
  <c r="Q19" i="8"/>
  <c r="P19" i="8"/>
  <c r="O19" i="8"/>
  <c r="M19" i="8"/>
  <c r="R6" i="8"/>
  <c r="Q6" i="8"/>
  <c r="P6" i="8"/>
  <c r="O6" i="8"/>
  <c r="M6" i="8"/>
  <c r="R2" i="8"/>
  <c r="Q2" i="8"/>
  <c r="P2" i="8"/>
  <c r="O2" i="8"/>
  <c r="M2" i="8"/>
  <c r="R3" i="8"/>
  <c r="Q3" i="8"/>
  <c r="P3" i="8"/>
  <c r="O3" i="8"/>
  <c r="M3" i="8"/>
  <c r="R18" i="8"/>
  <c r="Q18" i="8"/>
  <c r="P18" i="8"/>
  <c r="O18" i="8"/>
  <c r="M18" i="8"/>
  <c r="R4" i="8"/>
  <c r="Q4" i="8"/>
  <c r="P4" i="8"/>
  <c r="O4" i="8"/>
  <c r="M4" i="8"/>
  <c r="N3" i="7"/>
  <c r="N5" i="7"/>
  <c r="N11" i="7"/>
  <c r="N8" i="7"/>
  <c r="N4" i="7"/>
  <c r="N14" i="7"/>
  <c r="N7" i="7"/>
  <c r="N6" i="7"/>
  <c r="N9" i="7"/>
  <c r="N10" i="7"/>
  <c r="N12" i="7"/>
  <c r="N16" i="7"/>
  <c r="N13" i="7"/>
  <c r="N17" i="7"/>
  <c r="N15" i="7"/>
  <c r="N19" i="7"/>
  <c r="N18" i="7"/>
  <c r="N2" i="7"/>
  <c r="T4" i="7"/>
  <c r="R3" i="2"/>
  <c r="R5" i="2"/>
  <c r="R4" i="2"/>
  <c r="R6" i="2"/>
  <c r="R12" i="2"/>
  <c r="R7" i="2"/>
  <c r="R10" i="2"/>
  <c r="R15" i="2"/>
  <c r="R8" i="2"/>
  <c r="R14" i="2"/>
  <c r="R19" i="2"/>
  <c r="R17" i="2"/>
  <c r="R13" i="2"/>
  <c r="R23" i="2"/>
  <c r="R11" i="2"/>
  <c r="R9" i="2"/>
  <c r="R32" i="2"/>
  <c r="R33" i="2"/>
  <c r="R16" i="2"/>
  <c r="R18" i="2"/>
  <c r="R26" i="2"/>
  <c r="R24" i="2"/>
  <c r="R27" i="2"/>
  <c r="R22" i="2"/>
  <c r="R29" i="2"/>
  <c r="R28" i="2"/>
  <c r="R34" i="2"/>
  <c r="R35" i="2"/>
  <c r="R31" i="2"/>
  <c r="R25" i="2"/>
  <c r="R21" i="2"/>
  <c r="R20" i="2"/>
  <c r="R30" i="2"/>
  <c r="R36" i="2"/>
  <c r="R37" i="2"/>
  <c r="R38" i="2"/>
  <c r="R39" i="2"/>
  <c r="R40" i="2"/>
  <c r="R41" i="2"/>
  <c r="R2" i="2"/>
  <c r="Q3" i="2"/>
  <c r="Q5" i="2"/>
  <c r="Q4" i="2"/>
  <c r="Q6" i="2"/>
  <c r="Q12" i="2"/>
  <c r="Q7" i="2"/>
  <c r="Q10" i="2"/>
  <c r="Q15" i="2"/>
  <c r="Q8" i="2"/>
  <c r="Q14" i="2"/>
  <c r="Q19" i="2"/>
  <c r="Q17" i="2"/>
  <c r="Q13" i="2"/>
  <c r="Q23" i="2"/>
  <c r="Q11" i="2"/>
  <c r="Q9" i="2"/>
  <c r="Q32" i="2"/>
  <c r="Q33" i="2"/>
  <c r="Q16" i="2"/>
  <c r="Q18" i="2"/>
  <c r="Q26" i="2"/>
  <c r="Q24" i="2"/>
  <c r="Q27" i="2"/>
  <c r="Q22" i="2"/>
  <c r="Q29" i="2"/>
  <c r="Q28" i="2"/>
  <c r="Q34" i="2"/>
  <c r="Q35" i="2"/>
  <c r="Q31" i="2"/>
  <c r="Q25" i="2"/>
  <c r="Q21" i="2"/>
  <c r="Q20" i="2"/>
  <c r="Q30" i="2"/>
  <c r="Q36" i="2"/>
  <c r="Q37" i="2"/>
  <c r="Q38" i="2"/>
  <c r="Q39" i="2"/>
  <c r="Q40" i="2"/>
  <c r="Q41" i="2"/>
  <c r="Q2" i="2"/>
  <c r="P3" i="2"/>
  <c r="P5" i="2"/>
  <c r="P4" i="2"/>
  <c r="P6" i="2"/>
  <c r="P12" i="2"/>
  <c r="P7" i="2"/>
  <c r="P10" i="2"/>
  <c r="P15" i="2"/>
  <c r="P8" i="2"/>
  <c r="P14" i="2"/>
  <c r="P19" i="2"/>
  <c r="P17" i="2"/>
  <c r="P13" i="2"/>
  <c r="P23" i="2"/>
  <c r="P11" i="2"/>
  <c r="P9" i="2"/>
  <c r="P32" i="2"/>
  <c r="P33" i="2"/>
  <c r="P16" i="2"/>
  <c r="P18" i="2"/>
  <c r="P26" i="2"/>
  <c r="P24" i="2"/>
  <c r="P27" i="2"/>
  <c r="P22" i="2"/>
  <c r="P29" i="2"/>
  <c r="P28" i="2"/>
  <c r="P34" i="2"/>
  <c r="P35" i="2"/>
  <c r="P31" i="2"/>
  <c r="P25" i="2"/>
  <c r="P21" i="2"/>
  <c r="P20" i="2"/>
  <c r="P30" i="2"/>
  <c r="P36" i="2"/>
  <c r="P37" i="2"/>
  <c r="P38" i="2"/>
  <c r="P39" i="2"/>
  <c r="P40" i="2"/>
  <c r="P41" i="2"/>
  <c r="P2" i="2"/>
  <c r="O3" i="2"/>
  <c r="O5" i="2"/>
  <c r="O4" i="2"/>
  <c r="O6" i="2"/>
  <c r="O12" i="2"/>
  <c r="O7" i="2"/>
  <c r="O10" i="2"/>
  <c r="O15" i="2"/>
  <c r="O8" i="2"/>
  <c r="O14" i="2"/>
  <c r="O19" i="2"/>
  <c r="O17" i="2"/>
  <c r="O13" i="2"/>
  <c r="O23" i="2"/>
  <c r="O11" i="2"/>
  <c r="O9" i="2"/>
  <c r="O32" i="2"/>
  <c r="O33" i="2"/>
  <c r="O16" i="2"/>
  <c r="O18" i="2"/>
  <c r="O26" i="2"/>
  <c r="O24" i="2"/>
  <c r="O27" i="2"/>
  <c r="O22" i="2"/>
  <c r="O29" i="2"/>
  <c r="O28" i="2"/>
  <c r="O34" i="2"/>
  <c r="O35" i="2"/>
  <c r="O31" i="2"/>
  <c r="O25" i="2"/>
  <c r="O21" i="2"/>
  <c r="O20" i="2"/>
  <c r="O30" i="2"/>
  <c r="O36" i="2"/>
  <c r="O37" i="2"/>
  <c r="O38" i="2"/>
  <c r="O39" i="2"/>
  <c r="O40" i="2"/>
  <c r="O41" i="2"/>
  <c r="O2" i="2"/>
  <c r="R34" i="6"/>
  <c r="R29" i="6"/>
  <c r="R25" i="6"/>
  <c r="R20" i="6"/>
  <c r="R37" i="6"/>
  <c r="R39" i="6"/>
  <c r="R32" i="6"/>
  <c r="R31" i="6"/>
  <c r="R40" i="6"/>
  <c r="R33" i="6"/>
  <c r="R30" i="6"/>
  <c r="R27" i="6"/>
  <c r="R19" i="6"/>
  <c r="R8" i="6"/>
  <c r="R35" i="6"/>
  <c r="R15" i="6"/>
  <c r="R4" i="6"/>
  <c r="R5" i="6"/>
  <c r="R14" i="6"/>
  <c r="R2" i="6"/>
  <c r="R17" i="6"/>
  <c r="R24" i="6"/>
  <c r="R10" i="6"/>
  <c r="R7" i="6"/>
  <c r="R36" i="6"/>
  <c r="R9" i="6"/>
  <c r="R3" i="6"/>
  <c r="R11" i="6"/>
  <c r="R16" i="6"/>
  <c r="R23" i="6"/>
  <c r="R6" i="6"/>
  <c r="R22" i="6"/>
  <c r="R38" i="6"/>
  <c r="R18" i="6"/>
  <c r="R13" i="6"/>
  <c r="R41" i="6"/>
  <c r="R28" i="6"/>
  <c r="R12" i="6"/>
  <c r="R21" i="6"/>
  <c r="R26" i="6"/>
  <c r="Q13" i="6"/>
  <c r="Q12" i="6"/>
  <c r="Q28" i="6"/>
  <c r="Q26" i="6"/>
  <c r="Q34" i="6"/>
  <c r="Q36" i="6"/>
  <c r="Q2" i="6"/>
  <c r="Q25" i="6"/>
  <c r="Q4" i="6"/>
  <c r="Q18" i="6"/>
  <c r="Q20" i="6"/>
  <c r="Q6" i="6"/>
  <c r="Q8" i="6"/>
  <c r="Q5" i="6"/>
  <c r="Q10" i="6"/>
  <c r="Q29" i="6"/>
  <c r="Q3" i="6"/>
  <c r="Q7" i="6"/>
  <c r="Q15" i="6"/>
  <c r="Q9" i="6"/>
  <c r="Q41" i="6"/>
  <c r="Q24" i="6"/>
  <c r="Q14" i="6"/>
  <c r="Q11" i="6"/>
  <c r="Q38" i="6"/>
  <c r="Q22" i="6"/>
  <c r="Q30" i="6"/>
  <c r="Q33" i="6"/>
  <c r="Q19" i="6"/>
  <c r="Q16" i="6"/>
  <c r="Q40" i="6"/>
  <c r="Q39" i="6"/>
  <c r="Q23" i="6"/>
  <c r="Q37" i="6"/>
  <c r="Q27" i="6"/>
  <c r="Q35" i="6"/>
  <c r="Q32" i="6"/>
  <c r="Q31" i="6"/>
  <c r="Q21" i="6"/>
  <c r="Q17" i="6"/>
  <c r="P34" i="6"/>
  <c r="P40" i="6"/>
  <c r="P31" i="6"/>
  <c r="P26" i="6"/>
  <c r="P37" i="6"/>
  <c r="P25" i="6"/>
  <c r="P29" i="6"/>
  <c r="P20" i="6"/>
  <c r="P32" i="6"/>
  <c r="P12" i="6"/>
  <c r="P36" i="6"/>
  <c r="P27" i="6"/>
  <c r="P19" i="6"/>
  <c r="P41" i="6"/>
  <c r="P33" i="6"/>
  <c r="P14" i="6"/>
  <c r="P39" i="6"/>
  <c r="P7" i="6"/>
  <c r="P16" i="6"/>
  <c r="P8" i="6"/>
  <c r="P15" i="6"/>
  <c r="P9" i="6"/>
  <c r="P35" i="6"/>
  <c r="P11" i="6"/>
  <c r="P2" i="6"/>
  <c r="P3" i="6"/>
  <c r="P13" i="6"/>
  <c r="P6" i="6"/>
  <c r="P23" i="6"/>
  <c r="P17" i="6"/>
  <c r="P21" i="6"/>
  <c r="P10" i="6"/>
  <c r="P28" i="6"/>
  <c r="P38" i="6"/>
  <c r="P24" i="6"/>
  <c r="P5" i="6"/>
  <c r="P4" i="6"/>
  <c r="P18" i="6"/>
  <c r="P22" i="6"/>
  <c r="P30" i="6"/>
  <c r="O13" i="6"/>
  <c r="O12" i="6"/>
  <c r="O32" i="6"/>
  <c r="O8" i="6"/>
  <c r="O15" i="6"/>
  <c r="O31" i="6"/>
  <c r="O14" i="6"/>
  <c r="O19" i="6"/>
  <c r="O30" i="6"/>
  <c r="O16" i="6"/>
  <c r="O18" i="6"/>
  <c r="O21" i="6"/>
  <c r="O9" i="6"/>
  <c r="O39" i="6"/>
  <c r="O6" i="6"/>
  <c r="O29" i="6"/>
  <c r="O37" i="6"/>
  <c r="O23" i="6"/>
  <c r="T23" i="6" s="1"/>
  <c r="O7" i="6"/>
  <c r="O3" i="6"/>
  <c r="O2" i="6"/>
  <c r="O11" i="6"/>
  <c r="O33" i="6"/>
  <c r="O22" i="6"/>
  <c r="O35" i="6"/>
  <c r="O36" i="6"/>
  <c r="O41" i="6"/>
  <c r="O25" i="6"/>
  <c r="O38" i="6"/>
  <c r="O40" i="6"/>
  <c r="O20" i="6"/>
  <c r="O4" i="6"/>
  <c r="O5" i="6"/>
  <c r="O28" i="6"/>
  <c r="O17" i="6"/>
  <c r="O24" i="6"/>
  <c r="O10" i="6"/>
  <c r="O34" i="6"/>
  <c r="O26" i="6"/>
  <c r="O27" i="6"/>
  <c r="M21" i="6"/>
  <c r="M3" i="6"/>
  <c r="M5" i="6"/>
  <c r="M17" i="6"/>
  <c r="M2" i="6"/>
  <c r="M4" i="6"/>
  <c r="M25" i="6"/>
  <c r="M20" i="6"/>
  <c r="M11" i="6"/>
  <c r="M26" i="6"/>
  <c r="M15" i="6"/>
  <c r="M34" i="6"/>
  <c r="M18" i="6"/>
  <c r="M10" i="6"/>
  <c r="M29" i="6"/>
  <c r="M6" i="6"/>
  <c r="M28" i="6"/>
  <c r="M16" i="6"/>
  <c r="M7" i="6"/>
  <c r="M23" i="6"/>
  <c r="M9" i="6"/>
  <c r="M22" i="6"/>
  <c r="M40" i="6"/>
  <c r="M37" i="6"/>
  <c r="M8" i="6"/>
  <c r="M14" i="6"/>
  <c r="M41" i="6"/>
  <c r="M31" i="6"/>
  <c r="M33" i="6"/>
  <c r="M24" i="6"/>
  <c r="M12" i="6"/>
  <c r="M27" i="6"/>
  <c r="M38" i="6"/>
  <c r="M35" i="6"/>
  <c r="M39" i="6"/>
  <c r="M19" i="6"/>
  <c r="M30" i="6"/>
  <c r="M36" i="6"/>
  <c r="M32" i="6"/>
  <c r="M13" i="6"/>
  <c r="O8" i="5"/>
  <c r="O9" i="5"/>
  <c r="O6" i="5"/>
  <c r="O7" i="5"/>
  <c r="O4" i="5"/>
  <c r="O3" i="5"/>
  <c r="O5" i="5"/>
  <c r="O2" i="5"/>
  <c r="O14" i="5"/>
  <c r="O15" i="5"/>
  <c r="O17" i="5"/>
  <c r="O16" i="5"/>
  <c r="O12" i="5"/>
  <c r="O13" i="5"/>
  <c r="O10" i="5"/>
  <c r="O11" i="5"/>
  <c r="T11" i="18" l="1"/>
  <c r="T2" i="18"/>
  <c r="T17" i="18"/>
  <c r="T3" i="18"/>
  <c r="T13" i="18"/>
  <c r="T16" i="18"/>
  <c r="T14" i="18"/>
  <c r="T15" i="18"/>
  <c r="T9" i="18"/>
  <c r="T5" i="18"/>
  <c r="T12" i="18"/>
  <c r="T4" i="18"/>
  <c r="T25" i="17"/>
  <c r="T14" i="7"/>
  <c r="T5" i="7"/>
  <c r="T13" i="7"/>
  <c r="T16" i="7"/>
  <c r="T12" i="7"/>
  <c r="T17" i="7"/>
  <c r="T15" i="7"/>
  <c r="T20" i="17"/>
  <c r="T37" i="17"/>
  <c r="T27" i="17"/>
  <c r="T6" i="17"/>
  <c r="T26" i="17"/>
  <c r="T32" i="17"/>
  <c r="T8" i="17"/>
  <c r="T3" i="17"/>
  <c r="T9" i="17"/>
  <c r="T21" i="17"/>
  <c r="T14" i="17"/>
  <c r="T33" i="17"/>
  <c r="T2" i="17"/>
  <c r="T19" i="17"/>
  <c r="T15" i="17"/>
  <c r="T31" i="17"/>
  <c r="T25" i="16"/>
  <c r="T9" i="16"/>
  <c r="T2" i="16"/>
  <c r="T27" i="16"/>
  <c r="T13" i="16"/>
  <c r="T14" i="16"/>
  <c r="T18" i="16"/>
  <c r="T8" i="16"/>
  <c r="T16" i="16"/>
  <c r="T7" i="16"/>
  <c r="T3" i="16"/>
  <c r="T33" i="16"/>
  <c r="T39" i="16"/>
  <c r="T31" i="16"/>
  <c r="T20" i="16"/>
  <c r="T38" i="16"/>
  <c r="T32" i="16"/>
  <c r="T26" i="16"/>
  <c r="T39" i="15"/>
  <c r="T13" i="15"/>
  <c r="T25" i="15"/>
  <c r="T40" i="15"/>
  <c r="T20" i="15"/>
  <c r="T18" i="15"/>
  <c r="T8" i="15"/>
  <c r="T33" i="15"/>
  <c r="T9" i="15"/>
  <c r="T28" i="15"/>
  <c r="T27" i="15"/>
  <c r="T3" i="15"/>
  <c r="T14" i="15"/>
  <c r="T26" i="15"/>
  <c r="T22" i="15"/>
  <c r="T2" i="15"/>
  <c r="T38" i="15"/>
  <c r="T32" i="15"/>
  <c r="T4" i="14"/>
  <c r="T14" i="14"/>
  <c r="T2" i="14"/>
  <c r="T23" i="14"/>
  <c r="T22" i="14"/>
  <c r="T36" i="14"/>
  <c r="T7" i="14"/>
  <c r="T25" i="14"/>
  <c r="T40" i="14"/>
  <c r="T17" i="14"/>
  <c r="T10" i="14"/>
  <c r="T32" i="14"/>
  <c r="T27" i="14"/>
  <c r="T8" i="14"/>
  <c r="T34" i="14"/>
  <c r="T30" i="14"/>
  <c r="T26" i="14"/>
  <c r="T9" i="14"/>
  <c r="T35" i="14"/>
  <c r="T33" i="14"/>
  <c r="T18" i="14"/>
  <c r="T3" i="14"/>
  <c r="T20" i="14"/>
  <c r="T19" i="14"/>
  <c r="T11" i="14"/>
  <c r="T24" i="14"/>
  <c r="T38" i="14"/>
  <c r="T29" i="14"/>
  <c r="T13" i="14"/>
  <c r="T15" i="14"/>
  <c r="T31" i="14"/>
  <c r="T28" i="14"/>
  <c r="T16" i="14"/>
  <c r="T6" i="14"/>
  <c r="T12" i="14"/>
  <c r="T5" i="14"/>
  <c r="T37" i="14"/>
  <c r="T41" i="14"/>
  <c r="T21" i="14"/>
  <c r="T39" i="14"/>
  <c r="T27" i="13"/>
  <c r="T8" i="13"/>
  <c r="T3" i="13"/>
  <c r="T14" i="13"/>
  <c r="T39" i="13"/>
  <c r="T21" i="13"/>
  <c r="T4" i="13"/>
  <c r="T23" i="13"/>
  <c r="T10" i="13"/>
  <c r="T9" i="13"/>
  <c r="T15" i="13"/>
  <c r="T2" i="13"/>
  <c r="T25" i="13"/>
  <c r="T32" i="13"/>
  <c r="T11" i="13"/>
  <c r="T7" i="13"/>
  <c r="T31" i="13"/>
  <c r="T26" i="13"/>
  <c r="T18" i="13"/>
  <c r="T16" i="12"/>
  <c r="T37" i="12"/>
  <c r="T35" i="12"/>
  <c r="T25" i="12"/>
  <c r="T5" i="12"/>
  <c r="T28" i="12"/>
  <c r="T39" i="12"/>
  <c r="T32" i="12"/>
  <c r="T15" i="12"/>
  <c r="T19" i="12"/>
  <c r="T9" i="12"/>
  <c r="T24" i="12"/>
  <c r="T34" i="12"/>
  <c r="T26" i="12"/>
  <c r="T3" i="12"/>
  <c r="T7" i="12"/>
  <c r="T29" i="12"/>
  <c r="T20" i="12"/>
  <c r="T18" i="12"/>
  <c r="T38" i="11"/>
  <c r="T17" i="11"/>
  <c r="T19" i="11"/>
  <c r="T10" i="11"/>
  <c r="T7" i="11"/>
  <c r="T34" i="11"/>
  <c r="T13" i="11"/>
  <c r="T25" i="11"/>
  <c r="T40" i="11"/>
  <c r="T35" i="11"/>
  <c r="T3" i="11"/>
  <c r="T11" i="11"/>
  <c r="T31" i="11"/>
  <c r="T12" i="11"/>
  <c r="T37" i="11"/>
  <c r="T6" i="11"/>
  <c r="T15" i="10"/>
  <c r="T10" i="10"/>
  <c r="T38" i="10"/>
  <c r="T40" i="10"/>
  <c r="T39" i="10"/>
  <c r="T36" i="10"/>
  <c r="T33" i="10"/>
  <c r="T11" i="10"/>
  <c r="T20" i="10"/>
  <c r="T14" i="10"/>
  <c r="T12" i="10"/>
  <c r="T29" i="10"/>
  <c r="T21" i="10"/>
  <c r="P5" i="10"/>
  <c r="R37" i="10"/>
  <c r="P2" i="10"/>
  <c r="R6" i="10"/>
  <c r="T6" i="10" s="1"/>
  <c r="P22" i="10"/>
  <c r="R24" i="10"/>
  <c r="T24" i="10" s="1"/>
  <c r="P19" i="10"/>
  <c r="R13" i="10"/>
  <c r="T13" i="10" s="1"/>
  <c r="P8" i="10"/>
  <c r="R25" i="10"/>
  <c r="T25" i="10" s="1"/>
  <c r="P31" i="10"/>
  <c r="T31" i="10" s="1"/>
  <c r="R35" i="10"/>
  <c r="T35" i="10" s="1"/>
  <c r="P37" i="10"/>
  <c r="R28" i="10"/>
  <c r="T28" i="10" s="1"/>
  <c r="P34" i="10"/>
  <c r="R41" i="10"/>
  <c r="T41" i="10" s="1"/>
  <c r="R22" i="10"/>
  <c r="R19" i="10"/>
  <c r="P32" i="10"/>
  <c r="Q4" i="10"/>
  <c r="O17" i="10"/>
  <c r="Q5" i="10"/>
  <c r="O16" i="10"/>
  <c r="Q23" i="10"/>
  <c r="O26" i="10"/>
  <c r="Q7" i="10"/>
  <c r="O18" i="10"/>
  <c r="Q9" i="10"/>
  <c r="O27" i="10"/>
  <c r="Q32" i="10"/>
  <c r="P4" i="10"/>
  <c r="R8" i="10"/>
  <c r="R4" i="10"/>
  <c r="P17" i="10"/>
  <c r="R5" i="10"/>
  <c r="P16" i="10"/>
  <c r="R23" i="10"/>
  <c r="P26" i="10"/>
  <c r="R7" i="10"/>
  <c r="P18" i="10"/>
  <c r="R9" i="10"/>
  <c r="P27" i="10"/>
  <c r="R32" i="10"/>
  <c r="R2" i="10"/>
  <c r="P30" i="10"/>
  <c r="T30" i="10" s="1"/>
  <c r="R34" i="10"/>
  <c r="P3" i="10"/>
  <c r="T3" i="10" s="1"/>
  <c r="R17" i="10"/>
  <c r="P9" i="10"/>
  <c r="P23" i="10"/>
  <c r="T7" i="9"/>
  <c r="T23" i="9"/>
  <c r="T18" i="9"/>
  <c r="T9" i="9"/>
  <c r="T13" i="9"/>
  <c r="T17" i="9"/>
  <c r="T10" i="9"/>
  <c r="T39" i="9"/>
  <c r="P3" i="9"/>
  <c r="P2" i="9"/>
  <c r="R5" i="9"/>
  <c r="P38" i="9"/>
  <c r="R25" i="9"/>
  <c r="P27" i="9"/>
  <c r="T27" i="9" s="1"/>
  <c r="R12" i="9"/>
  <c r="T12" i="9" s="1"/>
  <c r="P21" i="9"/>
  <c r="R8" i="9"/>
  <c r="P34" i="9"/>
  <c r="R26" i="9"/>
  <c r="T26" i="9" s="1"/>
  <c r="P37" i="9"/>
  <c r="R32" i="9"/>
  <c r="P40" i="9"/>
  <c r="R41" i="9"/>
  <c r="T41" i="9" s="1"/>
  <c r="R21" i="9"/>
  <c r="P33" i="9"/>
  <c r="Q3" i="9"/>
  <c r="O15" i="9"/>
  <c r="Q6" i="9"/>
  <c r="O36" i="9"/>
  <c r="Q20" i="9"/>
  <c r="O22" i="9"/>
  <c r="Q24" i="9"/>
  <c r="O30" i="9"/>
  <c r="Q16" i="9"/>
  <c r="O28" i="9"/>
  <c r="Q33" i="9"/>
  <c r="O31" i="9"/>
  <c r="T31" i="9" s="1"/>
  <c r="Q35" i="9"/>
  <c r="R2" i="9"/>
  <c r="R38" i="9"/>
  <c r="P35" i="9"/>
  <c r="R3" i="9"/>
  <c r="P15" i="9"/>
  <c r="R6" i="9"/>
  <c r="P36" i="9"/>
  <c r="R20" i="9"/>
  <c r="P22" i="9"/>
  <c r="P30" i="9"/>
  <c r="R16" i="9"/>
  <c r="P28" i="9"/>
  <c r="R33" i="9"/>
  <c r="P16" i="9"/>
  <c r="R34" i="9"/>
  <c r="P14" i="9"/>
  <c r="R15" i="9"/>
  <c r="R40" i="9"/>
  <c r="O4" i="9"/>
  <c r="Q14" i="9"/>
  <c r="P20" i="9"/>
  <c r="P24" i="9"/>
  <c r="O5" i="9"/>
  <c r="Q4" i="9"/>
  <c r="O25" i="9"/>
  <c r="T25" i="9" s="1"/>
  <c r="Q19" i="9"/>
  <c r="T19" i="9" s="1"/>
  <c r="O8" i="9"/>
  <c r="T8" i="9" s="1"/>
  <c r="Q11" i="9"/>
  <c r="T11" i="9" s="1"/>
  <c r="O32" i="9"/>
  <c r="Q29" i="9"/>
  <c r="T29" i="9" s="1"/>
  <c r="R37" i="9"/>
  <c r="T13" i="8"/>
  <c r="T16" i="8"/>
  <c r="T27" i="8"/>
  <c r="T41" i="8"/>
  <c r="T20" i="8"/>
  <c r="T6" i="8"/>
  <c r="T17" i="8"/>
  <c r="T3" i="8"/>
  <c r="T25" i="8"/>
  <c r="T29" i="8"/>
  <c r="T9" i="8"/>
  <c r="T35" i="8"/>
  <c r="T30" i="8"/>
  <c r="T40" i="8"/>
  <c r="T24" i="8"/>
  <c r="T34" i="8"/>
  <c r="T39" i="8"/>
  <c r="T22" i="8"/>
  <c r="T10" i="8"/>
  <c r="T14" i="8"/>
  <c r="T18" i="8"/>
  <c r="T15" i="8"/>
  <c r="T38" i="8"/>
  <c r="T32" i="8"/>
  <c r="T5" i="8"/>
  <c r="T11" i="8"/>
  <c r="T28" i="8"/>
  <c r="T4" i="8"/>
  <c r="T7" i="8"/>
  <c r="T31" i="8"/>
  <c r="T19" i="8"/>
  <c r="T8" i="8"/>
  <c r="T21" i="8"/>
  <c r="T2" i="8"/>
  <c r="T12" i="8"/>
  <c r="T36" i="8"/>
  <c r="T37" i="8"/>
  <c r="T26" i="8"/>
  <c r="T23" i="8"/>
  <c r="T33" i="8"/>
  <c r="T6" i="7"/>
  <c r="T3" i="7"/>
  <c r="T2" i="7"/>
  <c r="T7" i="7"/>
  <c r="T18" i="7"/>
  <c r="T9" i="7"/>
  <c r="T8" i="7"/>
  <c r="T19" i="7"/>
  <c r="T10" i="7"/>
  <c r="T21" i="6"/>
  <c r="S25" i="2"/>
  <c r="S33" i="2"/>
  <c r="S7" i="2"/>
  <c r="S38" i="2"/>
  <c r="S22" i="2"/>
  <c r="S17" i="2"/>
  <c r="S2" i="2"/>
  <c r="S37" i="2"/>
  <c r="S27" i="2"/>
  <c r="S19" i="2"/>
  <c r="S36" i="2"/>
  <c r="S24" i="2"/>
  <c r="S14" i="2"/>
  <c r="S40" i="2"/>
  <c r="S28" i="2"/>
  <c r="S23" i="2"/>
  <c r="S35" i="2"/>
  <c r="S21" i="2"/>
  <c r="S16" i="2"/>
  <c r="S10" i="2"/>
  <c r="S31" i="2"/>
  <c r="S32" i="2"/>
  <c r="S12" i="2"/>
  <c r="S9" i="2"/>
  <c r="S41" i="2"/>
  <c r="S34" i="2"/>
  <c r="S11" i="2"/>
  <c r="S4" i="2"/>
  <c r="S8" i="2"/>
  <c r="S20" i="2"/>
  <c r="S18" i="2"/>
  <c r="S15" i="2"/>
  <c r="S30" i="2"/>
  <c r="S26" i="2"/>
  <c r="S39" i="2"/>
  <c r="S29" i="2"/>
  <c r="S13" i="2"/>
  <c r="S3" i="2"/>
  <c r="S6" i="2"/>
  <c r="S5" i="2"/>
  <c r="T39" i="6"/>
  <c r="T25" i="6"/>
  <c r="T31" i="6"/>
  <c r="T40" i="6"/>
  <c r="T41" i="6"/>
  <c r="T13" i="6"/>
  <c r="T12" i="6"/>
  <c r="T18" i="6"/>
  <c r="T10" i="6"/>
  <c r="T16" i="6"/>
  <c r="T17" i="6"/>
  <c r="T30" i="6"/>
  <c r="T27" i="6"/>
  <c r="T2" i="6"/>
  <c r="T9" i="6"/>
  <c r="T35" i="6"/>
  <c r="T24" i="6"/>
  <c r="T11" i="6"/>
  <c r="T15" i="6"/>
  <c r="T29" i="6"/>
  <c r="T8" i="6"/>
  <c r="T3" i="6"/>
  <c r="T19" i="6"/>
  <c r="T5" i="6"/>
  <c r="T32" i="6"/>
  <c r="T20" i="6"/>
  <c r="T7" i="6"/>
  <c r="T26" i="6"/>
  <c r="T34" i="6"/>
  <c r="T14" i="6"/>
  <c r="T28" i="6"/>
  <c r="T4" i="6"/>
  <c r="T6" i="6"/>
  <c r="T37" i="6"/>
  <c r="T36" i="6"/>
  <c r="T22" i="6"/>
  <c r="T33" i="6"/>
  <c r="T38" i="6"/>
  <c r="O9" i="4"/>
  <c r="O13" i="4"/>
  <c r="O7" i="4"/>
  <c r="O5" i="4"/>
  <c r="O29" i="4"/>
  <c r="O8" i="4"/>
  <c r="O19" i="4"/>
  <c r="O12" i="4"/>
  <c r="O34" i="4"/>
  <c r="O22" i="4"/>
  <c r="O17" i="4"/>
  <c r="O21" i="4"/>
  <c r="O20" i="4"/>
  <c r="O28" i="4"/>
  <c r="O6" i="4"/>
  <c r="O24" i="4"/>
  <c r="O11" i="4"/>
  <c r="O10" i="4"/>
  <c r="O15" i="4"/>
  <c r="O35" i="4"/>
  <c r="O32" i="4"/>
  <c r="O26" i="4"/>
  <c r="O39" i="4"/>
  <c r="O16" i="4"/>
  <c r="O30" i="4"/>
  <c r="O33" i="4"/>
  <c r="O25" i="4"/>
  <c r="O31" i="4"/>
  <c r="O14" i="4"/>
  <c r="O18" i="4"/>
  <c r="O38" i="4"/>
  <c r="O4" i="4"/>
  <c r="O3" i="4"/>
  <c r="O36" i="4"/>
  <c r="O23" i="4"/>
  <c r="O2" i="4"/>
  <c r="O37" i="4"/>
  <c r="O27" i="4"/>
  <c r="O40" i="4"/>
  <c r="M37" i="3"/>
  <c r="M40" i="3"/>
  <c r="M29" i="3"/>
  <c r="M39" i="3"/>
  <c r="M38" i="3"/>
  <c r="M30" i="3"/>
  <c r="M33" i="3"/>
  <c r="M41" i="3"/>
  <c r="M32" i="3"/>
  <c r="M31" i="3"/>
  <c r="M7" i="3"/>
  <c r="M22" i="3"/>
  <c r="M34" i="3"/>
  <c r="M36" i="3"/>
  <c r="M23" i="3"/>
  <c r="M35" i="3"/>
  <c r="M4" i="3"/>
  <c r="M26" i="3"/>
  <c r="M28" i="3"/>
  <c r="M12" i="3"/>
  <c r="M27" i="3"/>
  <c r="M6" i="3"/>
  <c r="M3" i="3"/>
  <c r="M9" i="3"/>
  <c r="M15" i="3"/>
  <c r="M10" i="3"/>
  <c r="M21" i="3"/>
  <c r="M25" i="3"/>
  <c r="M5" i="3"/>
  <c r="M13" i="3"/>
  <c r="M24" i="3"/>
  <c r="M11" i="3"/>
  <c r="M17" i="3"/>
  <c r="M16" i="3"/>
  <c r="M2" i="3"/>
  <c r="M18" i="3"/>
  <c r="M8" i="3"/>
  <c r="M14" i="3"/>
  <c r="M19" i="3"/>
  <c r="M20" i="3"/>
  <c r="M38" i="2"/>
  <c r="M41" i="2"/>
  <c r="M6" i="2"/>
  <c r="M32" i="2"/>
  <c r="M33" i="2"/>
  <c r="M39" i="2"/>
  <c r="M11" i="2"/>
  <c r="M40" i="2"/>
  <c r="M5" i="2"/>
  <c r="M3" i="2"/>
  <c r="M14" i="2"/>
  <c r="M9" i="2"/>
  <c r="M16" i="2"/>
  <c r="M4" i="2"/>
  <c r="M28" i="2"/>
  <c r="M2" i="2"/>
  <c r="M18" i="2"/>
  <c r="M7" i="2"/>
  <c r="M12" i="2"/>
  <c r="M29" i="2"/>
  <c r="M30" i="2"/>
  <c r="M21" i="2"/>
  <c r="M36" i="2"/>
  <c r="M10" i="2"/>
  <c r="M24" i="2"/>
  <c r="M22" i="2"/>
  <c r="M26" i="2"/>
  <c r="M17" i="2"/>
  <c r="M37" i="2"/>
  <c r="M34" i="2"/>
  <c r="M31" i="2"/>
  <c r="M19" i="2"/>
  <c r="M15" i="2"/>
  <c r="M20" i="2"/>
  <c r="M35" i="2"/>
  <c r="M25" i="2"/>
  <c r="M27" i="2"/>
  <c r="M8" i="2"/>
  <c r="M13" i="2"/>
  <c r="M23" i="2"/>
  <c r="M8" i="1"/>
  <c r="M2" i="1"/>
  <c r="M5" i="1"/>
  <c r="M7" i="1"/>
  <c r="M6" i="1"/>
  <c r="M16" i="1"/>
  <c r="M4" i="1"/>
  <c r="M13" i="1"/>
  <c r="M9" i="1"/>
  <c r="M19" i="1"/>
  <c r="M20" i="1"/>
  <c r="M22" i="1"/>
  <c r="M29" i="1"/>
  <c r="M10" i="1"/>
  <c r="M11" i="1"/>
  <c r="M12" i="1"/>
  <c r="M14" i="1"/>
  <c r="M15" i="1"/>
  <c r="M18" i="1"/>
  <c r="M23" i="1"/>
  <c r="M21" i="1"/>
  <c r="M24" i="1"/>
  <c r="M25" i="1"/>
  <c r="M17" i="1"/>
  <c r="M28" i="1"/>
  <c r="M26" i="1"/>
  <c r="M27" i="1"/>
  <c r="M30" i="1"/>
  <c r="M31" i="1"/>
  <c r="M32" i="1"/>
  <c r="M33" i="1"/>
  <c r="M40" i="1"/>
  <c r="M39" i="1"/>
  <c r="M34" i="1"/>
  <c r="M35" i="1"/>
  <c r="M36" i="1"/>
  <c r="M37" i="1"/>
  <c r="M38" i="1"/>
  <c r="M41" i="1"/>
  <c r="M3" i="1"/>
  <c r="T37" i="10" l="1"/>
  <c r="T8" i="10"/>
  <c r="T23" i="10"/>
  <c r="T22" i="10"/>
  <c r="T4" i="10"/>
  <c r="T32" i="10"/>
  <c r="T19" i="10"/>
  <c r="T34" i="10"/>
  <c r="T2" i="10"/>
  <c r="T7" i="10"/>
  <c r="T9" i="10"/>
  <c r="T5" i="10"/>
  <c r="T27" i="10"/>
  <c r="T18" i="10"/>
  <c r="T26" i="10"/>
  <c r="T16" i="10"/>
  <c r="T17" i="10"/>
  <c r="T2" i="9"/>
  <c r="T32" i="9"/>
  <c r="T40" i="9"/>
  <c r="T35" i="9"/>
  <c r="T34" i="9"/>
  <c r="T38" i="9"/>
  <c r="T21" i="9"/>
  <c r="T33" i="9"/>
  <c r="T20" i="9"/>
  <c r="T3" i="9"/>
  <c r="T37" i="9"/>
  <c r="T22" i="9"/>
  <c r="T14" i="9"/>
  <c r="T36" i="9"/>
  <c r="T16" i="9"/>
  <c r="T6" i="9"/>
  <c r="T5" i="9"/>
  <c r="T24" i="9"/>
  <c r="T15" i="9"/>
  <c r="T28" i="9"/>
  <c r="T4" i="9"/>
  <c r="T30" i="9"/>
  <c r="Q35" i="3"/>
  <c r="Q39" i="3"/>
  <c r="Q32" i="3"/>
  <c r="Q25" i="3"/>
  <c r="Q5" i="3"/>
  <c r="Q40" i="3"/>
  <c r="Q2" i="3"/>
  <c r="Q7" i="3"/>
  <c r="Q18" i="3"/>
  <c r="Q22" i="3"/>
  <c r="Q17" i="3"/>
  <c r="Q12" i="3"/>
  <c r="Q31" i="3"/>
  <c r="Q30" i="3"/>
  <c r="Q41" i="3"/>
  <c r="Q34" i="3"/>
  <c r="Q33" i="3"/>
  <c r="Q9" i="3"/>
  <c r="Q38" i="3"/>
  <c r="Q3" i="3"/>
  <c r="Q24" i="3"/>
  <c r="Q37" i="3"/>
  <c r="Q19" i="3"/>
  <c r="Q8" i="3"/>
  <c r="Q10" i="3"/>
  <c r="Q23" i="3"/>
  <c r="Q4" i="3"/>
  <c r="Q36" i="3"/>
  <c r="Q26" i="3"/>
  <c r="Q16" i="3"/>
  <c r="Q28" i="3"/>
  <c r="Q29" i="3"/>
  <c r="Q20" i="3"/>
  <c r="Q21" i="3"/>
  <c r="Q15" i="3"/>
  <c r="Q14" i="3"/>
  <c r="Q6" i="3"/>
  <c r="Q27" i="3"/>
  <c r="Q13" i="3"/>
  <c r="Q11" i="3"/>
</calcChain>
</file>

<file path=xl/sharedStrings.xml><?xml version="1.0" encoding="utf-8"?>
<sst xmlns="http://schemas.openxmlformats.org/spreadsheetml/2006/main" count="2826" uniqueCount="41">
  <si>
    <t>KNN</t>
  </si>
  <si>
    <t>Eraw</t>
  </si>
  <si>
    <t>Enorm</t>
  </si>
  <si>
    <t>Raw</t>
  </si>
  <si>
    <t>Aug</t>
  </si>
  <si>
    <t>Scaler</t>
  </si>
  <si>
    <t>No</t>
  </si>
  <si>
    <t>RF</t>
  </si>
  <si>
    <t>XGB</t>
  </si>
  <si>
    <t>LightGBM</t>
  </si>
  <si>
    <t>CatBoost</t>
  </si>
  <si>
    <t>Test RMSE</t>
  </si>
  <si>
    <t>Test MRE</t>
  </si>
  <si>
    <t>Elem RMSE</t>
  </si>
  <si>
    <t>Elem MRE</t>
  </si>
  <si>
    <t>Rank Test RMSE</t>
  </si>
  <si>
    <t>Rank Test MRE</t>
  </si>
  <si>
    <t>Rank Elem RMSE</t>
  </si>
  <si>
    <t>Ramk Elem MRE</t>
  </si>
  <si>
    <t>+</t>
  </si>
  <si>
    <t>=</t>
  </si>
  <si>
    <t>-</t>
  </si>
  <si>
    <t>Rank Elem MRE</t>
  </si>
  <si>
    <t>XGB_A+I_Eraw_Raw_No</t>
  </si>
  <si>
    <t>CatBoost_A+I_Enorm_Raw_No</t>
  </si>
  <si>
    <t>XGB_A+I_Eraw_Raw_Scaler</t>
  </si>
  <si>
    <t>LightGBM_A+I_Enorm_Raw_Scaler</t>
  </si>
  <si>
    <t>CatBoost_A+I_Eraw_Raw_No</t>
  </si>
  <si>
    <t>XGB_A+I_Enorm_Raw_Scaler</t>
  </si>
  <si>
    <t>XGB_A+I_Enorm_Aug_No</t>
  </si>
  <si>
    <t>LightGBM_A+I_Eraw_Raw_Scaler</t>
  </si>
  <si>
    <t>LightGBM_A+I_Eraw_Raw_No</t>
  </si>
  <si>
    <t>CatBoost_A+I_Enorm_Raw_Scaler</t>
  </si>
  <si>
    <t>RF_A+I_Eraw_Raw_No</t>
  </si>
  <si>
    <t>LightGBM_A+I_Enorm_Raw_No</t>
  </si>
  <si>
    <t>CatBoost_A+I_Enorm_Aug_Scaler</t>
  </si>
  <si>
    <t>RF_A+I_Eraw_Raw_Scaler</t>
  </si>
  <si>
    <t>XGB_A+I_Enorm_Raw_No</t>
  </si>
  <si>
    <t>CatBoost_A+I_Eraw_Aug_No</t>
  </si>
  <si>
    <t>Both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</si>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</sst>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2" fontId="0" fillId="0" borderId="2" xfId="0" applyNumberFormat="1" applyFill="1" applyBorder="1"/>
    <xf numFmtId="164" fontId="0" fillId="0" borderId="3" xfId="0" applyNumberFormat="1" applyBorder="1"/>
    <xf numFmtId="164" fontId="0" fillId="0" borderId="2" xfId="0" applyNumberFormat="1" applyFill="1" applyBorder="1"/>
    <xf numFmtId="2" fontId="0" fillId="0" borderId="2" xfId="0" applyNumberFormat="1" applyBorder="1"/>
    <xf numFmtId="164" fontId="0" fillId="0" borderId="2" xfId="0" applyNumberFormat="1" applyBorder="1"/>
    <xf numFmtId="1" fontId="0" fillId="0" borderId="0" xfId="0" applyNumberFormat="1" applyFill="1" applyBorder="1"/>
    <xf numFmtId="165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0" fontId="1" fillId="2" borderId="0" xfId="1"/>
    <xf numFmtId="0" fontId="2" fillId="3" borderId="0" xfId="2"/>
    <xf numFmtId="0" fontId="3" fillId="4" borderId="0" xfId="3"/>
    <xf numFmtId="2" fontId="0" fillId="0" borderId="1" xfId="0" applyNumberFormat="1" applyBorder="1"/>
    <xf numFmtId="0" fontId="1" fillId="2" borderId="3" xfId="1" applyBorder="1"/>
    <xf numFmtId="2" fontId="1" fillId="2" borderId="2" xfId="1" applyNumberFormat="1" applyBorder="1"/>
    <xf numFmtId="0" fontId="2" fillId="3" borderId="0" xfId="2" applyBorder="1"/>
    <xf numFmtId="0" fontId="2" fillId="3" borderId="2" xfId="2" applyBorder="1"/>
    <xf numFmtId="0" fontId="1" fillId="2" borderId="0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9AAF-C57F-42C9-9D1E-908B0DAFE9CB}">
  <dimension ref="A1:P41"/>
  <sheetViews>
    <sheetView workbookViewId="0">
      <selection activeCell="B3" sqref="B3:D3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6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</row>
    <row r="2" spans="1:16" s="2" customFormat="1" ht="14.25" customHeight="1" x14ac:dyDescent="0.25">
      <c r="A2" s="2" t="s">
        <v>8</v>
      </c>
      <c r="B2" s="3" t="s">
        <v>2</v>
      </c>
      <c r="C2" s="2" t="s">
        <v>3</v>
      </c>
      <c r="D2" s="2" t="s">
        <v>6</v>
      </c>
      <c r="E2" s="3">
        <v>0.28349999999999997</v>
      </c>
      <c r="F2" s="6">
        <v>20.22</v>
      </c>
      <c r="G2" s="2">
        <v>0.80889999999999995</v>
      </c>
      <c r="H2" s="6">
        <v>80.44</v>
      </c>
      <c r="I2" s="3">
        <v>4</v>
      </c>
      <c r="J2" s="6">
        <v>3</v>
      </c>
      <c r="K2" s="6">
        <v>2</v>
      </c>
      <c r="L2" s="2">
        <v>1</v>
      </c>
      <c r="M2" s="3">
        <f t="shared" ref="M2:M41" si="0">SUM(I2:L2)</f>
        <v>10</v>
      </c>
      <c r="O2" s="2" t="s">
        <v>19</v>
      </c>
      <c r="P2" s="2" t="s">
        <v>19</v>
      </c>
    </row>
    <row r="3" spans="1:16" x14ac:dyDescent="0.25">
      <c r="A3" s="5" t="s">
        <v>10</v>
      </c>
      <c r="B3" s="1" t="s">
        <v>2</v>
      </c>
      <c r="C3" s="5" t="s">
        <v>3</v>
      </c>
      <c r="D3" s="5" t="s">
        <v>6</v>
      </c>
      <c r="E3" s="1">
        <v>0.27679999999999999</v>
      </c>
      <c r="F3" s="4">
        <v>20.100000000000001</v>
      </c>
      <c r="G3" s="5">
        <v>0.7399</v>
      </c>
      <c r="H3" s="5">
        <v>96.64</v>
      </c>
      <c r="I3" s="1">
        <v>1</v>
      </c>
      <c r="J3" s="5">
        <v>1</v>
      </c>
      <c r="K3" s="5">
        <v>1</v>
      </c>
      <c r="L3" s="5">
        <v>11</v>
      </c>
      <c r="M3" s="3">
        <f t="shared" si="0"/>
        <v>14</v>
      </c>
      <c r="O3" t="s">
        <v>20</v>
      </c>
      <c r="P3" t="s">
        <v>20</v>
      </c>
    </row>
    <row r="4" spans="1:16" x14ac:dyDescent="0.25">
      <c r="A4" t="s">
        <v>10</v>
      </c>
      <c r="B4" s="1" t="s">
        <v>2</v>
      </c>
      <c r="C4" t="s">
        <v>3</v>
      </c>
      <c r="D4" t="s">
        <v>5</v>
      </c>
      <c r="E4" s="1">
        <v>0.27689999999999998</v>
      </c>
      <c r="F4" s="4">
        <v>20.57</v>
      </c>
      <c r="G4" s="4">
        <v>0.81040000000000001</v>
      </c>
      <c r="H4" s="4">
        <v>88.46</v>
      </c>
      <c r="I4" s="1">
        <v>2</v>
      </c>
      <c r="J4" s="4">
        <v>8</v>
      </c>
      <c r="K4" s="4">
        <v>3</v>
      </c>
      <c r="L4" s="4">
        <v>3</v>
      </c>
      <c r="M4" s="3">
        <f t="shared" si="0"/>
        <v>16</v>
      </c>
      <c r="O4" t="s">
        <v>20</v>
      </c>
      <c r="P4" t="s">
        <v>20</v>
      </c>
    </row>
    <row r="5" spans="1:16" x14ac:dyDescent="0.25">
      <c r="A5" s="5" t="s">
        <v>9</v>
      </c>
      <c r="B5" s="1" t="s">
        <v>2</v>
      </c>
      <c r="C5" s="5" t="s">
        <v>3</v>
      </c>
      <c r="D5" s="5" t="s">
        <v>5</v>
      </c>
      <c r="E5" s="1">
        <v>0.28589999999999999</v>
      </c>
      <c r="F5" s="4">
        <v>20.22</v>
      </c>
      <c r="G5" s="5">
        <v>0.88549999999999995</v>
      </c>
      <c r="H5" s="5">
        <v>86.82</v>
      </c>
      <c r="I5" s="1">
        <v>6</v>
      </c>
      <c r="J5" s="4">
        <v>3</v>
      </c>
      <c r="K5" s="4">
        <v>7</v>
      </c>
      <c r="L5" s="4">
        <v>2</v>
      </c>
      <c r="M5" s="3">
        <f t="shared" si="0"/>
        <v>18</v>
      </c>
      <c r="O5" t="s">
        <v>19</v>
      </c>
      <c r="P5" t="s">
        <v>19</v>
      </c>
    </row>
    <row r="6" spans="1:16" x14ac:dyDescent="0.25">
      <c r="A6" t="s">
        <v>10</v>
      </c>
      <c r="B6" s="1" t="s">
        <v>1</v>
      </c>
      <c r="C6" t="s">
        <v>3</v>
      </c>
      <c r="D6" t="s">
        <v>6</v>
      </c>
      <c r="E6" s="1">
        <v>0.27860000000000001</v>
      </c>
      <c r="F6" s="4">
        <v>20.420000000000002</v>
      </c>
      <c r="G6">
        <v>0.89259999999999995</v>
      </c>
      <c r="H6">
        <v>89.08</v>
      </c>
      <c r="I6" s="1">
        <v>3</v>
      </c>
      <c r="J6" s="4">
        <v>6</v>
      </c>
      <c r="K6" s="4">
        <v>8</v>
      </c>
      <c r="L6" s="4">
        <v>5</v>
      </c>
      <c r="M6" s="3">
        <f t="shared" si="0"/>
        <v>22</v>
      </c>
      <c r="O6" t="s">
        <v>20</v>
      </c>
      <c r="P6" t="s">
        <v>20</v>
      </c>
    </row>
    <row r="7" spans="1:16" x14ac:dyDescent="0.25">
      <c r="A7" s="5" t="s">
        <v>9</v>
      </c>
      <c r="B7" s="1" t="s">
        <v>1</v>
      </c>
      <c r="C7" s="5" t="s">
        <v>3</v>
      </c>
      <c r="D7" s="5" t="s">
        <v>5</v>
      </c>
      <c r="E7" s="1">
        <v>0.28420000000000001</v>
      </c>
      <c r="F7" s="5">
        <v>20.309999999999999</v>
      </c>
      <c r="G7" s="5">
        <v>0.8972</v>
      </c>
      <c r="H7" s="4">
        <v>91.83</v>
      </c>
      <c r="I7" s="1">
        <v>5</v>
      </c>
      <c r="J7" s="4">
        <v>5</v>
      </c>
      <c r="K7" s="4">
        <v>9</v>
      </c>
      <c r="L7" s="4">
        <v>7</v>
      </c>
      <c r="M7" s="3">
        <f t="shared" si="0"/>
        <v>26</v>
      </c>
      <c r="O7" t="s">
        <v>19</v>
      </c>
      <c r="P7" t="s">
        <v>20</v>
      </c>
    </row>
    <row r="8" spans="1:16" x14ac:dyDescent="0.25">
      <c r="A8" s="5" t="s">
        <v>8</v>
      </c>
      <c r="B8" s="1" t="s">
        <v>1</v>
      </c>
      <c r="C8" s="5" t="s">
        <v>3</v>
      </c>
      <c r="D8" s="5" t="s">
        <v>6</v>
      </c>
      <c r="E8" s="1">
        <v>0.29089999999999999</v>
      </c>
      <c r="F8" s="4">
        <v>20.14</v>
      </c>
      <c r="G8" s="5">
        <v>0.88429999999999997</v>
      </c>
      <c r="H8" s="5">
        <v>92.89</v>
      </c>
      <c r="I8" s="1">
        <v>10</v>
      </c>
      <c r="J8" s="4">
        <v>2</v>
      </c>
      <c r="K8" s="4">
        <v>6</v>
      </c>
      <c r="L8" s="4">
        <v>9</v>
      </c>
      <c r="M8" s="3">
        <f t="shared" si="0"/>
        <v>27</v>
      </c>
      <c r="O8" t="s">
        <v>20</v>
      </c>
      <c r="P8" t="s">
        <v>20</v>
      </c>
    </row>
    <row r="9" spans="1:16" x14ac:dyDescent="0.25">
      <c r="A9" s="5" t="s">
        <v>8</v>
      </c>
      <c r="B9" s="1" t="s">
        <v>2</v>
      </c>
      <c r="C9" s="5" t="s">
        <v>3</v>
      </c>
      <c r="D9" s="5" t="s">
        <v>5</v>
      </c>
      <c r="E9" s="1">
        <v>0.28870000000000001</v>
      </c>
      <c r="F9" s="4">
        <v>20.7</v>
      </c>
      <c r="G9" s="7">
        <v>0.85599999999999998</v>
      </c>
      <c r="H9" s="4">
        <v>92.51</v>
      </c>
      <c r="I9" s="1">
        <v>7</v>
      </c>
      <c r="J9" s="4">
        <v>10</v>
      </c>
      <c r="K9" s="4">
        <v>4</v>
      </c>
      <c r="L9" s="4">
        <v>8</v>
      </c>
      <c r="M9" s="3">
        <f t="shared" si="0"/>
        <v>29</v>
      </c>
      <c r="O9" t="s">
        <v>19</v>
      </c>
      <c r="P9" t="s">
        <v>20</v>
      </c>
    </row>
    <row r="10" spans="1:16" s="2" customFormat="1" x14ac:dyDescent="0.25">
      <c r="A10" s="2" t="s">
        <v>7</v>
      </c>
      <c r="B10" s="3" t="s">
        <v>1</v>
      </c>
      <c r="C10" s="2" t="s">
        <v>4</v>
      </c>
      <c r="D10" s="2" t="s">
        <v>6</v>
      </c>
      <c r="E10" s="3">
        <v>0.3004</v>
      </c>
      <c r="F10" s="6">
        <v>21.19</v>
      </c>
      <c r="I10" s="3">
        <v>18</v>
      </c>
      <c r="J10" s="6">
        <v>15</v>
      </c>
      <c r="M10" s="3">
        <f t="shared" si="0"/>
        <v>33</v>
      </c>
    </row>
    <row r="11" spans="1:16" x14ac:dyDescent="0.25">
      <c r="A11" s="5" t="s">
        <v>7</v>
      </c>
      <c r="B11" s="1" t="s">
        <v>1</v>
      </c>
      <c r="C11" s="5" t="s">
        <v>4</v>
      </c>
      <c r="D11" s="5" t="s">
        <v>5</v>
      </c>
      <c r="E11" s="1">
        <v>0.29920000000000002</v>
      </c>
      <c r="F11" s="4">
        <v>21.26</v>
      </c>
      <c r="G11" s="5"/>
      <c r="H11" s="5"/>
      <c r="I11" s="1">
        <v>17</v>
      </c>
      <c r="J11" s="4">
        <v>16</v>
      </c>
      <c r="K11" s="5"/>
      <c r="L11" s="5"/>
      <c r="M11" s="3">
        <f t="shared" si="0"/>
        <v>33</v>
      </c>
    </row>
    <row r="12" spans="1:16" x14ac:dyDescent="0.25">
      <c r="A12" s="5" t="s">
        <v>9</v>
      </c>
      <c r="B12" s="1" t="s">
        <v>2</v>
      </c>
      <c r="C12" s="5" t="s">
        <v>4</v>
      </c>
      <c r="D12" s="5" t="s">
        <v>6</v>
      </c>
      <c r="E12" s="1">
        <v>0.29830000000000001</v>
      </c>
      <c r="F12" s="4">
        <v>21.44</v>
      </c>
      <c r="G12" s="5"/>
      <c r="H12" s="5"/>
      <c r="I12" s="1">
        <v>16</v>
      </c>
      <c r="J12" s="5">
        <v>17</v>
      </c>
      <c r="K12" s="5"/>
      <c r="L12" s="5"/>
      <c r="M12" s="3">
        <f t="shared" si="0"/>
        <v>33</v>
      </c>
    </row>
    <row r="13" spans="1:16" x14ac:dyDescent="0.25">
      <c r="A13" s="5" t="s">
        <v>7</v>
      </c>
      <c r="B13" s="1" t="s">
        <v>1</v>
      </c>
      <c r="C13" s="5" t="s">
        <v>3</v>
      </c>
      <c r="D13" s="5" t="s">
        <v>5</v>
      </c>
      <c r="E13" s="1">
        <v>0.29449999999999998</v>
      </c>
      <c r="F13" s="5">
        <v>20.64</v>
      </c>
      <c r="G13" s="8">
        <v>0.91800000000000004</v>
      </c>
      <c r="H13" s="4">
        <v>88.58</v>
      </c>
      <c r="I13" s="1">
        <v>13</v>
      </c>
      <c r="J13" s="5">
        <v>9</v>
      </c>
      <c r="K13" s="4">
        <v>10</v>
      </c>
      <c r="L13" s="4">
        <v>4</v>
      </c>
      <c r="M13" s="3">
        <f t="shared" si="0"/>
        <v>36</v>
      </c>
    </row>
    <row r="14" spans="1:16" x14ac:dyDescent="0.25">
      <c r="A14" s="5" t="s">
        <v>9</v>
      </c>
      <c r="B14" s="1" t="s">
        <v>1</v>
      </c>
      <c r="C14" s="5" t="s">
        <v>4</v>
      </c>
      <c r="D14" s="5" t="s">
        <v>6</v>
      </c>
      <c r="E14" s="1">
        <v>0.3009</v>
      </c>
      <c r="F14" s="4">
        <v>21.67</v>
      </c>
      <c r="G14" s="5"/>
      <c r="H14" s="5"/>
      <c r="I14" s="1">
        <v>20</v>
      </c>
      <c r="J14" s="4">
        <v>18</v>
      </c>
      <c r="K14" s="5"/>
      <c r="L14" s="5"/>
      <c r="M14" s="3">
        <f t="shared" si="0"/>
        <v>38</v>
      </c>
    </row>
    <row r="15" spans="1:16" x14ac:dyDescent="0.25">
      <c r="A15" s="5" t="s">
        <v>9</v>
      </c>
      <c r="B15" s="1" t="s">
        <v>2</v>
      </c>
      <c r="C15" s="5" t="s">
        <v>4</v>
      </c>
      <c r="D15" s="5" t="s">
        <v>5</v>
      </c>
      <c r="E15" s="1">
        <v>0.30059999999999998</v>
      </c>
      <c r="F15" s="4">
        <v>21.85</v>
      </c>
      <c r="G15" s="5"/>
      <c r="H15" s="5"/>
      <c r="I15" s="1">
        <v>19</v>
      </c>
      <c r="J15" s="4">
        <v>19</v>
      </c>
      <c r="K15" s="5"/>
      <c r="L15" s="5"/>
      <c r="M15" s="3">
        <f t="shared" si="0"/>
        <v>38</v>
      </c>
    </row>
    <row r="16" spans="1:16" x14ac:dyDescent="0.25">
      <c r="A16" s="5" t="s">
        <v>9</v>
      </c>
      <c r="B16" s="1" t="s">
        <v>2</v>
      </c>
      <c r="C16" s="5" t="s">
        <v>3</v>
      </c>
      <c r="D16" s="5" t="s">
        <v>6</v>
      </c>
      <c r="E16" s="1">
        <v>0.29049999999999998</v>
      </c>
      <c r="F16" s="4">
        <v>20.46</v>
      </c>
      <c r="G16" s="5">
        <v>0.92130000000000001</v>
      </c>
      <c r="H16" s="4">
        <v>102.76</v>
      </c>
      <c r="I16" s="1">
        <v>9</v>
      </c>
      <c r="J16" s="4">
        <v>7</v>
      </c>
      <c r="K16" s="5">
        <v>11</v>
      </c>
      <c r="L16" s="4">
        <v>12</v>
      </c>
      <c r="M16" s="3">
        <f t="shared" si="0"/>
        <v>39</v>
      </c>
    </row>
    <row r="17" spans="1:13" x14ac:dyDescent="0.25">
      <c r="A17" s="5" t="s">
        <v>10</v>
      </c>
      <c r="B17" s="1" t="s">
        <v>1</v>
      </c>
      <c r="C17" s="5" t="s">
        <v>3</v>
      </c>
      <c r="D17" s="5" t="s">
        <v>5</v>
      </c>
      <c r="E17" s="1">
        <v>0.29770000000000002</v>
      </c>
      <c r="F17" s="5">
        <v>22.33</v>
      </c>
      <c r="G17" s="5"/>
      <c r="H17" s="5"/>
      <c r="I17" s="1">
        <v>15</v>
      </c>
      <c r="J17" s="5">
        <v>25</v>
      </c>
      <c r="K17" s="5"/>
      <c r="L17" s="5"/>
      <c r="M17" s="3">
        <f t="shared" si="0"/>
        <v>40</v>
      </c>
    </row>
    <row r="18" spans="1:13" s="2" customFormat="1" x14ac:dyDescent="0.25">
      <c r="A18" s="2" t="s">
        <v>10</v>
      </c>
      <c r="B18" s="3" t="s">
        <v>2</v>
      </c>
      <c r="C18" s="2" t="s">
        <v>4</v>
      </c>
      <c r="D18" s="2" t="s">
        <v>6</v>
      </c>
      <c r="E18" s="3">
        <v>0.30509999999999998</v>
      </c>
      <c r="F18" s="6">
        <v>22.12</v>
      </c>
      <c r="I18" s="3">
        <v>21</v>
      </c>
      <c r="J18" s="6">
        <v>20</v>
      </c>
      <c r="M18" s="3">
        <f t="shared" si="0"/>
        <v>41</v>
      </c>
    </row>
    <row r="19" spans="1:13" x14ac:dyDescent="0.25">
      <c r="A19" s="5" t="s">
        <v>8</v>
      </c>
      <c r="B19" s="1" t="s">
        <v>1</v>
      </c>
      <c r="C19" s="5" t="s">
        <v>3</v>
      </c>
      <c r="D19" s="5" t="s">
        <v>5</v>
      </c>
      <c r="E19" s="1">
        <v>0.2898</v>
      </c>
      <c r="F19" s="5">
        <v>20.7</v>
      </c>
      <c r="G19" s="4">
        <v>0.98770000000000002</v>
      </c>
      <c r="H19" s="4">
        <v>96.49</v>
      </c>
      <c r="I19" s="1">
        <v>8</v>
      </c>
      <c r="J19" s="4">
        <v>10</v>
      </c>
      <c r="K19" s="4">
        <v>14</v>
      </c>
      <c r="L19" s="4">
        <v>10</v>
      </c>
      <c r="M19" s="3">
        <f t="shared" si="0"/>
        <v>42</v>
      </c>
    </row>
    <row r="20" spans="1:13" x14ac:dyDescent="0.25">
      <c r="A20" s="5" t="s">
        <v>7</v>
      </c>
      <c r="B20" s="1" t="s">
        <v>1</v>
      </c>
      <c r="C20" s="5" t="s">
        <v>3</v>
      </c>
      <c r="D20" s="5" t="s">
        <v>6</v>
      </c>
      <c r="E20" s="1">
        <v>0.29430000000000001</v>
      </c>
      <c r="F20" s="4">
        <v>20.82</v>
      </c>
      <c r="G20" s="5">
        <v>0.93269999999999997</v>
      </c>
      <c r="H20" s="4">
        <v>89.85</v>
      </c>
      <c r="I20" s="1">
        <v>12</v>
      </c>
      <c r="J20" s="4">
        <v>12</v>
      </c>
      <c r="K20" s="4">
        <v>12</v>
      </c>
      <c r="L20" s="4">
        <v>6</v>
      </c>
      <c r="M20" s="3">
        <f t="shared" si="0"/>
        <v>42</v>
      </c>
    </row>
    <row r="21" spans="1:13" x14ac:dyDescent="0.25">
      <c r="A21" s="5" t="s">
        <v>10</v>
      </c>
      <c r="B21" s="1" t="s">
        <v>1</v>
      </c>
      <c r="C21" s="5" t="s">
        <v>4</v>
      </c>
      <c r="D21" s="5" t="s">
        <v>5</v>
      </c>
      <c r="E21" s="1">
        <v>0.30559999999999998</v>
      </c>
      <c r="F21" s="4">
        <v>22.17</v>
      </c>
      <c r="G21" s="5"/>
      <c r="H21" s="5"/>
      <c r="I21" s="1">
        <v>22</v>
      </c>
      <c r="J21" s="4">
        <v>22</v>
      </c>
      <c r="K21" s="5"/>
      <c r="L21" s="5"/>
      <c r="M21" s="3">
        <f t="shared" si="0"/>
        <v>44</v>
      </c>
    </row>
    <row r="22" spans="1:13" x14ac:dyDescent="0.25">
      <c r="A22" s="5" t="s">
        <v>9</v>
      </c>
      <c r="B22" s="1" t="s">
        <v>1</v>
      </c>
      <c r="C22" s="5" t="s">
        <v>3</v>
      </c>
      <c r="D22" s="5" t="s">
        <v>6</v>
      </c>
      <c r="E22" s="1">
        <v>0.29459999999999997</v>
      </c>
      <c r="F22" s="4">
        <v>20.87</v>
      </c>
      <c r="G22" s="4">
        <v>0.86450000000000005</v>
      </c>
      <c r="H22" s="4">
        <v>111.89</v>
      </c>
      <c r="I22" s="1">
        <v>14</v>
      </c>
      <c r="J22" s="4">
        <v>13</v>
      </c>
      <c r="K22" s="4">
        <v>5</v>
      </c>
      <c r="L22" s="4">
        <v>15</v>
      </c>
      <c r="M22" s="3">
        <f t="shared" si="0"/>
        <v>47</v>
      </c>
    </row>
    <row r="23" spans="1:13" x14ac:dyDescent="0.25">
      <c r="A23" s="5" t="s">
        <v>8</v>
      </c>
      <c r="B23" s="1" t="s">
        <v>1</v>
      </c>
      <c r="C23" s="5" t="s">
        <v>4</v>
      </c>
      <c r="D23" s="5" t="s">
        <v>6</v>
      </c>
      <c r="E23" s="1">
        <v>0.31390000000000001</v>
      </c>
      <c r="F23" s="4">
        <v>22.13</v>
      </c>
      <c r="G23" s="5"/>
      <c r="H23" s="5"/>
      <c r="I23" s="1">
        <v>28</v>
      </c>
      <c r="J23" s="4">
        <v>21</v>
      </c>
      <c r="K23" s="5"/>
      <c r="L23" s="5"/>
      <c r="M23" s="3">
        <f t="shared" si="0"/>
        <v>49</v>
      </c>
    </row>
    <row r="24" spans="1:13" x14ac:dyDescent="0.25">
      <c r="A24" t="s">
        <v>8</v>
      </c>
      <c r="B24" s="1" t="s">
        <v>2</v>
      </c>
      <c r="C24" t="s">
        <v>4</v>
      </c>
      <c r="D24" t="s">
        <v>5</v>
      </c>
      <c r="E24" s="1">
        <v>0.31180000000000002</v>
      </c>
      <c r="F24" s="4">
        <v>22.17</v>
      </c>
      <c r="I24" s="1">
        <v>27</v>
      </c>
      <c r="J24" s="4">
        <v>22</v>
      </c>
      <c r="M24" s="3">
        <f t="shared" si="0"/>
        <v>49</v>
      </c>
    </row>
    <row r="25" spans="1:13" x14ac:dyDescent="0.25">
      <c r="A25" s="5" t="s">
        <v>8</v>
      </c>
      <c r="B25" s="1" t="s">
        <v>2</v>
      </c>
      <c r="C25" s="5" t="s">
        <v>4</v>
      </c>
      <c r="D25" s="5" t="s">
        <v>6</v>
      </c>
      <c r="E25" s="1">
        <v>0.3075</v>
      </c>
      <c r="F25" s="4">
        <v>22.28</v>
      </c>
      <c r="G25" s="5"/>
      <c r="H25" s="5"/>
      <c r="I25" s="1">
        <v>25</v>
      </c>
      <c r="J25" s="4">
        <v>24</v>
      </c>
      <c r="K25" s="5"/>
      <c r="L25" s="5"/>
      <c r="M25" s="3">
        <f t="shared" si="0"/>
        <v>49</v>
      </c>
    </row>
    <row r="26" spans="1:13" s="2" customFormat="1" x14ac:dyDescent="0.25">
      <c r="A26" s="2" t="s">
        <v>7</v>
      </c>
      <c r="B26" s="3" t="s">
        <v>2</v>
      </c>
      <c r="C26" s="2" t="s">
        <v>3</v>
      </c>
      <c r="D26" s="2" t="s">
        <v>6</v>
      </c>
      <c r="E26" s="3">
        <v>0.30590000000000001</v>
      </c>
      <c r="F26" s="6">
        <v>22.44</v>
      </c>
      <c r="I26" s="3">
        <v>23</v>
      </c>
      <c r="J26" s="6">
        <v>27</v>
      </c>
      <c r="M26" s="3">
        <f t="shared" si="0"/>
        <v>50</v>
      </c>
    </row>
    <row r="27" spans="1:13" x14ac:dyDescent="0.25">
      <c r="A27" t="s">
        <v>10</v>
      </c>
      <c r="B27" s="1" t="s">
        <v>1</v>
      </c>
      <c r="C27" t="s">
        <v>4</v>
      </c>
      <c r="D27" t="s">
        <v>6</v>
      </c>
      <c r="E27" s="1">
        <v>0.30709999999999998</v>
      </c>
      <c r="F27" s="4">
        <v>22.44</v>
      </c>
      <c r="I27" s="1">
        <v>24</v>
      </c>
      <c r="J27" s="4">
        <v>27</v>
      </c>
      <c r="M27" s="3">
        <f t="shared" si="0"/>
        <v>51</v>
      </c>
    </row>
    <row r="28" spans="1:13" x14ac:dyDescent="0.25">
      <c r="A28" t="s">
        <v>7</v>
      </c>
      <c r="B28" s="1" t="s">
        <v>2</v>
      </c>
      <c r="C28" t="s">
        <v>3</v>
      </c>
      <c r="D28" t="s">
        <v>5</v>
      </c>
      <c r="E28" s="1">
        <v>0.30830000000000002</v>
      </c>
      <c r="F28" s="4">
        <v>22.39</v>
      </c>
      <c r="I28" s="1">
        <v>26</v>
      </c>
      <c r="J28" s="4">
        <v>26</v>
      </c>
      <c r="M28" s="3">
        <f t="shared" si="0"/>
        <v>52</v>
      </c>
    </row>
    <row r="29" spans="1:13" x14ac:dyDescent="0.25">
      <c r="A29" t="s">
        <v>9</v>
      </c>
      <c r="B29" s="1" t="s">
        <v>1</v>
      </c>
      <c r="C29" t="s">
        <v>4</v>
      </c>
      <c r="D29" t="s">
        <v>5</v>
      </c>
      <c r="E29" s="1">
        <v>0.29320000000000002</v>
      </c>
      <c r="F29" s="4">
        <v>21.01</v>
      </c>
      <c r="G29" s="7">
        <v>1.075</v>
      </c>
      <c r="H29" s="4">
        <v>106.24</v>
      </c>
      <c r="I29" s="1">
        <v>11</v>
      </c>
      <c r="J29" s="4">
        <v>14</v>
      </c>
      <c r="K29" s="4">
        <v>15</v>
      </c>
      <c r="L29" s="4">
        <v>13</v>
      </c>
      <c r="M29" s="3">
        <f t="shared" si="0"/>
        <v>53</v>
      </c>
    </row>
    <row r="30" spans="1:13" x14ac:dyDescent="0.25">
      <c r="A30" s="5" t="s">
        <v>8</v>
      </c>
      <c r="B30" s="1" t="s">
        <v>1</v>
      </c>
      <c r="C30" s="5" t="s">
        <v>4</v>
      </c>
      <c r="D30" s="5" t="s">
        <v>5</v>
      </c>
      <c r="E30" s="1">
        <v>0.31940000000000002</v>
      </c>
      <c r="F30" s="4">
        <v>22.53</v>
      </c>
      <c r="G30" s="5"/>
      <c r="H30" s="5"/>
      <c r="I30" s="1">
        <v>30</v>
      </c>
      <c r="J30" s="4">
        <v>29</v>
      </c>
      <c r="K30" s="5"/>
      <c r="L30" s="5"/>
      <c r="M30" s="3">
        <f t="shared" si="0"/>
        <v>59</v>
      </c>
    </row>
    <row r="31" spans="1:13" x14ac:dyDescent="0.25">
      <c r="A31" t="s">
        <v>10</v>
      </c>
      <c r="B31" s="1" t="s">
        <v>2</v>
      </c>
      <c r="C31" t="s">
        <v>4</v>
      </c>
      <c r="D31" t="s">
        <v>5</v>
      </c>
      <c r="E31" s="1">
        <v>0.31540000000000001</v>
      </c>
      <c r="F31" s="4">
        <v>22.92</v>
      </c>
      <c r="I31" s="1">
        <v>29</v>
      </c>
      <c r="J31" s="4">
        <v>30</v>
      </c>
      <c r="M31" s="3">
        <f t="shared" si="0"/>
        <v>59</v>
      </c>
    </row>
    <row r="32" spans="1:13" x14ac:dyDescent="0.25">
      <c r="A32" t="s">
        <v>7</v>
      </c>
      <c r="B32" s="1" t="s">
        <v>2</v>
      </c>
      <c r="C32" t="s">
        <v>4</v>
      </c>
      <c r="D32" t="s">
        <v>6</v>
      </c>
      <c r="E32" s="1">
        <v>0.3226</v>
      </c>
      <c r="F32" s="4">
        <v>23.13</v>
      </c>
      <c r="I32" s="1">
        <v>31</v>
      </c>
      <c r="J32" s="4">
        <v>31</v>
      </c>
      <c r="M32" s="3">
        <f t="shared" si="0"/>
        <v>62</v>
      </c>
    </row>
    <row r="33" spans="1:16" x14ac:dyDescent="0.25">
      <c r="A33" t="s">
        <v>7</v>
      </c>
      <c r="B33" s="1" t="s">
        <v>2</v>
      </c>
      <c r="C33" t="s">
        <v>4</v>
      </c>
      <c r="D33" t="s">
        <v>5</v>
      </c>
      <c r="E33" s="1">
        <v>0.3246</v>
      </c>
      <c r="F33" s="4">
        <v>23.48</v>
      </c>
      <c r="I33" s="1">
        <v>32</v>
      </c>
      <c r="J33" s="4">
        <v>32</v>
      </c>
      <c r="M33" s="3">
        <f t="shared" si="0"/>
        <v>64</v>
      </c>
      <c r="O33" t="s">
        <v>19</v>
      </c>
      <c r="P33" t="s">
        <v>21</v>
      </c>
    </row>
    <row r="34" spans="1:16" s="2" customFormat="1" x14ac:dyDescent="0.25">
      <c r="A34" s="2" t="s">
        <v>0</v>
      </c>
      <c r="B34" s="3" t="s">
        <v>2</v>
      </c>
      <c r="C34" s="2" t="s">
        <v>4</v>
      </c>
      <c r="D34" s="2" t="s">
        <v>6</v>
      </c>
      <c r="E34" s="3">
        <v>0.45569999999999999</v>
      </c>
      <c r="F34" s="2">
        <v>30.18</v>
      </c>
      <c r="I34" s="3">
        <v>35</v>
      </c>
      <c r="J34" s="6">
        <v>35</v>
      </c>
      <c r="M34" s="3">
        <f t="shared" si="0"/>
        <v>70</v>
      </c>
    </row>
    <row r="35" spans="1:16" x14ac:dyDescent="0.25">
      <c r="A35" t="s">
        <v>0</v>
      </c>
      <c r="B35" s="1" t="s">
        <v>1</v>
      </c>
      <c r="C35" t="s">
        <v>4</v>
      </c>
      <c r="D35" t="s">
        <v>6</v>
      </c>
      <c r="E35" s="1">
        <v>0.41299999999999998</v>
      </c>
      <c r="F35">
        <v>32.25</v>
      </c>
      <c r="I35" s="1">
        <v>34</v>
      </c>
      <c r="J35" s="4">
        <v>36</v>
      </c>
      <c r="M35" s="3">
        <f t="shared" si="0"/>
        <v>70</v>
      </c>
    </row>
    <row r="36" spans="1:16" x14ac:dyDescent="0.25">
      <c r="A36" s="5" t="s">
        <v>0</v>
      </c>
      <c r="B36" s="1" t="s">
        <v>1</v>
      </c>
      <c r="C36" s="5" t="s">
        <v>3</v>
      </c>
      <c r="D36" s="5" t="s">
        <v>5</v>
      </c>
      <c r="E36" s="1">
        <v>0.49159999999999998</v>
      </c>
      <c r="F36" s="5">
        <v>38.01</v>
      </c>
      <c r="G36" s="5"/>
      <c r="H36" s="5"/>
      <c r="I36" s="1">
        <v>37</v>
      </c>
      <c r="J36" s="4">
        <v>37</v>
      </c>
      <c r="M36" s="3">
        <f t="shared" si="0"/>
        <v>74</v>
      </c>
    </row>
    <row r="37" spans="1:16" x14ac:dyDescent="0.25">
      <c r="A37" t="s">
        <v>0</v>
      </c>
      <c r="B37" s="1" t="s">
        <v>2</v>
      </c>
      <c r="C37" t="s">
        <v>3</v>
      </c>
      <c r="D37" t="s">
        <v>5</v>
      </c>
      <c r="E37" s="1">
        <v>0.49509999999999998</v>
      </c>
      <c r="F37">
        <v>38.56</v>
      </c>
      <c r="I37" s="1">
        <v>38</v>
      </c>
      <c r="J37" s="4">
        <v>38</v>
      </c>
      <c r="M37" s="3">
        <f t="shared" si="0"/>
        <v>76</v>
      </c>
    </row>
    <row r="38" spans="1:16" x14ac:dyDescent="0.25">
      <c r="A38" t="s">
        <v>0</v>
      </c>
      <c r="B38" s="1" t="s">
        <v>2</v>
      </c>
      <c r="C38" t="s">
        <v>4</v>
      </c>
      <c r="D38" t="s">
        <v>5</v>
      </c>
      <c r="E38" s="1">
        <v>0.55720000000000003</v>
      </c>
      <c r="F38">
        <v>48.45</v>
      </c>
      <c r="I38" s="1">
        <v>39</v>
      </c>
      <c r="J38" s="4">
        <v>39</v>
      </c>
      <c r="M38" s="3">
        <f t="shared" si="0"/>
        <v>78</v>
      </c>
    </row>
    <row r="39" spans="1:16" x14ac:dyDescent="0.25">
      <c r="A39" s="5" t="s">
        <v>0</v>
      </c>
      <c r="B39" s="1" t="s">
        <v>1</v>
      </c>
      <c r="C39" s="5" t="s">
        <v>3</v>
      </c>
      <c r="D39" s="5" t="s">
        <v>6</v>
      </c>
      <c r="E39" s="1">
        <v>0.38540000000000002</v>
      </c>
      <c r="F39" s="5">
        <v>29.91</v>
      </c>
      <c r="G39" s="5">
        <v>0.98670000000000002</v>
      </c>
      <c r="H39" s="4">
        <v>110.97</v>
      </c>
      <c r="I39" s="1">
        <v>33</v>
      </c>
      <c r="J39" s="4">
        <v>34</v>
      </c>
      <c r="K39" s="4">
        <v>13</v>
      </c>
      <c r="L39" s="4">
        <v>14</v>
      </c>
      <c r="M39" s="3">
        <f t="shared" si="0"/>
        <v>94</v>
      </c>
    </row>
    <row r="40" spans="1:16" x14ac:dyDescent="0.25">
      <c r="A40" s="5" t="s">
        <v>0</v>
      </c>
      <c r="B40" s="1" t="s">
        <v>2</v>
      </c>
      <c r="C40" s="5" t="s">
        <v>3</v>
      </c>
      <c r="D40" s="5" t="s">
        <v>6</v>
      </c>
      <c r="E40" s="1">
        <v>0.47020000000000001</v>
      </c>
      <c r="F40" s="5">
        <v>29.74</v>
      </c>
      <c r="G40" s="5">
        <v>1.1862999999999999</v>
      </c>
      <c r="H40" s="5">
        <v>197.59</v>
      </c>
      <c r="I40" s="1">
        <v>36</v>
      </c>
      <c r="J40" s="5">
        <v>33</v>
      </c>
      <c r="K40" s="4">
        <v>16</v>
      </c>
      <c r="L40" s="4">
        <v>17</v>
      </c>
      <c r="M40" s="3">
        <f t="shared" si="0"/>
        <v>102</v>
      </c>
    </row>
    <row r="41" spans="1:16" x14ac:dyDescent="0.25">
      <c r="A41" s="5" t="s">
        <v>0</v>
      </c>
      <c r="B41" s="1" t="s">
        <v>1</v>
      </c>
      <c r="C41" s="5" t="s">
        <v>4</v>
      </c>
      <c r="D41" s="5" t="s">
        <v>5</v>
      </c>
      <c r="E41" s="1">
        <v>0.55969999999999998</v>
      </c>
      <c r="F41" s="5">
        <v>48.95</v>
      </c>
      <c r="G41" s="5">
        <v>1.2655000000000001</v>
      </c>
      <c r="H41" s="5">
        <v>147.05000000000001</v>
      </c>
      <c r="I41" s="1">
        <v>40</v>
      </c>
      <c r="J41" s="4">
        <v>40</v>
      </c>
      <c r="K41" s="4">
        <v>17</v>
      </c>
      <c r="L41" s="4">
        <v>16</v>
      </c>
      <c r="M41" s="3">
        <f t="shared" si="0"/>
        <v>113</v>
      </c>
    </row>
  </sheetData>
  <autoFilter ref="A1:M1" xr:uid="{50079AAF-C57F-42C9-9D1E-908B0DAFE9CB}">
    <sortState xmlns:xlrd2="http://schemas.microsoft.com/office/spreadsheetml/2017/richdata2" ref="A2:M41">
      <sortCondition ref="M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3B58-FD3E-4E9B-BCFF-1A52630E46BB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8</v>
      </c>
      <c r="B2" s="3" t="s">
        <v>1</v>
      </c>
      <c r="C2" s="2" t="s">
        <v>3</v>
      </c>
      <c r="D2" s="2" t="s">
        <v>5</v>
      </c>
      <c r="E2" s="18">
        <f>(1.3011+0.4407+1.3109)/3</f>
        <v>1.0175666666666665</v>
      </c>
      <c r="F2" s="2">
        <f>(56.07+59.15+57.91)/3</f>
        <v>57.71</v>
      </c>
      <c r="G2" s="19">
        <f>(0.8871+0.9177+0.7864)/3</f>
        <v>0.86373333333333324</v>
      </c>
      <c r="H2" s="17">
        <f>(134.99+125.11+131.69)/3</f>
        <v>130.59666666666666</v>
      </c>
      <c r="I2" s="3">
        <v>30</v>
      </c>
      <c r="J2" s="6">
        <v>7</v>
      </c>
      <c r="K2" s="6">
        <v>4</v>
      </c>
      <c r="L2" s="6">
        <v>2</v>
      </c>
      <c r="M2" s="3">
        <f t="shared" ref="M2:M41" si="0">SUM(I2:L2)</f>
        <v>43</v>
      </c>
      <c r="N2" s="26"/>
      <c r="O2" s="12">
        <f t="shared" ref="O2:O41" si="1">(E2-MIN($E$2:$E$41))/MIN($E$2:$E$41)</f>
        <v>1.3854809721028358</v>
      </c>
      <c r="P2" s="12">
        <f t="shared" ref="P2:P41" si="2">(F2-MIN($F$2:$F$41))/MIN($F$2:$F$41)</f>
        <v>6.9231719367588887E-2</v>
      </c>
      <c r="Q2" s="12">
        <f t="shared" ref="Q2:Q41" si="3">(G2-MIN($G$2:$G$41))/MIN($G$2:$G$41)</f>
        <v>0.12724583460216618</v>
      </c>
      <c r="R2" s="12">
        <f t="shared" ref="R2:R41" si="4">(H2-MIN($H$2:$H$41))/MIN($H$2:$H$41)</f>
        <v>3.8514552298149818E-2</v>
      </c>
      <c r="T2" s="12">
        <f t="shared" ref="T2:T41" si="5">SUM(O2:R2)</f>
        <v>1.6204730783707406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(1.1939+0.5295+1.2054)/3</f>
        <v>0.97626666666666662</v>
      </c>
      <c r="F3" s="11">
        <f>(56.51+60.9+62.78)/3</f>
        <v>60.063333333333333</v>
      </c>
      <c r="G3" s="8">
        <f>(0.8658+0.8758+0.9096)/3</f>
        <v>0.88373333333333337</v>
      </c>
      <c r="H3" s="11">
        <f>(166.24+128.75+132.73)/3</f>
        <v>142.57333333333335</v>
      </c>
      <c r="I3" s="1">
        <v>21</v>
      </c>
      <c r="J3" s="4">
        <v>9</v>
      </c>
      <c r="K3" s="4">
        <v>7</v>
      </c>
      <c r="L3" s="4">
        <v>3</v>
      </c>
      <c r="M3" s="3">
        <f t="shared" si="0"/>
        <v>40</v>
      </c>
      <c r="N3" s="26"/>
      <c r="O3" s="12">
        <f t="shared" si="1"/>
        <v>1.2886614050168004</v>
      </c>
      <c r="P3" s="12">
        <f t="shared" si="2"/>
        <v>0.11283349802371534</v>
      </c>
      <c r="Q3" s="12">
        <f t="shared" si="3"/>
        <v>0.1533475442641492</v>
      </c>
      <c r="R3" s="12">
        <f t="shared" si="4"/>
        <v>0.13375390977045026</v>
      </c>
      <c r="T3" s="12">
        <f t="shared" si="5"/>
        <v>1.6885963570751152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6</v>
      </c>
      <c r="E4" s="9">
        <f>(1.2737+0.6594+1.2894)/3</f>
        <v>1.0741666666666667</v>
      </c>
      <c r="F4" s="11">
        <f>(52.71+51.08+60.04)/3</f>
        <v>54.609999999999992</v>
      </c>
      <c r="G4" s="8">
        <f>(0.9517+0.8598+0.9794)/3</f>
        <v>0.93030000000000002</v>
      </c>
      <c r="H4" s="11">
        <f>(123.49+120.07+133.7)/3</f>
        <v>125.75333333333333</v>
      </c>
      <c r="I4" s="1">
        <v>37</v>
      </c>
      <c r="J4" s="4">
        <v>2</v>
      </c>
      <c r="K4" s="4">
        <v>14</v>
      </c>
      <c r="L4" s="5">
        <v>1</v>
      </c>
      <c r="M4" s="3">
        <f t="shared" si="0"/>
        <v>54</v>
      </c>
      <c r="N4" s="26"/>
      <c r="O4" s="12">
        <f t="shared" si="1"/>
        <v>1.5181683207001639</v>
      </c>
      <c r="P4" s="12">
        <f t="shared" si="2"/>
        <v>1.1795948616600594E-2</v>
      </c>
      <c r="Q4" s="12">
        <f t="shared" si="3"/>
        <v>0.21412102492713259</v>
      </c>
      <c r="R4" s="12">
        <f t="shared" si="4"/>
        <v>0</v>
      </c>
      <c r="T4" s="12">
        <f t="shared" si="5"/>
        <v>1.7440852942438971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(1.2455+0.5+1.2323)/3</f>
        <v>0.99260000000000004</v>
      </c>
      <c r="F5" s="10">
        <f>(55.47+59.6+62.03)/3</f>
        <v>59.033333333333331</v>
      </c>
      <c r="G5" s="8">
        <f>(0.8923+0.9144+0.9164)/3</f>
        <v>0.90770000000000006</v>
      </c>
      <c r="H5" s="11">
        <f>(205.31+122.82+127.03)/3</f>
        <v>151.72</v>
      </c>
      <c r="I5" s="1">
        <v>22</v>
      </c>
      <c r="J5" s="4">
        <v>8</v>
      </c>
      <c r="K5" s="4">
        <v>11</v>
      </c>
      <c r="L5" s="4">
        <v>5</v>
      </c>
      <c r="M5" s="3">
        <f t="shared" si="0"/>
        <v>46</v>
      </c>
      <c r="O5" s="12">
        <f t="shared" si="1"/>
        <v>1.3269516292881145</v>
      </c>
      <c r="P5" s="12">
        <f t="shared" si="2"/>
        <v>9.3749999999999903E-2</v>
      </c>
      <c r="Q5" s="12">
        <f t="shared" si="3"/>
        <v>0.18462609300909202</v>
      </c>
      <c r="R5" s="12">
        <f t="shared" si="4"/>
        <v>0.20648889360122993</v>
      </c>
      <c r="T5" s="12">
        <f t="shared" si="5"/>
        <v>1.8118166158984363</v>
      </c>
    </row>
    <row r="6" spans="1:20" x14ac:dyDescent="0.25">
      <c r="A6" s="5" t="s">
        <v>7</v>
      </c>
      <c r="B6" s="1" t="s">
        <v>1</v>
      </c>
      <c r="C6" s="5" t="s">
        <v>4</v>
      </c>
      <c r="D6" s="5" t="s">
        <v>5</v>
      </c>
      <c r="E6" s="9">
        <f>(1.328+0.6387+1.2933)/3</f>
        <v>1.0866666666666667</v>
      </c>
      <c r="F6" s="11">
        <f>(51.46+51.93+58.53)/3</f>
        <v>53.973333333333336</v>
      </c>
      <c r="G6" s="8">
        <f>(0.9996+0.8412+0.962)/3</f>
        <v>0.93426666666666669</v>
      </c>
      <c r="H6" s="11">
        <f>(182.66+116.17+130.65)/3</f>
        <v>143.16</v>
      </c>
      <c r="I6" s="1">
        <v>40</v>
      </c>
      <c r="J6" s="4">
        <v>1</v>
      </c>
      <c r="K6" s="4">
        <v>15</v>
      </c>
      <c r="L6" s="4">
        <v>4</v>
      </c>
      <c r="M6" s="3">
        <f t="shared" si="0"/>
        <v>60</v>
      </c>
      <c r="O6" s="12">
        <f t="shared" si="1"/>
        <v>1.5474720637649446</v>
      </c>
      <c r="P6" s="12">
        <f t="shared" si="2"/>
        <v>0</v>
      </c>
      <c r="Q6" s="12">
        <f t="shared" si="3"/>
        <v>0.21929786401009252</v>
      </c>
      <c r="R6" s="12">
        <f t="shared" si="4"/>
        <v>0.13841912739224937</v>
      </c>
      <c r="T6" s="12">
        <f t="shared" si="5"/>
        <v>1.9051890551672863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(1.3227+0.4749+1.3441)/3</f>
        <v>1.0472333333333335</v>
      </c>
      <c r="F7" s="11">
        <f>(58.29+61.86+60.74)/3</f>
        <v>60.296666666666674</v>
      </c>
      <c r="G7" s="5">
        <f>(1.0335+1.1715+1.1142)/3</f>
        <v>1.1064000000000001</v>
      </c>
      <c r="H7" s="11">
        <f>(160.77+179.11+159.49)/3</f>
        <v>166.45666666666668</v>
      </c>
      <c r="I7" s="1">
        <v>33</v>
      </c>
      <c r="J7" s="4">
        <v>10</v>
      </c>
      <c r="K7" s="4">
        <v>27</v>
      </c>
      <c r="L7" s="4">
        <v>7</v>
      </c>
      <c r="M7" s="3">
        <f t="shared" si="0"/>
        <v>77</v>
      </c>
      <c r="O7" s="12">
        <f t="shared" si="1"/>
        <v>1.4550285223099164</v>
      </c>
      <c r="P7" s="12">
        <f t="shared" si="2"/>
        <v>0.11715662055335976</v>
      </c>
      <c r="Q7" s="12">
        <f t="shared" si="3"/>
        <v>0.4439465785008917</v>
      </c>
      <c r="R7" s="12">
        <f t="shared" si="4"/>
        <v>0.32367597943063153</v>
      </c>
      <c r="T7" s="12">
        <f t="shared" si="5"/>
        <v>2.3398077007947995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(1.3366+0.5616+1.3558)/3</f>
        <v>1.0846666666666667</v>
      </c>
      <c r="F8" s="11">
        <f>(49.71+58.68+56.89)/3</f>
        <v>55.093333333333334</v>
      </c>
      <c r="G8" s="8">
        <f>(1.1058+1.2028+1.1401)/3</f>
        <v>1.1495666666666666</v>
      </c>
      <c r="H8" s="10">
        <f>(162.21+173.81+185.48)/3</f>
        <v>173.83333333333334</v>
      </c>
      <c r="I8" s="1">
        <v>39</v>
      </c>
      <c r="J8" s="4">
        <v>4</v>
      </c>
      <c r="K8" s="4">
        <v>31</v>
      </c>
      <c r="L8" s="4">
        <v>9</v>
      </c>
      <c r="M8" s="3">
        <f t="shared" si="0"/>
        <v>83</v>
      </c>
      <c r="O8" s="12">
        <f t="shared" si="1"/>
        <v>1.5427834648745795</v>
      </c>
      <c r="P8" s="12">
        <f t="shared" si="2"/>
        <v>2.0750988142292443E-2</v>
      </c>
      <c r="Q8" s="12">
        <f t="shared" si="3"/>
        <v>0.50028276852133791</v>
      </c>
      <c r="R8" s="12">
        <f t="shared" si="4"/>
        <v>0.38233578964109644</v>
      </c>
      <c r="T8" s="12">
        <f t="shared" si="5"/>
        <v>2.4461530111793062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5</v>
      </c>
      <c r="E9" s="9">
        <f>(1.3688+0.5081+1.3543)/3</f>
        <v>1.0770666666666668</v>
      </c>
      <c r="F9" s="11">
        <f>(52.41+55.11+57.38)/3</f>
        <v>54.966666666666669</v>
      </c>
      <c r="G9" s="8">
        <f>(1.1415+1.2812+1.1688)/3</f>
        <v>1.1971666666666667</v>
      </c>
      <c r="H9" s="10">
        <f>(209.7+171.09+169.95)/3</f>
        <v>183.58</v>
      </c>
      <c r="I9" s="1">
        <v>38</v>
      </c>
      <c r="J9" s="4">
        <v>3</v>
      </c>
      <c r="K9" s="4">
        <v>33</v>
      </c>
      <c r="L9" s="4">
        <v>11</v>
      </c>
      <c r="M9" s="3">
        <f t="shared" si="0"/>
        <v>85</v>
      </c>
      <c r="O9" s="12">
        <f t="shared" si="1"/>
        <v>1.5249667890911933</v>
      </c>
      <c r="P9" s="12">
        <f t="shared" si="2"/>
        <v>1.8404150197628439E-2</v>
      </c>
      <c r="Q9" s="12">
        <f t="shared" si="3"/>
        <v>0.56240483751685721</v>
      </c>
      <c r="R9" s="12">
        <f t="shared" si="4"/>
        <v>0.45984201876689829</v>
      </c>
      <c r="T9" s="12">
        <f t="shared" si="5"/>
        <v>2.5656177955725772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18">
        <f>(1.3621+0.4361+1.3698)/3</f>
        <v>1.056</v>
      </c>
      <c r="F10" s="17">
        <f>(64.15+70.27+77.24)/3</f>
        <v>70.553333333333342</v>
      </c>
      <c r="G10" s="21">
        <f>(1.1016+1.239+1.1211)/3</f>
        <v>1.1539000000000001</v>
      </c>
      <c r="H10" s="17">
        <f>(147.49+195.67+187.54)/3</f>
        <v>176.89999999999998</v>
      </c>
      <c r="I10" s="3">
        <v>35</v>
      </c>
      <c r="J10" s="6">
        <v>15</v>
      </c>
      <c r="K10" s="2">
        <v>32</v>
      </c>
      <c r="L10" s="6">
        <v>10</v>
      </c>
      <c r="M10" s="3">
        <f t="shared" si="0"/>
        <v>92</v>
      </c>
      <c r="O10" s="12">
        <f t="shared" si="1"/>
        <v>1.4755802141126824</v>
      </c>
      <c r="P10" s="12">
        <f t="shared" si="2"/>
        <v>0.30718873517786571</v>
      </c>
      <c r="Q10" s="12">
        <f t="shared" si="3"/>
        <v>0.50593813894810113</v>
      </c>
      <c r="R10" s="12">
        <f t="shared" si="4"/>
        <v>0.40672215448231974</v>
      </c>
      <c r="T10" s="12">
        <f t="shared" si="5"/>
        <v>2.695429242720969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(1.3206+0.4102+1.3062)/3</f>
        <v>1.0123333333333333</v>
      </c>
      <c r="F11" s="11">
        <f>(61.32+53.13+72.17)/3</f>
        <v>62.206666666666671</v>
      </c>
      <c r="G11" s="8">
        <f>(1.4839+1.4948+1.4472)/3</f>
        <v>1.4753000000000001</v>
      </c>
      <c r="H11" s="11">
        <f>(187.02+167.01+144.5)/3</f>
        <v>166.17666666666665</v>
      </c>
      <c r="I11" s="1">
        <v>29</v>
      </c>
      <c r="J11" s="4">
        <v>11</v>
      </c>
      <c r="K11" s="4">
        <v>38</v>
      </c>
      <c r="L11" s="4">
        <v>6</v>
      </c>
      <c r="M11" s="3">
        <f t="shared" si="0"/>
        <v>84</v>
      </c>
      <c r="O11" s="12">
        <f t="shared" si="1"/>
        <v>1.3732124716730481</v>
      </c>
      <c r="P11" s="12">
        <f t="shared" si="2"/>
        <v>0.15254446640316208</v>
      </c>
      <c r="Q11" s="12">
        <f t="shared" si="3"/>
        <v>0.9253926132161655</v>
      </c>
      <c r="R11" s="12">
        <f t="shared" si="4"/>
        <v>0.32144939829295432</v>
      </c>
      <c r="T11" s="12">
        <f t="shared" si="5"/>
        <v>2.7725989495853303</v>
      </c>
    </row>
    <row r="12" spans="1:20" x14ac:dyDescent="0.25">
      <c r="A12" s="5" t="s">
        <v>8</v>
      </c>
      <c r="B12" s="1" t="s">
        <v>1</v>
      </c>
      <c r="C12" s="5" t="s">
        <v>4</v>
      </c>
      <c r="D12" s="5" t="s">
        <v>5</v>
      </c>
      <c r="E12" s="9">
        <f>(1.3138+0.4286+1.2697)/3</f>
        <v>1.0040333333333333</v>
      </c>
      <c r="F12" s="11">
        <f>(59.9+50.56+55.53)/3</f>
        <v>55.330000000000005</v>
      </c>
      <c r="G12" s="8">
        <f>(1.1382+1.1499+1.1235)/3</f>
        <v>1.1372</v>
      </c>
      <c r="H12" s="11">
        <f>(161.25+214.04+362.42)/3</f>
        <v>245.90333333333334</v>
      </c>
      <c r="I12" s="1">
        <v>27</v>
      </c>
      <c r="J12" s="4">
        <v>5</v>
      </c>
      <c r="K12" s="4">
        <v>28</v>
      </c>
      <c r="L12" s="4">
        <v>13</v>
      </c>
      <c r="M12" s="3">
        <f t="shared" si="0"/>
        <v>73</v>
      </c>
      <c r="O12" s="12">
        <f t="shared" si="1"/>
        <v>1.3537547862780335</v>
      </c>
      <c r="P12" s="12">
        <f t="shared" si="2"/>
        <v>2.5135869565217437E-2</v>
      </c>
      <c r="Q12" s="12">
        <f t="shared" si="3"/>
        <v>0.48414321138034522</v>
      </c>
      <c r="R12" s="12">
        <f t="shared" si="4"/>
        <v>0.95544187032815575</v>
      </c>
      <c r="T12" s="12">
        <f t="shared" si="5"/>
        <v>2.818475737551752</v>
      </c>
    </row>
    <row r="13" spans="1:20" x14ac:dyDescent="0.25">
      <c r="A13" s="5" t="s">
        <v>8</v>
      </c>
      <c r="B13" s="1" t="s">
        <v>2</v>
      </c>
      <c r="C13" s="5" t="s">
        <v>3</v>
      </c>
      <c r="D13" s="5" t="s">
        <v>5</v>
      </c>
      <c r="E13" s="9">
        <f>(1.3218+0.3758+1.311)/3</f>
        <v>1.0028666666666666</v>
      </c>
      <c r="F13" s="11">
        <f>(62.57+60.53+83.04)/3</f>
        <v>68.713333333333324</v>
      </c>
      <c r="G13" s="7">
        <f>(1.4147+1.4571+1.4124)/3</f>
        <v>1.4280666666666668</v>
      </c>
      <c r="H13" s="11">
        <f>(177.08+165.33+162.73)/3</f>
        <v>168.38</v>
      </c>
      <c r="I13" s="1">
        <v>26</v>
      </c>
      <c r="J13" s="4">
        <v>13</v>
      </c>
      <c r="K13" s="4">
        <v>37</v>
      </c>
      <c r="L13" s="4">
        <v>8</v>
      </c>
      <c r="M13" s="3">
        <f t="shared" si="0"/>
        <v>84</v>
      </c>
      <c r="O13" s="12">
        <f t="shared" si="1"/>
        <v>1.3510197702586537</v>
      </c>
      <c r="P13" s="12">
        <f t="shared" si="2"/>
        <v>0.27309782608695626</v>
      </c>
      <c r="Q13" s="12">
        <f t="shared" si="3"/>
        <v>0.86374907556444946</v>
      </c>
      <c r="R13" s="12">
        <f t="shared" si="4"/>
        <v>0.33897047129300745</v>
      </c>
      <c r="T13" s="12">
        <f t="shared" si="5"/>
        <v>2.826837143203067</v>
      </c>
    </row>
    <row r="14" spans="1:20" x14ac:dyDescent="0.25">
      <c r="A14" s="5" t="s">
        <v>0</v>
      </c>
      <c r="B14" s="1" t="s">
        <v>2</v>
      </c>
      <c r="C14" s="5" t="s">
        <v>3</v>
      </c>
      <c r="D14" s="5" t="s">
        <v>5</v>
      </c>
      <c r="E14" s="9">
        <f>(0.4375+0.4583+0.3841)/3</f>
        <v>0.42663333333333336</v>
      </c>
      <c r="F14" s="10">
        <f>(82.48+84.17+82.35)/3</f>
        <v>83</v>
      </c>
      <c r="G14" s="8">
        <f>(0.8819+0.8774+0.8784)/3</f>
        <v>0.87923333333333342</v>
      </c>
      <c r="H14" s="11">
        <f>(459.56+372.58+364.47)/3</f>
        <v>398.87000000000006</v>
      </c>
      <c r="I14" s="1">
        <v>1</v>
      </c>
      <c r="J14" s="4">
        <v>23</v>
      </c>
      <c r="K14" s="4">
        <v>5</v>
      </c>
      <c r="L14" s="4">
        <v>20</v>
      </c>
      <c r="M14" s="3">
        <f t="shared" si="0"/>
        <v>49</v>
      </c>
      <c r="O14" s="12">
        <f t="shared" si="1"/>
        <v>1.5628662967881376E-4</v>
      </c>
      <c r="P14" s="12">
        <f t="shared" si="2"/>
        <v>0.53779644268774696</v>
      </c>
      <c r="Q14" s="12">
        <f t="shared" si="3"/>
        <v>0.14747465959020312</v>
      </c>
      <c r="R14" s="12">
        <f t="shared" si="4"/>
        <v>2.1718443513757095</v>
      </c>
      <c r="T14" s="12">
        <f t="shared" si="5"/>
        <v>2.8572717402833385</v>
      </c>
    </row>
    <row r="15" spans="1:20" x14ac:dyDescent="0.25">
      <c r="A15" s="5" t="s">
        <v>0</v>
      </c>
      <c r="B15" s="1" t="s">
        <v>2</v>
      </c>
      <c r="C15" s="5" t="s">
        <v>4</v>
      </c>
      <c r="D15" s="5" t="s">
        <v>5</v>
      </c>
      <c r="E15" s="9">
        <f>(0.5203+0.5221+0.3765)/3</f>
        <v>0.4729666666666667</v>
      </c>
      <c r="F15" s="10">
        <f>(66.76+122.73+103.44)/3</f>
        <v>97.643333333333331</v>
      </c>
      <c r="G15" s="5">
        <f>(0.8785+0.8819+0.879)/3</f>
        <v>0.87980000000000003</v>
      </c>
      <c r="H15" s="11">
        <f>(358.23+360.11+353.39)/3</f>
        <v>357.24333333333334</v>
      </c>
      <c r="I15" s="1">
        <v>3</v>
      </c>
      <c r="J15" s="4">
        <v>32</v>
      </c>
      <c r="K15" s="4">
        <v>6</v>
      </c>
      <c r="L15" s="4">
        <v>18</v>
      </c>
      <c r="M15" s="3">
        <f t="shared" si="0"/>
        <v>59</v>
      </c>
      <c r="O15" s="12">
        <f t="shared" si="1"/>
        <v>0.10877549425646635</v>
      </c>
      <c r="P15" s="12">
        <f t="shared" si="2"/>
        <v>0.80910326086956508</v>
      </c>
      <c r="Q15" s="12">
        <f t="shared" si="3"/>
        <v>0.1482142080306259</v>
      </c>
      <c r="R15" s="12">
        <f t="shared" si="4"/>
        <v>1.8408259555744051</v>
      </c>
      <c r="T15" s="12">
        <f t="shared" si="5"/>
        <v>2.9069189187310625</v>
      </c>
    </row>
    <row r="16" spans="1:20" x14ac:dyDescent="0.25">
      <c r="A16" s="5" t="s">
        <v>8</v>
      </c>
      <c r="B16" s="1" t="s">
        <v>2</v>
      </c>
      <c r="C16" s="5" t="s">
        <v>4</v>
      </c>
      <c r="D16" s="5" t="s">
        <v>6</v>
      </c>
      <c r="E16" s="9">
        <f>(1.2886+0.3474+1.2595)/3</f>
        <v>0.96516666666666673</v>
      </c>
      <c r="F16" s="11">
        <f>(82.8+61.26+68.86)/3</f>
        <v>70.973333333333343</v>
      </c>
      <c r="G16" s="8">
        <f>(1.3666+1.2993+1.2877)/3</f>
        <v>1.3178666666666665</v>
      </c>
      <c r="H16" s="10">
        <f>(209.16+259.31+186.29)/3</f>
        <v>218.25333333333333</v>
      </c>
      <c r="I16" s="1">
        <v>20</v>
      </c>
      <c r="J16" s="4">
        <v>16</v>
      </c>
      <c r="K16" s="4">
        <v>36</v>
      </c>
      <c r="L16" s="4">
        <v>12</v>
      </c>
      <c r="M16" s="3">
        <f t="shared" si="0"/>
        <v>84</v>
      </c>
      <c r="O16" s="12">
        <f t="shared" si="1"/>
        <v>1.2626396811752754</v>
      </c>
      <c r="P16" s="12">
        <f t="shared" si="2"/>
        <v>0.31497035573122539</v>
      </c>
      <c r="Q16" s="12">
        <f t="shared" si="3"/>
        <v>0.71992865532692352</v>
      </c>
      <c r="R16" s="12">
        <f t="shared" si="4"/>
        <v>0.73556698298255851</v>
      </c>
      <c r="T16" s="12">
        <f t="shared" si="5"/>
        <v>3.0331056752159826</v>
      </c>
    </row>
    <row r="17" spans="1:20" x14ac:dyDescent="0.25">
      <c r="A17" s="5" t="s">
        <v>0</v>
      </c>
      <c r="B17" s="1" t="s">
        <v>1</v>
      </c>
      <c r="C17" s="5" t="s">
        <v>4</v>
      </c>
      <c r="D17" s="5" t="s">
        <v>5</v>
      </c>
      <c r="E17" s="9">
        <f>(0.5211+0.534+0.3765)/3</f>
        <v>0.47720000000000001</v>
      </c>
      <c r="F17" s="10">
        <f>(74.88+121.56+107.27)/3</f>
        <v>101.23666666666666</v>
      </c>
      <c r="G17" s="8">
        <f>(0.8996+0.9135+0.9034)/3</f>
        <v>0.90549999999999997</v>
      </c>
      <c r="H17" s="4">
        <f>(366.44+363.68+353.21)/3</f>
        <v>361.10999999999996</v>
      </c>
      <c r="I17" s="1">
        <v>4</v>
      </c>
      <c r="J17" s="4">
        <v>33</v>
      </c>
      <c r="K17" s="4">
        <v>10</v>
      </c>
      <c r="L17" s="4">
        <v>19</v>
      </c>
      <c r="M17" s="3">
        <f t="shared" si="0"/>
        <v>66</v>
      </c>
      <c r="O17" s="12">
        <f t="shared" si="1"/>
        <v>0.11869969524107206</v>
      </c>
      <c r="P17" s="12">
        <f t="shared" si="2"/>
        <v>0.87567934782608681</v>
      </c>
      <c r="Q17" s="12">
        <f t="shared" si="3"/>
        <v>0.18175490494627378</v>
      </c>
      <c r="R17" s="12">
        <f t="shared" si="4"/>
        <v>1.8715739808089908</v>
      </c>
      <c r="T17" s="12">
        <f t="shared" si="5"/>
        <v>3.0477079288224234</v>
      </c>
    </row>
    <row r="18" spans="1:20" x14ac:dyDescent="0.25">
      <c r="A18" s="2" t="s">
        <v>8</v>
      </c>
      <c r="B18" s="3" t="s">
        <v>1</v>
      </c>
      <c r="C18" s="2" t="s">
        <v>4</v>
      </c>
      <c r="D18" s="2" t="s">
        <v>6</v>
      </c>
      <c r="E18" s="18">
        <f>(1.1858+0.424+1.1808)/3</f>
        <v>0.93020000000000003</v>
      </c>
      <c r="F18" s="17">
        <f>(57.68+61.47+48.12)/3</f>
        <v>55.756666666666668</v>
      </c>
      <c r="G18" s="21">
        <f>(1.1335+1.1527+1.134)/3</f>
        <v>1.1400666666666666</v>
      </c>
      <c r="H18" s="17">
        <f>(216.2+288.53+421.27)/3</f>
        <v>308.66666666666669</v>
      </c>
      <c r="I18" s="3">
        <v>16</v>
      </c>
      <c r="J18" s="6">
        <v>6</v>
      </c>
      <c r="K18" s="6">
        <v>30</v>
      </c>
      <c r="L18" s="6">
        <v>16</v>
      </c>
      <c r="M18" s="3">
        <f t="shared" si="0"/>
        <v>68</v>
      </c>
      <c r="O18" s="12">
        <f t="shared" si="1"/>
        <v>1.1806673439087285</v>
      </c>
      <c r="P18" s="12">
        <f t="shared" si="2"/>
        <v>3.3041007905138302E-2</v>
      </c>
      <c r="Q18" s="12">
        <f t="shared" si="3"/>
        <v>0.48788445643189599</v>
      </c>
      <c r="R18" s="12">
        <f t="shared" si="4"/>
        <v>1.4545406351057628</v>
      </c>
      <c r="T18" s="12">
        <f t="shared" si="5"/>
        <v>3.1561334433515258</v>
      </c>
    </row>
    <row r="19" spans="1:20" x14ac:dyDescent="0.25">
      <c r="A19" s="5" t="s">
        <v>10</v>
      </c>
      <c r="B19" s="1" t="s">
        <v>2</v>
      </c>
      <c r="C19" s="5" t="s">
        <v>4</v>
      </c>
      <c r="D19" s="5" t="s">
        <v>6</v>
      </c>
      <c r="E19" s="9">
        <f>(0.9669+0.4189+0.879)/3</f>
        <v>0.75493333333333335</v>
      </c>
      <c r="F19" s="11">
        <f>(79.1+69.5+61.94)/3</f>
        <v>70.179999999999993</v>
      </c>
      <c r="G19" s="8">
        <f>(1.001+1.0604+1.1131)/3</f>
        <v>1.0581666666666667</v>
      </c>
      <c r="H19" s="11">
        <f>(381.55+371.65+270.43)/3</f>
        <v>341.21000000000004</v>
      </c>
      <c r="I19" s="1">
        <v>13</v>
      </c>
      <c r="J19" s="4">
        <v>14</v>
      </c>
      <c r="K19" s="4">
        <v>23</v>
      </c>
      <c r="L19" s="4">
        <v>17</v>
      </c>
      <c r="M19" s="3">
        <f t="shared" si="0"/>
        <v>67</v>
      </c>
      <c r="O19" s="12">
        <f t="shared" si="1"/>
        <v>0.76978979448308182</v>
      </c>
      <c r="P19" s="12">
        <f t="shared" si="2"/>
        <v>0.30027173913043459</v>
      </c>
      <c r="Q19" s="12">
        <f t="shared" si="3"/>
        <v>0.38099795536607634</v>
      </c>
      <c r="R19" s="12">
        <f t="shared" si="4"/>
        <v>1.7133276785240952</v>
      </c>
      <c r="T19" s="12">
        <f t="shared" si="5"/>
        <v>3.1643871675036879</v>
      </c>
    </row>
    <row r="20" spans="1:20" x14ac:dyDescent="0.25">
      <c r="A20" s="5" t="s">
        <v>9</v>
      </c>
      <c r="B20" s="1" t="s">
        <v>1</v>
      </c>
      <c r="C20" s="5" t="s">
        <v>4</v>
      </c>
      <c r="D20" s="5" t="s">
        <v>6</v>
      </c>
      <c r="E20" s="9">
        <f>(1.3357+0.4939+1.3119)/3</f>
        <v>1.0471666666666668</v>
      </c>
      <c r="F20" s="11">
        <f>(75.57+60.91+65.13)/3</f>
        <v>67.203333333333333</v>
      </c>
      <c r="G20" s="8">
        <f>(0.8826+0.8769+0.991)/3</f>
        <v>0.91683333333333339</v>
      </c>
      <c r="H20" s="11">
        <f>(229.99+440.96+195.15)/3</f>
        <v>288.7</v>
      </c>
      <c r="I20" s="1">
        <v>32</v>
      </c>
      <c r="J20" s="4">
        <v>12</v>
      </c>
      <c r="K20" s="4">
        <v>12</v>
      </c>
      <c r="L20" s="4">
        <v>15</v>
      </c>
      <c r="M20" s="3">
        <f t="shared" si="0"/>
        <v>71</v>
      </c>
      <c r="O20" s="12">
        <f t="shared" si="1"/>
        <v>1.4548722356802375</v>
      </c>
      <c r="P20" s="12">
        <f t="shared" si="2"/>
        <v>0.24512104743082996</v>
      </c>
      <c r="Q20" s="12">
        <f t="shared" si="3"/>
        <v>0.19654587375473084</v>
      </c>
      <c r="R20" s="12">
        <f t="shared" si="4"/>
        <v>1.2957641944547527</v>
      </c>
      <c r="T20" s="12">
        <f t="shared" si="5"/>
        <v>3.1923033513205512</v>
      </c>
    </row>
    <row r="21" spans="1:20" x14ac:dyDescent="0.25">
      <c r="A21" s="5" t="s">
        <v>0</v>
      </c>
      <c r="B21" s="1" t="s">
        <v>1</v>
      </c>
      <c r="C21" s="5" t="s">
        <v>3</v>
      </c>
      <c r="D21" s="5" t="s">
        <v>5</v>
      </c>
      <c r="E21" s="9">
        <f>(0.4379+0.4576+0.3842)/3</f>
        <v>0.42656666666666671</v>
      </c>
      <c r="F21" s="10">
        <f>(82.47+84.93+83.69)/3</f>
        <v>83.696666666666673</v>
      </c>
      <c r="G21" s="8">
        <f>(1.0033+0.9217+0.9855)/3</f>
        <v>0.97016666666666662</v>
      </c>
      <c r="H21" s="11">
        <f>(558.59+442.05+456.51)/3</f>
        <v>485.7166666666667</v>
      </c>
      <c r="I21" s="1">
        <v>1</v>
      </c>
      <c r="J21" s="4">
        <v>25</v>
      </c>
      <c r="K21" s="4">
        <v>17</v>
      </c>
      <c r="L21" s="4">
        <v>27</v>
      </c>
      <c r="M21" s="3">
        <f t="shared" si="0"/>
        <v>70</v>
      </c>
      <c r="O21" s="12">
        <f t="shared" si="1"/>
        <v>0</v>
      </c>
      <c r="P21" s="12">
        <f t="shared" si="2"/>
        <v>0.55070405138339928</v>
      </c>
      <c r="Q21" s="12">
        <f t="shared" si="3"/>
        <v>0.26615043285335166</v>
      </c>
      <c r="R21" s="12">
        <f t="shared" si="4"/>
        <v>2.8624556009118383</v>
      </c>
      <c r="T21" s="12">
        <f t="shared" si="5"/>
        <v>3.6793100851485891</v>
      </c>
    </row>
    <row r="22" spans="1:20" x14ac:dyDescent="0.25">
      <c r="A22" s="5" t="s">
        <v>10</v>
      </c>
      <c r="B22" s="1" t="s">
        <v>2</v>
      </c>
      <c r="C22" s="5" t="s">
        <v>3</v>
      </c>
      <c r="D22" s="5" t="s">
        <v>6</v>
      </c>
      <c r="E22" s="9">
        <f>(0.8553+0.4544+0.8043)/3</f>
        <v>0.70466666666666666</v>
      </c>
      <c r="F22" s="11">
        <f>(89.35+70.69+77.61)/3</f>
        <v>79.216666666666654</v>
      </c>
      <c r="G22" s="8">
        <f>(0.9135+0.935+0.908)/3</f>
        <v>0.91883333333333328</v>
      </c>
      <c r="H22" s="11">
        <f>(464.64+418.05+407.33)/3</f>
        <v>430.00666666666666</v>
      </c>
      <c r="I22" s="1">
        <v>8</v>
      </c>
      <c r="J22" s="4">
        <v>19</v>
      </c>
      <c r="K22" s="4">
        <v>13</v>
      </c>
      <c r="L22" s="4">
        <v>22</v>
      </c>
      <c r="M22" s="3">
        <f t="shared" si="0"/>
        <v>62</v>
      </c>
      <c r="O22" s="12">
        <f t="shared" si="1"/>
        <v>0.65194967570524331</v>
      </c>
      <c r="P22" s="12">
        <f t="shared" si="2"/>
        <v>0.46770009881422892</v>
      </c>
      <c r="Q22" s="12">
        <f t="shared" si="3"/>
        <v>0.19915604472092899</v>
      </c>
      <c r="R22" s="12">
        <f t="shared" si="4"/>
        <v>2.4194454752690451</v>
      </c>
      <c r="T22" s="12">
        <f t="shared" si="5"/>
        <v>3.7382512945094462</v>
      </c>
    </row>
    <row r="23" spans="1:20" x14ac:dyDescent="0.25">
      <c r="A23" s="5" t="s">
        <v>8</v>
      </c>
      <c r="B23" s="1" t="s">
        <v>2</v>
      </c>
      <c r="C23" s="5" t="s">
        <v>4</v>
      </c>
      <c r="D23" s="5" t="s">
        <v>5</v>
      </c>
      <c r="E23" s="9">
        <f>(1.3315+0.4834+1.3377)/3</f>
        <v>1.0508666666666666</v>
      </c>
      <c r="F23" s="11">
        <f>(91.15+77.13+76.62)/3</f>
        <v>81.63333333333334</v>
      </c>
      <c r="G23" s="8">
        <f>(1.5148+1.4537+1.4612)/3</f>
        <v>1.4765666666666666</v>
      </c>
      <c r="H23" s="11">
        <f>(212.35+316.11+236.87)/3</f>
        <v>255.11</v>
      </c>
      <c r="I23" s="1">
        <v>34</v>
      </c>
      <c r="J23" s="4">
        <v>22</v>
      </c>
      <c r="K23" s="4">
        <v>39</v>
      </c>
      <c r="L23" s="4">
        <v>14</v>
      </c>
      <c r="M23" s="3">
        <f t="shared" si="0"/>
        <v>109</v>
      </c>
      <c r="O23" s="12">
        <f t="shared" si="1"/>
        <v>1.4635461436274122</v>
      </c>
      <c r="P23" s="12">
        <f t="shared" si="2"/>
        <v>0.51247529644268774</v>
      </c>
      <c r="Q23" s="12">
        <f t="shared" si="3"/>
        <v>0.9270457214947575</v>
      </c>
      <c r="R23" s="12">
        <f t="shared" si="4"/>
        <v>1.0286539786884379</v>
      </c>
      <c r="T23" s="12">
        <f t="shared" si="5"/>
        <v>3.9317211402532957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(0.8749+0.4344+0.7983)/3</f>
        <v>0.70253333333333323</v>
      </c>
      <c r="F24" s="11">
        <f>(79.72+76.8+65.46)/3</f>
        <v>73.993333333333325</v>
      </c>
      <c r="G24" s="7">
        <f>(0.9516+0.9542+0.9082)/3</f>
        <v>0.93800000000000006</v>
      </c>
      <c r="H24" s="11">
        <f>(514.82+441.33+447.06)/3</f>
        <v>467.73666666666668</v>
      </c>
      <c r="I24" s="1">
        <v>7</v>
      </c>
      <c r="J24" s="4">
        <v>17</v>
      </c>
      <c r="K24" s="4">
        <v>16</v>
      </c>
      <c r="L24" s="4">
        <v>24</v>
      </c>
      <c r="M24" s="3">
        <f t="shared" si="0"/>
        <v>64</v>
      </c>
      <c r="O24" s="12">
        <f t="shared" si="1"/>
        <v>0.64694850355552047</v>
      </c>
      <c r="P24" s="12">
        <f t="shared" si="2"/>
        <v>0.37092391304347805</v>
      </c>
      <c r="Q24" s="12">
        <f t="shared" si="3"/>
        <v>0.22417018314699605</v>
      </c>
      <c r="R24" s="12">
        <f t="shared" si="4"/>
        <v>2.7194772835710124</v>
      </c>
      <c r="T24" s="12">
        <f t="shared" si="5"/>
        <v>3.9615198833170071</v>
      </c>
    </row>
    <row r="25" spans="1:20" x14ac:dyDescent="0.25">
      <c r="A25" s="5" t="s">
        <v>10</v>
      </c>
      <c r="B25" s="1" t="s">
        <v>2</v>
      </c>
      <c r="C25" s="5" t="s">
        <v>4</v>
      </c>
      <c r="D25" s="5" t="s">
        <v>5</v>
      </c>
      <c r="E25" s="9">
        <f>(0.8704+0.3887+0.8123)/3</f>
        <v>0.69046666666666656</v>
      </c>
      <c r="F25" s="11">
        <f>(84.21+72.5+92.47)/3</f>
        <v>83.059999999999988</v>
      </c>
      <c r="G25" s="8">
        <f>(0.9841+0.9076+1.0554)/3</f>
        <v>0.98236666666666661</v>
      </c>
      <c r="H25" s="11">
        <f>(438.34+294.07+742.05)/3</f>
        <v>491.48666666666668</v>
      </c>
      <c r="I25" s="1">
        <v>5</v>
      </c>
      <c r="J25" s="4">
        <v>24</v>
      </c>
      <c r="K25" s="4">
        <v>19</v>
      </c>
      <c r="L25" s="4">
        <v>28</v>
      </c>
      <c r="M25" s="3">
        <f t="shared" si="0"/>
        <v>76</v>
      </c>
      <c r="O25" s="12">
        <f t="shared" si="1"/>
        <v>0.61866062358365204</v>
      </c>
      <c r="P25" s="12">
        <f t="shared" si="2"/>
        <v>0.53890810276679812</v>
      </c>
      <c r="Q25" s="12">
        <f t="shared" si="3"/>
        <v>0.28207247574716121</v>
      </c>
      <c r="R25" s="12">
        <f t="shared" si="4"/>
        <v>2.9083390764989665</v>
      </c>
      <c r="T25" s="12">
        <f t="shared" si="5"/>
        <v>4.3479802785965784</v>
      </c>
    </row>
    <row r="26" spans="1:20" x14ac:dyDescent="0.25">
      <c r="A26" s="2" t="s">
        <v>10</v>
      </c>
      <c r="B26" s="3" t="s">
        <v>1</v>
      </c>
      <c r="C26" s="2" t="s">
        <v>4</v>
      </c>
      <c r="D26" s="2" t="s">
        <v>5</v>
      </c>
      <c r="E26" s="18">
        <f>(0.9867+0.4072+0.9351)/3</f>
        <v>0.77633333333333321</v>
      </c>
      <c r="F26" s="17">
        <f>(77.34+74.45+70.7)/3</f>
        <v>74.163333333333341</v>
      </c>
      <c r="G26" s="21">
        <f>(1.0432+0.9503+0.9656)/3</f>
        <v>0.98636666666666672</v>
      </c>
      <c r="H26" s="17">
        <f>(734.21+358.03+402.86)/3</f>
        <v>498.36666666666662</v>
      </c>
      <c r="I26" s="3">
        <v>14</v>
      </c>
      <c r="J26" s="6">
        <v>18</v>
      </c>
      <c r="K26" s="6">
        <v>22</v>
      </c>
      <c r="L26" s="2">
        <v>29</v>
      </c>
      <c r="M26" s="3">
        <f t="shared" si="0"/>
        <v>83</v>
      </c>
      <c r="O26" s="12">
        <f t="shared" si="1"/>
        <v>0.8199578026099863</v>
      </c>
      <c r="P26" s="12">
        <f t="shared" si="2"/>
        <v>0.37407361660079058</v>
      </c>
      <c r="Q26" s="12">
        <f t="shared" si="3"/>
        <v>0.28729281767955794</v>
      </c>
      <c r="R26" s="12">
        <f t="shared" si="4"/>
        <v>2.9630493558818847</v>
      </c>
      <c r="T26" s="12">
        <f t="shared" si="5"/>
        <v>4.4443735927722194</v>
      </c>
    </row>
    <row r="27" spans="1:20" x14ac:dyDescent="0.25">
      <c r="A27" s="5" t="s">
        <v>0</v>
      </c>
      <c r="B27" s="1" t="s">
        <v>2</v>
      </c>
      <c r="C27" s="5" t="s">
        <v>4</v>
      </c>
      <c r="D27" s="5" t="s">
        <v>6</v>
      </c>
      <c r="E27" s="9">
        <f>(1.14+0.5351+1.1587)/3</f>
        <v>0.9446</v>
      </c>
      <c r="F27" s="10">
        <f>(74.38+93.31+104.65)/3</f>
        <v>90.780000000000015</v>
      </c>
      <c r="G27" s="8">
        <f>(0.7588+0.7613+0.7786)/3</f>
        <v>0.76623333333333343</v>
      </c>
      <c r="H27" s="11">
        <f>(396.73+384.65+629.78)/3</f>
        <v>470.3866666666666</v>
      </c>
      <c r="I27" s="1">
        <v>19</v>
      </c>
      <c r="J27" s="4">
        <v>30</v>
      </c>
      <c r="K27" s="4">
        <v>1</v>
      </c>
      <c r="L27" s="4">
        <v>25</v>
      </c>
      <c r="M27" s="3">
        <f t="shared" si="0"/>
        <v>75</v>
      </c>
      <c r="O27" s="12">
        <f t="shared" si="1"/>
        <v>1.214425255919356</v>
      </c>
      <c r="P27" s="12">
        <f t="shared" si="2"/>
        <v>0.68194169960474327</v>
      </c>
      <c r="Q27" s="12">
        <f t="shared" si="3"/>
        <v>0</v>
      </c>
      <c r="R27" s="12">
        <f t="shared" si="4"/>
        <v>2.7405502836240254</v>
      </c>
      <c r="T27" s="12">
        <f t="shared" si="5"/>
        <v>4.6369172391481248</v>
      </c>
    </row>
    <row r="28" spans="1:20" x14ac:dyDescent="0.25">
      <c r="A28" s="5" t="s">
        <v>9</v>
      </c>
      <c r="B28" s="1" t="s">
        <v>2</v>
      </c>
      <c r="C28" s="5" t="s">
        <v>4</v>
      </c>
      <c r="D28" s="5" t="s">
        <v>6</v>
      </c>
      <c r="E28" s="9">
        <f>(1.0301+0.4286+1.3387)/3</f>
        <v>0.93246666666666655</v>
      </c>
      <c r="F28" s="11">
        <f>(75.66+70.92+95.86)/3</f>
        <v>80.813333333333333</v>
      </c>
      <c r="G28" s="7">
        <f>(1.1787+1.1957+1.22)/3</f>
        <v>1.1981333333333335</v>
      </c>
      <c r="H28" s="11">
        <f>(397.8+484.07+397.45)/3</f>
        <v>426.44</v>
      </c>
      <c r="I28" s="1">
        <v>17</v>
      </c>
      <c r="J28" s="4">
        <v>21</v>
      </c>
      <c r="K28" s="4">
        <v>34</v>
      </c>
      <c r="L28" s="4">
        <v>21</v>
      </c>
      <c r="M28" s="3">
        <f t="shared" si="0"/>
        <v>93</v>
      </c>
      <c r="O28" s="12">
        <f t="shared" si="1"/>
        <v>1.1859810893178082</v>
      </c>
      <c r="P28" s="12">
        <f t="shared" si="2"/>
        <v>0.49728260869565205</v>
      </c>
      <c r="Q28" s="12">
        <f t="shared" si="3"/>
        <v>0.56366642015051982</v>
      </c>
      <c r="R28" s="12">
        <f t="shared" si="4"/>
        <v>2.3910830726819698</v>
      </c>
      <c r="T28" s="12">
        <f t="shared" si="5"/>
        <v>4.6380131908459497</v>
      </c>
    </row>
    <row r="29" spans="1:20" x14ac:dyDescent="0.25">
      <c r="A29" s="5" t="s">
        <v>9</v>
      </c>
      <c r="B29" s="1" t="s">
        <v>1</v>
      </c>
      <c r="C29" s="5" t="s">
        <v>4</v>
      </c>
      <c r="D29" s="5" t="s">
        <v>5</v>
      </c>
      <c r="E29" s="9">
        <f>(1.3739+0.4969+1.3441)/3</f>
        <v>1.0716333333333334</v>
      </c>
      <c r="F29" s="11">
        <f>(97.02+62.5+79.83)/3</f>
        <v>79.783333333333317</v>
      </c>
      <c r="G29" s="7">
        <f>(0.9808+0.955+1.0207)/3</f>
        <v>0.98550000000000004</v>
      </c>
      <c r="H29" s="4">
        <f>(337.32+788.24+306.55)/3</f>
        <v>477.36999999999995</v>
      </c>
      <c r="I29" s="1">
        <v>36</v>
      </c>
      <c r="J29" s="4">
        <v>20</v>
      </c>
      <c r="K29" s="4">
        <v>21</v>
      </c>
      <c r="L29" s="4">
        <v>26</v>
      </c>
      <c r="M29" s="3">
        <f t="shared" si="0"/>
        <v>103</v>
      </c>
      <c r="O29" s="12">
        <f t="shared" si="1"/>
        <v>1.5122294287723683</v>
      </c>
      <c r="P29" s="12">
        <f t="shared" si="2"/>
        <v>0.47819911067193638</v>
      </c>
      <c r="Q29" s="12">
        <f t="shared" si="3"/>
        <v>0.28616174359420532</v>
      </c>
      <c r="R29" s="12">
        <f t="shared" si="4"/>
        <v>2.7960822774744205</v>
      </c>
      <c r="T29" s="12">
        <f t="shared" si="5"/>
        <v>5.072672560512931</v>
      </c>
    </row>
    <row r="30" spans="1:20" x14ac:dyDescent="0.25">
      <c r="A30" s="5" t="s">
        <v>10</v>
      </c>
      <c r="B30" s="1" t="s">
        <v>1</v>
      </c>
      <c r="C30" s="5" t="s">
        <v>3</v>
      </c>
      <c r="D30" s="5" t="s">
        <v>5</v>
      </c>
      <c r="E30" s="9">
        <f>(0.8436+0.4389+0.8245)/3</f>
        <v>0.70233333333333337</v>
      </c>
      <c r="F30" s="10">
        <f>(90.6+89.03+80.99)/3</f>
        <v>86.873333333333335</v>
      </c>
      <c r="G30" s="8">
        <f>(0.9254+0.8922+0.8729)/3</f>
        <v>0.89683333333333337</v>
      </c>
      <c r="H30" s="11">
        <f>(652.26+603.45+598.5)/3</f>
        <v>618.07000000000005</v>
      </c>
      <c r="I30" s="1">
        <v>6</v>
      </c>
      <c r="J30" s="4">
        <v>26</v>
      </c>
      <c r="K30" s="4">
        <v>9</v>
      </c>
      <c r="L30" s="4">
        <v>32</v>
      </c>
      <c r="M30" s="3">
        <f t="shared" si="0"/>
        <v>73</v>
      </c>
      <c r="O30" s="12">
        <f t="shared" si="1"/>
        <v>0.64647964366648425</v>
      </c>
      <c r="P30" s="12">
        <f t="shared" si="2"/>
        <v>0.60956027667984181</v>
      </c>
      <c r="Q30" s="12">
        <f t="shared" si="3"/>
        <v>0.17044416409274799</v>
      </c>
      <c r="R30" s="12">
        <f t="shared" si="4"/>
        <v>3.9149392991570804</v>
      </c>
      <c r="T30" s="12">
        <f t="shared" si="5"/>
        <v>5.3414233835961547</v>
      </c>
    </row>
    <row r="31" spans="1:20" x14ac:dyDescent="0.25">
      <c r="A31" s="5" t="s">
        <v>9</v>
      </c>
      <c r="B31" s="1" t="s">
        <v>2</v>
      </c>
      <c r="C31" s="5" t="s">
        <v>3</v>
      </c>
      <c r="D31" s="5" t="s">
        <v>6</v>
      </c>
      <c r="E31" s="9">
        <f>(1.2282+0.5677+1.2207)/3</f>
        <v>1.0055333333333334</v>
      </c>
      <c r="F31" s="4">
        <f>(106.77+117.53+115.78)/3</f>
        <v>113.36000000000001</v>
      </c>
      <c r="G31" s="8">
        <f>(1.0714+1+1.1174)/3</f>
        <v>1.0629333333333333</v>
      </c>
      <c r="H31" s="11">
        <f>(481.73+394.31+499.33)/3</f>
        <v>458.45666666666665</v>
      </c>
      <c r="I31" s="1">
        <v>28</v>
      </c>
      <c r="J31" s="4">
        <v>36</v>
      </c>
      <c r="K31" s="4">
        <v>24</v>
      </c>
      <c r="L31" s="4">
        <v>23</v>
      </c>
      <c r="M31" s="3">
        <f t="shared" si="0"/>
        <v>111</v>
      </c>
      <c r="O31" s="12">
        <f t="shared" si="1"/>
        <v>1.3572712354458074</v>
      </c>
      <c r="P31" s="12">
        <f t="shared" si="2"/>
        <v>1.1002964426877471</v>
      </c>
      <c r="Q31" s="12">
        <f t="shared" si="3"/>
        <v>0.38721886283551549</v>
      </c>
      <c r="R31" s="12">
        <f t="shared" si="4"/>
        <v>2.6456820230080051</v>
      </c>
      <c r="T31" s="12">
        <f t="shared" si="5"/>
        <v>5.4904685639770747</v>
      </c>
    </row>
    <row r="32" spans="1:20" x14ac:dyDescent="0.25">
      <c r="A32" s="5" t="s">
        <v>9</v>
      </c>
      <c r="B32" s="1" t="s">
        <v>2</v>
      </c>
      <c r="C32" s="5" t="s">
        <v>4</v>
      </c>
      <c r="D32" s="5" t="s">
        <v>5</v>
      </c>
      <c r="E32" s="9">
        <f>(1.2228+0.4512+1.3296)/3</f>
        <v>1.0012000000000001</v>
      </c>
      <c r="F32" s="11">
        <f>(82.85+91.36+97.48)/3</f>
        <v>90.563333333333333</v>
      </c>
      <c r="G32" s="8">
        <f>(1.1712+1.2364+1.2447)/3</f>
        <v>1.2174333333333334</v>
      </c>
      <c r="H32" s="11">
        <f>(439.8+554.33+506.83)/3</f>
        <v>500.32</v>
      </c>
      <c r="I32" s="1">
        <v>25</v>
      </c>
      <c r="J32" s="4">
        <v>29</v>
      </c>
      <c r="K32" s="4">
        <v>35</v>
      </c>
      <c r="L32" s="4">
        <v>30</v>
      </c>
      <c r="M32" s="3">
        <f t="shared" si="0"/>
        <v>119</v>
      </c>
      <c r="O32" s="12">
        <f t="shared" si="1"/>
        <v>1.3471126045166835</v>
      </c>
      <c r="P32" s="12">
        <f t="shared" si="2"/>
        <v>0.67792737154150184</v>
      </c>
      <c r="Q32" s="12">
        <f t="shared" si="3"/>
        <v>0.58885456997433316</v>
      </c>
      <c r="R32" s="12">
        <f t="shared" si="4"/>
        <v>2.9785824100090124</v>
      </c>
      <c r="T32" s="12">
        <f t="shared" si="5"/>
        <v>5.5924769560415308</v>
      </c>
    </row>
    <row r="33" spans="1:20" x14ac:dyDescent="0.25">
      <c r="A33" s="5" t="s">
        <v>10</v>
      </c>
      <c r="B33" s="1" t="s">
        <v>1</v>
      </c>
      <c r="C33" s="5" t="s">
        <v>3</v>
      </c>
      <c r="D33" s="5" t="s">
        <v>6</v>
      </c>
      <c r="E33" s="9">
        <f>(0.9317+0.4679+0.7338)/3</f>
        <v>0.71113333333333328</v>
      </c>
      <c r="F33" s="4">
        <f>(112.87+79.77+76.73)/3</f>
        <v>89.79</v>
      </c>
      <c r="G33" s="4">
        <f>(1.0195+1.0731+1.1192)/3</f>
        <v>1.0706</v>
      </c>
      <c r="H33" s="11">
        <f>(356.06+459.68+1043.31)/3</f>
        <v>619.68333333333328</v>
      </c>
      <c r="I33" s="1">
        <v>9</v>
      </c>
      <c r="J33" s="4">
        <v>28</v>
      </c>
      <c r="K33" s="4">
        <v>25</v>
      </c>
      <c r="L33" s="4">
        <v>33</v>
      </c>
      <c r="M33" s="3">
        <f t="shared" si="0"/>
        <v>95</v>
      </c>
      <c r="O33" s="12">
        <f t="shared" si="1"/>
        <v>0.66710947878408977</v>
      </c>
      <c r="P33" s="12">
        <f t="shared" si="2"/>
        <v>0.66359930830039526</v>
      </c>
      <c r="Q33" s="12">
        <f t="shared" si="3"/>
        <v>0.39722451820594229</v>
      </c>
      <c r="R33" s="12">
        <f t="shared" si="4"/>
        <v>3.9277686476170279</v>
      </c>
      <c r="T33" s="12">
        <f t="shared" si="5"/>
        <v>5.6557019529074548</v>
      </c>
    </row>
    <row r="34" spans="1:20" x14ac:dyDescent="0.25">
      <c r="A34" s="2" t="s">
        <v>10</v>
      </c>
      <c r="B34" s="3" t="s">
        <v>1</v>
      </c>
      <c r="C34" s="2" t="s">
        <v>4</v>
      </c>
      <c r="D34" s="2" t="s">
        <v>6</v>
      </c>
      <c r="E34" s="18">
        <f>(0.8794+0.575+0.7256)/3</f>
        <v>0.72666666666666657</v>
      </c>
      <c r="F34" s="17">
        <f>(96.45+104.02+66.36)/3</f>
        <v>88.943333333333328</v>
      </c>
      <c r="G34" s="21">
        <f>(0.9273+0.9156+1.0759)/3</f>
        <v>0.97293333333333332</v>
      </c>
      <c r="H34" s="17">
        <f>(383.99+394.74+1146.92)/3</f>
        <v>641.88333333333333</v>
      </c>
      <c r="I34" s="3">
        <v>10</v>
      </c>
      <c r="J34" s="6">
        <v>27</v>
      </c>
      <c r="K34" s="6">
        <v>18</v>
      </c>
      <c r="L34" s="6">
        <v>34</v>
      </c>
      <c r="M34" s="3">
        <f t="shared" si="0"/>
        <v>89</v>
      </c>
      <c r="O34" s="12">
        <f t="shared" si="1"/>
        <v>0.70352426349925723</v>
      </c>
      <c r="P34" s="12">
        <f t="shared" si="2"/>
        <v>0.6479125494071144</v>
      </c>
      <c r="Q34" s="12">
        <f t="shared" si="3"/>
        <v>0.26976116935659267</v>
      </c>
      <c r="R34" s="12">
        <f t="shared" si="4"/>
        <v>4.1043047235328425</v>
      </c>
      <c r="S34" s="27"/>
      <c r="T34" s="12">
        <f t="shared" si="5"/>
        <v>5.7255027057958063</v>
      </c>
    </row>
    <row r="35" spans="1:20" x14ac:dyDescent="0.25">
      <c r="A35" s="5" t="s">
        <v>9</v>
      </c>
      <c r="B35" s="1" t="s">
        <v>2</v>
      </c>
      <c r="C35" s="5" t="s">
        <v>3</v>
      </c>
      <c r="D35" s="5" t="s">
        <v>5</v>
      </c>
      <c r="E35" s="9">
        <f>(1.2201+0.4768+1.3017)/3</f>
        <v>0.99953333333333327</v>
      </c>
      <c r="F35" s="4">
        <f>(127.05+181.21+123.8)/3</f>
        <v>144.02000000000001</v>
      </c>
      <c r="G35" s="4">
        <f>(0.9898+1.1398+1.0858)/3</f>
        <v>1.0717999999999999</v>
      </c>
      <c r="H35" s="11">
        <f>(478.19+621.2+460.11)/3</f>
        <v>519.83333333333337</v>
      </c>
      <c r="I35" s="1">
        <v>24</v>
      </c>
      <c r="J35" s="4">
        <v>40</v>
      </c>
      <c r="K35" s="4">
        <v>26</v>
      </c>
      <c r="L35" s="4">
        <v>31</v>
      </c>
      <c r="M35" s="3">
        <f t="shared" si="0"/>
        <v>121</v>
      </c>
      <c r="O35" s="12">
        <f t="shared" si="1"/>
        <v>1.3432054387747125</v>
      </c>
      <c r="P35" s="12">
        <f t="shared" si="2"/>
        <v>1.6683547430830041</v>
      </c>
      <c r="Q35" s="12">
        <f t="shared" si="3"/>
        <v>0.39879062078566108</v>
      </c>
      <c r="R35" s="12">
        <f t="shared" si="4"/>
        <v>3.1337539097704505</v>
      </c>
      <c r="S35" s="27"/>
      <c r="T35" s="12">
        <f t="shared" si="5"/>
        <v>6.5441047124138283</v>
      </c>
    </row>
    <row r="36" spans="1:20" x14ac:dyDescent="0.25">
      <c r="A36" s="5" t="s">
        <v>0</v>
      </c>
      <c r="B36" s="1" t="s">
        <v>1</v>
      </c>
      <c r="C36" s="5" t="s">
        <v>3</v>
      </c>
      <c r="D36" s="5" t="s">
        <v>6</v>
      </c>
      <c r="E36" s="9">
        <f>(0.943+0.3547+0.9386)/3</f>
        <v>0.74543333333333328</v>
      </c>
      <c r="F36" s="10">
        <f>(79.36+86.13+208.78)/3</f>
        <v>124.75666666666666</v>
      </c>
      <c r="G36" s="8">
        <f>(0.7701+0.7723+0.7623)/3</f>
        <v>0.76823333333333332</v>
      </c>
      <c r="H36" s="11">
        <f>(767.54+774.07+779.8)/3</f>
        <v>773.80333333333328</v>
      </c>
      <c r="I36" s="1">
        <v>11</v>
      </c>
      <c r="J36" s="4">
        <v>38</v>
      </c>
      <c r="K36" s="4">
        <v>2</v>
      </c>
      <c r="L36" s="4">
        <v>38</v>
      </c>
      <c r="M36" s="3">
        <f t="shared" si="0"/>
        <v>89</v>
      </c>
      <c r="O36" s="12">
        <f t="shared" si="1"/>
        <v>0.74751894975384825</v>
      </c>
      <c r="P36" s="12">
        <f t="shared" si="2"/>
        <v>1.3114500988142292</v>
      </c>
      <c r="Q36" s="12">
        <f t="shared" si="3"/>
        <v>2.610170966198143E-3</v>
      </c>
      <c r="R36" s="12">
        <f t="shared" si="4"/>
        <v>5.1533425223983453</v>
      </c>
      <c r="S36" s="27"/>
      <c r="T36" s="12">
        <f t="shared" si="5"/>
        <v>7.2149217419326206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(1.1523+0.43+1.1943)/3</f>
        <v>0.92553333333333343</v>
      </c>
      <c r="F37" s="11">
        <f>(150.72+146.54+117.03)/3</f>
        <v>138.09666666666666</v>
      </c>
      <c r="G37" s="8">
        <f>(0.8908+0.8852+0.8948)/3</f>
        <v>0.89026666666666665</v>
      </c>
      <c r="H37" s="11">
        <f>(778.66+767.13+584.49)/3</f>
        <v>710.09333333333325</v>
      </c>
      <c r="I37" s="1">
        <v>15</v>
      </c>
      <c r="J37" s="4">
        <v>39</v>
      </c>
      <c r="K37" s="4">
        <v>8</v>
      </c>
      <c r="L37" s="4">
        <v>35</v>
      </c>
      <c r="M37" s="3">
        <f t="shared" si="0"/>
        <v>97</v>
      </c>
      <c r="O37" s="12">
        <f t="shared" si="1"/>
        <v>1.1697272798312104</v>
      </c>
      <c r="P37" s="12">
        <f t="shared" si="2"/>
        <v>1.5586091897233201</v>
      </c>
      <c r="Q37" s="12">
        <f t="shared" si="3"/>
        <v>0.16187410275373021</v>
      </c>
      <c r="R37" s="12">
        <f t="shared" si="4"/>
        <v>4.6467157928219258</v>
      </c>
      <c r="S37" s="27"/>
      <c r="T37" s="12">
        <f t="shared" si="5"/>
        <v>7.5369263651301868</v>
      </c>
    </row>
    <row r="38" spans="1:20" x14ac:dyDescent="0.25">
      <c r="A38" s="5" t="s">
        <v>0</v>
      </c>
      <c r="B38" s="1" t="s">
        <v>1</v>
      </c>
      <c r="C38" s="5" t="s">
        <v>4</v>
      </c>
      <c r="D38" s="5" t="s">
        <v>6</v>
      </c>
      <c r="E38" s="9">
        <f>(0.9406+0.3629+0.9398)/3</f>
        <v>0.74776666666666669</v>
      </c>
      <c r="F38" s="10">
        <f>(59.15+60.55+219.55)/3</f>
        <v>113.08333333333333</v>
      </c>
      <c r="G38" s="8">
        <f>(0.7865+0.789+0.7891)/3</f>
        <v>0.7881999999999999</v>
      </c>
      <c r="H38" s="11">
        <f>(826.7+857.67+838.53)/3</f>
        <v>840.96666666666658</v>
      </c>
      <c r="I38" s="1">
        <v>12</v>
      </c>
      <c r="J38" s="4">
        <v>35</v>
      </c>
      <c r="K38" s="4">
        <v>3</v>
      </c>
      <c r="L38" s="4">
        <v>39</v>
      </c>
      <c r="M38" s="3">
        <f t="shared" si="0"/>
        <v>89</v>
      </c>
      <c r="O38" s="12">
        <f t="shared" si="1"/>
        <v>0.75298898179260754</v>
      </c>
      <c r="P38" s="12">
        <f t="shared" si="2"/>
        <v>1.0951704545454544</v>
      </c>
      <c r="Q38" s="12">
        <f t="shared" si="3"/>
        <v>2.8668377778744245E-2</v>
      </c>
      <c r="R38" s="12">
        <f t="shared" si="4"/>
        <v>5.6874304193394467</v>
      </c>
      <c r="S38" s="27"/>
      <c r="T38" s="12">
        <f t="shared" si="5"/>
        <v>7.5642582334562531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5</v>
      </c>
      <c r="E39" s="9">
        <f>(1.3437+0.5105+1.2297)/3</f>
        <v>1.0279666666666667</v>
      </c>
      <c r="F39" s="11">
        <f>(112.54+111.9+89.06)/3</f>
        <v>104.5</v>
      </c>
      <c r="G39" s="7">
        <f>(1.1779+1.1238+1.1168)/3</f>
        <v>1.1395</v>
      </c>
      <c r="H39" s="11">
        <f>(719.81+700.8+797.45)/3</f>
        <v>739.35333333333335</v>
      </c>
      <c r="I39" s="1">
        <v>31</v>
      </c>
      <c r="J39" s="22">
        <v>34</v>
      </c>
      <c r="K39" s="4">
        <v>29</v>
      </c>
      <c r="L39" s="4">
        <v>36</v>
      </c>
      <c r="M39" s="3">
        <f t="shared" si="0"/>
        <v>130</v>
      </c>
      <c r="O39" s="12">
        <f t="shared" si="1"/>
        <v>1.409861686332734</v>
      </c>
      <c r="P39" s="12">
        <f t="shared" si="2"/>
        <v>0.93614130434782594</v>
      </c>
      <c r="Q39" s="12">
        <f t="shared" si="3"/>
        <v>0.4871449079914732</v>
      </c>
      <c r="R39" s="12">
        <f t="shared" si="4"/>
        <v>4.879393521709166</v>
      </c>
      <c r="S39" s="27"/>
      <c r="T39" s="12">
        <f t="shared" si="5"/>
        <v>7.7125414203811999</v>
      </c>
    </row>
    <row r="40" spans="1:20" x14ac:dyDescent="0.25">
      <c r="A40" s="5" t="s">
        <v>9</v>
      </c>
      <c r="B40" s="1" t="s">
        <v>1</v>
      </c>
      <c r="C40" s="5" t="s">
        <v>3</v>
      </c>
      <c r="D40" s="5" t="s">
        <v>6</v>
      </c>
      <c r="E40" s="9">
        <f>(1.2899+0.5346+1.1662)/3</f>
        <v>0.99690000000000001</v>
      </c>
      <c r="F40" s="11">
        <f>(127.57+108.68+108.63)/3</f>
        <v>114.96</v>
      </c>
      <c r="G40" s="7">
        <f>(1.0524+0.8079+1.0943)/3</f>
        <v>0.98486666666666667</v>
      </c>
      <c r="H40" s="11">
        <f>(781.2+833.91+698.68)/3</f>
        <v>771.26333333333332</v>
      </c>
      <c r="I40" s="1">
        <v>23</v>
      </c>
      <c r="J40" s="4">
        <v>37</v>
      </c>
      <c r="K40" s="4">
        <v>20</v>
      </c>
      <c r="L40" s="4">
        <v>37</v>
      </c>
      <c r="M40" s="3">
        <f t="shared" si="0"/>
        <v>117</v>
      </c>
      <c r="O40" s="12">
        <f t="shared" si="1"/>
        <v>1.3370321169023989</v>
      </c>
      <c r="P40" s="12">
        <f t="shared" si="2"/>
        <v>1.1299407114624505</v>
      </c>
      <c r="Q40" s="12">
        <f t="shared" si="3"/>
        <v>0.28533518945490915</v>
      </c>
      <c r="R40" s="12">
        <f t="shared" si="4"/>
        <v>5.1331442506494191</v>
      </c>
      <c r="S40" s="27"/>
      <c r="T40" s="12">
        <f t="shared" si="5"/>
        <v>7.8854522684691775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18</v>
      </c>
      <c r="J41" s="4">
        <v>31</v>
      </c>
      <c r="K41" s="4">
        <v>40</v>
      </c>
      <c r="L41" s="4">
        <v>40</v>
      </c>
      <c r="M41" s="3">
        <f t="shared" si="0"/>
        <v>129</v>
      </c>
      <c r="O41" s="12">
        <f t="shared" si="1"/>
        <v>1.2076267875283266</v>
      </c>
      <c r="P41" s="12">
        <f t="shared" si="2"/>
        <v>0.76963932806324076</v>
      </c>
      <c r="Q41" s="12">
        <f t="shared" si="3"/>
        <v>2.0763475007612997</v>
      </c>
      <c r="R41" s="12">
        <f t="shared" si="4"/>
        <v>387.22279064835919</v>
      </c>
      <c r="S41" s="27"/>
      <c r="T41" s="12">
        <f t="shared" si="5"/>
        <v>391.27640426471208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4121-17E9-423A-B1FF-F5EB5D52448F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8</v>
      </c>
      <c r="B2" s="3" t="s">
        <v>1</v>
      </c>
      <c r="C2" s="2" t="s">
        <v>3</v>
      </c>
      <c r="D2" s="2" t="s">
        <v>5</v>
      </c>
      <c r="E2" s="18">
        <f>(1.3011+0.4407+1.3109+0.2626)/4</f>
        <v>0.82882499999999992</v>
      </c>
      <c r="F2" s="20">
        <f>(56.07+59.15+57.91+70.66)/4</f>
        <v>60.947499999999998</v>
      </c>
      <c r="G2" s="19">
        <f>(0.8871+0.9177+0.7864+0.8393)/4</f>
        <v>0.85762499999999997</v>
      </c>
      <c r="H2" s="17">
        <f>(134.99+125.11+131.69+70.66)/4</f>
        <v>115.61250000000001</v>
      </c>
      <c r="I2" s="3">
        <v>21</v>
      </c>
      <c r="J2" s="6">
        <v>10</v>
      </c>
      <c r="K2" s="6">
        <v>5</v>
      </c>
      <c r="L2" s="6">
        <v>1</v>
      </c>
      <c r="M2" s="3">
        <f t="shared" ref="M2:M41" si="0">SUM(I2:L2)</f>
        <v>37</v>
      </c>
      <c r="N2" s="26"/>
      <c r="O2" s="12">
        <f t="shared" ref="O2:O41" si="1">(E2-MIN($E$2:$E$41))/MIN($E$2:$E$41)</f>
        <v>1.170835515976951</v>
      </c>
      <c r="P2" s="12">
        <f t="shared" ref="P2:P41" si="2">(F2-MIN($F$2:$F$41))/MIN($F$2:$F$41)</f>
        <v>0.17727448329148143</v>
      </c>
      <c r="Q2" s="12">
        <f t="shared" ref="Q2:Q41" si="3">(G2-MIN($G$2:$G$41))/MIN($G$2:$G$41)</f>
        <v>0.11481216690497854</v>
      </c>
      <c r="R2" s="12">
        <f t="shared" ref="R2:R41" si="4">(H2-MIN($H$2:$H$41))/MIN($H$2:$H$41)</f>
        <v>0</v>
      </c>
      <c r="T2" s="12">
        <f t="shared" ref="T2:T41" si="5">SUM(O2:R2)</f>
        <v>1.4629221661734111</v>
      </c>
    </row>
    <row r="3" spans="1:20" x14ac:dyDescent="0.25">
      <c r="A3" s="5" t="s">
        <v>7</v>
      </c>
      <c r="B3" s="1" t="s">
        <v>1</v>
      </c>
      <c r="C3" s="5" t="s">
        <v>4</v>
      </c>
      <c r="D3" s="5" t="s">
        <v>6</v>
      </c>
      <c r="E3" s="9">
        <f>(1.2737+0.6594+1.2894+0.2091)/4</f>
        <v>0.8579</v>
      </c>
      <c r="F3" s="11">
        <f>(52.71+51.08+60.04+44.39)/4</f>
        <v>52.054999999999993</v>
      </c>
      <c r="G3" s="8">
        <f>(0.9517+0.8598+0.9794+0.8272)/4</f>
        <v>0.90452500000000002</v>
      </c>
      <c r="H3" s="11">
        <f>(123.49+120.07+133.7+155.7)/4</f>
        <v>133.24</v>
      </c>
      <c r="I3" s="1">
        <v>22</v>
      </c>
      <c r="J3" s="4">
        <v>3</v>
      </c>
      <c r="K3" s="4">
        <v>11</v>
      </c>
      <c r="L3" s="5">
        <v>2</v>
      </c>
      <c r="M3" s="3">
        <f t="shared" si="0"/>
        <v>38</v>
      </c>
      <c r="N3" s="26"/>
      <c r="O3" s="12">
        <f t="shared" si="1"/>
        <v>1.2469879518072287</v>
      </c>
      <c r="P3" s="12">
        <f t="shared" si="2"/>
        <v>5.5051187946685235E-3</v>
      </c>
      <c r="Q3" s="12">
        <f t="shared" si="3"/>
        <v>0.17577668009879116</v>
      </c>
      <c r="R3" s="12">
        <f t="shared" si="4"/>
        <v>0.15247053735538973</v>
      </c>
      <c r="T3" s="12">
        <f t="shared" si="5"/>
        <v>1.5807402880560781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9">
        <f>(1.1939+0.5295+1.2054+0.2766)/4</f>
        <v>0.80135000000000001</v>
      </c>
      <c r="F4" s="11">
        <f>(56.51+60.9+62.78+51.52)/4</f>
        <v>57.927500000000002</v>
      </c>
      <c r="G4" s="8">
        <f>(0.8658+0.8758+0.9096+0.8829)/4</f>
        <v>0.88352500000000012</v>
      </c>
      <c r="H4" s="11">
        <f>(166.24+128.75+132.73+140.78)/4</f>
        <v>142.125</v>
      </c>
      <c r="I4" s="1">
        <v>16</v>
      </c>
      <c r="J4" s="4">
        <v>5</v>
      </c>
      <c r="K4" s="4">
        <v>8</v>
      </c>
      <c r="L4" s="4">
        <v>3</v>
      </c>
      <c r="M4" s="3">
        <f t="shared" si="0"/>
        <v>32</v>
      </c>
      <c r="N4" s="26"/>
      <c r="O4" s="12">
        <f t="shared" si="1"/>
        <v>1.0988737558931376</v>
      </c>
      <c r="P4" s="12">
        <f t="shared" si="2"/>
        <v>0.1189395402742901</v>
      </c>
      <c r="Q4" s="12">
        <f t="shared" si="3"/>
        <v>0.14847913687768119</v>
      </c>
      <c r="R4" s="12">
        <f t="shared" si="4"/>
        <v>0.22932208887447281</v>
      </c>
      <c r="T4" s="12">
        <f t="shared" si="5"/>
        <v>1.5956145219195816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(1.328+0.6387+1.2933+0.2081)/4</f>
        <v>0.86702499999999993</v>
      </c>
      <c r="F5" s="11">
        <f>(51.46+51.93+58.53+45.16)/4</f>
        <v>51.77</v>
      </c>
      <c r="G5" s="8">
        <f>(0.9996+0.8412+0.962+0.8579)/4</f>
        <v>0.91517499999999996</v>
      </c>
      <c r="H5" s="11">
        <f>(182.66+116.17+130.65+147.77)/4</f>
        <v>144.3125</v>
      </c>
      <c r="I5" s="1">
        <v>25</v>
      </c>
      <c r="J5" s="4">
        <v>1</v>
      </c>
      <c r="K5" s="4">
        <v>14</v>
      </c>
      <c r="L5" s="4">
        <v>4</v>
      </c>
      <c r="M5" s="3">
        <f t="shared" si="0"/>
        <v>44</v>
      </c>
      <c r="N5" s="26"/>
      <c r="O5" s="12">
        <f t="shared" si="1"/>
        <v>1.2708878994237818</v>
      </c>
      <c r="P5" s="12">
        <f t="shared" si="2"/>
        <v>0</v>
      </c>
      <c r="Q5" s="12">
        <f t="shared" si="3"/>
        <v>0.1896204341609255</v>
      </c>
      <c r="R5" s="12">
        <f t="shared" si="4"/>
        <v>0.24824305330305968</v>
      </c>
      <c r="T5" s="12">
        <f t="shared" si="5"/>
        <v>1.7087513868877671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(1.2455+0.5+1.2323+0.3004)/4</f>
        <v>0.81955</v>
      </c>
      <c r="F6" s="10">
        <f>(55.47+59.6+62.03+55.14)/4</f>
        <v>58.06</v>
      </c>
      <c r="G6" s="8">
        <f>(0.8923+0.9144+0.9164+0.8568)/4</f>
        <v>0.89497500000000008</v>
      </c>
      <c r="H6" s="11">
        <f>(205.31+122.82+127.03+142.04)/4</f>
        <v>149.29999999999998</v>
      </c>
      <c r="I6" s="1">
        <v>20</v>
      </c>
      <c r="J6" s="4">
        <v>6</v>
      </c>
      <c r="K6" s="4">
        <v>10</v>
      </c>
      <c r="L6" s="4">
        <v>5</v>
      </c>
      <c r="M6" s="3">
        <f t="shared" si="0"/>
        <v>41</v>
      </c>
      <c r="O6" s="12">
        <f t="shared" si="1"/>
        <v>1.1465426925091668</v>
      </c>
      <c r="P6" s="12">
        <f t="shared" si="2"/>
        <v>0.12149893760865364</v>
      </c>
      <c r="Q6" s="12">
        <f t="shared" si="3"/>
        <v>0.16336279734823878</v>
      </c>
      <c r="R6" s="12">
        <f t="shared" si="4"/>
        <v>0.29138285220023757</v>
      </c>
      <c r="T6" s="12">
        <f t="shared" si="5"/>
        <v>1.7227872796662969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(1.3227+0.4749+1.3441+0.442)/4</f>
        <v>0.89592500000000008</v>
      </c>
      <c r="F7" s="11">
        <f>(58.29+61.86+60.74+51.39)/4</f>
        <v>58.070000000000007</v>
      </c>
      <c r="G7" s="8">
        <f>(1.0335+1.1715+1.1142+1.0843)/4</f>
        <v>1.100875</v>
      </c>
      <c r="H7" s="11">
        <f>(160.77+179.11+159.49+181.56)/4</f>
        <v>170.23250000000002</v>
      </c>
      <c r="I7" s="1">
        <v>32</v>
      </c>
      <c r="J7" s="4">
        <v>7</v>
      </c>
      <c r="K7" s="4">
        <v>27</v>
      </c>
      <c r="L7" s="4">
        <v>7</v>
      </c>
      <c r="M7" s="3">
        <f t="shared" si="0"/>
        <v>73</v>
      </c>
      <c r="O7" s="12">
        <f t="shared" si="1"/>
        <v>1.3465819800942902</v>
      </c>
      <c r="P7" s="12">
        <f t="shared" si="2"/>
        <v>0.12169209967162457</v>
      </c>
      <c r="Q7" s="12">
        <f t="shared" si="3"/>
        <v>0.43100870921617063</v>
      </c>
      <c r="R7" s="12">
        <f t="shared" si="4"/>
        <v>0.47244026381230403</v>
      </c>
      <c r="T7" s="12">
        <f t="shared" si="5"/>
        <v>2.3717230527943896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(1.3366+0.5616+1.3558+0.4503)/4</f>
        <v>0.92607499999999998</v>
      </c>
      <c r="F8" s="11">
        <f>(49.71+58.68+56.89+43.53)/4</f>
        <v>52.202500000000001</v>
      </c>
      <c r="G8" s="8">
        <f>(1.1058+1.2028+1.1401+1.2722)/4</f>
        <v>1.1802250000000001</v>
      </c>
      <c r="H8" s="10">
        <f>(162.21+173.81+185.48+184.26)/4</f>
        <v>176.44</v>
      </c>
      <c r="I8" s="1">
        <v>36</v>
      </c>
      <c r="J8" s="4">
        <v>4</v>
      </c>
      <c r="K8" s="4">
        <v>32</v>
      </c>
      <c r="L8" s="4">
        <v>10</v>
      </c>
      <c r="M8" s="3">
        <f t="shared" si="0"/>
        <v>82</v>
      </c>
      <c r="O8" s="12">
        <f t="shared" si="1"/>
        <v>1.4255500261917231</v>
      </c>
      <c r="P8" s="12">
        <f t="shared" si="2"/>
        <v>8.3542592234884562E-3</v>
      </c>
      <c r="Q8" s="12">
        <f t="shared" si="3"/>
        <v>0.53415442610165098</v>
      </c>
      <c r="R8" s="12">
        <f t="shared" si="4"/>
        <v>0.52613255487079669</v>
      </c>
      <c r="T8" s="12">
        <f t="shared" si="5"/>
        <v>2.4941912663876593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5</v>
      </c>
      <c r="E9" s="9">
        <f>(1.3688+0.5081+1.3543+0.437)/4</f>
        <v>0.91705000000000003</v>
      </c>
      <c r="F9" s="11">
        <f>(52.41+55.11+57.38+43.03)/4</f>
        <v>51.982500000000002</v>
      </c>
      <c r="G9" s="8">
        <f>(1.1415+1.2812+1.1688+1.1353)/4</f>
        <v>1.1817</v>
      </c>
      <c r="H9" s="10">
        <f>(209.7+171.09+169.95+173.32)/4</f>
        <v>181.01499999999999</v>
      </c>
      <c r="I9" s="1">
        <v>35</v>
      </c>
      <c r="J9" s="4">
        <v>2</v>
      </c>
      <c r="K9" s="4">
        <v>33</v>
      </c>
      <c r="L9" s="4">
        <v>11</v>
      </c>
      <c r="M9" s="3">
        <f t="shared" si="0"/>
        <v>81</v>
      </c>
      <c r="O9" s="12">
        <f t="shared" si="1"/>
        <v>1.4019119958093242</v>
      </c>
      <c r="P9" s="12">
        <f t="shared" si="2"/>
        <v>4.1046938381301638E-3</v>
      </c>
      <c r="Q9" s="12">
        <f t="shared" si="3"/>
        <v>0.53607175354218117</v>
      </c>
      <c r="R9" s="12">
        <f t="shared" si="4"/>
        <v>0.56570440047572679</v>
      </c>
      <c r="T9" s="12">
        <f t="shared" si="5"/>
        <v>2.5077928436653627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18">
        <f>(1.3621+0.4361+1.3698+0.3612)/4</f>
        <v>0.88230000000000008</v>
      </c>
      <c r="F10" s="17">
        <f>(64.15+70.27+77.24+64.04)/4</f>
        <v>68.925000000000011</v>
      </c>
      <c r="G10" s="21">
        <f>(1.1016+1.239+1.1211+1.1332)/4</f>
        <v>1.1487250000000002</v>
      </c>
      <c r="H10" s="17">
        <f>(147.49+195.67+187.54+157.07)/4</f>
        <v>171.9425</v>
      </c>
      <c r="I10" s="3">
        <v>28</v>
      </c>
      <c r="J10" s="6">
        <v>15</v>
      </c>
      <c r="K10" s="2">
        <v>31</v>
      </c>
      <c r="L10" s="6">
        <v>8</v>
      </c>
      <c r="M10" s="3">
        <f t="shared" si="0"/>
        <v>82</v>
      </c>
      <c r="O10" s="12">
        <f t="shared" si="1"/>
        <v>1.3108957569408068</v>
      </c>
      <c r="P10" s="12">
        <f t="shared" si="2"/>
        <v>0.33136951902646333</v>
      </c>
      <c r="Q10" s="12">
        <f t="shared" si="3"/>
        <v>0.49320811126998604</v>
      </c>
      <c r="R10" s="12">
        <f t="shared" si="4"/>
        <v>0.48723105200562206</v>
      </c>
      <c r="T10" s="12">
        <f t="shared" si="5"/>
        <v>2.6227044392428782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5</v>
      </c>
      <c r="E11" s="9">
        <f>(1.3218+0.3758+1.311+0.4881)/4</f>
        <v>0.87417499999999992</v>
      </c>
      <c r="F11" s="11">
        <f>(62.57+60.53+83.04+61.67)/4</f>
        <v>66.952500000000001</v>
      </c>
      <c r="G11" s="7">
        <f>(1.4147+1.4571+1.4124+1.4399)/4</f>
        <v>1.431025</v>
      </c>
      <c r="H11" s="11">
        <f>(177.08+165.33+162.73+164.08)/4</f>
        <v>167.30500000000001</v>
      </c>
      <c r="I11" s="1">
        <v>26</v>
      </c>
      <c r="J11" s="4">
        <v>13</v>
      </c>
      <c r="K11" s="4">
        <v>37</v>
      </c>
      <c r="L11" s="4">
        <v>6</v>
      </c>
      <c r="M11" s="3">
        <f t="shared" si="0"/>
        <v>82</v>
      </c>
      <c r="O11" s="12">
        <f t="shared" si="1"/>
        <v>1.2896149816657931</v>
      </c>
      <c r="P11" s="12">
        <f t="shared" si="2"/>
        <v>0.29326830210546639</v>
      </c>
      <c r="Q11" s="12">
        <f t="shared" si="3"/>
        <v>0.86016508514233725</v>
      </c>
      <c r="R11" s="12">
        <f t="shared" si="4"/>
        <v>0.44711860741701798</v>
      </c>
      <c r="T11" s="12">
        <f t="shared" si="5"/>
        <v>2.8901669763306148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6</v>
      </c>
      <c r="E12" s="9">
        <f>(1.3206+0.4102+1.3062+0.4721)/4</f>
        <v>0.87727500000000003</v>
      </c>
      <c r="F12" s="11">
        <f>(61.32+53.13+72.17+53.5)/4</f>
        <v>60.03</v>
      </c>
      <c r="G12" s="8">
        <f>(1.4839+1.4948+1.4472+1.4932)/4</f>
        <v>1.4797750000000001</v>
      </c>
      <c r="H12" s="11">
        <f>(187.02+167.01+144.5+201.65)/4</f>
        <v>175.04499999999999</v>
      </c>
      <c r="I12" s="1">
        <v>27</v>
      </c>
      <c r="J12" s="4">
        <v>9</v>
      </c>
      <c r="K12" s="4">
        <v>39</v>
      </c>
      <c r="L12" s="4">
        <v>9</v>
      </c>
      <c r="M12" s="3">
        <f t="shared" si="0"/>
        <v>84</v>
      </c>
      <c r="O12" s="12">
        <f t="shared" si="1"/>
        <v>1.2977344159245678</v>
      </c>
      <c r="P12" s="12">
        <f t="shared" si="2"/>
        <v>0.15955186401390761</v>
      </c>
      <c r="Q12" s="12">
        <f t="shared" si="3"/>
        <v>0.92353438190562864</v>
      </c>
      <c r="R12" s="12">
        <f t="shared" si="4"/>
        <v>0.5140663855551949</v>
      </c>
      <c r="T12" s="12">
        <f t="shared" si="5"/>
        <v>2.8948870473992989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(1.3138+0.4286+1.2697+0.5508)/4</f>
        <v>0.89072499999999999</v>
      </c>
      <c r="F13" s="11">
        <f>(59.9+50.56+55.53+71.15)/4</f>
        <v>59.285000000000004</v>
      </c>
      <c r="G13" s="8">
        <f>(1.1382+1.1499+1.1235+1.089)/4</f>
        <v>1.1251500000000001</v>
      </c>
      <c r="H13" s="11">
        <f>(161.25+214.04+362.42+282.38)/4</f>
        <v>255.02250000000001</v>
      </c>
      <c r="I13" s="1">
        <v>29</v>
      </c>
      <c r="J13" s="4">
        <v>8</v>
      </c>
      <c r="K13" s="4">
        <v>28</v>
      </c>
      <c r="L13" s="4">
        <v>13</v>
      </c>
      <c r="M13" s="3">
        <f t="shared" si="0"/>
        <v>78</v>
      </c>
      <c r="O13" s="12">
        <f t="shared" si="1"/>
        <v>1.3329622839182815</v>
      </c>
      <c r="P13" s="12">
        <f t="shared" si="2"/>
        <v>0.14516129032258066</v>
      </c>
      <c r="Q13" s="12">
        <f t="shared" si="3"/>
        <v>0.46256336929676345</v>
      </c>
      <c r="R13" s="12">
        <f t="shared" si="4"/>
        <v>1.2058384690236781</v>
      </c>
      <c r="T13" s="12">
        <f t="shared" si="5"/>
        <v>3.1465254125613038</v>
      </c>
    </row>
    <row r="14" spans="1:20" x14ac:dyDescent="0.25">
      <c r="A14" s="5" t="s">
        <v>0</v>
      </c>
      <c r="B14" s="1" t="s">
        <v>2</v>
      </c>
      <c r="C14" s="5" t="s">
        <v>3</v>
      </c>
      <c r="D14" s="5" t="s">
        <v>5</v>
      </c>
      <c r="E14" s="9">
        <f>(0.4375+0.4583+0.3841+0.2492)/4</f>
        <v>0.38227500000000003</v>
      </c>
      <c r="F14" s="10">
        <f>(82.48+84.17+82.35+73.08)/4</f>
        <v>80.52</v>
      </c>
      <c r="G14" s="8">
        <f>(0.8819+0.8774+0.8784+0.8833)/4</f>
        <v>0.88024999999999998</v>
      </c>
      <c r="H14" s="11">
        <f>(459.56+372.58+364.47+414.66)/4</f>
        <v>402.81750000000005</v>
      </c>
      <c r="I14" s="1">
        <v>2</v>
      </c>
      <c r="J14" s="4">
        <v>23</v>
      </c>
      <c r="K14" s="4">
        <v>6</v>
      </c>
      <c r="L14" s="4">
        <v>20</v>
      </c>
      <c r="M14" s="3">
        <f t="shared" si="0"/>
        <v>51</v>
      </c>
      <c r="O14" s="12">
        <f t="shared" si="1"/>
        <v>1.2441068622315431E-3</v>
      </c>
      <c r="P14" s="12">
        <f t="shared" si="2"/>
        <v>0.55534093104114335</v>
      </c>
      <c r="Q14" s="12">
        <f t="shared" si="3"/>
        <v>0.14422202001819837</v>
      </c>
      <c r="R14" s="12">
        <f t="shared" si="4"/>
        <v>2.4842036976970485</v>
      </c>
      <c r="T14" s="12">
        <f t="shared" si="5"/>
        <v>3.185010755618622</v>
      </c>
    </row>
    <row r="15" spans="1:20" x14ac:dyDescent="0.25">
      <c r="A15" s="5" t="s">
        <v>10</v>
      </c>
      <c r="B15" s="1" t="s">
        <v>2</v>
      </c>
      <c r="C15" s="5" t="s">
        <v>4</v>
      </c>
      <c r="D15" s="5" t="s">
        <v>6</v>
      </c>
      <c r="E15" s="9">
        <f>(0.9669+0.4189+0.879+0.2578)/4</f>
        <v>0.63065000000000004</v>
      </c>
      <c r="F15" s="11">
        <f>(79.1+69.5+61.94+61.04)/4</f>
        <v>67.894999999999996</v>
      </c>
      <c r="G15" s="8">
        <f>(1.001+1.0604+1.1131+1.0208)/4</f>
        <v>1.0488249999999999</v>
      </c>
      <c r="H15" s="11">
        <f>(381.55+371.65+270.43+324.54)/4</f>
        <v>337.04250000000002</v>
      </c>
      <c r="I15" s="1">
        <v>13</v>
      </c>
      <c r="J15" s="4">
        <v>14</v>
      </c>
      <c r="K15" s="4">
        <v>23</v>
      </c>
      <c r="L15" s="4">
        <v>17</v>
      </c>
      <c r="M15" s="3">
        <f t="shared" si="0"/>
        <v>67</v>
      </c>
      <c r="O15" s="12">
        <f t="shared" si="1"/>
        <v>0.65178103719224723</v>
      </c>
      <c r="P15" s="12">
        <f t="shared" si="2"/>
        <v>0.31147382654046729</v>
      </c>
      <c r="Q15" s="12">
        <f t="shared" si="3"/>
        <v>0.36334979851813326</v>
      </c>
      <c r="R15" s="12">
        <f t="shared" si="4"/>
        <v>1.9152773272786245</v>
      </c>
      <c r="T15" s="12">
        <f t="shared" si="5"/>
        <v>3.2418819895294724</v>
      </c>
    </row>
    <row r="16" spans="1:20" x14ac:dyDescent="0.25">
      <c r="A16" s="5" t="s">
        <v>8</v>
      </c>
      <c r="B16" s="1" t="s">
        <v>1</v>
      </c>
      <c r="C16" s="5" t="s">
        <v>4</v>
      </c>
      <c r="D16" s="5" t="s">
        <v>6</v>
      </c>
      <c r="E16" s="9">
        <f>(1.1858+0.424+1.1808+0.4748)/4</f>
        <v>0.81635000000000002</v>
      </c>
      <c r="F16" s="11">
        <f>(57.68+61.47+48.12+85.14)/4</f>
        <v>63.102500000000006</v>
      </c>
      <c r="G16" s="8">
        <f>(1.1335+1.1527+1.134+1.0992)/4</f>
        <v>1.12985</v>
      </c>
      <c r="H16" s="11">
        <f>(216.2+288.53+421.27+195.55)/4</f>
        <v>280.38749999999999</v>
      </c>
      <c r="I16" s="1">
        <v>18</v>
      </c>
      <c r="J16" s="4">
        <v>11</v>
      </c>
      <c r="K16" s="4">
        <v>29</v>
      </c>
      <c r="L16" s="4">
        <v>15</v>
      </c>
      <c r="M16" s="3">
        <f t="shared" si="0"/>
        <v>73</v>
      </c>
      <c r="O16" s="12">
        <f t="shared" si="1"/>
        <v>1.1381613410162388</v>
      </c>
      <c r="P16" s="12">
        <f t="shared" si="2"/>
        <v>0.218900907861696</v>
      </c>
      <c r="Q16" s="12">
        <f t="shared" si="3"/>
        <v>0.46867281944624989</v>
      </c>
      <c r="R16" s="12">
        <f t="shared" si="4"/>
        <v>1.4252351605578979</v>
      </c>
      <c r="T16" s="12">
        <f t="shared" si="5"/>
        <v>3.2509702288820828</v>
      </c>
    </row>
    <row r="17" spans="1:20" x14ac:dyDescent="0.25">
      <c r="A17" s="5" t="s">
        <v>0</v>
      </c>
      <c r="B17" s="1" t="s">
        <v>2</v>
      </c>
      <c r="C17" s="5" t="s">
        <v>4</v>
      </c>
      <c r="D17" s="5" t="s">
        <v>5</v>
      </c>
      <c r="E17" s="9">
        <f>(0.5203+0.5221+0.3765+0.4075)/4</f>
        <v>0.45660000000000001</v>
      </c>
      <c r="F17" s="10">
        <f>(66.76+122.73+103.44+69.82)/4</f>
        <v>90.6875</v>
      </c>
      <c r="G17" s="5">
        <f>(0.8785+0.8819+0.879+0.8906)/4</f>
        <v>0.88250000000000006</v>
      </c>
      <c r="H17" s="11">
        <f>(358.23+360.11+353.39+405.4)/4</f>
        <v>369.28250000000003</v>
      </c>
      <c r="I17" s="1">
        <v>3</v>
      </c>
      <c r="J17" s="4">
        <v>29</v>
      </c>
      <c r="K17" s="4">
        <v>7</v>
      </c>
      <c r="L17" s="4">
        <v>18</v>
      </c>
      <c r="M17" s="3">
        <f t="shared" si="0"/>
        <v>57</v>
      </c>
      <c r="O17" s="12">
        <f t="shared" si="1"/>
        <v>0.19591409114719741</v>
      </c>
      <c r="P17" s="12">
        <f t="shared" si="2"/>
        <v>0.75173845856673738</v>
      </c>
      <c r="Q17" s="12">
        <f t="shared" si="3"/>
        <v>0.14714675679188882</v>
      </c>
      <c r="R17" s="12">
        <f t="shared" si="4"/>
        <v>2.1941399070169747</v>
      </c>
      <c r="T17" s="12">
        <f t="shared" si="5"/>
        <v>3.2889392135227982</v>
      </c>
    </row>
    <row r="18" spans="1:20" x14ac:dyDescent="0.25">
      <c r="A18" s="2" t="s">
        <v>8</v>
      </c>
      <c r="B18" s="3" t="s">
        <v>2</v>
      </c>
      <c r="C18" s="2" t="s">
        <v>4</v>
      </c>
      <c r="D18" s="2" t="s">
        <v>6</v>
      </c>
      <c r="E18" s="18">
        <f>(1.2886+0.3474+1.2595+0.3722)/4</f>
        <v>0.81692500000000001</v>
      </c>
      <c r="F18" s="17">
        <f>(82.8+61.26+68.86+54.2)/4</f>
        <v>66.78</v>
      </c>
      <c r="G18" s="21">
        <f>(1.3666+1.2993+1.2877+1.3841)/4</f>
        <v>1.334425</v>
      </c>
      <c r="H18" s="20">
        <f>(209.16+259.31+186.29+371.66)/4</f>
        <v>256.60500000000002</v>
      </c>
      <c r="I18" s="3">
        <v>19</v>
      </c>
      <c r="J18" s="6">
        <v>12</v>
      </c>
      <c r="K18" s="6">
        <v>36</v>
      </c>
      <c r="L18" s="6">
        <v>14</v>
      </c>
      <c r="M18" s="3">
        <f t="shared" si="0"/>
        <v>81</v>
      </c>
      <c r="O18" s="12">
        <f t="shared" si="1"/>
        <v>1.1396673651126243</v>
      </c>
      <c r="P18" s="12">
        <f t="shared" si="2"/>
        <v>0.28993625651921956</v>
      </c>
      <c r="Q18" s="12">
        <f t="shared" si="3"/>
        <v>0.73459638632523072</v>
      </c>
      <c r="R18" s="12">
        <f t="shared" si="4"/>
        <v>1.2195264352903017</v>
      </c>
      <c r="T18" s="12">
        <f t="shared" si="5"/>
        <v>3.3837264432473764</v>
      </c>
    </row>
    <row r="19" spans="1:20" x14ac:dyDescent="0.25">
      <c r="A19" s="5" t="s">
        <v>9</v>
      </c>
      <c r="B19" s="1" t="s">
        <v>1</v>
      </c>
      <c r="C19" s="5" t="s">
        <v>4</v>
      </c>
      <c r="D19" s="5" t="s">
        <v>6</v>
      </c>
      <c r="E19" s="9">
        <f>(1.3357+0.4939+1.3119+0.464)/4</f>
        <v>0.90137500000000004</v>
      </c>
      <c r="F19" s="11">
        <f>(75.57+60.91+65.13+85.25)/4</f>
        <v>71.715000000000003</v>
      </c>
      <c r="G19" s="8">
        <f>(0.8826+0.8769+0.991+0.926)/4</f>
        <v>0.91912500000000008</v>
      </c>
      <c r="H19" s="11">
        <f>(229.99+440.96+195.15+295.08)/4</f>
        <v>290.29500000000002</v>
      </c>
      <c r="I19" s="1">
        <v>33</v>
      </c>
      <c r="J19" s="4">
        <v>16</v>
      </c>
      <c r="K19" s="4">
        <v>16</v>
      </c>
      <c r="L19" s="4">
        <v>16</v>
      </c>
      <c r="M19" s="3">
        <f t="shared" si="0"/>
        <v>81</v>
      </c>
      <c r="O19" s="12">
        <f t="shared" si="1"/>
        <v>1.3608564693556835</v>
      </c>
      <c r="P19" s="12">
        <f t="shared" si="2"/>
        <v>0.38526173459532548</v>
      </c>
      <c r="Q19" s="12">
        <f t="shared" si="3"/>
        <v>0.19475497205251541</v>
      </c>
      <c r="R19" s="12">
        <f t="shared" si="4"/>
        <v>1.5109309114498863</v>
      </c>
      <c r="T19" s="12">
        <f t="shared" si="5"/>
        <v>3.4518040874534108</v>
      </c>
    </row>
    <row r="20" spans="1:20" x14ac:dyDescent="0.25">
      <c r="A20" s="5" t="s">
        <v>0</v>
      </c>
      <c r="B20" s="1" t="s">
        <v>1</v>
      </c>
      <c r="C20" s="5" t="s">
        <v>4</v>
      </c>
      <c r="D20" s="5" t="s">
        <v>5</v>
      </c>
      <c r="E20" s="9">
        <f>(0.5211+0.534+0.3765+0.4066)/4</f>
        <v>0.45955000000000001</v>
      </c>
      <c r="F20" s="10">
        <f>(74.88+121.56+107.27+73.72)/4</f>
        <v>94.357499999999987</v>
      </c>
      <c r="G20" s="8">
        <f>(0.8996+0.9135+0.9034+0.915)/4</f>
        <v>0.90787499999999999</v>
      </c>
      <c r="H20" s="4">
        <f>(366.44+363.68+353.21+456.71)/4</f>
        <v>385.01</v>
      </c>
      <c r="I20" s="1">
        <v>4</v>
      </c>
      <c r="J20" s="4">
        <v>31</v>
      </c>
      <c r="K20" s="4">
        <v>12</v>
      </c>
      <c r="L20" s="4">
        <v>19</v>
      </c>
      <c r="M20" s="3">
        <f t="shared" si="0"/>
        <v>66</v>
      </c>
      <c r="O20" s="12">
        <f t="shared" si="1"/>
        <v>0.20364064955474065</v>
      </c>
      <c r="P20" s="12">
        <f t="shared" si="2"/>
        <v>0.82262893567703266</v>
      </c>
      <c r="Q20" s="12">
        <f t="shared" si="3"/>
        <v>0.18013128818406343</v>
      </c>
      <c r="R20" s="12">
        <f t="shared" si="4"/>
        <v>2.3301762352686772</v>
      </c>
      <c r="T20" s="12">
        <f t="shared" si="5"/>
        <v>3.5365771086845141</v>
      </c>
    </row>
    <row r="21" spans="1:20" x14ac:dyDescent="0.25">
      <c r="A21" s="5" t="s">
        <v>8</v>
      </c>
      <c r="B21" s="1" t="s">
        <v>2</v>
      </c>
      <c r="C21" s="5" t="s">
        <v>4</v>
      </c>
      <c r="D21" s="5" t="s">
        <v>5</v>
      </c>
      <c r="E21" s="9">
        <f>(1.3315+0.4834+1.3377+0.4167)/4</f>
        <v>0.89232499999999992</v>
      </c>
      <c r="F21" s="11">
        <f>(91.15+77.13+76.62+66.02)/4</f>
        <v>77.73</v>
      </c>
      <c r="G21" s="8">
        <f>(1.5148+1.4537+1.4612+1.4799)/4</f>
        <v>1.4773999999999998</v>
      </c>
      <c r="H21" s="11">
        <f>(212.35+316.11+236.87+192.43)/4</f>
        <v>239.44</v>
      </c>
      <c r="I21" s="1">
        <v>30</v>
      </c>
      <c r="J21" s="4">
        <v>19</v>
      </c>
      <c r="K21" s="4">
        <v>38</v>
      </c>
      <c r="L21" s="4">
        <v>12</v>
      </c>
      <c r="M21" s="3">
        <f t="shared" si="0"/>
        <v>99</v>
      </c>
      <c r="O21" s="12">
        <f t="shared" si="1"/>
        <v>1.3371529596647456</v>
      </c>
      <c r="P21" s="12">
        <f t="shared" si="2"/>
        <v>0.5014487154722812</v>
      </c>
      <c r="Q21" s="12">
        <f t="shared" si="3"/>
        <v>0.92044715975562186</v>
      </c>
      <c r="R21" s="12">
        <f t="shared" si="4"/>
        <v>1.0710563304140985</v>
      </c>
      <c r="T21" s="12">
        <f t="shared" si="5"/>
        <v>3.8301051653067475</v>
      </c>
    </row>
    <row r="22" spans="1:20" x14ac:dyDescent="0.25">
      <c r="A22" s="5" t="s">
        <v>10</v>
      </c>
      <c r="B22" s="1" t="s">
        <v>2</v>
      </c>
      <c r="C22" s="5" t="s">
        <v>3</v>
      </c>
      <c r="D22" s="5" t="s">
        <v>6</v>
      </c>
      <c r="E22" s="9">
        <f>(0.8553+0.4544+0.8043+0.2175)/4</f>
        <v>0.58287499999999992</v>
      </c>
      <c r="F22" s="11">
        <f>(89.35+70.69+77.61+86.91)/4</f>
        <v>81.139999999999986</v>
      </c>
      <c r="G22" s="8">
        <f>(0.9135+0.935+0.908+0.8954)/4</f>
        <v>0.91297499999999998</v>
      </c>
      <c r="H22" s="11">
        <f>(464.64+418.05+407.33+444.09)/4</f>
        <v>433.52749999999997</v>
      </c>
      <c r="I22" s="1">
        <v>7</v>
      </c>
      <c r="J22" s="4">
        <v>24</v>
      </c>
      <c r="K22" s="4">
        <v>13</v>
      </c>
      <c r="L22" s="4">
        <v>22</v>
      </c>
      <c r="M22" s="3">
        <f t="shared" si="0"/>
        <v>66</v>
      </c>
      <c r="O22" s="12">
        <f t="shared" si="1"/>
        <v>0.52665007857516988</v>
      </c>
      <c r="P22" s="12">
        <f t="shared" si="2"/>
        <v>0.56731697894533473</v>
      </c>
      <c r="Q22" s="12">
        <f t="shared" si="3"/>
        <v>0.18676069153776159</v>
      </c>
      <c r="R22" s="12">
        <f t="shared" si="4"/>
        <v>2.7498324143150605</v>
      </c>
      <c r="T22" s="12">
        <f t="shared" si="5"/>
        <v>4.0305601633733268</v>
      </c>
    </row>
    <row r="23" spans="1:20" x14ac:dyDescent="0.25">
      <c r="A23" s="5" t="s">
        <v>0</v>
      </c>
      <c r="B23" s="1" t="s">
        <v>1</v>
      </c>
      <c r="C23" s="5" t="s">
        <v>3</v>
      </c>
      <c r="D23" s="5" t="s">
        <v>5</v>
      </c>
      <c r="E23" s="9">
        <f>(0.4379+0.4576+0.3842+0.2475)/4</f>
        <v>0.38180000000000003</v>
      </c>
      <c r="F23" s="10">
        <f>(82.47+84.93+83.69+74.94)/4</f>
        <v>81.507499999999993</v>
      </c>
      <c r="G23" s="8">
        <f>(1.0033+0.9217+0.9855+0.9302)/4</f>
        <v>0.960175</v>
      </c>
      <c r="H23" s="11">
        <f>(558.59+442.05+456.51+498.24)/4</f>
        <v>488.84750000000003</v>
      </c>
      <c r="I23" s="1">
        <v>1</v>
      </c>
      <c r="J23" s="4">
        <v>25</v>
      </c>
      <c r="K23" s="4">
        <v>18</v>
      </c>
      <c r="L23" s="4">
        <v>28</v>
      </c>
      <c r="M23" s="3">
        <f t="shared" si="0"/>
        <v>72</v>
      </c>
      <c r="O23" s="12">
        <f t="shared" si="1"/>
        <v>0</v>
      </c>
      <c r="P23" s="12">
        <f t="shared" si="2"/>
        <v>0.57441568475951299</v>
      </c>
      <c r="Q23" s="12">
        <f t="shared" si="3"/>
        <v>0.2481151696347329</v>
      </c>
      <c r="R23" s="12">
        <f t="shared" si="4"/>
        <v>3.2283273867445126</v>
      </c>
      <c r="T23" s="12">
        <f t="shared" si="5"/>
        <v>4.0508582411387586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(0.8749+0.4344+0.7983+0.217)/4</f>
        <v>0.58114999999999994</v>
      </c>
      <c r="F24" s="11">
        <f>(79.72+76.8+65.46+85.19)/4</f>
        <v>76.79249999999999</v>
      </c>
      <c r="G24" s="7">
        <f>(0.9516+0.9542+0.9082+0.8571)/4</f>
        <v>0.91777500000000001</v>
      </c>
      <c r="H24" s="11">
        <f>(514.82+441.33+447.06+429.06)/4</f>
        <v>458.0675</v>
      </c>
      <c r="I24" s="1">
        <v>5</v>
      </c>
      <c r="J24" s="4">
        <v>18</v>
      </c>
      <c r="K24" s="4">
        <v>15</v>
      </c>
      <c r="L24" s="4">
        <v>24</v>
      </c>
      <c r="M24" s="3">
        <f t="shared" si="0"/>
        <v>62</v>
      </c>
      <c r="O24" s="12">
        <f t="shared" si="1"/>
        <v>0.52213200628601331</v>
      </c>
      <c r="P24" s="12">
        <f t="shared" si="2"/>
        <v>0.48333977206876538</v>
      </c>
      <c r="Q24" s="12">
        <f t="shared" si="3"/>
        <v>0.1930001299883011</v>
      </c>
      <c r="R24" s="12">
        <f t="shared" si="4"/>
        <v>2.962093199264785</v>
      </c>
      <c r="T24" s="12">
        <f t="shared" si="5"/>
        <v>4.1605651076078649</v>
      </c>
    </row>
    <row r="25" spans="1:20" x14ac:dyDescent="0.25">
      <c r="A25" s="5" t="s">
        <v>10</v>
      </c>
      <c r="B25" s="1" t="s">
        <v>1</v>
      </c>
      <c r="C25" s="5" t="s">
        <v>4</v>
      </c>
      <c r="D25" s="5" t="s">
        <v>5</v>
      </c>
      <c r="E25" s="9">
        <f>(0.9867+0.4072+0.9351+0.2553)/4</f>
        <v>0.64607499999999995</v>
      </c>
      <c r="F25" s="11">
        <f>(77.34+74.45+70.7+80.65)/4</f>
        <v>75.784999999999997</v>
      </c>
      <c r="G25" s="8">
        <f>(1.0432+0.9503+0.9656+0.8256)/4</f>
        <v>0.9461750000000001</v>
      </c>
      <c r="H25" s="11">
        <f>(734.21+358.03+402.86+342.32)/4</f>
        <v>459.35499999999996</v>
      </c>
      <c r="I25" s="1">
        <v>14</v>
      </c>
      <c r="J25" s="4">
        <v>17</v>
      </c>
      <c r="K25" s="4">
        <v>17</v>
      </c>
      <c r="L25" s="5">
        <v>25</v>
      </c>
      <c r="M25" s="3">
        <f t="shared" si="0"/>
        <v>73</v>
      </c>
      <c r="O25" s="12">
        <f t="shared" si="1"/>
        <v>0.69218177056050267</v>
      </c>
      <c r="P25" s="12">
        <f t="shared" si="2"/>
        <v>0.46387869422445416</v>
      </c>
      <c r="Q25" s="12">
        <f t="shared" si="3"/>
        <v>0.22991680748732629</v>
      </c>
      <c r="R25" s="12">
        <f t="shared" si="4"/>
        <v>2.973229538328467</v>
      </c>
      <c r="T25" s="12">
        <f t="shared" si="5"/>
        <v>4.3592068106007504</v>
      </c>
    </row>
    <row r="26" spans="1:20" x14ac:dyDescent="0.25">
      <c r="A26" s="2" t="s">
        <v>10</v>
      </c>
      <c r="B26" s="3" t="s">
        <v>2</v>
      </c>
      <c r="C26" s="2" t="s">
        <v>4</v>
      </c>
      <c r="D26" s="2" t="s">
        <v>5</v>
      </c>
      <c r="E26" s="18">
        <f>(0.8704+0.3887+0.8123+0.2707)/4</f>
        <v>0.58552499999999996</v>
      </c>
      <c r="F26" s="17">
        <f>(84.21+72.5+92.47+71.52)/4</f>
        <v>80.174999999999997</v>
      </c>
      <c r="G26" s="21">
        <f>(0.9841+0.9076+1.0554+0.9119)/4</f>
        <v>0.96475</v>
      </c>
      <c r="H26" s="17">
        <f>(438.34+294.07+742.05+408.15)/4</f>
        <v>470.65250000000003</v>
      </c>
      <c r="I26" s="3">
        <v>8</v>
      </c>
      <c r="J26" s="6">
        <v>22</v>
      </c>
      <c r="K26" s="6">
        <v>19</v>
      </c>
      <c r="L26" s="6">
        <v>26</v>
      </c>
      <c r="M26" s="3">
        <f t="shared" si="0"/>
        <v>75</v>
      </c>
      <c r="O26" s="12">
        <f t="shared" si="1"/>
        <v>0.53359088528025123</v>
      </c>
      <c r="P26" s="12">
        <f t="shared" si="2"/>
        <v>0.54867683986864968</v>
      </c>
      <c r="Q26" s="12">
        <f t="shared" si="3"/>
        <v>0.25406213440790332</v>
      </c>
      <c r="R26" s="12">
        <f t="shared" si="4"/>
        <v>3.070948210617364</v>
      </c>
      <c r="T26" s="12">
        <f t="shared" si="5"/>
        <v>4.4072780701741685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(1.0301+0.4286+1.3387+0.4554)/4</f>
        <v>0.81319999999999992</v>
      </c>
      <c r="F27" s="11">
        <f>(75.66+70.92+95.86+75.2)/4</f>
        <v>79.41</v>
      </c>
      <c r="G27" s="7">
        <f>(1.1787+1.1957+1.22+1.2279)/4</f>
        <v>1.2055750000000001</v>
      </c>
      <c r="H27" s="11">
        <f>(397.8+484.07+397.45+350.01)/4</f>
        <v>407.33249999999998</v>
      </c>
      <c r="I27" s="1">
        <v>17</v>
      </c>
      <c r="J27" s="4">
        <v>20</v>
      </c>
      <c r="K27" s="4">
        <v>34</v>
      </c>
      <c r="L27" s="4">
        <v>21</v>
      </c>
      <c r="M27" s="3">
        <f t="shared" si="0"/>
        <v>92</v>
      </c>
      <c r="O27" s="12">
        <f t="shared" si="1"/>
        <v>1.1299109481403873</v>
      </c>
      <c r="P27" s="12">
        <f t="shared" si="2"/>
        <v>0.53389994205138092</v>
      </c>
      <c r="Q27" s="12">
        <f t="shared" si="3"/>
        <v>0.5671064604185625</v>
      </c>
      <c r="R27" s="12">
        <f t="shared" si="4"/>
        <v>2.5232565682776511</v>
      </c>
      <c r="T27" s="12">
        <f t="shared" si="5"/>
        <v>4.7541739188879824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(1.3739+0.4969+1.3441+0.4462)/4</f>
        <v>0.91527500000000006</v>
      </c>
      <c r="F28" s="11">
        <f>(97.02+62.5+79.83+79.68)/4</f>
        <v>79.757499999999993</v>
      </c>
      <c r="G28" s="7">
        <f>(0.9808+0.955+1.0207+1.1511)/4</f>
        <v>1.0268999999999999</v>
      </c>
      <c r="H28" s="11">
        <f>(337.32+788.24+306.55+345.35)/4</f>
        <v>444.36500000000001</v>
      </c>
      <c r="I28" s="1">
        <v>34</v>
      </c>
      <c r="J28" s="4">
        <v>21</v>
      </c>
      <c r="K28" s="4">
        <v>22</v>
      </c>
      <c r="L28" s="4">
        <v>23</v>
      </c>
      <c r="M28" s="3">
        <f t="shared" si="0"/>
        <v>100</v>
      </c>
      <c r="O28" s="12">
        <f t="shared" si="1"/>
        <v>1.3972629649030905</v>
      </c>
      <c r="P28" s="12">
        <f t="shared" si="2"/>
        <v>0.54061232373961732</v>
      </c>
      <c r="Q28" s="12">
        <f t="shared" si="3"/>
        <v>0.3348498635122838</v>
      </c>
      <c r="R28" s="12">
        <f t="shared" si="4"/>
        <v>2.8435722780841171</v>
      </c>
      <c r="T28" s="12">
        <f t="shared" si="5"/>
        <v>5.1162974302391087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(0.8436+0.4389+0.8245+0.2187)/4</f>
        <v>0.58142500000000008</v>
      </c>
      <c r="F29" s="10">
        <f>(90.6+89.03+80.99+113.63)/4</f>
        <v>93.5625</v>
      </c>
      <c r="G29" s="8">
        <f>(0.9254+0.8922+0.8729+0.8889)/4</f>
        <v>0.89485000000000003</v>
      </c>
      <c r="H29" s="11">
        <f>(652.26+603.45+598.5+504.08)/4</f>
        <v>589.57249999999999</v>
      </c>
      <c r="I29" s="1">
        <v>6</v>
      </c>
      <c r="J29" s="4">
        <v>30</v>
      </c>
      <c r="K29" s="4">
        <v>9</v>
      </c>
      <c r="L29" s="4">
        <v>32</v>
      </c>
      <c r="M29" s="3">
        <f t="shared" si="0"/>
        <v>77</v>
      </c>
      <c r="O29" s="12">
        <f t="shared" si="1"/>
        <v>0.52285227867993722</v>
      </c>
      <c r="P29" s="12">
        <f t="shared" si="2"/>
        <v>0.80727255167085177</v>
      </c>
      <c r="Q29" s="12">
        <f t="shared" si="3"/>
        <v>0.16320031197192258</v>
      </c>
      <c r="R29" s="12">
        <f t="shared" si="4"/>
        <v>4.0995567088333864</v>
      </c>
      <c r="T29" s="12">
        <f t="shared" si="5"/>
        <v>5.5928818511560978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23</v>
      </c>
      <c r="J30" s="4">
        <v>26</v>
      </c>
      <c r="K30" s="4">
        <v>35</v>
      </c>
      <c r="L30" s="4">
        <v>27</v>
      </c>
      <c r="M30" s="3">
        <f t="shared" si="0"/>
        <v>111</v>
      </c>
      <c r="O30" s="12">
        <f t="shared" si="1"/>
        <v>1.2639470927187006</v>
      </c>
      <c r="P30" s="12">
        <f t="shared" si="2"/>
        <v>0.64646513424763363</v>
      </c>
      <c r="Q30" s="12">
        <f t="shared" si="3"/>
        <v>0.59794618484336393</v>
      </c>
      <c r="R30" s="12">
        <f t="shared" si="4"/>
        <v>3.1144339928640932</v>
      </c>
      <c r="S30" s="27"/>
      <c r="T30" s="12">
        <f t="shared" si="5"/>
        <v>5.6227924046737918</v>
      </c>
    </row>
    <row r="31" spans="1:20" x14ac:dyDescent="0.25">
      <c r="A31" s="5" t="s">
        <v>10</v>
      </c>
      <c r="B31" s="1" t="s">
        <v>1</v>
      </c>
      <c r="C31" s="5" t="s">
        <v>4</v>
      </c>
      <c r="D31" s="5" t="s">
        <v>6</v>
      </c>
      <c r="E31" s="9">
        <f>(0.8794+0.575+0.7256+0.1857)/4</f>
        <v>0.59142499999999998</v>
      </c>
      <c r="F31" s="11">
        <f>(96.45+104.02+66.36+84.72)/4</f>
        <v>87.887499999999989</v>
      </c>
      <c r="G31" s="8">
        <f>(0.9273+0.9156+1.0759+1.0314)/4</f>
        <v>0.98755000000000004</v>
      </c>
      <c r="H31" s="11">
        <f>(383.99+394.74+1146.92+533.33)/4</f>
        <v>614.745</v>
      </c>
      <c r="I31" s="1">
        <v>10</v>
      </c>
      <c r="J31" s="4">
        <v>27</v>
      </c>
      <c r="K31" s="4">
        <v>21</v>
      </c>
      <c r="L31" s="4">
        <v>33</v>
      </c>
      <c r="M31" s="3">
        <f t="shared" si="0"/>
        <v>91</v>
      </c>
      <c r="O31" s="12">
        <f t="shared" si="1"/>
        <v>0.54904400209533766</v>
      </c>
      <c r="P31" s="12">
        <f t="shared" si="2"/>
        <v>0.69765308093490408</v>
      </c>
      <c r="Q31" s="12">
        <f t="shared" si="3"/>
        <v>0.28369946704796578</v>
      </c>
      <c r="R31" s="12">
        <f t="shared" si="4"/>
        <v>4.3172883554978911</v>
      </c>
      <c r="S31" s="27"/>
      <c r="T31" s="12">
        <f t="shared" si="5"/>
        <v>5.8476849055760987</v>
      </c>
    </row>
    <row r="32" spans="1:20" x14ac:dyDescent="0.25">
      <c r="A32" s="5" t="s">
        <v>10</v>
      </c>
      <c r="B32" s="1" t="s">
        <v>1</v>
      </c>
      <c r="C32" s="5" t="s">
        <v>3</v>
      </c>
      <c r="D32" s="5" t="s">
        <v>6</v>
      </c>
      <c r="E32" s="9">
        <f>(0.9317+0.4679+0.7338+0.2184)/4</f>
        <v>0.58794999999999997</v>
      </c>
      <c r="F32" s="11">
        <f>(112.87+79.77+76.73+132.1)/4</f>
        <v>100.36750000000001</v>
      </c>
      <c r="G32" s="4">
        <f>(1.0195+1.0731+1.1192+1.005)/4</f>
        <v>1.0542</v>
      </c>
      <c r="H32" s="11">
        <f>(356.06+459.68+1043.31+484.05)/4</f>
        <v>585.77499999999998</v>
      </c>
      <c r="I32" s="1">
        <v>9</v>
      </c>
      <c r="J32" s="4">
        <v>33</v>
      </c>
      <c r="K32" s="4">
        <v>24</v>
      </c>
      <c r="L32" s="4">
        <v>31</v>
      </c>
      <c r="M32" s="3">
        <f t="shared" si="0"/>
        <v>97</v>
      </c>
      <c r="O32" s="12">
        <f t="shared" si="1"/>
        <v>0.5399423782084859</v>
      </c>
      <c r="P32" s="12">
        <f t="shared" si="2"/>
        <v>0.93871933552250342</v>
      </c>
      <c r="Q32" s="12">
        <f t="shared" si="3"/>
        <v>0.37033666969972706</v>
      </c>
      <c r="R32" s="12">
        <f t="shared" si="4"/>
        <v>4.0667099145853598</v>
      </c>
      <c r="S32" s="27"/>
      <c r="T32" s="12">
        <f t="shared" si="5"/>
        <v>5.9157082980160762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31</v>
      </c>
      <c r="J33" s="4">
        <v>38</v>
      </c>
      <c r="K33" s="4">
        <v>26</v>
      </c>
      <c r="L33" s="4">
        <v>29</v>
      </c>
      <c r="M33" s="3">
        <f t="shared" si="0"/>
        <v>124</v>
      </c>
      <c r="O33" s="12">
        <f t="shared" si="1"/>
        <v>1.3401650078575169</v>
      </c>
      <c r="P33" s="12">
        <f t="shared" si="2"/>
        <v>1.2942824029360631</v>
      </c>
      <c r="Q33" s="12">
        <f t="shared" si="3"/>
        <v>0.42545170934615889</v>
      </c>
      <c r="R33" s="12">
        <f t="shared" si="4"/>
        <v>3.4138177100227045</v>
      </c>
      <c r="S33" s="27"/>
      <c r="T33" s="12">
        <f t="shared" si="5"/>
        <v>6.4737168301624433</v>
      </c>
    </row>
    <row r="34" spans="1:20" x14ac:dyDescent="0.25">
      <c r="A34" s="2" t="s">
        <v>9</v>
      </c>
      <c r="B34" s="3" t="s">
        <v>2</v>
      </c>
      <c r="C34" s="2" t="s">
        <v>3</v>
      </c>
      <c r="D34" s="2" t="s">
        <v>5</v>
      </c>
      <c r="E34" s="18">
        <f>(1.2201+0.4768+1.3017)/3</f>
        <v>0.99953333333333327</v>
      </c>
      <c r="F34" s="6">
        <f>(127.05+181.21+123.8)/3</f>
        <v>144.02000000000001</v>
      </c>
      <c r="G34" s="6">
        <f>(0.9898+1.1398+1.0858)/3</f>
        <v>1.0717999999999999</v>
      </c>
      <c r="H34" s="17">
        <f>(478.19+621.2+460.11)/3</f>
        <v>519.83333333333337</v>
      </c>
      <c r="I34" s="3">
        <v>39</v>
      </c>
      <c r="J34" s="6">
        <v>39</v>
      </c>
      <c r="K34" s="6">
        <v>25</v>
      </c>
      <c r="L34" s="6">
        <v>30</v>
      </c>
      <c r="M34" s="3">
        <f t="shared" si="0"/>
        <v>133</v>
      </c>
      <c r="O34" s="12">
        <f t="shared" si="1"/>
        <v>1.617950061114021</v>
      </c>
      <c r="P34" s="12">
        <f t="shared" si="2"/>
        <v>1.78192003090593</v>
      </c>
      <c r="Q34" s="12">
        <f t="shared" si="3"/>
        <v>0.39321461068503821</v>
      </c>
      <c r="R34" s="12">
        <f t="shared" si="4"/>
        <v>3.49634194687714</v>
      </c>
      <c r="S34" s="28"/>
      <c r="T34" s="12">
        <f t="shared" si="5"/>
        <v>7.2894266495821292</v>
      </c>
    </row>
    <row r="35" spans="1:20" x14ac:dyDescent="0.25">
      <c r="A35" s="5" t="s">
        <v>0</v>
      </c>
      <c r="B35" s="1" t="s">
        <v>1</v>
      </c>
      <c r="C35" s="5" t="s">
        <v>3</v>
      </c>
      <c r="D35" s="5" t="s">
        <v>6</v>
      </c>
      <c r="E35" s="9">
        <f>(0.943+0.3547+0.9386+0.1677)/4</f>
        <v>0.60099999999999998</v>
      </c>
      <c r="F35" s="10">
        <f>(79.36+86.13+208.78+66.84)/4</f>
        <v>110.2775</v>
      </c>
      <c r="G35" s="8">
        <f>(0.7701+0.7723+0.7623+0.7725)/4</f>
        <v>0.76929999999999998</v>
      </c>
      <c r="H35" s="11">
        <f>(767.54+774.07+779.8+769.15)/4</f>
        <v>772.64</v>
      </c>
      <c r="I35" s="1">
        <v>11</v>
      </c>
      <c r="J35" s="4">
        <v>36</v>
      </c>
      <c r="K35" s="4">
        <v>1</v>
      </c>
      <c r="L35" s="4">
        <v>37</v>
      </c>
      <c r="M35" s="3">
        <f t="shared" si="0"/>
        <v>85</v>
      </c>
      <c r="O35" s="12">
        <f t="shared" si="1"/>
        <v>0.57412257726558391</v>
      </c>
      <c r="P35" s="12">
        <f t="shared" si="2"/>
        <v>1.1301429399265983</v>
      </c>
      <c r="Q35" s="12">
        <f t="shared" si="3"/>
        <v>0</v>
      </c>
      <c r="R35" s="12">
        <f t="shared" si="4"/>
        <v>5.6830143799329642</v>
      </c>
      <c r="S35" s="27"/>
      <c r="T35" s="12">
        <f t="shared" si="5"/>
        <v>7.387279897125147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(0.9406+0.3629+0.9398+0.1823)/4</f>
        <v>0.60640000000000005</v>
      </c>
      <c r="F36" s="10">
        <f>(59.15+60.55+219.55+66.87)/4</f>
        <v>101.53</v>
      </c>
      <c r="G36" s="8">
        <f>(0.7865+0.789+0.7891+0.7963)/4</f>
        <v>0.79022499999999996</v>
      </c>
      <c r="H36" s="11">
        <f>(826.7+857.67+838.53+837.07)/4</f>
        <v>839.99249999999995</v>
      </c>
      <c r="I36" s="1">
        <v>12</v>
      </c>
      <c r="J36" s="4">
        <v>34</v>
      </c>
      <c r="K36" s="4">
        <v>3</v>
      </c>
      <c r="L36" s="4">
        <v>38</v>
      </c>
      <c r="M36" s="3">
        <f t="shared" si="0"/>
        <v>87</v>
      </c>
      <c r="O36" s="12">
        <f t="shared" si="1"/>
        <v>0.58826610790990053</v>
      </c>
      <c r="P36" s="12">
        <f t="shared" si="2"/>
        <v>0.96117442534286257</v>
      </c>
      <c r="Q36" s="12">
        <f t="shared" si="3"/>
        <v>2.7200051995320385E-2</v>
      </c>
      <c r="R36" s="12">
        <f t="shared" si="4"/>
        <v>6.2655854686993173</v>
      </c>
      <c r="S36" s="27"/>
      <c r="T36" s="12">
        <f t="shared" si="5"/>
        <v>7.8422260539474005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15</v>
      </c>
      <c r="J37" s="4">
        <v>40</v>
      </c>
      <c r="K37" s="4">
        <v>4</v>
      </c>
      <c r="L37" s="4">
        <v>34</v>
      </c>
      <c r="M37" s="3">
        <f t="shared" si="0"/>
        <v>93</v>
      </c>
      <c r="O37" s="12">
        <f t="shared" si="1"/>
        <v>1.0292692509167101</v>
      </c>
      <c r="P37" s="12">
        <f t="shared" si="2"/>
        <v>2.1231408151439055</v>
      </c>
      <c r="Q37" s="12">
        <f t="shared" si="3"/>
        <v>0.1005459508644221</v>
      </c>
      <c r="R37" s="12">
        <f t="shared" si="4"/>
        <v>4.9136339063682541</v>
      </c>
      <c r="S37" s="27"/>
      <c r="T37" s="12">
        <f t="shared" si="5"/>
        <v>8.1665899232932908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35</v>
      </c>
      <c r="K38" s="4">
        <v>30</v>
      </c>
      <c r="L38" s="4">
        <v>35</v>
      </c>
      <c r="M38" s="3">
        <f t="shared" si="0"/>
        <v>140</v>
      </c>
      <c r="O38" s="12">
        <f t="shared" si="1"/>
        <v>1.6924218613584772</v>
      </c>
      <c r="P38" s="12">
        <f t="shared" si="2"/>
        <v>1.0185435580451998</v>
      </c>
      <c r="Q38" s="12">
        <f t="shared" si="3"/>
        <v>0.48121669049785515</v>
      </c>
      <c r="R38" s="12">
        <f t="shared" si="4"/>
        <v>5.3950985692146887</v>
      </c>
      <c r="S38" s="28"/>
      <c r="T38" s="12">
        <f t="shared" si="5"/>
        <v>8.5872806791162208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1.6110529072812989</v>
      </c>
      <c r="P39" s="12">
        <f t="shared" si="2"/>
        <v>1.2205910759126906</v>
      </c>
      <c r="Q39" s="12">
        <f t="shared" si="3"/>
        <v>0.2802114476363794</v>
      </c>
      <c r="R39" s="12">
        <f t="shared" si="4"/>
        <v>5.6711067863192417</v>
      </c>
      <c r="S39" s="28"/>
      <c r="T39" s="12">
        <f t="shared" si="5"/>
        <v>8.7829622171496098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24</v>
      </c>
      <c r="J40" s="4">
        <v>28</v>
      </c>
      <c r="K40" s="4">
        <v>2</v>
      </c>
      <c r="L40" s="4">
        <v>39</v>
      </c>
      <c r="M40" s="3">
        <f t="shared" si="0"/>
        <v>93</v>
      </c>
      <c r="O40" s="12">
        <f t="shared" si="1"/>
        <v>1.2702331063383971</v>
      </c>
      <c r="P40" s="12">
        <f t="shared" si="2"/>
        <v>0.72682055244350019</v>
      </c>
      <c r="Q40" s="12">
        <f t="shared" si="3"/>
        <v>1.6606005459508764E-2</v>
      </c>
      <c r="R40" s="12">
        <f t="shared" si="4"/>
        <v>17.627267812736513</v>
      </c>
      <c r="S40" s="27"/>
      <c r="T40" s="12">
        <f t="shared" si="5"/>
        <v>19.640927476977918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1.4664745940282868</v>
      </c>
      <c r="P41" s="12">
        <f t="shared" si="2"/>
        <v>0.84495525078874478</v>
      </c>
      <c r="Q41" s="12">
        <f t="shared" si="3"/>
        <v>2.0640842324190829</v>
      </c>
      <c r="R41" s="12">
        <f t="shared" si="4"/>
        <v>421.27535949832406</v>
      </c>
      <c r="S41" s="28"/>
      <c r="T41" s="12">
        <f t="shared" si="5"/>
        <v>425.65087357556018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8749-BD19-45D6-905B-63B088134D6B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(1.2737+0.6594+1.2894+0.2091+0.6702)/5</f>
        <v>0.82035999999999998</v>
      </c>
      <c r="F2" s="17">
        <f>(52.71+51.08+60.04+44.39+35.84)/5</f>
        <v>48.811999999999998</v>
      </c>
      <c r="G2" s="21">
        <f>(0.9517+0.8598+0.9794+0.8272+0.6981)/5</f>
        <v>0.86324000000000001</v>
      </c>
      <c r="H2" s="17">
        <f>(123.49+120.07+133.7+155.7+109.64)/5</f>
        <v>128.52000000000001</v>
      </c>
      <c r="I2" s="3">
        <v>26</v>
      </c>
      <c r="J2" s="6">
        <v>4</v>
      </c>
      <c r="K2" s="6">
        <v>5</v>
      </c>
      <c r="L2" s="2">
        <v>2</v>
      </c>
      <c r="M2" s="3">
        <f t="shared" ref="M2:M41" si="0">SUM(I2:L2)</f>
        <v>37</v>
      </c>
      <c r="N2" s="26"/>
      <c r="O2" s="12">
        <f t="shared" ref="O2:O41" si="1">(E2-MIN($E$2:$E$41))/MIN($E$2:$E$41)</f>
        <v>1.0080285896117882</v>
      </c>
      <c r="P2" s="12">
        <f t="shared" ref="P2:P41" si="2">(F2-MIN($F$2:$F$41))/MIN($F$2:$F$41)</f>
        <v>1.5900765900765813E-2</v>
      </c>
      <c r="Q2" s="12">
        <f t="shared" ref="Q2:Q41" si="3">(G2-MIN($G$2:$G$41))/MIN($G$2:$G$41)</f>
        <v>0.12155701070574797</v>
      </c>
      <c r="R2" s="12">
        <f t="shared" ref="R2:R41" si="4">(H2-MIN($H$2:$H$41))/MIN($H$2:$H$41)</f>
        <v>1.8900234667343186E-2</v>
      </c>
      <c r="T2" s="12">
        <f t="shared" ref="T2:T41" si="5">SUM(O2:R2)</f>
        <v>1.1643866008856452</v>
      </c>
    </row>
    <row r="3" spans="1:20" x14ac:dyDescent="0.25">
      <c r="A3" s="5" t="s">
        <v>8</v>
      </c>
      <c r="B3" s="1" t="s">
        <v>1</v>
      </c>
      <c r="C3" s="5" t="s">
        <v>3</v>
      </c>
      <c r="D3" s="5" t="s">
        <v>5</v>
      </c>
      <c r="E3" s="9">
        <f>(1.3011+0.4407+1.3109+0.2626+0.4583)/5</f>
        <v>0.75471999999999995</v>
      </c>
      <c r="F3" s="10">
        <f>(56.07+59.15+57.91+70.66+44.24)/5</f>
        <v>57.605999999999995</v>
      </c>
      <c r="G3" s="7">
        <f>(0.8871+0.9177+0.7864+0.8393+0.8878)/5</f>
        <v>0.86365999999999998</v>
      </c>
      <c r="H3" s="11">
        <f>(134.99+125.11+131.69+70.66+168.23)/5</f>
        <v>126.13600000000001</v>
      </c>
      <c r="I3" s="1">
        <v>17</v>
      </c>
      <c r="J3" s="4">
        <v>10</v>
      </c>
      <c r="K3" s="4">
        <v>6</v>
      </c>
      <c r="L3" s="4">
        <v>1</v>
      </c>
      <c r="M3" s="3">
        <f t="shared" si="0"/>
        <v>34</v>
      </c>
      <c r="N3" s="26"/>
      <c r="O3" s="12">
        <f t="shared" si="1"/>
        <v>0.84735888774660972</v>
      </c>
      <c r="P3" s="12">
        <f t="shared" si="2"/>
        <v>0.19892607392607375</v>
      </c>
      <c r="Q3" s="12">
        <f t="shared" si="3"/>
        <v>0.12210269202785583</v>
      </c>
      <c r="R3" s="12">
        <f t="shared" si="4"/>
        <v>0</v>
      </c>
      <c r="T3" s="12">
        <f t="shared" si="5"/>
        <v>1.1683876537005393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9">
        <f>(1.1939+0.5295+1.2054+0.2766+0.5897)/5</f>
        <v>0.75902000000000003</v>
      </c>
      <c r="F4" s="11">
        <f>(56.51+60.9+62.78+51.52+43.79)/5</f>
        <v>55.1</v>
      </c>
      <c r="G4" s="8">
        <f>(0.8658+0.8758+0.9096+0.8829+0.7942)/5</f>
        <v>0.8656600000000001</v>
      </c>
      <c r="H4" s="11">
        <f>(166.24+128.75+132.73+140.78+125.54)/5</f>
        <v>138.80799999999999</v>
      </c>
      <c r="I4" s="1">
        <v>18</v>
      </c>
      <c r="J4" s="4">
        <v>7</v>
      </c>
      <c r="K4" s="4">
        <v>7</v>
      </c>
      <c r="L4" s="4">
        <v>3</v>
      </c>
      <c r="M4" s="3">
        <f t="shared" si="0"/>
        <v>35</v>
      </c>
      <c r="N4" s="26"/>
      <c r="O4" s="12">
        <f t="shared" si="1"/>
        <v>0.85788417290840557</v>
      </c>
      <c r="P4" s="12">
        <f t="shared" si="2"/>
        <v>0.14676989676989677</v>
      </c>
      <c r="Q4" s="12">
        <f t="shared" si="3"/>
        <v>0.12470117451408402</v>
      </c>
      <c r="R4" s="12">
        <f t="shared" si="4"/>
        <v>0.1004629923257435</v>
      </c>
      <c r="T4" s="12">
        <f t="shared" si="5"/>
        <v>1.2298182365181298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(1.328+0.6387+1.2933+0.2081+0.6567)/5</f>
        <v>0.82495999999999992</v>
      </c>
      <c r="F5" s="11">
        <f>(51.46+51.93+58.53+45.16+36.44)/5</f>
        <v>48.704000000000001</v>
      </c>
      <c r="G5" s="8">
        <f>(0.9996+0.8412+0.962+0.8579+0.7042)/5</f>
        <v>0.87297999999999987</v>
      </c>
      <c r="H5" s="11">
        <f>(182.66+116.17+130.65+147.77+174.48)/5</f>
        <v>150.346</v>
      </c>
      <c r="I5" s="1">
        <v>27</v>
      </c>
      <c r="J5" s="4">
        <v>3</v>
      </c>
      <c r="K5" s="4">
        <v>8</v>
      </c>
      <c r="L5" s="4">
        <v>4</v>
      </c>
      <c r="M5" s="3">
        <f t="shared" si="0"/>
        <v>42</v>
      </c>
      <c r="N5" s="26"/>
      <c r="O5" s="12">
        <f t="shared" si="1"/>
        <v>1.0192881969941741</v>
      </c>
      <c r="P5" s="12">
        <f t="shared" si="2"/>
        <v>1.3653013653013628E-2</v>
      </c>
      <c r="Q5" s="12">
        <f t="shared" si="3"/>
        <v>0.13421162041367835</v>
      </c>
      <c r="R5" s="12">
        <f t="shared" si="4"/>
        <v>0.19193568846324596</v>
      </c>
      <c r="T5" s="12">
        <f t="shared" si="5"/>
        <v>1.3590885195241118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(1.2455+0.5+1.2323+0.3004+0.5862)/5</f>
        <v>0.77288000000000001</v>
      </c>
      <c r="F6" s="10">
        <f>(55.47+59.6+62.03+55.14+41.94)/5</f>
        <v>54.835999999999999</v>
      </c>
      <c r="G6" s="8">
        <f>(0.8923+0.9144+0.9164+0.8568+0.7853)/5</f>
        <v>0.87304000000000015</v>
      </c>
      <c r="H6" s="11">
        <f>(205.31+122.82+127.03+142.04+171.6)/5</f>
        <v>153.76</v>
      </c>
      <c r="I6" s="1">
        <v>19</v>
      </c>
      <c r="J6" s="4">
        <v>6</v>
      </c>
      <c r="K6" s="4">
        <v>8</v>
      </c>
      <c r="L6" s="4">
        <v>5</v>
      </c>
      <c r="M6" s="3">
        <f t="shared" si="0"/>
        <v>38</v>
      </c>
      <c r="O6" s="12">
        <f t="shared" si="1"/>
        <v>0.89180985949968172</v>
      </c>
      <c r="P6" s="12">
        <f t="shared" si="2"/>
        <v>0.14127539127539121</v>
      </c>
      <c r="Q6" s="12">
        <f t="shared" si="3"/>
        <v>0.13428957488826557</v>
      </c>
      <c r="R6" s="12">
        <f t="shared" si="4"/>
        <v>0.21900171243736902</v>
      </c>
      <c r="T6" s="12">
        <f t="shared" si="5"/>
        <v>1.3863765381007076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(1.3227+0.4749+1.3441+0.442+0.5811)/5</f>
        <v>0.83296000000000014</v>
      </c>
      <c r="F7" s="11">
        <f>(58.29+61.86+60.74+51.39+40.88)/5</f>
        <v>54.632000000000005</v>
      </c>
      <c r="G7" s="8">
        <f>(1.0335+1.1715+1.1142+1.0843+1.1517)/5</f>
        <v>1.11104</v>
      </c>
      <c r="H7" s="11">
        <f>(160.77+179.11+159.49+181.56+155.86)/5</f>
        <v>167.358</v>
      </c>
      <c r="I7" s="1">
        <v>29</v>
      </c>
      <c r="J7" s="4">
        <v>5</v>
      </c>
      <c r="K7" s="4">
        <v>29</v>
      </c>
      <c r="L7" s="4">
        <v>7</v>
      </c>
      <c r="M7" s="3">
        <f t="shared" si="0"/>
        <v>70</v>
      </c>
      <c r="O7" s="12">
        <f t="shared" si="1"/>
        <v>1.0388701228765851</v>
      </c>
      <c r="P7" s="12">
        <f t="shared" si="2"/>
        <v>0.13702963702963708</v>
      </c>
      <c r="Q7" s="12">
        <f t="shared" si="3"/>
        <v>0.44350899074940253</v>
      </c>
      <c r="R7" s="12">
        <f t="shared" si="4"/>
        <v>0.32680598718843146</v>
      </c>
      <c r="T7" s="12">
        <f t="shared" si="5"/>
        <v>1.9462147378440562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(1.3366+0.5616+1.3558+0.4503+0.6742)/5</f>
        <v>0.87569999999999992</v>
      </c>
      <c r="F8" s="11">
        <f>(49.71+58.68+56.89+43.53+32.71)/5</f>
        <v>48.304000000000002</v>
      </c>
      <c r="G8" s="8">
        <f>(1.1058+1.2028+1.1401+1.2722+1.2954)/5</f>
        <v>1.20326</v>
      </c>
      <c r="H8" s="10">
        <f>(162.21+173.81+185.48+184.26+178.2)/5</f>
        <v>176.792</v>
      </c>
      <c r="I8" s="1">
        <v>35</v>
      </c>
      <c r="J8" s="4">
        <v>2</v>
      </c>
      <c r="K8" s="4">
        <v>32</v>
      </c>
      <c r="L8" s="4">
        <v>10</v>
      </c>
      <c r="M8" s="3">
        <f t="shared" si="0"/>
        <v>79</v>
      </c>
      <c r="O8" s="12">
        <f t="shared" si="1"/>
        <v>1.143486561903363</v>
      </c>
      <c r="P8" s="12">
        <f t="shared" si="2"/>
        <v>5.3280053280053323E-3</v>
      </c>
      <c r="Q8" s="12">
        <f t="shared" si="3"/>
        <v>0.56332501818937752</v>
      </c>
      <c r="R8" s="12">
        <f t="shared" si="4"/>
        <v>0.40159827487790944</v>
      </c>
      <c r="T8" s="12">
        <f t="shared" si="5"/>
        <v>2.113737860298655</v>
      </c>
    </row>
    <row r="9" spans="1:20" x14ac:dyDescent="0.25">
      <c r="A9" s="5" t="s">
        <v>7</v>
      </c>
      <c r="B9" s="1" t="s">
        <v>2</v>
      </c>
      <c r="C9" s="5" t="s">
        <v>3</v>
      </c>
      <c r="D9" s="5" t="s">
        <v>5</v>
      </c>
      <c r="E9" s="9">
        <f>(1.3621+0.4361+1.3698+0.3612+0.5383)/5</f>
        <v>0.81350000000000011</v>
      </c>
      <c r="F9" s="11">
        <f>(64.15+70.27+77.24+64.04+57.29)/5</f>
        <v>66.598000000000013</v>
      </c>
      <c r="G9" s="8">
        <f>(1.1016+1.239+1.1211+1.1332+1.1981)/5</f>
        <v>1.1586000000000003</v>
      </c>
      <c r="H9" s="11">
        <f>(147.49+195.67+187.54+157.07+153.02)/5</f>
        <v>168.15799999999999</v>
      </c>
      <c r="I9" s="1">
        <v>23</v>
      </c>
      <c r="J9" s="4">
        <v>14</v>
      </c>
      <c r="K9" s="5">
        <v>31</v>
      </c>
      <c r="L9" s="4">
        <v>8</v>
      </c>
      <c r="M9" s="3">
        <f t="shared" si="0"/>
        <v>76</v>
      </c>
      <c r="O9" s="12">
        <f t="shared" si="1"/>
        <v>0.99123708816762146</v>
      </c>
      <c r="P9" s="12">
        <f t="shared" si="2"/>
        <v>0.38607226107226128</v>
      </c>
      <c r="Q9" s="12">
        <f t="shared" si="3"/>
        <v>0.50530090427190577</v>
      </c>
      <c r="R9" s="12">
        <f t="shared" si="4"/>
        <v>0.33314834781505653</v>
      </c>
      <c r="T9" s="12">
        <f t="shared" si="5"/>
        <v>2.2157586013268453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(1.3688+0.5081+1.3543+0.437+0.676)/5</f>
        <v>0.86883999999999995</v>
      </c>
      <c r="F10" s="17">
        <f>(52.41+55.11+57.38+43.03+32.31)/5</f>
        <v>48.048000000000002</v>
      </c>
      <c r="G10" s="21">
        <f>(1.1415+1.2812+1.1688+1.1353+1.3105)/5</f>
        <v>1.20746</v>
      </c>
      <c r="H10" s="20">
        <f>(209.7+171.09+169.95+173.32+240.72)/5</f>
        <v>192.95599999999999</v>
      </c>
      <c r="I10" s="3">
        <v>34</v>
      </c>
      <c r="J10" s="6">
        <v>1</v>
      </c>
      <c r="K10" s="6">
        <v>33</v>
      </c>
      <c r="L10" s="6">
        <v>11</v>
      </c>
      <c r="M10" s="3">
        <f t="shared" si="0"/>
        <v>79</v>
      </c>
      <c r="O10" s="12">
        <f t="shared" si="1"/>
        <v>1.1266950604591959</v>
      </c>
      <c r="P10" s="12">
        <f t="shared" si="2"/>
        <v>0</v>
      </c>
      <c r="Q10" s="12">
        <f t="shared" si="3"/>
        <v>0.56878183141045646</v>
      </c>
      <c r="R10" s="12">
        <f t="shared" si="4"/>
        <v>0.52974567133887207</v>
      </c>
      <c r="T10" s="12">
        <f t="shared" si="5"/>
        <v>2.2252225632085243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(1.3206+0.4102+1.3062+0.4721+0.5795)/5</f>
        <v>0.81772000000000011</v>
      </c>
      <c r="F11" s="11">
        <f>(61.32+53.13+72.17+53.5+41.15)/5</f>
        <v>56.253999999999998</v>
      </c>
      <c r="G11" s="8">
        <f>(1.4839+1.4948+1.4472+1.4932+1.2562)/5</f>
        <v>1.43506</v>
      </c>
      <c r="H11" s="11">
        <f>(187.02+167.01+144.5+201.65+171.01)/5</f>
        <v>174.238</v>
      </c>
      <c r="I11" s="1">
        <v>25</v>
      </c>
      <c r="J11" s="4">
        <v>9</v>
      </c>
      <c r="K11" s="4">
        <v>39</v>
      </c>
      <c r="L11" s="4">
        <v>9</v>
      </c>
      <c r="M11" s="3">
        <f t="shared" si="0"/>
        <v>82</v>
      </c>
      <c r="O11" s="12">
        <f t="shared" si="1"/>
        <v>1.0015665540705931</v>
      </c>
      <c r="P11" s="12">
        <f t="shared" si="2"/>
        <v>0.17078754578754571</v>
      </c>
      <c r="Q11" s="12">
        <f t="shared" si="3"/>
        <v>0.86448913834320773</v>
      </c>
      <c r="R11" s="12">
        <f t="shared" si="4"/>
        <v>0.38135028857740838</v>
      </c>
      <c r="T11" s="12">
        <f t="shared" si="5"/>
        <v>2.4181935267787549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(1.3218+0.3758+1.311+0.4881+0.5768)/5</f>
        <v>0.81469999999999987</v>
      </c>
      <c r="F12" s="11">
        <f>(62.57+60.53+83.04+61.67+54.67)/5</f>
        <v>64.496000000000009</v>
      </c>
      <c r="G12" s="7">
        <f>(1.4147+1.4571+1.4124+1.4399+1.243)/5</f>
        <v>1.3934200000000001</v>
      </c>
      <c r="H12" s="11">
        <f>(177.08+165.33+162.73+164.08+143.14)/5</f>
        <v>162.47200000000001</v>
      </c>
      <c r="I12" s="1">
        <v>24</v>
      </c>
      <c r="J12" s="4">
        <v>13</v>
      </c>
      <c r="K12" s="4">
        <v>37</v>
      </c>
      <c r="L12" s="4">
        <v>6</v>
      </c>
      <c r="M12" s="3">
        <f t="shared" si="0"/>
        <v>80</v>
      </c>
      <c r="O12" s="12">
        <f t="shared" si="1"/>
        <v>0.99417437704998246</v>
      </c>
      <c r="P12" s="12">
        <f t="shared" si="2"/>
        <v>0.34232434232434245</v>
      </c>
      <c r="Q12" s="12">
        <f t="shared" si="3"/>
        <v>0.81038873297994007</v>
      </c>
      <c r="R12" s="12">
        <f t="shared" si="4"/>
        <v>0.2880700196613179</v>
      </c>
      <c r="T12" s="12">
        <f t="shared" si="5"/>
        <v>2.4349574720155829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6</v>
      </c>
      <c r="E13" s="9">
        <f>(1.1858+0.424+1.1808+0.4748+0.6384)/5</f>
        <v>0.78076000000000001</v>
      </c>
      <c r="F13" s="11">
        <f>(57.68+61.47+48.12+85.14+42.29)/5</f>
        <v>58.940000000000012</v>
      </c>
      <c r="G13" s="8">
        <f>(1.1335+1.1527+1.134+1.0992+0.7972)/5</f>
        <v>1.06332</v>
      </c>
      <c r="H13" s="11">
        <f>(216.2+288.53+421.27+195.55+203.58)/5</f>
        <v>265.02599999999995</v>
      </c>
      <c r="I13" s="1">
        <v>21</v>
      </c>
      <c r="J13" s="4">
        <v>11</v>
      </c>
      <c r="K13" s="4">
        <v>25</v>
      </c>
      <c r="L13" s="4">
        <v>14</v>
      </c>
      <c r="M13" s="3">
        <f t="shared" si="0"/>
        <v>71</v>
      </c>
      <c r="O13" s="12">
        <f t="shared" si="1"/>
        <v>0.91109805649385611</v>
      </c>
      <c r="P13" s="12">
        <f t="shared" si="2"/>
        <v>0.2266899766899769</v>
      </c>
      <c r="Q13" s="12">
        <f t="shared" si="3"/>
        <v>0.38150919862800142</v>
      </c>
      <c r="R13" s="12">
        <f t="shared" si="4"/>
        <v>1.1011130842899721</v>
      </c>
      <c r="T13" s="12">
        <f t="shared" si="5"/>
        <v>2.6204103161018066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(1.3138+0.4286+1.2697+0.5508+0.6187)/5</f>
        <v>0.83631999999999995</v>
      </c>
      <c r="F14" s="11">
        <f>(59.9+50.56+55.53+71.15+39.11)/5</f>
        <v>55.25</v>
      </c>
      <c r="G14" s="8">
        <f>(1.1382+1.1499+1.1235+1.089+0.7972)/5</f>
        <v>1.0595600000000001</v>
      </c>
      <c r="H14" s="11">
        <f>(161.25+214.04+362.42+282.38+323.34)/5</f>
        <v>268.68600000000004</v>
      </c>
      <c r="I14" s="1">
        <v>31</v>
      </c>
      <c r="J14" s="4">
        <v>8</v>
      </c>
      <c r="K14" s="4">
        <v>24</v>
      </c>
      <c r="L14" s="4">
        <v>15</v>
      </c>
      <c r="M14" s="3">
        <f t="shared" si="0"/>
        <v>78</v>
      </c>
      <c r="O14" s="12">
        <f t="shared" si="1"/>
        <v>1.0470945317471971</v>
      </c>
      <c r="P14" s="12">
        <f t="shared" si="2"/>
        <v>0.14989177489177485</v>
      </c>
      <c r="Q14" s="12">
        <f t="shared" si="3"/>
        <v>0.37662405155389272</v>
      </c>
      <c r="R14" s="12">
        <f t="shared" si="4"/>
        <v>1.1301293841567832</v>
      </c>
      <c r="T14" s="12">
        <f t="shared" si="5"/>
        <v>2.7037397423496481</v>
      </c>
    </row>
    <row r="15" spans="1:20" x14ac:dyDescent="0.25">
      <c r="A15" s="5" t="s">
        <v>10</v>
      </c>
      <c r="B15" s="1" t="s">
        <v>2</v>
      </c>
      <c r="C15" s="5" t="s">
        <v>4</v>
      </c>
      <c r="D15" s="5" t="s">
        <v>6</v>
      </c>
      <c r="E15" s="9">
        <f>(0.9669+0.4189+0.879+0.2578+0.4751)/5</f>
        <v>0.59953999999999996</v>
      </c>
      <c r="F15" s="11">
        <f>(79.1+69.5+61.94+61.04+39.92)/5</f>
        <v>62.3</v>
      </c>
      <c r="G15" s="8">
        <f>(1.001+1.0604+1.1131+1.0208+1.1782)/5</f>
        <v>1.0747</v>
      </c>
      <c r="H15" s="11">
        <f>(381.55+371.65+270.43+324.54+322.43)/5</f>
        <v>334.12</v>
      </c>
      <c r="I15" s="1">
        <v>13</v>
      </c>
      <c r="J15" s="4">
        <v>12</v>
      </c>
      <c r="K15" s="4">
        <v>27</v>
      </c>
      <c r="L15" s="4">
        <v>17</v>
      </c>
      <c r="M15" s="3">
        <f t="shared" si="0"/>
        <v>69</v>
      </c>
      <c r="O15" s="12">
        <f t="shared" si="1"/>
        <v>0.4675184804425514</v>
      </c>
      <c r="P15" s="12">
        <f t="shared" si="2"/>
        <v>0.29662004662004648</v>
      </c>
      <c r="Q15" s="12">
        <f t="shared" si="3"/>
        <v>0.39629456397463897</v>
      </c>
      <c r="R15" s="12">
        <f t="shared" si="4"/>
        <v>1.648886915710027</v>
      </c>
      <c r="T15" s="12">
        <f t="shared" si="5"/>
        <v>2.8093200067472637</v>
      </c>
    </row>
    <row r="16" spans="1:20" x14ac:dyDescent="0.25">
      <c r="A16" s="5" t="s">
        <v>9</v>
      </c>
      <c r="B16" s="1" t="s">
        <v>1</v>
      </c>
      <c r="C16" s="5" t="s">
        <v>4</v>
      </c>
      <c r="D16" s="5" t="s">
        <v>6</v>
      </c>
      <c r="E16" s="9">
        <f>(1.3357+0.4939+1.3119+0.464+0.4394)/5</f>
        <v>0.80898000000000003</v>
      </c>
      <c r="F16" s="11">
        <f>(75.57+60.91+65.13+85.25+52.7)/5</f>
        <v>67.912000000000006</v>
      </c>
      <c r="G16" s="8">
        <f>(0.8826+0.8769+0.991+0.926+1.0334)/5</f>
        <v>0.94198000000000004</v>
      </c>
      <c r="H16" s="11">
        <f>(229.99+440.96+195.15+295.08+260.56)/5</f>
        <v>284.34800000000001</v>
      </c>
      <c r="I16" s="1">
        <v>22</v>
      </c>
      <c r="J16" s="4">
        <v>16</v>
      </c>
      <c r="K16" s="4">
        <v>16</v>
      </c>
      <c r="L16" s="4">
        <v>16</v>
      </c>
      <c r="M16" s="3">
        <f t="shared" si="0"/>
        <v>70</v>
      </c>
      <c r="O16" s="12">
        <f t="shared" si="1"/>
        <v>0.98017330004405934</v>
      </c>
      <c r="P16" s="12">
        <f t="shared" si="2"/>
        <v>0.41341991341991352</v>
      </c>
      <c r="Q16" s="12">
        <f t="shared" si="3"/>
        <v>0.22385926618854607</v>
      </c>
      <c r="R16" s="12">
        <f t="shared" si="4"/>
        <v>1.2542969493245384</v>
      </c>
      <c r="T16" s="12">
        <f t="shared" si="5"/>
        <v>2.8717494289770573</v>
      </c>
    </row>
    <row r="17" spans="1:20" x14ac:dyDescent="0.25">
      <c r="A17" s="5" t="s">
        <v>8</v>
      </c>
      <c r="B17" s="1" t="s">
        <v>2</v>
      </c>
      <c r="C17" s="5" t="s">
        <v>4</v>
      </c>
      <c r="D17" s="5" t="s">
        <v>6</v>
      </c>
      <c r="E17" s="9">
        <f>(1.2886+0.3474+1.2595+0.3722+0.501)/5</f>
        <v>0.75373999999999997</v>
      </c>
      <c r="F17" s="11">
        <f>(82.8+61.26+68.86+54.2+69.9)/5</f>
        <v>67.403999999999996</v>
      </c>
      <c r="G17" s="8">
        <f>(1.3666+1.2993+1.2877+1.3841+1.2634)/5</f>
        <v>1.3202199999999999</v>
      </c>
      <c r="H17" s="10">
        <f>(209.16+259.31+186.29+371.66+230.34)/5</f>
        <v>251.352</v>
      </c>
      <c r="I17" s="1">
        <v>16</v>
      </c>
      <c r="J17" s="4">
        <v>15</v>
      </c>
      <c r="K17" s="4">
        <v>36</v>
      </c>
      <c r="L17" s="4">
        <v>13</v>
      </c>
      <c r="M17" s="3">
        <f t="shared" si="0"/>
        <v>80</v>
      </c>
      <c r="O17" s="12">
        <f t="shared" si="1"/>
        <v>0.84496010182601444</v>
      </c>
      <c r="P17" s="12">
        <f t="shared" si="2"/>
        <v>0.40284715284715272</v>
      </c>
      <c r="Q17" s="12">
        <f t="shared" si="3"/>
        <v>0.71528427398399341</v>
      </c>
      <c r="R17" s="12">
        <f t="shared" si="4"/>
        <v>0.99270628527938087</v>
      </c>
      <c r="T17" s="12">
        <f t="shared" si="5"/>
        <v>2.9557978139365417</v>
      </c>
    </row>
    <row r="18" spans="1:20" x14ac:dyDescent="0.25">
      <c r="A18" s="2" t="s">
        <v>0</v>
      </c>
      <c r="B18" s="3" t="s">
        <v>2</v>
      </c>
      <c r="C18" s="2" t="s">
        <v>3</v>
      </c>
      <c r="D18" s="2" t="s">
        <v>5</v>
      </c>
      <c r="E18" s="18">
        <f>(0.4375+0.4583+0.3841+0.2492+0.5344)/5</f>
        <v>0.41270000000000007</v>
      </c>
      <c r="F18" s="20">
        <f>(82.48+84.17+82.35+73.08+98.84)/5</f>
        <v>84.183999999999997</v>
      </c>
      <c r="G18" s="21">
        <f>(0.8819+0.8774+0.8784+0.8833+0.8811)/5</f>
        <v>0.88041999999999998</v>
      </c>
      <c r="H18" s="17">
        <f>(459.56+372.58+364.47+414.66+362.69)/5</f>
        <v>394.79200000000003</v>
      </c>
      <c r="I18" s="3">
        <v>2</v>
      </c>
      <c r="J18" s="6">
        <v>25</v>
      </c>
      <c r="K18" s="6">
        <v>10</v>
      </c>
      <c r="L18" s="6">
        <v>21</v>
      </c>
      <c r="M18" s="3">
        <f t="shared" si="0"/>
        <v>58</v>
      </c>
      <c r="O18" s="12">
        <f t="shared" si="1"/>
        <v>1.0182601458853607E-2</v>
      </c>
      <c r="P18" s="12">
        <f t="shared" si="2"/>
        <v>0.75208125208125198</v>
      </c>
      <c r="Q18" s="12">
        <f t="shared" si="3"/>
        <v>0.14387797526244683</v>
      </c>
      <c r="R18" s="12">
        <f t="shared" si="4"/>
        <v>2.1298915456332845</v>
      </c>
      <c r="T18" s="12">
        <f t="shared" si="5"/>
        <v>3.0360333744358368</v>
      </c>
    </row>
    <row r="19" spans="1:20" x14ac:dyDescent="0.25">
      <c r="A19" s="5" t="s">
        <v>0</v>
      </c>
      <c r="B19" s="1" t="s">
        <v>2</v>
      </c>
      <c r="C19" s="5" t="s">
        <v>4</v>
      </c>
      <c r="D19" s="5" t="s">
        <v>5</v>
      </c>
      <c r="E19" s="9">
        <f>(0.5203+0.5221+0.3765+0.4075+0.5786)/5</f>
        <v>0.48100000000000004</v>
      </c>
      <c r="F19" s="10">
        <f>(66.76+122.73+103.44+69.82+98.34)/5</f>
        <v>92.218000000000004</v>
      </c>
      <c r="G19" s="8">
        <f>(0.8785+0.8819+0.879+0.8906+0.8787)/5</f>
        <v>0.88174000000000008</v>
      </c>
      <c r="H19" s="11">
        <f>(358.23+360.11+353.39+405.4+353.93)/5</f>
        <v>366.21200000000005</v>
      </c>
      <c r="I19" s="1">
        <v>3</v>
      </c>
      <c r="J19" s="4">
        <v>30</v>
      </c>
      <c r="K19" s="4">
        <v>11</v>
      </c>
      <c r="L19" s="4">
        <v>18</v>
      </c>
      <c r="M19" s="3">
        <f t="shared" si="0"/>
        <v>62</v>
      </c>
      <c r="O19" s="12">
        <f t="shared" si="1"/>
        <v>0.17736329367993348</v>
      </c>
      <c r="P19" s="12">
        <f t="shared" si="2"/>
        <v>0.91928904428904434</v>
      </c>
      <c r="Q19" s="12">
        <f t="shared" si="3"/>
        <v>0.14559297370335747</v>
      </c>
      <c r="R19" s="12">
        <f t="shared" si="4"/>
        <v>1.9033107122470985</v>
      </c>
      <c r="T19" s="12">
        <f t="shared" si="5"/>
        <v>3.1455560239194336</v>
      </c>
    </row>
    <row r="20" spans="1:20" x14ac:dyDescent="0.25">
      <c r="A20" s="5" t="s">
        <v>8</v>
      </c>
      <c r="B20" s="1" t="s">
        <v>2</v>
      </c>
      <c r="C20" s="5" t="s">
        <v>4</v>
      </c>
      <c r="D20" s="5" t="s">
        <v>5</v>
      </c>
      <c r="E20" s="9">
        <f>(1.3315+0.4834+1.3377+0.4167+0.5593)/5</f>
        <v>0.8257199999999999</v>
      </c>
      <c r="F20" s="11">
        <f>(91.15+77.13+76.62+66.02+50.57)/5</f>
        <v>72.298000000000002</v>
      </c>
      <c r="G20" s="8">
        <f>(1.5148+1.4537+1.4612+1.4799+1.2462)/5</f>
        <v>1.4311599999999998</v>
      </c>
      <c r="H20" s="11">
        <f>(212.35+316.11+236.87+192.43+184.35)/5</f>
        <v>228.42199999999997</v>
      </c>
      <c r="I20" s="1">
        <v>28</v>
      </c>
      <c r="J20" s="4">
        <v>19</v>
      </c>
      <c r="K20" s="4">
        <v>38</v>
      </c>
      <c r="L20" s="4">
        <v>12</v>
      </c>
      <c r="M20" s="3">
        <f t="shared" si="0"/>
        <v>97</v>
      </c>
      <c r="O20" s="12">
        <f t="shared" si="1"/>
        <v>1.0211484799530031</v>
      </c>
      <c r="P20" s="12">
        <f t="shared" si="2"/>
        <v>0.5047036297036297</v>
      </c>
      <c r="Q20" s="12">
        <f t="shared" si="3"/>
        <v>0.85942209749506282</v>
      </c>
      <c r="R20" s="12">
        <f t="shared" si="4"/>
        <v>0.81091837381873499</v>
      </c>
      <c r="T20" s="12">
        <f t="shared" si="5"/>
        <v>3.1961925809704308</v>
      </c>
    </row>
    <row r="21" spans="1:20" x14ac:dyDescent="0.25">
      <c r="A21" s="5" t="s">
        <v>0</v>
      </c>
      <c r="B21" s="1" t="s">
        <v>1</v>
      </c>
      <c r="C21" s="5" t="s">
        <v>4</v>
      </c>
      <c r="D21" s="5" t="s">
        <v>5</v>
      </c>
      <c r="E21" s="9">
        <f>(0.5211+0.534+0.3765+0.4066+0.5785)/5</f>
        <v>0.48333999999999999</v>
      </c>
      <c r="F21" s="10">
        <f>(74.88+121.56+107.27+73.72+98.69)/5</f>
        <v>95.22399999999999</v>
      </c>
      <c r="G21" s="8">
        <f>(0.8996+0.9135+0.9034+0.915+0.9029)/5</f>
        <v>0.90687999999999991</v>
      </c>
      <c r="H21" s="11">
        <f>(366.44+363.68+353.21+456.71+343.22)/5</f>
        <v>376.65199999999999</v>
      </c>
      <c r="I21" s="1">
        <v>4</v>
      </c>
      <c r="J21" s="4">
        <v>31</v>
      </c>
      <c r="K21" s="4">
        <v>13</v>
      </c>
      <c r="L21" s="4">
        <v>19</v>
      </c>
      <c r="M21" s="3">
        <f t="shared" si="0"/>
        <v>67</v>
      </c>
      <c r="O21" s="12">
        <f t="shared" si="1"/>
        <v>0.18309100700053843</v>
      </c>
      <c r="P21" s="12">
        <f t="shared" si="2"/>
        <v>0.98185148185148152</v>
      </c>
      <c r="Q21" s="12">
        <f t="shared" si="3"/>
        <v>0.17825589855524374</v>
      </c>
      <c r="R21" s="12">
        <f t="shared" si="4"/>
        <v>1.9860785184245571</v>
      </c>
      <c r="T21" s="12">
        <f t="shared" si="5"/>
        <v>3.3292769058318208</v>
      </c>
    </row>
    <row r="22" spans="1:20" x14ac:dyDescent="0.25">
      <c r="A22" s="5" t="s">
        <v>10</v>
      </c>
      <c r="B22" s="1" t="s">
        <v>2</v>
      </c>
      <c r="C22" s="5" t="s">
        <v>3</v>
      </c>
      <c r="D22" s="5" t="s">
        <v>6</v>
      </c>
      <c r="E22" s="9">
        <f>(0.8553+0.4544+0.8043+0.2175+0.3953)/5</f>
        <v>0.54535999999999996</v>
      </c>
      <c r="F22" s="11">
        <f>(89.35+70.69+77.61+86.91+52.69)/5</f>
        <v>75.449999999999989</v>
      </c>
      <c r="G22" s="8">
        <f>(0.9135+0.935+0.908+0.8954+0.9335)/5</f>
        <v>0.91708000000000001</v>
      </c>
      <c r="H22" s="11">
        <f>(464.64+418.05+407.33+444.09+390.17)/5</f>
        <v>424.85599999999994</v>
      </c>
      <c r="I22" s="1">
        <v>7</v>
      </c>
      <c r="J22" s="4">
        <v>22</v>
      </c>
      <c r="K22" s="4">
        <v>14</v>
      </c>
      <c r="L22" s="4">
        <v>24</v>
      </c>
      <c r="M22" s="3">
        <f t="shared" si="0"/>
        <v>67</v>
      </c>
      <c r="O22" s="12">
        <f t="shared" si="1"/>
        <v>0.33489988740392601</v>
      </c>
      <c r="P22" s="12">
        <f t="shared" si="2"/>
        <v>0.57030469530469496</v>
      </c>
      <c r="Q22" s="12">
        <f t="shared" si="3"/>
        <v>0.19150815923500689</v>
      </c>
      <c r="R22" s="12">
        <f t="shared" si="4"/>
        <v>2.3682374579818601</v>
      </c>
      <c r="T22" s="12">
        <f t="shared" si="5"/>
        <v>3.4649501999254881</v>
      </c>
    </row>
    <row r="23" spans="1:20" x14ac:dyDescent="0.25">
      <c r="A23" s="5" t="s">
        <v>10</v>
      </c>
      <c r="B23" s="1" t="s">
        <v>1</v>
      </c>
      <c r="C23" s="5" t="s">
        <v>4</v>
      </c>
      <c r="D23" s="5" t="s">
        <v>5</v>
      </c>
      <c r="E23" s="9">
        <f>(0.9867+0.4072+0.9351+0.2553+0.5607)/5</f>
        <v>0.62899999999999989</v>
      </c>
      <c r="F23" s="11">
        <f>(77.34+74.45+70.7+80.65+47.03)/5</f>
        <v>70.033999999999992</v>
      </c>
      <c r="G23" s="8">
        <f>(1.0432+0.9503+0.9656+0.8256+0.9943)/5</f>
        <v>0.95579999999999998</v>
      </c>
      <c r="H23" s="11">
        <f>(734.21+358.03+402.86+342.32+251.03)/5</f>
        <v>417.68999999999994</v>
      </c>
      <c r="I23" s="1">
        <v>14</v>
      </c>
      <c r="J23" s="4">
        <v>17</v>
      </c>
      <c r="K23" s="4">
        <v>17</v>
      </c>
      <c r="L23" s="5">
        <v>23</v>
      </c>
      <c r="M23" s="3">
        <f t="shared" si="0"/>
        <v>71</v>
      </c>
      <c r="O23" s="12">
        <f t="shared" si="1"/>
        <v>0.53962892250452799</v>
      </c>
      <c r="P23" s="12">
        <f t="shared" si="2"/>
        <v>0.45758408258408234</v>
      </c>
      <c r="Q23" s="12">
        <f t="shared" si="3"/>
        <v>0.24181478016838176</v>
      </c>
      <c r="R23" s="12">
        <f t="shared" si="4"/>
        <v>2.3114257626688643</v>
      </c>
      <c r="T23" s="12">
        <f t="shared" si="5"/>
        <v>3.5504535479258563</v>
      </c>
    </row>
    <row r="24" spans="1:20" x14ac:dyDescent="0.25">
      <c r="A24" s="5" t="s">
        <v>10</v>
      </c>
      <c r="B24" s="1" t="s">
        <v>2</v>
      </c>
      <c r="C24" s="5" t="s">
        <v>4</v>
      </c>
      <c r="D24" s="5" t="s">
        <v>5</v>
      </c>
      <c r="E24" s="9">
        <f>(0.8704+0.3887+0.8123+0.2707+0.5413)/5</f>
        <v>0.57667999999999997</v>
      </c>
      <c r="F24" s="11">
        <f>(84.21+72.5+92.47+71.52+54.34)/5</f>
        <v>75.007999999999996</v>
      </c>
      <c r="G24" s="8">
        <f>(0.9841+0.9076+1.0554+0.9119+0.9755)/5</f>
        <v>0.96690000000000009</v>
      </c>
      <c r="H24" s="11">
        <f>(438.34+294.07+742.05+408.15+249.75)/5</f>
        <v>426.47200000000004</v>
      </c>
      <c r="I24" s="1">
        <v>11</v>
      </c>
      <c r="J24" s="4">
        <v>21</v>
      </c>
      <c r="K24" s="4">
        <v>19</v>
      </c>
      <c r="L24" s="4">
        <v>25</v>
      </c>
      <c r="M24" s="3">
        <f t="shared" si="0"/>
        <v>76</v>
      </c>
      <c r="O24" s="12">
        <f t="shared" si="1"/>
        <v>0.41156312723356331</v>
      </c>
      <c r="P24" s="12">
        <f t="shared" si="2"/>
        <v>0.56110556110556098</v>
      </c>
      <c r="Q24" s="12">
        <f t="shared" si="3"/>
        <v>0.25623635796694755</v>
      </c>
      <c r="R24" s="12">
        <f t="shared" si="4"/>
        <v>2.3810490264476436</v>
      </c>
      <c r="T24" s="12">
        <f t="shared" si="5"/>
        <v>3.6099540727537152</v>
      </c>
    </row>
    <row r="25" spans="1:20" x14ac:dyDescent="0.25">
      <c r="A25" s="5" t="s">
        <v>10</v>
      </c>
      <c r="B25" s="1" t="s">
        <v>2</v>
      </c>
      <c r="C25" s="5" t="s">
        <v>3</v>
      </c>
      <c r="D25" s="5" t="s">
        <v>5</v>
      </c>
      <c r="E25" s="9">
        <f>(0.8749+0.4344+0.7983+0.217+0.4815)/5</f>
        <v>0.56121999999999994</v>
      </c>
      <c r="F25" s="11">
        <f>(79.72+76.8+65.46+85.19+48.57)/5</f>
        <v>71.147999999999996</v>
      </c>
      <c r="G25" s="7">
        <f>(0.9516+0.9542+0.9082+0.8571+0.9146)/5</f>
        <v>0.91714000000000007</v>
      </c>
      <c r="H25" s="11">
        <f>(514.82+441.33+447.06+429.06+461.99)/5</f>
        <v>458.85200000000003</v>
      </c>
      <c r="I25" s="1">
        <v>9</v>
      </c>
      <c r="J25" s="4">
        <v>18</v>
      </c>
      <c r="K25" s="4">
        <v>14</v>
      </c>
      <c r="L25" s="4">
        <v>26</v>
      </c>
      <c r="M25" s="3">
        <f t="shared" si="0"/>
        <v>67</v>
      </c>
      <c r="O25" s="12">
        <f t="shared" si="1"/>
        <v>0.37372105546580486</v>
      </c>
      <c r="P25" s="12">
        <f t="shared" si="2"/>
        <v>0.48076923076923062</v>
      </c>
      <c r="Q25" s="12">
        <f t="shared" si="3"/>
        <v>0.1915861137095938</v>
      </c>
      <c r="R25" s="12">
        <f t="shared" si="4"/>
        <v>2.6377560728103</v>
      </c>
      <c r="T25" s="12">
        <f t="shared" si="5"/>
        <v>3.6838324727549292</v>
      </c>
    </row>
    <row r="26" spans="1:20" x14ac:dyDescent="0.25">
      <c r="A26" s="2" t="s">
        <v>0</v>
      </c>
      <c r="B26" s="3" t="s">
        <v>1</v>
      </c>
      <c r="C26" s="2" t="s">
        <v>3</v>
      </c>
      <c r="D26" s="2" t="s">
        <v>5</v>
      </c>
      <c r="E26" s="18">
        <f>(0.4379+0.4576+0.3842+0.2475+0.5155)/5</f>
        <v>0.40854000000000001</v>
      </c>
      <c r="F26" s="20">
        <f>(82.47+84.93+83.69+74.94+95.3)/5</f>
        <v>84.265999999999991</v>
      </c>
      <c r="G26" s="21">
        <f>(1.0033+0.9217+0.9855+0.9302+0.9835)/5</f>
        <v>0.96484000000000003</v>
      </c>
      <c r="H26" s="17">
        <f>(558.59+442.05+456.51+498.24+452.98)/5</f>
        <v>481.67399999999998</v>
      </c>
      <c r="I26" s="3">
        <v>1</v>
      </c>
      <c r="J26" s="6">
        <v>26</v>
      </c>
      <c r="K26" s="6">
        <v>18</v>
      </c>
      <c r="L26" s="6">
        <v>28</v>
      </c>
      <c r="M26" s="3">
        <f t="shared" si="0"/>
        <v>73</v>
      </c>
      <c r="O26" s="12">
        <f t="shared" si="1"/>
        <v>0</v>
      </c>
      <c r="P26" s="12">
        <f t="shared" si="2"/>
        <v>0.75378787878787856</v>
      </c>
      <c r="Q26" s="12">
        <f t="shared" si="3"/>
        <v>0.25355992100613262</v>
      </c>
      <c r="R26" s="12">
        <f t="shared" si="4"/>
        <v>2.8186877655863505</v>
      </c>
      <c r="T26" s="12">
        <f t="shared" si="5"/>
        <v>3.8260355653803617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15</v>
      </c>
      <c r="J27" s="4">
        <v>20</v>
      </c>
      <c r="K27" s="4">
        <v>34</v>
      </c>
      <c r="L27" s="4">
        <v>20</v>
      </c>
      <c r="M27" s="3">
        <f t="shared" si="0"/>
        <v>89</v>
      </c>
      <c r="O27" s="12">
        <f t="shared" si="1"/>
        <v>0.76981446125226383</v>
      </c>
      <c r="P27" s="12">
        <f t="shared" si="2"/>
        <v>0.53841991341991324</v>
      </c>
      <c r="Q27" s="12">
        <f t="shared" si="3"/>
        <v>0.57517409832657751</v>
      </c>
      <c r="R27" s="12">
        <f t="shared" si="4"/>
        <v>2.1119585209615015</v>
      </c>
      <c r="S27" s="27"/>
      <c r="T27" s="12">
        <f t="shared" si="5"/>
        <v>3.9953669939602561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30</v>
      </c>
      <c r="J28" s="4">
        <v>23</v>
      </c>
      <c r="K28" s="4">
        <v>21</v>
      </c>
      <c r="L28" s="4">
        <v>22</v>
      </c>
      <c r="M28" s="3">
        <f t="shared" si="0"/>
        <v>96</v>
      </c>
      <c r="O28" s="12">
        <f t="shared" si="1"/>
        <v>1.0427375532383614</v>
      </c>
      <c r="P28" s="12">
        <f t="shared" si="2"/>
        <v>0.58250083250083218</v>
      </c>
      <c r="Q28" s="12">
        <f t="shared" si="3"/>
        <v>0.30350275439143548</v>
      </c>
      <c r="R28" s="12">
        <f t="shared" si="4"/>
        <v>2.2528857740851143</v>
      </c>
      <c r="S28" s="27"/>
      <c r="T28" s="12">
        <f t="shared" si="5"/>
        <v>4.1816269142157427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(0.8436+0.4389+0.8245+0.2187+0.3343)/5</f>
        <v>0.53200000000000003</v>
      </c>
      <c r="F29" s="10">
        <f>(90.6+89.03+80.99+113.63+67.37)/5</f>
        <v>88.323999999999998</v>
      </c>
      <c r="G29" s="8">
        <f>(0.9254+0.8922+0.8729+0.8889+0.9019)/5</f>
        <v>0.89626000000000006</v>
      </c>
      <c r="H29" s="11">
        <f>(652.26+603.45+598.5+504.08+517.99)/5</f>
        <v>575.25599999999997</v>
      </c>
      <c r="I29" s="1">
        <v>5</v>
      </c>
      <c r="J29" s="4">
        <v>28</v>
      </c>
      <c r="K29" s="4">
        <v>12</v>
      </c>
      <c r="L29" s="4">
        <v>31</v>
      </c>
      <c r="M29" s="3">
        <f t="shared" si="0"/>
        <v>76</v>
      </c>
      <c r="O29" s="12">
        <f t="shared" si="1"/>
        <v>0.30219807118030062</v>
      </c>
      <c r="P29" s="12">
        <f t="shared" si="2"/>
        <v>0.83824508824508814</v>
      </c>
      <c r="Q29" s="12">
        <f t="shared" si="3"/>
        <v>0.16445795655337303</v>
      </c>
      <c r="R29" s="12">
        <f t="shared" si="4"/>
        <v>3.5606012557874034</v>
      </c>
      <c r="T29" s="12">
        <f t="shared" si="5"/>
        <v>4.8655023717661656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32</v>
      </c>
      <c r="J30" s="4">
        <v>27</v>
      </c>
      <c r="K30" s="4">
        <v>35</v>
      </c>
      <c r="L30" s="4">
        <v>27</v>
      </c>
      <c r="M30" s="3">
        <f t="shared" si="0"/>
        <v>121</v>
      </c>
      <c r="O30" s="12">
        <f t="shared" si="1"/>
        <v>1.1157658980760756</v>
      </c>
      <c r="P30" s="12">
        <f t="shared" si="2"/>
        <v>0.77400724275724264</v>
      </c>
      <c r="Q30" s="12">
        <f t="shared" si="3"/>
        <v>0.59715726016006643</v>
      </c>
      <c r="R30" s="12">
        <f t="shared" si="4"/>
        <v>2.7711676285913613</v>
      </c>
      <c r="S30" s="28"/>
      <c r="T30" s="12">
        <f t="shared" si="5"/>
        <v>5.2580980295847457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12</v>
      </c>
      <c r="J31" s="4">
        <v>34</v>
      </c>
      <c r="K31" s="4">
        <v>23</v>
      </c>
      <c r="L31" s="4">
        <v>32</v>
      </c>
      <c r="M31" s="3">
        <f t="shared" si="0"/>
        <v>101</v>
      </c>
      <c r="O31" s="12">
        <f t="shared" si="1"/>
        <v>0.43914916532040915</v>
      </c>
      <c r="P31" s="12">
        <f t="shared" si="2"/>
        <v>1.0889006826506826</v>
      </c>
      <c r="Q31" s="12">
        <f t="shared" si="3"/>
        <v>0.36966011849080155</v>
      </c>
      <c r="R31" s="12">
        <f t="shared" si="4"/>
        <v>3.643995370076742</v>
      </c>
      <c r="S31" s="28"/>
      <c r="T31" s="12">
        <f t="shared" si="5"/>
        <v>5.5417053365386355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6</v>
      </c>
      <c r="J32" s="4">
        <v>24</v>
      </c>
      <c r="K32" s="4">
        <v>22</v>
      </c>
      <c r="L32" s="4">
        <v>33</v>
      </c>
      <c r="M32" s="3">
        <f t="shared" si="0"/>
        <v>85</v>
      </c>
      <c r="O32" s="12">
        <f t="shared" si="1"/>
        <v>0.31845106966270131</v>
      </c>
      <c r="P32" s="12">
        <f t="shared" si="2"/>
        <v>0.71799034299034281</v>
      </c>
      <c r="Q32" s="12">
        <f t="shared" si="3"/>
        <v>0.30703669057270566</v>
      </c>
      <c r="R32" s="12">
        <f t="shared" si="4"/>
        <v>4.2835986554195467</v>
      </c>
      <c r="S32" s="27"/>
      <c r="T32" s="12">
        <f t="shared" si="5"/>
        <v>5.6270767586452966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28</v>
      </c>
      <c r="L33" s="4">
        <v>29</v>
      </c>
      <c r="M33" s="3">
        <f t="shared" si="0"/>
        <v>131</v>
      </c>
      <c r="O33" s="12">
        <f t="shared" si="1"/>
        <v>1.1869951534733441</v>
      </c>
      <c r="P33" s="12">
        <f t="shared" si="2"/>
        <v>1.4720071595071595</v>
      </c>
      <c r="Q33" s="12">
        <f t="shared" si="3"/>
        <v>0.42474794719883607</v>
      </c>
      <c r="R33" s="12">
        <f t="shared" si="4"/>
        <v>3.0455738250776934</v>
      </c>
      <c r="S33" s="28"/>
      <c r="T33" s="12">
        <f t="shared" si="5"/>
        <v>6.1293240852570339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8</v>
      </c>
      <c r="J34" s="6">
        <v>35</v>
      </c>
      <c r="K34" s="6">
        <v>1</v>
      </c>
      <c r="L34" s="6">
        <v>37</v>
      </c>
      <c r="M34" s="3">
        <f t="shared" si="0"/>
        <v>81</v>
      </c>
      <c r="O34" s="12">
        <f t="shared" si="1"/>
        <v>0.36001370734811766</v>
      </c>
      <c r="P34" s="12">
        <f t="shared" si="2"/>
        <v>1.0940725940725944</v>
      </c>
      <c r="Q34" s="12">
        <f t="shared" si="3"/>
        <v>0</v>
      </c>
      <c r="R34" s="12">
        <f t="shared" si="4"/>
        <v>5.1296378512082192</v>
      </c>
      <c r="S34" s="27"/>
      <c r="T34" s="12">
        <f t="shared" si="5"/>
        <v>6.5837241526289318</v>
      </c>
    </row>
    <row r="35" spans="1:20" x14ac:dyDescent="0.25">
      <c r="A35" s="5" t="s">
        <v>9</v>
      </c>
      <c r="B35" s="1" t="s">
        <v>2</v>
      </c>
      <c r="C35" s="5" t="s">
        <v>3</v>
      </c>
      <c r="D35" s="5" t="s">
        <v>5</v>
      </c>
      <c r="E35" s="9">
        <f>(1.2201+0.4768+1.3017)/3</f>
        <v>0.99953333333333327</v>
      </c>
      <c r="F35" s="4">
        <f>(127.05+181.21+123.8)/3</f>
        <v>144.02000000000001</v>
      </c>
      <c r="G35" s="4">
        <f>(0.9898+1.1398+1.0858)/3</f>
        <v>1.0717999999999999</v>
      </c>
      <c r="H35" s="11">
        <f>(478.19+621.2+460.11)/3</f>
        <v>519.83333333333337</v>
      </c>
      <c r="I35" s="1">
        <v>39</v>
      </c>
      <c r="J35" s="4">
        <v>39</v>
      </c>
      <c r="K35" s="4">
        <v>26</v>
      </c>
      <c r="L35" s="4">
        <v>30</v>
      </c>
      <c r="M35" s="3">
        <f t="shared" si="0"/>
        <v>134</v>
      </c>
      <c r="O35" s="12">
        <f t="shared" si="1"/>
        <v>1.4465984562915093</v>
      </c>
      <c r="P35" s="12">
        <f t="shared" si="2"/>
        <v>1.9974192474192476</v>
      </c>
      <c r="Q35" s="12">
        <f t="shared" si="3"/>
        <v>0.39252676436960809</v>
      </c>
      <c r="R35" s="12">
        <f t="shared" si="4"/>
        <v>3.1212130821758524</v>
      </c>
      <c r="S35" s="28"/>
      <c r="T35" s="12">
        <f t="shared" si="5"/>
        <v>6.9577575502562174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(0.9406+0.3629+0.9398+0.1823+0.3934)/5</f>
        <v>0.56380000000000008</v>
      </c>
      <c r="F36" s="10">
        <f>(59.15+60.55+219.55+66.87+74.2)/5</f>
        <v>96.063999999999993</v>
      </c>
      <c r="G36" s="8">
        <f>(0.7865+0.789+0.7891+0.7963+0.7866)/5</f>
        <v>0.78949999999999998</v>
      </c>
      <c r="H36" s="11">
        <f>(826.7+857.67+838.53+837.07+816.07)/5</f>
        <v>835.20799999999997</v>
      </c>
      <c r="I36" s="1">
        <v>10</v>
      </c>
      <c r="J36" s="4">
        <v>33</v>
      </c>
      <c r="K36" s="4">
        <v>3</v>
      </c>
      <c r="L36" s="4">
        <v>38</v>
      </c>
      <c r="M36" s="3">
        <f t="shared" si="0"/>
        <v>84</v>
      </c>
      <c r="O36" s="12">
        <f t="shared" si="1"/>
        <v>0.38003622656288261</v>
      </c>
      <c r="P36" s="12">
        <f t="shared" si="2"/>
        <v>0.99933399933399913</v>
      </c>
      <c r="Q36" s="12">
        <f t="shared" si="3"/>
        <v>2.5750961438519984E-2</v>
      </c>
      <c r="R36" s="12">
        <f t="shared" si="4"/>
        <v>5.6214879178030062</v>
      </c>
      <c r="S36" s="27"/>
      <c r="T36" s="12">
        <f t="shared" si="5"/>
        <v>7.0266091051384079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20</v>
      </c>
      <c r="J37" s="4">
        <v>40</v>
      </c>
      <c r="K37" s="4">
        <v>4</v>
      </c>
      <c r="L37" s="4">
        <v>34</v>
      </c>
      <c r="M37" s="3">
        <f t="shared" si="0"/>
        <v>98</v>
      </c>
      <c r="O37" s="12">
        <f t="shared" si="1"/>
        <v>0.89644832819307774</v>
      </c>
      <c r="P37" s="12">
        <f t="shared" si="2"/>
        <v>2.3650724275724273</v>
      </c>
      <c r="Q37" s="12">
        <f t="shared" si="3"/>
        <v>0.10000259848248622</v>
      </c>
      <c r="R37" s="12">
        <f t="shared" si="4"/>
        <v>4.4202606710217536</v>
      </c>
      <c r="S37" s="28"/>
      <c r="T37" s="12">
        <f t="shared" si="5"/>
        <v>7.7817840252697454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1.5161958845319103</v>
      </c>
      <c r="P38" s="12">
        <f t="shared" si="2"/>
        <v>1.1749084249084247</v>
      </c>
      <c r="Q38" s="12">
        <f t="shared" si="3"/>
        <v>0.48048539652842748</v>
      </c>
      <c r="R38" s="12">
        <f t="shared" si="4"/>
        <v>4.8615568381218157</v>
      </c>
      <c r="S38" s="28"/>
      <c r="T38" s="12">
        <f t="shared" si="5"/>
        <v>8.0331465440905774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1.4401527390218827</v>
      </c>
      <c r="P39" s="12">
        <f t="shared" si="2"/>
        <v>1.3926073926073923</v>
      </c>
      <c r="Q39" s="12">
        <f t="shared" si="3"/>
        <v>0.2795793923015627</v>
      </c>
      <c r="R39" s="12">
        <f t="shared" si="4"/>
        <v>5.1145377476163292</v>
      </c>
      <c r="S39" s="28"/>
      <c r="T39" s="12">
        <f t="shared" si="5"/>
        <v>8.226877271547167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33</v>
      </c>
      <c r="J40" s="4">
        <v>29</v>
      </c>
      <c r="K40" s="4">
        <v>2</v>
      </c>
      <c r="L40" s="4">
        <v>39</v>
      </c>
      <c r="M40" s="3">
        <f t="shared" si="0"/>
        <v>103</v>
      </c>
      <c r="O40" s="12">
        <f t="shared" si="1"/>
        <v>1.121640475840799</v>
      </c>
      <c r="P40" s="12">
        <f t="shared" si="2"/>
        <v>0.8605873293373294</v>
      </c>
      <c r="Q40" s="12">
        <f t="shared" si="3"/>
        <v>1.6104095208398499E-2</v>
      </c>
      <c r="R40" s="12">
        <f t="shared" si="4"/>
        <v>16.073198769582039</v>
      </c>
      <c r="S40" s="28"/>
      <c r="T40" s="12">
        <f t="shared" si="5"/>
        <v>18.071530669968567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1.30503745043325</v>
      </c>
      <c r="P41" s="12">
        <f t="shared" si="2"/>
        <v>0.98787323787323755</v>
      </c>
      <c r="Q41" s="12">
        <f t="shared" si="3"/>
        <v>2.0625714582683718</v>
      </c>
      <c r="R41" s="12">
        <f t="shared" si="4"/>
        <v>386.04501490454743</v>
      </c>
      <c r="S41" s="28"/>
      <c r="T41" s="12">
        <f t="shared" si="5"/>
        <v>390.40049705112227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55C4-84BB-473C-9328-05E1CAD1C609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(1.2737+0.6594+1.2894+0.2091+0.6702+0.1227)/6</f>
        <v>0.70408333333333328</v>
      </c>
      <c r="F2" s="17">
        <f>(52.71+51.08+60.04+44.39+35.84+40.69)/6</f>
        <v>47.458333333333336</v>
      </c>
      <c r="G2" s="21">
        <f>(0.9517+0.8598+0.9794+0.8272+0.6981+0.8076)/6</f>
        <v>0.85396666666666665</v>
      </c>
      <c r="H2" s="17">
        <f>(123.49+120.07+133.7+155.7+109.64+141.01)/6</f>
        <v>130.60166666666666</v>
      </c>
      <c r="I2" s="3">
        <v>22</v>
      </c>
      <c r="J2" s="6">
        <v>3</v>
      </c>
      <c r="K2" s="6">
        <v>5</v>
      </c>
      <c r="L2" s="2">
        <v>2</v>
      </c>
      <c r="M2" s="3">
        <f t="shared" ref="M2:M41" si="0">SUM(I2:L2)</f>
        <v>32</v>
      </c>
      <c r="N2" s="26"/>
      <c r="O2" s="12">
        <f t="shared" ref="O2:O41" si="1">(E2-MIN($E$2:$E$41))/MIN($E$2:$E$41)</f>
        <v>0.88022965996083302</v>
      </c>
      <c r="P2" s="12">
        <f t="shared" ref="P2:P41" si="2">(F2-MIN($F$2:$F$41))/MIN($F$2:$F$41)</f>
        <v>1.4934416880524758E-2</v>
      </c>
      <c r="Q2" s="12">
        <f t="shared" ref="Q2:Q41" si="3">(G2-MIN($G$2:$G$41))/MIN($G$2:$G$41)</f>
        <v>0.10950871357793725</v>
      </c>
      <c r="R2" s="12">
        <f t="shared" ref="R2:R41" si="4">(H2-MIN($H$2:$H$41))/MIN($H$2:$H$41)</f>
        <v>7.1984568872351162E-2</v>
      </c>
      <c r="T2" s="12">
        <f t="shared" ref="T2:T41" si="5">SUM(O2:R2)</f>
        <v>1.0766573592916462</v>
      </c>
    </row>
    <row r="3" spans="1:20" x14ac:dyDescent="0.25">
      <c r="A3" s="5" t="s">
        <v>8</v>
      </c>
      <c r="B3" s="1" t="s">
        <v>1</v>
      </c>
      <c r="C3" s="5" t="s">
        <v>3</v>
      </c>
      <c r="D3" s="5" t="s">
        <v>5</v>
      </c>
      <c r="E3" s="9">
        <f>(1.3011+0.4407+1.3109+0.2626+0.4583+0.1998)/6</f>
        <v>0.66223333333333334</v>
      </c>
      <c r="F3" s="10">
        <f>(56.07+59.15+57.91+70.66+44.24+61.26)/6</f>
        <v>58.214999999999996</v>
      </c>
      <c r="G3" s="7">
        <f>(0.8871+0.9177+0.7864+0.8393+0.8878+0.8673)/6</f>
        <v>0.86426666666666663</v>
      </c>
      <c r="H3" s="11">
        <f>(134.99+125.11+131.69+70.66+168.23+100.31)/6</f>
        <v>121.83166666666666</v>
      </c>
      <c r="I3" s="1">
        <v>17</v>
      </c>
      <c r="J3" s="4">
        <v>10</v>
      </c>
      <c r="K3" s="4">
        <v>8</v>
      </c>
      <c r="L3" s="4">
        <v>1</v>
      </c>
      <c r="M3" s="3">
        <f t="shared" si="0"/>
        <v>36</v>
      </c>
      <c r="N3" s="26"/>
      <c r="O3" s="12">
        <f t="shared" si="1"/>
        <v>0.76847071390421939</v>
      </c>
      <c r="P3" s="12">
        <f t="shared" si="2"/>
        <v>0.24497433704020527</v>
      </c>
      <c r="Q3" s="12">
        <f t="shared" si="3"/>
        <v>0.12289089838201164</v>
      </c>
      <c r="R3" s="12">
        <f t="shared" si="4"/>
        <v>0</v>
      </c>
      <c r="T3" s="12">
        <f t="shared" si="5"/>
        <v>1.1363359493264362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9">
        <f>(1.1939+0.5295+1.2054+0.2766+0.5897+0.1592)/6</f>
        <v>0.65905000000000002</v>
      </c>
      <c r="F4" s="11">
        <f>(56.51+60.9+62.78+51.52+43.79+52.13)/6</f>
        <v>54.604999999999997</v>
      </c>
      <c r="G4" s="8">
        <f>(0.8658+0.8758+0.9096+0.8829+0.7942+0.8075)/6</f>
        <v>0.85596666666666676</v>
      </c>
      <c r="H4" s="11">
        <f>(166.24+128.75+132.73+140.78+125.54+137.9)/6</f>
        <v>138.65666666666667</v>
      </c>
      <c r="I4" s="1">
        <v>16</v>
      </c>
      <c r="J4" s="4">
        <v>7</v>
      </c>
      <c r="K4" s="4">
        <v>6</v>
      </c>
      <c r="L4" s="4">
        <v>3</v>
      </c>
      <c r="M4" s="3">
        <f t="shared" si="0"/>
        <v>32</v>
      </c>
      <c r="N4" s="26"/>
      <c r="O4" s="12">
        <f t="shared" si="1"/>
        <v>0.75996973473384377</v>
      </c>
      <c r="P4" s="12">
        <f t="shared" si="2"/>
        <v>0.16777159965782718</v>
      </c>
      <c r="Q4" s="12">
        <f t="shared" si="3"/>
        <v>0.11210719606416544</v>
      </c>
      <c r="R4" s="12">
        <f t="shared" si="4"/>
        <v>0.13810038441018346</v>
      </c>
      <c r="T4" s="12">
        <f t="shared" si="5"/>
        <v>1.17794891486602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(1.328+0.6387+1.2933+0.2081+0.6567+0.1196)/6</f>
        <v>0.70739999999999992</v>
      </c>
      <c r="F5" s="11">
        <f>(51.46+51.93+58.53+45.16+36.44+41.24)/6</f>
        <v>47.46</v>
      </c>
      <c r="G5" s="8">
        <f>(0.9996+0.8412+0.962+0.8579+0.7042+0.8103)/6</f>
        <v>0.86253333333333326</v>
      </c>
      <c r="H5" s="11">
        <f>(182.66+116.17+130.65+147.77+174.48+179.36)/6</f>
        <v>155.18166666666667</v>
      </c>
      <c r="I5" s="1">
        <v>25</v>
      </c>
      <c r="J5" s="4">
        <v>3</v>
      </c>
      <c r="K5" s="4">
        <v>7</v>
      </c>
      <c r="L5" s="4">
        <v>4</v>
      </c>
      <c r="M5" s="3">
        <f t="shared" si="0"/>
        <v>39</v>
      </c>
      <c r="N5" s="26"/>
      <c r="O5" s="12">
        <f t="shared" si="1"/>
        <v>0.88908670108598875</v>
      </c>
      <c r="P5" s="12">
        <f t="shared" si="2"/>
        <v>1.4970059880239582E-2</v>
      </c>
      <c r="Q5" s="12">
        <f t="shared" si="3"/>
        <v>0.12063888022728063</v>
      </c>
      <c r="R5" s="12">
        <f t="shared" si="4"/>
        <v>0.27373835483385556</v>
      </c>
      <c r="T5" s="12">
        <f t="shared" si="5"/>
        <v>1.2984339960273643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(1.2455+0.5+1.2323+0.3004+0.5862+0.1777)/6</f>
        <v>0.6736833333333333</v>
      </c>
      <c r="F6" s="10">
        <f>(55.47+59.6+62.03+55.14+41.94+49.02)/6</f>
        <v>53.866666666666667</v>
      </c>
      <c r="G6" s="8">
        <f>(0.8923+0.9144+0.9164+0.8568+0.7853+0.8317)/6</f>
        <v>0.86615000000000009</v>
      </c>
      <c r="H6" s="11">
        <f>(205.31+122.82+127.03+142.04+171.6+166.16)/6</f>
        <v>155.82666666666665</v>
      </c>
      <c r="I6" s="1">
        <v>19</v>
      </c>
      <c r="J6" s="4">
        <v>6</v>
      </c>
      <c r="K6" s="4">
        <v>9</v>
      </c>
      <c r="L6" s="4">
        <v>5</v>
      </c>
      <c r="M6" s="3">
        <f t="shared" si="0"/>
        <v>39</v>
      </c>
      <c r="O6" s="12">
        <f t="shared" si="1"/>
        <v>0.79904753427096309</v>
      </c>
      <c r="P6" s="12">
        <f t="shared" si="2"/>
        <v>0.15198175078414605</v>
      </c>
      <c r="Q6" s="12">
        <f t="shared" si="3"/>
        <v>0.12533780272320988</v>
      </c>
      <c r="R6" s="12">
        <f t="shared" si="4"/>
        <v>0.27903254490485496</v>
      </c>
      <c r="T6" s="12">
        <f t="shared" si="5"/>
        <v>1.3553996326831741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(1.3227+0.4749+1.3441+0.442+0.5811+0.2335)/6</f>
        <v>0.73305000000000009</v>
      </c>
      <c r="F7" s="11">
        <f>(58.29+61.86+60.74+51.39+40.88+45.47)/6</f>
        <v>53.104999999999997</v>
      </c>
      <c r="G7" s="8">
        <f>(1.0335+1.1715+1.1142+1.0843+1.1517+1.1855)/6</f>
        <v>1.1234500000000001</v>
      </c>
      <c r="H7" s="11">
        <f>(160.77+179.11+159.49+181.56+155.86+172.02)/6</f>
        <v>168.13500000000002</v>
      </c>
      <c r="I7" s="1">
        <v>29</v>
      </c>
      <c r="J7" s="4">
        <v>5</v>
      </c>
      <c r="K7" s="4">
        <v>29</v>
      </c>
      <c r="L7" s="4">
        <v>7</v>
      </c>
      <c r="M7" s="3">
        <f t="shared" si="0"/>
        <v>70</v>
      </c>
      <c r="O7" s="12">
        <f t="shared" si="1"/>
        <v>0.957584119636817</v>
      </c>
      <c r="P7" s="12">
        <f t="shared" si="2"/>
        <v>0.13569289991445679</v>
      </c>
      <c r="Q7" s="12">
        <f t="shared" si="3"/>
        <v>0.45963257457644757</v>
      </c>
      <c r="R7" s="12">
        <f t="shared" si="4"/>
        <v>0.38005991874033862</v>
      </c>
      <c r="T7" s="12">
        <f t="shared" si="5"/>
        <v>1.93296951286806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(1.3366+0.5616+1.3558+0.4503+0.6742+0.2342)/6</f>
        <v>0.76878333333333337</v>
      </c>
      <c r="F8" s="11">
        <f>(49.71+58.68+56.89+43.53+32.71+43.14)/6</f>
        <v>47.443333333333335</v>
      </c>
      <c r="G8" s="8">
        <f>(1.1058+1.2028+1.1401+1.2722+1.2954+1.2159)/6</f>
        <v>1.2053666666666667</v>
      </c>
      <c r="H8" s="10">
        <f>(162.21+173.81+185.48+184.26+178.2+159.46)/6</f>
        <v>173.90333333333334</v>
      </c>
      <c r="I8" s="1">
        <v>31</v>
      </c>
      <c r="J8" s="4">
        <v>2</v>
      </c>
      <c r="K8" s="4">
        <v>32</v>
      </c>
      <c r="L8" s="4">
        <v>9</v>
      </c>
      <c r="M8" s="3">
        <f t="shared" si="0"/>
        <v>74</v>
      </c>
      <c r="O8" s="12">
        <f t="shared" si="1"/>
        <v>1.0530087235178922</v>
      </c>
      <c r="P8" s="12">
        <f t="shared" si="2"/>
        <v>1.4613629883091043E-2</v>
      </c>
      <c r="Q8" s="12">
        <f t="shared" si="3"/>
        <v>0.56606208640820443</v>
      </c>
      <c r="R8" s="12">
        <f t="shared" si="4"/>
        <v>0.4274066676698724</v>
      </c>
      <c r="T8" s="12">
        <f t="shared" si="5"/>
        <v>2.0610911074790601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5</v>
      </c>
      <c r="E9" s="9">
        <f>(1.3688+0.5081+1.3543+0.437+0.676+0.1217)/6</f>
        <v>0.74431666666666663</v>
      </c>
      <c r="F9" s="11">
        <f>(52.41+55.11+57.38+43.03+32.31+40.32)/6</f>
        <v>46.76</v>
      </c>
      <c r="G9" s="8">
        <f>(1.1415+1.2812+1.1688+1.1353+1.3105+1.2336)/6</f>
        <v>1.2118166666666668</v>
      </c>
      <c r="H9" s="10">
        <f>(209.7+171.09+169.95+173.32+240.72+198.07)/6</f>
        <v>193.80833333333331</v>
      </c>
      <c r="I9" s="1">
        <v>30</v>
      </c>
      <c r="J9" s="4">
        <v>1</v>
      </c>
      <c r="K9" s="4">
        <v>33</v>
      </c>
      <c r="L9" s="4">
        <v>11</v>
      </c>
      <c r="M9" s="3">
        <f t="shared" si="0"/>
        <v>75</v>
      </c>
      <c r="O9" s="12">
        <f t="shared" si="1"/>
        <v>0.98767135481573787</v>
      </c>
      <c r="P9" s="12">
        <f t="shared" si="2"/>
        <v>0</v>
      </c>
      <c r="Q9" s="12">
        <f t="shared" si="3"/>
        <v>0.57444219242629002</v>
      </c>
      <c r="R9" s="12">
        <f t="shared" si="4"/>
        <v>0.59078783567490645</v>
      </c>
      <c r="T9" s="12">
        <f t="shared" si="5"/>
        <v>2.1529013829169341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18">
        <f>(1.3621+0.4361+1.3698+0.3612+0.5383+0.1698)/6</f>
        <v>0.70621666666666683</v>
      </c>
      <c r="F10" s="17">
        <f>(64.15+70.27+77.24+64.04+57.29+62.22)/6</f>
        <v>65.868333333333339</v>
      </c>
      <c r="G10" s="21">
        <f>(1.1016+1.239+1.1211+1.1332+1.1981+1.1556)/6</f>
        <v>1.1581000000000001</v>
      </c>
      <c r="H10" s="17">
        <f>(147.49+195.67+187.54+157.07+153.02+167.57)/6</f>
        <v>168.05999999999997</v>
      </c>
      <c r="I10" s="3">
        <v>23</v>
      </c>
      <c r="J10" s="6">
        <v>14</v>
      </c>
      <c r="K10" s="2">
        <v>31</v>
      </c>
      <c r="L10" s="6">
        <v>6</v>
      </c>
      <c r="M10" s="3">
        <f t="shared" si="0"/>
        <v>74</v>
      </c>
      <c r="O10" s="12">
        <f t="shared" si="1"/>
        <v>0.88592665123731573</v>
      </c>
      <c r="P10" s="12">
        <f t="shared" si="2"/>
        <v>0.40864699173082425</v>
      </c>
      <c r="Q10" s="12">
        <f t="shared" si="3"/>
        <v>0.5046512836503485</v>
      </c>
      <c r="R10" s="12">
        <f t="shared" si="4"/>
        <v>0.37944431524371042</v>
      </c>
      <c r="T10" s="12">
        <f t="shared" si="5"/>
        <v>2.1786692418621989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5</v>
      </c>
      <c r="E11" s="9">
        <f>(1.3218+0.3758+1.311+0.4881+0.5768+0.0879)/6</f>
        <v>0.69356666666666655</v>
      </c>
      <c r="F11" s="11">
        <f>(62.57+60.53+83.04+61.67+54.67+56.71)/6</f>
        <v>63.198333333333331</v>
      </c>
      <c r="G11" s="7">
        <f>(1.4147+1.4571+1.4124+1.4399+1.243+1.4357)/6</f>
        <v>1.4004666666666667</v>
      </c>
      <c r="H11" s="11">
        <f>(177.08+165.33+162.73+164.08+143.14+202.27)/6</f>
        <v>169.10499999999999</v>
      </c>
      <c r="I11" s="1">
        <v>21</v>
      </c>
      <c r="J11" s="4">
        <v>12</v>
      </c>
      <c r="K11" s="4">
        <v>37</v>
      </c>
      <c r="L11" s="4">
        <v>8</v>
      </c>
      <c r="M11" s="3">
        <f t="shared" si="0"/>
        <v>78</v>
      </c>
      <c r="O11" s="12">
        <f t="shared" si="1"/>
        <v>0.85214527327754996</v>
      </c>
      <c r="P11" s="12">
        <f t="shared" si="2"/>
        <v>0.35154690618762474</v>
      </c>
      <c r="Q11" s="12">
        <f t="shared" si="3"/>
        <v>0.81954405293975019</v>
      </c>
      <c r="R11" s="12">
        <f t="shared" si="4"/>
        <v>0.38802172396339207</v>
      </c>
      <c r="T11" s="12">
        <f t="shared" si="5"/>
        <v>2.411257956368317</v>
      </c>
    </row>
    <row r="12" spans="1:20" x14ac:dyDescent="0.25">
      <c r="A12" s="5" t="s">
        <v>8</v>
      </c>
      <c r="B12" s="1" t="s">
        <v>1</v>
      </c>
      <c r="C12" s="5" t="s">
        <v>4</v>
      </c>
      <c r="D12" s="5" t="s">
        <v>6</v>
      </c>
      <c r="E12" s="9">
        <f>(1.1858+0.424+1.1808+0.4748+0.6384+0.111)/6</f>
        <v>0.66913333333333336</v>
      </c>
      <c r="F12" s="11">
        <f>(57.68+61.47+48.12+85.14+42.29+55.22)/6</f>
        <v>58.320000000000014</v>
      </c>
      <c r="G12" s="8">
        <f>(1.1335+1.1527+1.134+1.0992+0.7972+1.0852)/6</f>
        <v>1.0669666666666666</v>
      </c>
      <c r="H12" s="11">
        <f>(216.2+288.53+421.27+195.55+203.58+173.74)/6</f>
        <v>249.81166666666664</v>
      </c>
      <c r="I12" s="1">
        <v>18</v>
      </c>
      <c r="J12" s="4">
        <v>11</v>
      </c>
      <c r="K12" s="4">
        <v>25</v>
      </c>
      <c r="L12" s="4">
        <v>14</v>
      </c>
      <c r="M12" s="3">
        <f t="shared" si="0"/>
        <v>68</v>
      </c>
      <c r="O12" s="12">
        <f t="shared" si="1"/>
        <v>0.78689692006409118</v>
      </c>
      <c r="P12" s="12">
        <f t="shared" si="2"/>
        <v>0.24721984602224159</v>
      </c>
      <c r="Q12" s="12">
        <f t="shared" si="3"/>
        <v>0.38624709836122378</v>
      </c>
      <c r="R12" s="12">
        <f t="shared" si="4"/>
        <v>1.0504658066457815</v>
      </c>
      <c r="T12" s="12">
        <f t="shared" si="5"/>
        <v>2.4708296710933384</v>
      </c>
    </row>
    <row r="13" spans="1:20" x14ac:dyDescent="0.25">
      <c r="A13" s="5" t="s">
        <v>8</v>
      </c>
      <c r="B13" s="1" t="s">
        <v>2</v>
      </c>
      <c r="C13" s="5" t="s">
        <v>3</v>
      </c>
      <c r="D13" s="5" t="s">
        <v>6</v>
      </c>
      <c r="E13" s="9">
        <f>(1.3206+0.4102+1.3062+0.4721+0.5795+0.0721)/6</f>
        <v>0.69345000000000001</v>
      </c>
      <c r="F13" s="11">
        <f>(61.32+53.13+72.17+53.5+41.15+62.59)/6</f>
        <v>57.31</v>
      </c>
      <c r="G13" s="8">
        <f>(1.4839+1.4948+1.4472+1.4932+1.2562+1.4373)/6</f>
        <v>1.4354333333333333</v>
      </c>
      <c r="H13" s="11">
        <f>(187.02+167.01+144.5+201.65+171.01+263.98)/6</f>
        <v>189.19500000000002</v>
      </c>
      <c r="I13" s="1">
        <v>20</v>
      </c>
      <c r="J13" s="4">
        <v>9</v>
      </c>
      <c r="K13" s="4">
        <v>39</v>
      </c>
      <c r="L13" s="4">
        <v>10</v>
      </c>
      <c r="M13" s="3">
        <f t="shared" si="0"/>
        <v>78</v>
      </c>
      <c r="O13" s="12">
        <f t="shared" si="1"/>
        <v>0.85183371906711769</v>
      </c>
      <c r="P13" s="12">
        <f t="shared" si="2"/>
        <v>0.2256201881950386</v>
      </c>
      <c r="Q13" s="12">
        <f t="shared" si="3"/>
        <v>0.86497418840730367</v>
      </c>
      <c r="R13" s="12">
        <f t="shared" si="4"/>
        <v>0.55292138059344198</v>
      </c>
      <c r="T13" s="12">
        <f t="shared" si="5"/>
        <v>2.495349476262902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(1.3138+0.4286+1.2697+0.5508+0.6187+0.1188)/6</f>
        <v>0.71673333333333333</v>
      </c>
      <c r="F14" s="11">
        <f>(59.9+50.56+55.53+71.15+39.11+57.03)/6</f>
        <v>55.54666666666666</v>
      </c>
      <c r="G14" s="8">
        <f>(1.1382+1.1499+1.1235+1.089+0.7972+1.0977)/6</f>
        <v>1.0659166666666666</v>
      </c>
      <c r="H14" s="11">
        <f>(161.25+214.04+362.42+282.38+323.34+178.44)/6</f>
        <v>253.64500000000001</v>
      </c>
      <c r="I14" s="1">
        <v>26</v>
      </c>
      <c r="J14" s="4">
        <v>8</v>
      </c>
      <c r="K14" s="4">
        <v>24</v>
      </c>
      <c r="L14" s="4">
        <v>15</v>
      </c>
      <c r="M14" s="3">
        <f t="shared" si="0"/>
        <v>73</v>
      </c>
      <c r="O14" s="12">
        <f t="shared" si="1"/>
        <v>0.91401103792059812</v>
      </c>
      <c r="P14" s="12">
        <f t="shared" si="2"/>
        <v>0.18790989449672074</v>
      </c>
      <c r="Q14" s="12">
        <f t="shared" si="3"/>
        <v>0.38488289505595408</v>
      </c>
      <c r="R14" s="12">
        <f t="shared" si="4"/>
        <v>1.0819299853623168</v>
      </c>
      <c r="T14" s="12">
        <f t="shared" si="5"/>
        <v>2.5687338128355899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(1.2886+0.3474+1.2595+0.3722+0.501+0.0892)/6</f>
        <v>0.64298333333333335</v>
      </c>
      <c r="F15" s="11">
        <f>(82.8+61.26+68.86+54.2+69.9+71.22)/6</f>
        <v>68.040000000000006</v>
      </c>
      <c r="G15" s="8">
        <f>(1.3666+1.2993+1.2877+1.3841+1.2634+1.3047)/6</f>
        <v>1.3176333333333332</v>
      </c>
      <c r="H15" s="10">
        <f>(209.16+259.31+186.29+371.66+230.34+197.3)/6</f>
        <v>242.34333333333333</v>
      </c>
      <c r="I15" s="1">
        <v>15</v>
      </c>
      <c r="J15" s="4">
        <v>16</v>
      </c>
      <c r="K15" s="4">
        <v>36</v>
      </c>
      <c r="L15" s="4">
        <v>13</v>
      </c>
      <c r="M15" s="3">
        <f t="shared" si="0"/>
        <v>80</v>
      </c>
      <c r="O15" s="12">
        <f t="shared" si="1"/>
        <v>0.71706426918283783</v>
      </c>
      <c r="P15" s="12">
        <f t="shared" si="2"/>
        <v>0.45508982035928164</v>
      </c>
      <c r="Q15" s="12">
        <f t="shared" si="3"/>
        <v>0.71192356996847173</v>
      </c>
      <c r="R15" s="12">
        <f t="shared" si="4"/>
        <v>0.98916537845934971</v>
      </c>
      <c r="T15" s="12">
        <f t="shared" si="5"/>
        <v>2.8732430379699405</v>
      </c>
    </row>
    <row r="16" spans="1:20" x14ac:dyDescent="0.25">
      <c r="A16" s="5" t="s">
        <v>0</v>
      </c>
      <c r="B16" s="1" t="s">
        <v>2</v>
      </c>
      <c r="C16" s="5" t="s">
        <v>3</v>
      </c>
      <c r="D16" s="5" t="s">
        <v>5</v>
      </c>
      <c r="E16" s="9">
        <f>(0.4375+0.4583+0.3841+0.2492+0.5344+0.2099)/6</f>
        <v>0.37890000000000007</v>
      </c>
      <c r="F16" s="10">
        <f>(82.48+84.17+82.35+73.08+98.84+69.11)/6</f>
        <v>81.671666666666667</v>
      </c>
      <c r="G16" s="8">
        <f>(0.8819+0.8774+0.8784+0.8833+0.8811+0.8776)/6</f>
        <v>0.87995000000000001</v>
      </c>
      <c r="H16" s="11">
        <f>(459.56+372.58+364.47+414.66+362.69+321.07)/6</f>
        <v>382.50500000000005</v>
      </c>
      <c r="I16" s="1">
        <v>2</v>
      </c>
      <c r="J16" s="4">
        <v>25</v>
      </c>
      <c r="K16" s="4">
        <v>10</v>
      </c>
      <c r="L16" s="4">
        <v>20</v>
      </c>
      <c r="M16" s="3">
        <f t="shared" si="0"/>
        <v>57</v>
      </c>
      <c r="O16" s="12">
        <f t="shared" si="1"/>
        <v>1.1839059996439558E-2</v>
      </c>
      <c r="P16" s="12">
        <f t="shared" si="2"/>
        <v>0.74661391502708874</v>
      </c>
      <c r="Q16" s="12">
        <f t="shared" si="3"/>
        <v>0.14326733187818327</v>
      </c>
      <c r="R16" s="12">
        <f t="shared" si="4"/>
        <v>2.1396188730351993</v>
      </c>
      <c r="T16" s="12">
        <f t="shared" si="5"/>
        <v>3.0413391799369109</v>
      </c>
    </row>
    <row r="17" spans="1:20" x14ac:dyDescent="0.25">
      <c r="A17" s="5" t="s">
        <v>10</v>
      </c>
      <c r="B17" s="1" t="s">
        <v>2</v>
      </c>
      <c r="C17" s="5" t="s">
        <v>4</v>
      </c>
      <c r="D17" s="5" t="s">
        <v>6</v>
      </c>
      <c r="E17" s="9">
        <f>(0.9669+0.4189+0.879+0.2578+0.4751+0.1496)/6</f>
        <v>0.52454999999999996</v>
      </c>
      <c r="F17" s="11">
        <f>(79.1+69.5+61.94+61.04+39.92+83.59)/6</f>
        <v>65.848333333333343</v>
      </c>
      <c r="G17" s="8">
        <f>(1.001+1.0604+1.1131+1.0208+1.1782+1.0409)/6</f>
        <v>1.0690666666666666</v>
      </c>
      <c r="H17" s="11">
        <f>(381.55+371.65+270.43+324.54+322.43+434.65)/6</f>
        <v>350.875</v>
      </c>
      <c r="I17" s="1">
        <v>9</v>
      </c>
      <c r="J17" s="4">
        <v>16</v>
      </c>
      <c r="K17" s="4">
        <v>26</v>
      </c>
      <c r="L17" s="4">
        <v>17</v>
      </c>
      <c r="M17" s="3">
        <f t="shared" si="0"/>
        <v>68</v>
      </c>
      <c r="O17" s="12">
        <f t="shared" si="1"/>
        <v>0.40079223784938567</v>
      </c>
      <c r="P17" s="12">
        <f t="shared" si="2"/>
        <v>0.40821927573424605</v>
      </c>
      <c r="Q17" s="12">
        <f t="shared" si="3"/>
        <v>0.38897550497176325</v>
      </c>
      <c r="R17" s="12">
        <f t="shared" si="4"/>
        <v>1.8799983583906759</v>
      </c>
      <c r="T17" s="12">
        <f t="shared" si="5"/>
        <v>3.0779853769460708</v>
      </c>
    </row>
    <row r="18" spans="1:20" x14ac:dyDescent="0.25">
      <c r="A18" s="2" t="s">
        <v>9</v>
      </c>
      <c r="B18" s="3" t="s">
        <v>1</v>
      </c>
      <c r="C18" s="2" t="s">
        <v>4</v>
      </c>
      <c r="D18" s="2" t="s">
        <v>6</v>
      </c>
      <c r="E18" s="18">
        <f>(1.3357+0.4939+1.3119+0.464+0.4394+0.2687)/6</f>
        <v>0.71893333333333331</v>
      </c>
      <c r="F18" s="17">
        <f>(75.57+60.91+65.13+85.25+52.7+57.61)/6</f>
        <v>66.195000000000007</v>
      </c>
      <c r="G18" s="21">
        <f>(0.8826+0.8769+0.991+0.926+1.0334+1.0627)/6</f>
        <v>0.96210000000000007</v>
      </c>
      <c r="H18" s="17">
        <f>(229.99+440.96+195.15+295.08+260.56+412.66)/6</f>
        <v>305.73333333333335</v>
      </c>
      <c r="I18" s="3">
        <v>27</v>
      </c>
      <c r="J18" s="6">
        <v>15</v>
      </c>
      <c r="K18" s="6">
        <v>17</v>
      </c>
      <c r="L18" s="6">
        <v>16</v>
      </c>
      <c r="M18" s="3">
        <f t="shared" si="0"/>
        <v>75</v>
      </c>
      <c r="O18" s="12">
        <f t="shared" si="1"/>
        <v>0.91988606017447028</v>
      </c>
      <c r="P18" s="12">
        <f t="shared" si="2"/>
        <v>0.41563301967493604</v>
      </c>
      <c r="Q18" s="12">
        <f t="shared" si="3"/>
        <v>0.25000000000000022</v>
      </c>
      <c r="R18" s="12">
        <f t="shared" si="4"/>
        <v>1.509473453809218</v>
      </c>
      <c r="T18" s="12">
        <f t="shared" si="5"/>
        <v>3.0949925336586244</v>
      </c>
    </row>
    <row r="19" spans="1:20" x14ac:dyDescent="0.25">
      <c r="A19" s="5" t="s">
        <v>8</v>
      </c>
      <c r="B19" s="1" t="s">
        <v>2</v>
      </c>
      <c r="C19" s="5" t="s">
        <v>4</v>
      </c>
      <c r="D19" s="5" t="s">
        <v>5</v>
      </c>
      <c r="E19" s="9">
        <f>(1.3315+0.4834+1.3377+0.4167+0.5593+0.1116)/6</f>
        <v>0.70669999999999999</v>
      </c>
      <c r="F19" s="11">
        <f>(91.15+77.13+76.62+66.02+50.57+69.87)/6</f>
        <v>71.893333333333331</v>
      </c>
      <c r="G19" s="8">
        <f>(1.5148+1.4537+1.4612+1.4799+1.2462+1.4433)/6</f>
        <v>1.4331833333333333</v>
      </c>
      <c r="H19" s="11">
        <f>(212.35+316.11+236.87+192.43+184.35+201.17)/6</f>
        <v>223.88</v>
      </c>
      <c r="I19" s="1">
        <v>24</v>
      </c>
      <c r="J19" s="4">
        <v>19</v>
      </c>
      <c r="K19" s="4">
        <v>38</v>
      </c>
      <c r="L19" s="4">
        <v>12</v>
      </c>
      <c r="M19" s="3">
        <f t="shared" si="0"/>
        <v>93</v>
      </c>
      <c r="O19" s="12">
        <f t="shared" si="1"/>
        <v>0.88721737582339322</v>
      </c>
      <c r="P19" s="12">
        <f t="shared" si="2"/>
        <v>0.53749643570002847</v>
      </c>
      <c r="Q19" s="12">
        <f t="shared" si="3"/>
        <v>0.86205089561029702</v>
      </c>
      <c r="R19" s="12">
        <f t="shared" si="4"/>
        <v>0.83761747766727312</v>
      </c>
      <c r="T19" s="12">
        <f t="shared" si="5"/>
        <v>3.1243821848009916</v>
      </c>
    </row>
    <row r="20" spans="1:20" x14ac:dyDescent="0.25">
      <c r="A20" s="5" t="s">
        <v>0</v>
      </c>
      <c r="B20" s="1" t="s">
        <v>2</v>
      </c>
      <c r="C20" s="5" t="s">
        <v>4</v>
      </c>
      <c r="D20" s="5" t="s">
        <v>5</v>
      </c>
      <c r="E20" s="9">
        <f>(0.5203+0.5221+0.3765+0.4075+0.5786+0.3787)/6</f>
        <v>0.46395000000000003</v>
      </c>
      <c r="F20" s="10">
        <f>(66.76+122.73+103.44+69.82+98.34+62.5)/6</f>
        <v>87.265000000000001</v>
      </c>
      <c r="G20" s="8">
        <f>(0.8785+0.8819+0.879+0.8906+0.8787+0.8785)/6</f>
        <v>0.88120000000000009</v>
      </c>
      <c r="H20" s="11">
        <f>(358.23+360.11+353.39+405.4+353.93+347.77)/6</f>
        <v>363.13833333333332</v>
      </c>
      <c r="I20" s="1">
        <v>3</v>
      </c>
      <c r="J20" s="4">
        <v>28</v>
      </c>
      <c r="K20" s="4">
        <v>11</v>
      </c>
      <c r="L20" s="4">
        <v>18</v>
      </c>
      <c r="M20" s="3">
        <f t="shared" si="0"/>
        <v>60</v>
      </c>
      <c r="O20" s="12">
        <f t="shared" si="1"/>
        <v>0.23896207940181599</v>
      </c>
      <c r="P20" s="12">
        <f t="shared" si="2"/>
        <v>0.86623182207014549</v>
      </c>
      <c r="Q20" s="12">
        <f t="shared" si="3"/>
        <v>0.14489138343207592</v>
      </c>
      <c r="R20" s="12">
        <f t="shared" si="4"/>
        <v>1.9806563701281825</v>
      </c>
      <c r="T20" s="12">
        <f t="shared" si="5"/>
        <v>3.2307416550322197</v>
      </c>
    </row>
    <row r="21" spans="1:20" x14ac:dyDescent="0.25">
      <c r="A21" s="5" t="s">
        <v>0</v>
      </c>
      <c r="B21" s="1" t="s">
        <v>1</v>
      </c>
      <c r="C21" s="5" t="s">
        <v>4</v>
      </c>
      <c r="D21" s="5" t="s">
        <v>5</v>
      </c>
      <c r="E21" s="9">
        <f>(0.5211+0.534+0.3765+0.4066+0.5785+0.3735)/6</f>
        <v>0.46503333333333335</v>
      </c>
      <c r="F21" s="10">
        <f>(74.88+121.56+107.27+73.72+98.69+61.07)/6</f>
        <v>89.531666666666652</v>
      </c>
      <c r="G21" s="8">
        <f>(0.8996+0.9135+0.9034+0.915+0.9029+0.9023)/6</f>
        <v>0.90611666666666668</v>
      </c>
      <c r="H21" s="11">
        <f>(366.44+363.68+353.21+456.71+343.22+330.08)/6</f>
        <v>368.89000000000004</v>
      </c>
      <c r="I21" s="1">
        <v>4</v>
      </c>
      <c r="J21" s="4">
        <v>31</v>
      </c>
      <c r="K21" s="4">
        <v>13</v>
      </c>
      <c r="L21" s="4">
        <v>19</v>
      </c>
      <c r="M21" s="3">
        <f t="shared" si="0"/>
        <v>67</v>
      </c>
      <c r="O21" s="12">
        <f t="shared" si="1"/>
        <v>0.24185508278440454</v>
      </c>
      <c r="P21" s="12">
        <f t="shared" si="2"/>
        <v>0.91470630168234934</v>
      </c>
      <c r="Q21" s="12">
        <f t="shared" si="3"/>
        <v>0.17726414440633351</v>
      </c>
      <c r="R21" s="12">
        <f t="shared" si="4"/>
        <v>2.0278663182806884</v>
      </c>
      <c r="T21" s="12">
        <f t="shared" si="5"/>
        <v>3.361691847153776</v>
      </c>
    </row>
    <row r="22" spans="1:20" x14ac:dyDescent="0.25">
      <c r="A22" s="5" t="s">
        <v>10</v>
      </c>
      <c r="B22" s="1" t="s">
        <v>1</v>
      </c>
      <c r="C22" s="5" t="s">
        <v>4</v>
      </c>
      <c r="D22" s="5" t="s">
        <v>5</v>
      </c>
      <c r="E22" s="9">
        <f>(0.9867+0.4072+0.9351+0.2553+0.5607+0.1214)/6</f>
        <v>0.54439999999999988</v>
      </c>
      <c r="F22" s="11">
        <f>(77.34+74.45+70.7+80.65+47.03+72.56)/6</f>
        <v>70.454999999999998</v>
      </c>
      <c r="G22" s="8">
        <f>(1.0432+0.9503+0.9656+0.8256+0.9943+0.8028)/6</f>
        <v>0.9302999999999999</v>
      </c>
      <c r="H22" s="11">
        <f>(734.21+358.03+402.86+342.32+251.03+342.35)/6</f>
        <v>405.13333333333327</v>
      </c>
      <c r="I22" s="1">
        <v>11</v>
      </c>
      <c r="J22" s="4">
        <v>17</v>
      </c>
      <c r="K22" s="4">
        <v>15</v>
      </c>
      <c r="L22" s="5">
        <v>22</v>
      </c>
      <c r="M22" s="3">
        <f t="shared" si="0"/>
        <v>65</v>
      </c>
      <c r="O22" s="12">
        <f t="shared" si="1"/>
        <v>0.4538009613672776</v>
      </c>
      <c r="P22" s="12">
        <f t="shared" si="2"/>
        <v>0.50673652694610782</v>
      </c>
      <c r="Q22" s="12">
        <f t="shared" si="3"/>
        <v>0.20868412846897413</v>
      </c>
      <c r="R22" s="12">
        <f t="shared" si="4"/>
        <v>2.3253532880066756</v>
      </c>
      <c r="T22" s="12">
        <f t="shared" si="5"/>
        <v>3.4945749047890353</v>
      </c>
    </row>
    <row r="23" spans="1:20" x14ac:dyDescent="0.25">
      <c r="A23" s="5" t="s">
        <v>10</v>
      </c>
      <c r="B23" s="1" t="s">
        <v>2</v>
      </c>
      <c r="C23" s="5" t="s">
        <v>3</v>
      </c>
      <c r="D23" s="5" t="s">
        <v>6</v>
      </c>
      <c r="E23" s="9">
        <f>(0.8553+0.4544+0.8043+0.2175+0.3953+0.1599)/6</f>
        <v>0.48111666666666664</v>
      </c>
      <c r="F23" s="11">
        <f>(89.35+70.69+77.61+86.91+52.69+62.16)/6</f>
        <v>73.234999999999999</v>
      </c>
      <c r="G23" s="8">
        <f>(0.9135+0.935+0.908+0.8954+0.9335+1.0079)/6</f>
        <v>0.93221666666666669</v>
      </c>
      <c r="H23" s="11">
        <f>(464.64+418.05+407.33+444.09+390.17+547.1)/6</f>
        <v>445.22999999999996</v>
      </c>
      <c r="I23" s="1">
        <v>6</v>
      </c>
      <c r="J23" s="4">
        <v>20</v>
      </c>
      <c r="K23" s="4">
        <v>16</v>
      </c>
      <c r="L23" s="4">
        <v>25</v>
      </c>
      <c r="M23" s="3">
        <f t="shared" si="0"/>
        <v>67</v>
      </c>
      <c r="O23" s="12">
        <f t="shared" si="1"/>
        <v>0.28480505607975781</v>
      </c>
      <c r="P23" s="12">
        <f t="shared" si="2"/>
        <v>0.56618905047048762</v>
      </c>
      <c r="Q23" s="12">
        <f t="shared" si="3"/>
        <v>0.21117434085160949</v>
      </c>
      <c r="R23" s="12">
        <f t="shared" si="4"/>
        <v>2.6544685973816331</v>
      </c>
      <c r="T23" s="12">
        <f t="shared" si="5"/>
        <v>3.716637044783488</v>
      </c>
    </row>
    <row r="24" spans="1:20" x14ac:dyDescent="0.25">
      <c r="A24" s="5" t="s">
        <v>10</v>
      </c>
      <c r="B24" s="1" t="s">
        <v>2</v>
      </c>
      <c r="C24" s="5" t="s">
        <v>4</v>
      </c>
      <c r="D24" s="5" t="s">
        <v>5</v>
      </c>
      <c r="E24" s="9">
        <f>(0.8704+0.3887+0.8123+0.2707+0.5413+0.175)/6</f>
        <v>0.50973333333333326</v>
      </c>
      <c r="F24" s="11">
        <f>(84.21+72.5+92.47+71.52+54.34+76)/6</f>
        <v>75.173333333333332</v>
      </c>
      <c r="G24" s="8">
        <f>(0.9841+0.9076+1.0554+0.9119+0.9755+1.0307)/6</f>
        <v>0.97753333333333325</v>
      </c>
      <c r="H24" s="11">
        <f>(438.34+294.07+742.05+408.15+249.75+416.51)/6</f>
        <v>424.81166666666667</v>
      </c>
      <c r="I24" s="1">
        <v>8</v>
      </c>
      <c r="J24" s="4">
        <v>22</v>
      </c>
      <c r="K24" s="4">
        <v>18</v>
      </c>
      <c r="L24" s="4">
        <v>24</v>
      </c>
      <c r="M24" s="3">
        <f t="shared" si="0"/>
        <v>72</v>
      </c>
      <c r="O24" s="12">
        <f t="shared" si="1"/>
        <v>0.36122485312444347</v>
      </c>
      <c r="P24" s="12">
        <f t="shared" si="2"/>
        <v>0.60764185913886515</v>
      </c>
      <c r="Q24" s="12">
        <f t="shared" si="3"/>
        <v>0.27005162318539311</v>
      </c>
      <c r="R24" s="12">
        <f t="shared" si="4"/>
        <v>2.4868739654441239</v>
      </c>
      <c r="T24" s="12">
        <f t="shared" si="5"/>
        <v>3.7257923008928255</v>
      </c>
    </row>
    <row r="25" spans="1:20" x14ac:dyDescent="0.25">
      <c r="A25" s="5" t="s">
        <v>10</v>
      </c>
      <c r="B25" s="1" t="s">
        <v>2</v>
      </c>
      <c r="C25" s="5" t="s">
        <v>3</v>
      </c>
      <c r="D25" s="5" t="s">
        <v>5</v>
      </c>
      <c r="E25" s="9">
        <f>(0.8749+0.4344+0.7983+0.217+0.4815+0.1446)/6</f>
        <v>0.49178333333333329</v>
      </c>
      <c r="F25" s="11">
        <f>(79.72+76.8+65.46+85.19+48.57+73.3)/6</f>
        <v>71.506666666666661</v>
      </c>
      <c r="G25" s="7">
        <f>(0.9516+0.9542+0.9082+0.8571+0.9146+0.9381)/6</f>
        <v>0.92063333333333341</v>
      </c>
      <c r="H25" s="11">
        <f>(514.82+441.33+447.06+429.06+461.99+452.9)/6</f>
        <v>457.86000000000007</v>
      </c>
      <c r="I25" s="1">
        <v>7</v>
      </c>
      <c r="J25" s="4">
        <v>18</v>
      </c>
      <c r="K25" s="4">
        <v>14</v>
      </c>
      <c r="L25" s="4">
        <v>26</v>
      </c>
      <c r="M25" s="3">
        <f t="shared" si="0"/>
        <v>65</v>
      </c>
      <c r="O25" s="12">
        <f t="shared" si="1"/>
        <v>0.31329001246216831</v>
      </c>
      <c r="P25" s="12">
        <f t="shared" si="2"/>
        <v>0.5292272597661819</v>
      </c>
      <c r="Q25" s="12">
        <f t="shared" si="3"/>
        <v>0.19612479645220549</v>
      </c>
      <c r="R25" s="12">
        <f t="shared" si="4"/>
        <v>2.7581362262137659</v>
      </c>
      <c r="T25" s="12">
        <f t="shared" si="5"/>
        <v>3.7967782948943216</v>
      </c>
    </row>
    <row r="26" spans="1:20" x14ac:dyDescent="0.25">
      <c r="A26" s="2" t="s">
        <v>0</v>
      </c>
      <c r="B26" s="3" t="s">
        <v>1</v>
      </c>
      <c r="C26" s="2" t="s">
        <v>3</v>
      </c>
      <c r="D26" s="2" t="s">
        <v>5</v>
      </c>
      <c r="E26" s="18">
        <f>(0.4379+0.4576+0.3842+0.2475+0.5155+0.2041)/6</f>
        <v>0.37446666666666667</v>
      </c>
      <c r="F26" s="20">
        <f>(82.47+84.93+83.69+74.94+95.3+66.93)/6</f>
        <v>81.376666666666665</v>
      </c>
      <c r="G26" s="21">
        <f>(1.0033+0.9217+0.9855+0.9302+0.9835+1.094)/6</f>
        <v>0.98636666666666672</v>
      </c>
      <c r="H26" s="17">
        <f>(558.59+442.05+456.51+498.24+452.98+459.79)/6</f>
        <v>478.02666666666664</v>
      </c>
      <c r="I26" s="3">
        <v>1</v>
      </c>
      <c r="J26" s="6">
        <v>24</v>
      </c>
      <c r="K26" s="6">
        <v>20</v>
      </c>
      <c r="L26" s="6">
        <v>28</v>
      </c>
      <c r="M26" s="3">
        <f t="shared" si="0"/>
        <v>73</v>
      </c>
      <c r="O26" s="12">
        <f t="shared" si="1"/>
        <v>0</v>
      </c>
      <c r="P26" s="12">
        <f t="shared" si="2"/>
        <v>0.74030510407755923</v>
      </c>
      <c r="Q26" s="12">
        <f t="shared" si="3"/>
        <v>0.28152825416623378</v>
      </c>
      <c r="R26" s="12">
        <f t="shared" si="4"/>
        <v>2.9236651664181452</v>
      </c>
      <c r="T26" s="12">
        <f t="shared" si="5"/>
        <v>3.9454985246619385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28</v>
      </c>
      <c r="J27" s="4">
        <v>21</v>
      </c>
      <c r="K27" s="4">
        <v>34</v>
      </c>
      <c r="L27" s="4">
        <v>21</v>
      </c>
      <c r="M27" s="3">
        <f t="shared" si="0"/>
        <v>104</v>
      </c>
      <c r="O27" s="12">
        <f t="shared" si="1"/>
        <v>0.93085276838169817</v>
      </c>
      <c r="P27" s="12">
        <f t="shared" si="2"/>
        <v>0.58079555175363551</v>
      </c>
      <c r="Q27" s="12">
        <f t="shared" si="3"/>
        <v>0.57517409832657751</v>
      </c>
      <c r="R27" s="12">
        <f t="shared" si="4"/>
        <v>2.2219045404177895</v>
      </c>
      <c r="S27" s="28"/>
      <c r="T27" s="12">
        <f t="shared" si="5"/>
        <v>4.308726958879701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23</v>
      </c>
      <c r="K28" s="4">
        <v>21</v>
      </c>
      <c r="L28" s="4">
        <v>23</v>
      </c>
      <c r="M28" s="3">
        <f t="shared" si="0"/>
        <v>100</v>
      </c>
      <c r="O28" s="12">
        <f t="shared" si="1"/>
        <v>1.228609578066584</v>
      </c>
      <c r="P28" s="12">
        <f t="shared" si="2"/>
        <v>0.62609067579127442</v>
      </c>
      <c r="Q28" s="12">
        <f t="shared" si="3"/>
        <v>0.30350275439143548</v>
      </c>
      <c r="R28" s="12">
        <f t="shared" si="4"/>
        <v>2.3678107771652148</v>
      </c>
      <c r="S28" s="28"/>
      <c r="T28" s="12">
        <f t="shared" si="5"/>
        <v>4.5260137854145093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5</v>
      </c>
      <c r="J29" s="4">
        <v>29</v>
      </c>
      <c r="K29" s="4">
        <v>12</v>
      </c>
      <c r="L29" s="4">
        <v>32</v>
      </c>
      <c r="M29" s="3">
        <f t="shared" si="0"/>
        <v>78</v>
      </c>
      <c r="O29" s="12">
        <f t="shared" si="1"/>
        <v>0.25244792593911347</v>
      </c>
      <c r="P29" s="12">
        <f t="shared" si="2"/>
        <v>0.90255203877958357</v>
      </c>
      <c r="Q29" s="12">
        <f t="shared" si="3"/>
        <v>0.16463985032740888</v>
      </c>
      <c r="R29" s="12">
        <f t="shared" si="4"/>
        <v>3.8083694715385983</v>
      </c>
      <c r="S29" s="27"/>
      <c r="T29" s="12">
        <f t="shared" si="5"/>
        <v>5.128009286584704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27</v>
      </c>
      <c r="K30" s="4">
        <v>35</v>
      </c>
      <c r="L30" s="4">
        <v>27</v>
      </c>
      <c r="M30" s="3">
        <f t="shared" si="0"/>
        <v>123</v>
      </c>
      <c r="O30" s="12">
        <f t="shared" si="1"/>
        <v>1.3082828912230728</v>
      </c>
      <c r="P30" s="12">
        <f t="shared" si="2"/>
        <v>0.82287211291702311</v>
      </c>
      <c r="Q30" s="12">
        <f t="shared" si="3"/>
        <v>0.59715726016006643</v>
      </c>
      <c r="R30" s="12">
        <f t="shared" si="4"/>
        <v>2.9044036170125449</v>
      </c>
      <c r="S30" s="28"/>
      <c r="T30" s="12">
        <f t="shared" si="5"/>
        <v>5.6327158813127074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14</v>
      </c>
      <c r="J31" s="4">
        <v>34</v>
      </c>
      <c r="K31" s="4">
        <v>23</v>
      </c>
      <c r="L31" s="4">
        <v>31</v>
      </c>
      <c r="M31" s="3">
        <f t="shared" si="0"/>
        <v>102</v>
      </c>
      <c r="O31" s="12">
        <f t="shared" si="1"/>
        <v>0.57009969734733834</v>
      </c>
      <c r="P31" s="12">
        <f t="shared" si="2"/>
        <v>1.1464392643284862</v>
      </c>
      <c r="Q31" s="12">
        <f t="shared" si="3"/>
        <v>0.36966011849080155</v>
      </c>
      <c r="R31" s="12">
        <f t="shared" si="4"/>
        <v>3.8080685098291358</v>
      </c>
      <c r="S31" s="28"/>
      <c r="T31" s="12">
        <f t="shared" si="5"/>
        <v>5.8942675899957617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10</v>
      </c>
      <c r="J32" s="4">
        <v>26</v>
      </c>
      <c r="K32" s="4">
        <v>22</v>
      </c>
      <c r="L32" s="4">
        <v>33</v>
      </c>
      <c r="M32" s="3">
        <f t="shared" si="0"/>
        <v>91</v>
      </c>
      <c r="O32" s="12">
        <f t="shared" si="1"/>
        <v>0.43841908492077625</v>
      </c>
      <c r="P32" s="12">
        <f t="shared" si="2"/>
        <v>0.76531223267750204</v>
      </c>
      <c r="Q32" s="12">
        <f t="shared" si="3"/>
        <v>0.30703669057270566</v>
      </c>
      <c r="R32" s="12">
        <f t="shared" si="4"/>
        <v>4.4702690871284148</v>
      </c>
      <c r="S32" s="28"/>
      <c r="T32" s="12">
        <f t="shared" si="5"/>
        <v>5.9810370952993992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28</v>
      </c>
      <c r="L33" s="4">
        <v>29</v>
      </c>
      <c r="M33" s="3">
        <f t="shared" si="0"/>
        <v>131</v>
      </c>
      <c r="O33" s="12">
        <f t="shared" si="1"/>
        <v>1.3859934128538365</v>
      </c>
      <c r="P33" s="12">
        <f t="shared" si="2"/>
        <v>1.5400983746792134</v>
      </c>
      <c r="Q33" s="12">
        <f t="shared" si="3"/>
        <v>0.42474794719883607</v>
      </c>
      <c r="R33" s="12">
        <f t="shared" si="4"/>
        <v>3.1885046307063023</v>
      </c>
      <c r="S33" s="28"/>
      <c r="T33" s="12">
        <f t="shared" si="5"/>
        <v>6.539344365438188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12</v>
      </c>
      <c r="J34" s="6">
        <v>35</v>
      </c>
      <c r="K34" s="6">
        <v>1</v>
      </c>
      <c r="L34" s="6">
        <v>37</v>
      </c>
      <c r="M34" s="3">
        <f t="shared" si="0"/>
        <v>85</v>
      </c>
      <c r="O34" s="12">
        <f t="shared" si="1"/>
        <v>0.48376357486202598</v>
      </c>
      <c r="P34" s="12">
        <f t="shared" si="2"/>
        <v>1.1517536355859712</v>
      </c>
      <c r="Q34" s="12">
        <f t="shared" si="3"/>
        <v>0</v>
      </c>
      <c r="R34" s="12">
        <f t="shared" si="4"/>
        <v>5.3461989904102651</v>
      </c>
      <c r="S34" s="28"/>
      <c r="T34" s="12">
        <f t="shared" si="5"/>
        <v>6.9817162008582621</v>
      </c>
    </row>
    <row r="35" spans="1:20" x14ac:dyDescent="0.25">
      <c r="A35" s="5" t="s">
        <v>9</v>
      </c>
      <c r="B35" s="1" t="s">
        <v>2</v>
      </c>
      <c r="C35" s="5" t="s">
        <v>3</v>
      </c>
      <c r="D35" s="5" t="s">
        <v>5</v>
      </c>
      <c r="E35" s="9">
        <f>(1.2201+0.4768+1.3017)/3</f>
        <v>0.99953333333333327</v>
      </c>
      <c r="F35" s="4">
        <f>(127.05+181.21+123.8)/3</f>
        <v>144.02000000000001</v>
      </c>
      <c r="G35" s="4">
        <f>(0.9898+1.1398+1.0858)/3</f>
        <v>1.0717999999999999</v>
      </c>
      <c r="H35" s="11">
        <f>(478.19+621.2+460.11)/3</f>
        <v>519.83333333333337</v>
      </c>
      <c r="I35" s="1">
        <v>39</v>
      </c>
      <c r="J35" s="4">
        <v>39</v>
      </c>
      <c r="K35" s="4">
        <v>27</v>
      </c>
      <c r="L35" s="4">
        <v>30</v>
      </c>
      <c r="M35" s="3">
        <f t="shared" si="0"/>
        <v>135</v>
      </c>
      <c r="O35" s="12">
        <f t="shared" si="1"/>
        <v>1.6692184440092577</v>
      </c>
      <c r="P35" s="12">
        <f t="shared" si="2"/>
        <v>2.0799828913601375</v>
      </c>
      <c r="Q35" s="12">
        <f t="shared" si="3"/>
        <v>0.39252676436960809</v>
      </c>
      <c r="R35" s="12">
        <f t="shared" si="4"/>
        <v>3.2668162355162185</v>
      </c>
      <c r="S35" s="28"/>
      <c r="T35" s="12">
        <f t="shared" si="5"/>
        <v>7.4085443352552218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(0.9406+0.3629+0.9398+0.1823+0.3934)/5</f>
        <v>0.56380000000000008</v>
      </c>
      <c r="F36" s="10">
        <f>(59.15+60.55+219.55+66.87+74.2)/5</f>
        <v>96.063999999999993</v>
      </c>
      <c r="G36" s="8">
        <f>(0.7865+0.789+0.7891+0.7963+0.7866)/5</f>
        <v>0.78949999999999998</v>
      </c>
      <c r="H36" s="11">
        <f>(826.7+857.67+838.53+837.07+816.07)/5</f>
        <v>835.20799999999997</v>
      </c>
      <c r="I36" s="1">
        <v>13</v>
      </c>
      <c r="J36" s="4">
        <v>33</v>
      </c>
      <c r="K36" s="4">
        <v>3</v>
      </c>
      <c r="L36" s="4">
        <v>38</v>
      </c>
      <c r="M36" s="3">
        <f t="shared" si="0"/>
        <v>87</v>
      </c>
      <c r="O36" s="12">
        <f t="shared" si="1"/>
        <v>0.50560797578778727</v>
      </c>
      <c r="P36" s="12">
        <f t="shared" si="2"/>
        <v>1.0544054747647562</v>
      </c>
      <c r="Q36" s="12">
        <f t="shared" si="3"/>
        <v>2.5750961438519984E-2</v>
      </c>
      <c r="R36" s="12">
        <f t="shared" si="4"/>
        <v>5.8554262028208317</v>
      </c>
      <c r="S36" s="28"/>
      <c r="T36" s="12">
        <f t="shared" si="5"/>
        <v>7.4411906148118954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1.0690092576108243</v>
      </c>
      <c r="P37" s="12">
        <f t="shared" si="2"/>
        <v>2.457763045337896</v>
      </c>
      <c r="Q37" s="12">
        <f t="shared" si="3"/>
        <v>0.10000259848248622</v>
      </c>
      <c r="R37" s="12">
        <f t="shared" si="4"/>
        <v>4.6117593947933617</v>
      </c>
      <c r="S37" s="28"/>
      <c r="T37" s="12">
        <f t="shared" si="5"/>
        <v>8.238534296224568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1.7451486558661207</v>
      </c>
      <c r="P38" s="12">
        <f t="shared" si="2"/>
        <v>1.2348160821214715</v>
      </c>
      <c r="Q38" s="12">
        <f t="shared" si="3"/>
        <v>0.48048539652842748</v>
      </c>
      <c r="R38" s="12">
        <f t="shared" si="4"/>
        <v>5.0686466299128581</v>
      </c>
      <c r="S38" s="28"/>
      <c r="T38" s="12">
        <f t="shared" si="5"/>
        <v>8.5290967644288784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1.6621862204023501</v>
      </c>
      <c r="P39" s="12">
        <f t="shared" si="2"/>
        <v>1.4585115483319073</v>
      </c>
      <c r="Q39" s="12">
        <f t="shared" si="3"/>
        <v>0.2795793923015627</v>
      </c>
      <c r="R39" s="12">
        <f t="shared" si="4"/>
        <v>5.3305653976114584</v>
      </c>
      <c r="S39" s="28"/>
      <c r="T39" s="12">
        <f t="shared" si="5"/>
        <v>8.7308425586472787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30</v>
      </c>
      <c r="K40" s="4">
        <v>2</v>
      </c>
      <c r="L40" s="4">
        <v>39</v>
      </c>
      <c r="M40" s="3">
        <f t="shared" si="0"/>
        <v>106</v>
      </c>
      <c r="O40" s="12">
        <f t="shared" si="1"/>
        <v>1.3146920064091154</v>
      </c>
      <c r="P40" s="12">
        <f t="shared" si="2"/>
        <v>0.91183704020530398</v>
      </c>
      <c r="Q40" s="12">
        <f t="shared" si="3"/>
        <v>1.6104095208398499E-2</v>
      </c>
      <c r="R40" s="12">
        <f t="shared" si="4"/>
        <v>16.676397761939288</v>
      </c>
      <c r="S40" s="28"/>
      <c r="T40" s="12">
        <f t="shared" si="5"/>
        <v>18.919030903762106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1.5147765711233752</v>
      </c>
      <c r="P41" s="12">
        <f t="shared" si="2"/>
        <v>1.0426290276589676</v>
      </c>
      <c r="Q41" s="12">
        <f t="shared" si="3"/>
        <v>2.0625714582683718</v>
      </c>
      <c r="R41" s="12">
        <f t="shared" si="4"/>
        <v>399.71938056608161</v>
      </c>
      <c r="S41" s="28"/>
      <c r="T41" s="12">
        <f t="shared" si="5"/>
        <v>404.33935762313234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189B-3697-4056-8285-2369DEE10E62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(1.2737+0.6594+1.2894+0.2091+0.6702+0.1227+0.6433)/7</f>
        <v>0.69540000000000002</v>
      </c>
      <c r="F2" s="17">
        <f>(52.71+51.08+60.04+44.39+35.84+40.69+41.7)/7</f>
        <v>46.635714285714286</v>
      </c>
      <c r="G2" s="21">
        <f>(0.9517+0.8598+0.9794+0.8272+0.6981+0.8076+0.8403)/7</f>
        <v>0.85201428571428572</v>
      </c>
      <c r="H2" s="17">
        <f>(123.49+120.07+133.7+155.7+109.64+141.01+136.54)/7</f>
        <v>131.44999999999999</v>
      </c>
      <c r="I2" s="3">
        <v>26</v>
      </c>
      <c r="J2" s="6">
        <v>1</v>
      </c>
      <c r="K2" s="6">
        <v>5</v>
      </c>
      <c r="L2" s="2">
        <v>1</v>
      </c>
      <c r="M2" s="3">
        <f t="shared" ref="M2:M41" si="0">SUM(I2:L2)</f>
        <v>33</v>
      </c>
      <c r="N2" s="26"/>
      <c r="O2" s="12">
        <f t="shared" ref="O2:O41" si="1">(E2-MIN($E$2:$E$41))/MIN($E$2:$E$41)</f>
        <v>0.84512167386854686</v>
      </c>
      <c r="P2" s="12">
        <f t="shared" ref="P2:P41" si="2">(F2-MIN($F$2:$F$41))/MIN($F$2:$F$41)</f>
        <v>0</v>
      </c>
      <c r="Q2" s="12">
        <f t="shared" ref="Q2:Q41" si="3">(G2-MIN($G$2:$G$41))/MIN($G$2:$G$41)</f>
        <v>0.10697209972233371</v>
      </c>
      <c r="R2" s="12">
        <f t="shared" ref="R2:R41" si="4">(H2-MIN($H$2:$H$41))/MIN($H$2:$H$41)</f>
        <v>0</v>
      </c>
      <c r="T2" s="12">
        <f t="shared" ref="T2:T41" si="5">SUM(O2:R2)</f>
        <v>0.95209377359088054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(1.1939+0.5295+1.2054+0.2766+0.5897+0.1592+0.454)/7</f>
        <v>0.62975714285714279</v>
      </c>
      <c r="F3" s="11">
        <f>(56.51+60.9+62.78+51.52+43.79+52.13+43.82)/7</f>
        <v>53.06428571428571</v>
      </c>
      <c r="G3" s="8">
        <f>(0.8658+0.8758+0.9096+0.8829+0.7942+0.8075+0.8397)/7</f>
        <v>0.85364285714285715</v>
      </c>
      <c r="H3" s="11">
        <f>(166.24+128.75+132.73+140.78+125.54+137.9+131.39)/7</f>
        <v>137.61857142857141</v>
      </c>
      <c r="I3" s="1">
        <v>16</v>
      </c>
      <c r="J3" s="4">
        <v>6</v>
      </c>
      <c r="K3" s="4">
        <v>6</v>
      </c>
      <c r="L3" s="4">
        <v>3</v>
      </c>
      <c r="M3" s="3">
        <f t="shared" si="0"/>
        <v>31</v>
      </c>
      <c r="N3" s="26"/>
      <c r="O3" s="12">
        <f t="shared" si="1"/>
        <v>0.67094989007656725</v>
      </c>
      <c r="P3" s="12">
        <f t="shared" si="2"/>
        <v>0.13784653086230653</v>
      </c>
      <c r="Q3" s="12">
        <f t="shared" si="3"/>
        <v>0.10908800688969082</v>
      </c>
      <c r="R3" s="12">
        <f t="shared" si="4"/>
        <v>4.6927131445959877E-2</v>
      </c>
      <c r="T3" s="12">
        <f t="shared" si="5"/>
        <v>0.96481155927452444</v>
      </c>
    </row>
    <row r="4" spans="1:20" x14ac:dyDescent="0.25">
      <c r="A4" s="5" t="s">
        <v>8</v>
      </c>
      <c r="B4" s="1" t="s">
        <v>1</v>
      </c>
      <c r="C4" s="5" t="s">
        <v>3</v>
      </c>
      <c r="D4" s="5" t="s">
        <v>5</v>
      </c>
      <c r="E4" s="9">
        <f>(1.3011+0.4407+1.3109+0.2626+0.4583+0.1998+0.4748)/7</f>
        <v>0.63545714285714283</v>
      </c>
      <c r="F4" s="10">
        <f>(56.07+59.15+57.91+70.66+44.24+61.26+54.88)/7</f>
        <v>57.738571428571426</v>
      </c>
      <c r="G4" s="7">
        <f>(0.8871+0.9177+0.7864+0.8393+0.8878+0.8673+1.0169)/7</f>
        <v>0.88607142857142851</v>
      </c>
      <c r="H4" s="11">
        <f>(134.99+125.11+131.69+70.66+168.23+100.31+204.7)/7</f>
        <v>133.67000000000002</v>
      </c>
      <c r="I4" s="1">
        <v>17</v>
      </c>
      <c r="J4" s="4">
        <v>11</v>
      </c>
      <c r="K4" s="4">
        <v>11</v>
      </c>
      <c r="L4" s="4">
        <v>2</v>
      </c>
      <c r="M4" s="3">
        <f t="shared" si="0"/>
        <v>41</v>
      </c>
      <c r="N4" s="26"/>
      <c r="O4" s="12">
        <f t="shared" si="1"/>
        <v>0.68607383822303092</v>
      </c>
      <c r="P4" s="12">
        <f t="shared" si="2"/>
        <v>0.2380762750804104</v>
      </c>
      <c r="Q4" s="12">
        <f t="shared" si="3"/>
        <v>0.15122054434495974</v>
      </c>
      <c r="R4" s="12">
        <f t="shared" si="4"/>
        <v>1.6888550779764377E-2</v>
      </c>
      <c r="T4" s="12">
        <f t="shared" si="5"/>
        <v>1.0922592084281655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(1.328+0.6387+1.2933+0.2081+0.6567+0.1196+0.5433)/7</f>
        <v>0.68395714285714282</v>
      </c>
      <c r="F5" s="11">
        <f>(51.46+51.93+58.53+45.16+36.44+41.24+41.95)/7</f>
        <v>46.67285714285714</v>
      </c>
      <c r="G5" s="8">
        <f>(0.9996+0.8412+0.962+0.8579+0.7042+0.8103+0.8744)/7</f>
        <v>0.86422857142857124</v>
      </c>
      <c r="H5" s="11">
        <f>(182.66+116.17+130.65+147.77+174.48+179.36+178.69)/7</f>
        <v>158.54</v>
      </c>
      <c r="I5" s="1">
        <v>25</v>
      </c>
      <c r="J5" s="4">
        <v>2</v>
      </c>
      <c r="K5" s="4">
        <v>7</v>
      </c>
      <c r="L5" s="4">
        <v>5</v>
      </c>
      <c r="M5" s="3">
        <f t="shared" si="0"/>
        <v>39</v>
      </c>
      <c r="N5" s="26"/>
      <c r="O5" s="12">
        <f t="shared" si="1"/>
        <v>0.8147600636797816</v>
      </c>
      <c r="P5" s="12">
        <f t="shared" si="2"/>
        <v>7.9644662275992243E-4</v>
      </c>
      <c r="Q5" s="12">
        <f t="shared" si="3"/>
        <v>0.12284140347751185</v>
      </c>
      <c r="R5" s="12">
        <f t="shared" si="4"/>
        <v>0.20608596424496012</v>
      </c>
      <c r="T5" s="12">
        <f t="shared" si="5"/>
        <v>1.1444838780250135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(1.2455+0.5+1.2323+0.3004+0.5862+0.1777+0.4921)/7</f>
        <v>0.64774285714285706</v>
      </c>
      <c r="F6" s="10">
        <f>(55.47+59.6+62.03+55.14+41.94+49.02+46.46)/7</f>
        <v>52.808571428571426</v>
      </c>
      <c r="G6" s="8">
        <f>(0.8923+0.9144+0.9164+0.8568+0.7853+0.8317+0.9423)/7</f>
        <v>0.87702857142857149</v>
      </c>
      <c r="H6" s="11">
        <f>(205.31+122.82+127.03+142.04+171.6+166.16+171.72)/7</f>
        <v>158.09714285714284</v>
      </c>
      <c r="I6" s="1">
        <v>18</v>
      </c>
      <c r="J6" s="4">
        <v>5</v>
      </c>
      <c r="K6" s="4">
        <v>8</v>
      </c>
      <c r="L6" s="4">
        <v>4</v>
      </c>
      <c r="M6" s="3">
        <f t="shared" si="0"/>
        <v>35</v>
      </c>
      <c r="O6" s="12">
        <f t="shared" si="1"/>
        <v>0.71867182169661115</v>
      </c>
      <c r="P6" s="12">
        <f t="shared" si="2"/>
        <v>0.13236330219022815</v>
      </c>
      <c r="Q6" s="12">
        <f t="shared" si="3"/>
        <v>0.13947169138937165</v>
      </c>
      <c r="R6" s="12">
        <f t="shared" si="4"/>
        <v>0.20271694832364287</v>
      </c>
      <c r="T6" s="12">
        <f t="shared" si="5"/>
        <v>1.1932237635998539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(1.3227+0.4749+1.3441+0.442+0.5811+0.2335+0.5447)/7</f>
        <v>0.70614285714285718</v>
      </c>
      <c r="F7" s="11">
        <f>(58.29+61.86+60.74+51.39+40.88+45.47+53.57)/7</f>
        <v>53.171428571428571</v>
      </c>
      <c r="G7" s="8">
        <f>(1.0335+1.1715+1.1142+1.0843+1.1517+1.1855+1.0869)/7</f>
        <v>1.1182285714285716</v>
      </c>
      <c r="H7" s="11">
        <f>(160.77+179.11+159.49+181.56+155.86+172.02+177.21)/7</f>
        <v>169.43142857142857</v>
      </c>
      <c r="I7" s="1">
        <v>27</v>
      </c>
      <c r="J7" s="4">
        <v>7</v>
      </c>
      <c r="K7" s="4">
        <v>29</v>
      </c>
      <c r="L7" s="4">
        <v>7</v>
      </c>
      <c r="M7" s="3">
        <f t="shared" si="0"/>
        <v>70</v>
      </c>
      <c r="O7" s="12">
        <f t="shared" si="1"/>
        <v>0.87362595709195678</v>
      </c>
      <c r="P7" s="12">
        <f t="shared" si="2"/>
        <v>0.14014397304334505</v>
      </c>
      <c r="Q7" s="12">
        <f t="shared" si="3"/>
        <v>0.45284867922847377</v>
      </c>
      <c r="R7" s="12">
        <f t="shared" si="4"/>
        <v>0.28894202032277355</v>
      </c>
      <c r="T7" s="12">
        <f t="shared" si="5"/>
        <v>1.7555606296865491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(1.3621+0.4361+1.3698+0.3612+0.5383+0.1698+0.4519)/7</f>
        <v>0.66988571428571453</v>
      </c>
      <c r="F8" s="11">
        <f>(64.15+70.27+77.24+64.04+57.29+62.22+52.37)/7</f>
        <v>63.940000000000005</v>
      </c>
      <c r="G8" s="8">
        <f>(1.1016+1.239+1.1211+1.1332+1.1981+1.1556+1.082)/7</f>
        <v>1.1472285714285717</v>
      </c>
      <c r="H8" s="11">
        <f>(147.49+195.67+187.54+157.07+153.02+167.57+168.76)/7</f>
        <v>168.16</v>
      </c>
      <c r="I8" s="1">
        <v>20</v>
      </c>
      <c r="J8" s="4">
        <v>13</v>
      </c>
      <c r="K8" s="5">
        <v>31</v>
      </c>
      <c r="L8" s="4">
        <v>6</v>
      </c>
      <c r="M8" s="3">
        <f t="shared" si="0"/>
        <v>70</v>
      </c>
      <c r="O8" s="12">
        <f t="shared" si="1"/>
        <v>0.77742400121294897</v>
      </c>
      <c r="P8" s="12">
        <f t="shared" si="2"/>
        <v>0.37105222851891567</v>
      </c>
      <c r="Q8" s="12">
        <f t="shared" si="3"/>
        <v>0.49052667527878058</v>
      </c>
      <c r="R8" s="12">
        <f t="shared" si="4"/>
        <v>0.27926968429060489</v>
      </c>
      <c r="T8" s="12">
        <f t="shared" si="5"/>
        <v>1.91827258930125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(1.3366+0.5616+1.3558+0.4503+0.6742+0.2342+0.7629)/7</f>
        <v>0.76794285714285715</v>
      </c>
      <c r="F9" s="11">
        <f>(49.71+58.68+56.89+43.53+32.71+43.14+51.08)/7</f>
        <v>47.962857142857146</v>
      </c>
      <c r="G9" s="8">
        <f>(1.1058+1.2028+1.1401+1.2722+1.2954+1.2159+1.3044)/7</f>
        <v>1.2195142857142858</v>
      </c>
      <c r="H9" s="10">
        <f>(162.21+173.81+185.48+184.26+178.2+159.46+199.82)/7</f>
        <v>177.6057142857143</v>
      </c>
      <c r="I9" s="1">
        <v>31</v>
      </c>
      <c r="J9" s="4">
        <v>4</v>
      </c>
      <c r="K9" s="4">
        <v>33</v>
      </c>
      <c r="L9" s="4">
        <v>9</v>
      </c>
      <c r="M9" s="3">
        <f t="shared" si="0"/>
        <v>77</v>
      </c>
      <c r="O9" s="12">
        <f t="shared" si="1"/>
        <v>1.0376013948904557</v>
      </c>
      <c r="P9" s="12">
        <f t="shared" si="2"/>
        <v>2.8457650482462921E-2</v>
      </c>
      <c r="Q9" s="12">
        <f t="shared" si="3"/>
        <v>0.58444325656673668</v>
      </c>
      <c r="R9" s="12">
        <f t="shared" si="4"/>
        <v>0.35112753355431203</v>
      </c>
      <c r="T9" s="12">
        <f t="shared" si="5"/>
        <v>2.0016298354939677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(1.3688+0.5081+1.3543+0.437+0.676+0.1217+0.6813)/7</f>
        <v>0.7353142857142857</v>
      </c>
      <c r="F10" s="17">
        <f>(52.41+55.11+57.38+43.03+32.31+40.32+51.99)/7</f>
        <v>47.50714285714286</v>
      </c>
      <c r="G10" s="21">
        <f>(1.1415+1.2812+1.1688+1.1353+1.3105+1.2336+1.3269)/7</f>
        <v>1.2282571428571427</v>
      </c>
      <c r="H10" s="20">
        <f>(209.7+171.09+169.95+173.32+240.72+198.07+215.47)/7</f>
        <v>196.90285714285713</v>
      </c>
      <c r="I10" s="3">
        <v>30</v>
      </c>
      <c r="J10" s="6">
        <v>3</v>
      </c>
      <c r="K10" s="6">
        <v>34</v>
      </c>
      <c r="L10" s="6">
        <v>11</v>
      </c>
      <c r="M10" s="3">
        <f t="shared" si="0"/>
        <v>78</v>
      </c>
      <c r="O10" s="12">
        <f t="shared" si="1"/>
        <v>0.95102721552573732</v>
      </c>
      <c r="P10" s="12">
        <f t="shared" si="2"/>
        <v>1.8685863072446057E-2</v>
      </c>
      <c r="Q10" s="12">
        <f t="shared" si="3"/>
        <v>0.59580233714939046</v>
      </c>
      <c r="R10" s="12">
        <f t="shared" si="4"/>
        <v>0.49792968537738413</v>
      </c>
      <c r="T10" s="12">
        <f t="shared" si="5"/>
        <v>2.0634451011249579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(1.3206+0.4102+1.3062+0.4721+0.5795+0.0721+0.5153)/7</f>
        <v>0.66800000000000004</v>
      </c>
      <c r="F11" s="11">
        <f>(61.32+53.13+72.17+53.5+41.15+62.59+50.88)/7</f>
        <v>56.39142857142857</v>
      </c>
      <c r="G11" s="8">
        <f>(1.4839+1.4948+1.4472+1.4932+1.2562+1.4373+1.6056)/7</f>
        <v>1.459742857142857</v>
      </c>
      <c r="H11" s="11">
        <f>(187.02+167.01+144.5+201.65+171.01+263.98+149.22)/7</f>
        <v>183.48428571428573</v>
      </c>
      <c r="I11" s="1">
        <v>19</v>
      </c>
      <c r="J11" s="4">
        <v>9</v>
      </c>
      <c r="K11" s="4">
        <v>39</v>
      </c>
      <c r="L11" s="4">
        <v>10</v>
      </c>
      <c r="M11" s="3">
        <f t="shared" si="0"/>
        <v>77</v>
      </c>
      <c r="O11" s="12">
        <f t="shared" si="1"/>
        <v>0.77242058979607331</v>
      </c>
      <c r="P11" s="12">
        <f t="shared" si="2"/>
        <v>0.20918976872415374</v>
      </c>
      <c r="Q11" s="12">
        <f t="shared" si="3"/>
        <v>0.89655812434109916</v>
      </c>
      <c r="R11" s="12">
        <f t="shared" si="4"/>
        <v>0.39584850296147395</v>
      </c>
      <c r="T11" s="12">
        <f t="shared" si="5"/>
        <v>2.2740169858227999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(1.3218+0.3758+1.311+0.4881+0.5768+0.0879+0.5828)/7</f>
        <v>0.67774285714285709</v>
      </c>
      <c r="F12" s="11">
        <f>(62.57+60.53+83.04+61.67+54.67+56.71+56.8)/7</f>
        <v>62.284285714285716</v>
      </c>
      <c r="G12" s="7">
        <f>(1.4147+1.4571+1.4124+1.4399+1.243+1.4357+1.5688)/7</f>
        <v>1.4245142857142858</v>
      </c>
      <c r="H12" s="11">
        <f>(177.08+165.33+162.73+164.08+143.14+202.27+204.66)/7</f>
        <v>174.18428571428572</v>
      </c>
      <c r="I12" s="1">
        <v>23</v>
      </c>
      <c r="J12" s="4">
        <v>12</v>
      </c>
      <c r="K12" s="4">
        <v>37</v>
      </c>
      <c r="L12" s="4">
        <v>8</v>
      </c>
      <c r="M12" s="3">
        <f t="shared" si="0"/>
        <v>80</v>
      </c>
      <c r="O12" s="12">
        <f t="shared" si="1"/>
        <v>0.79827154878326123</v>
      </c>
      <c r="P12" s="12">
        <f t="shared" si="2"/>
        <v>0.3355490886812682</v>
      </c>
      <c r="Q12" s="12">
        <f t="shared" si="3"/>
        <v>0.85078771140511122</v>
      </c>
      <c r="R12" s="12">
        <f t="shared" si="4"/>
        <v>0.32509916861381311</v>
      </c>
      <c r="T12" s="12">
        <f t="shared" si="5"/>
        <v>2.3097075174834538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6</v>
      </c>
      <c r="E13" s="9">
        <f>(1.1858+0.424+1.1808+0.4748+0.6384+0.111+0.6991)/7</f>
        <v>0.67341428571428585</v>
      </c>
      <c r="F13" s="11">
        <f>(57.68+61.47+48.12+85.14+42.29+55.22+49)/7</f>
        <v>56.98857142857144</v>
      </c>
      <c r="G13" s="8">
        <f>(1.1335+1.1527+1.134+1.0992+0.7972+1.0852+1.3157)/7</f>
        <v>1.1024999999999998</v>
      </c>
      <c r="H13" s="11">
        <f>(216.2+288.53+421.27+195.55+203.58+173.74+361.66)/7</f>
        <v>265.79000000000002</v>
      </c>
      <c r="I13" s="1">
        <v>21</v>
      </c>
      <c r="J13" s="4">
        <v>10</v>
      </c>
      <c r="K13" s="4">
        <v>28</v>
      </c>
      <c r="L13" s="4">
        <v>14</v>
      </c>
      <c r="M13" s="3">
        <f t="shared" si="0"/>
        <v>73</v>
      </c>
      <c r="O13" s="12">
        <f t="shared" si="1"/>
        <v>0.78678644530361652</v>
      </c>
      <c r="P13" s="12">
        <f t="shared" si="2"/>
        <v>0.2219941798131416</v>
      </c>
      <c r="Q13" s="12">
        <f t="shared" si="3"/>
        <v>0.4324134705332085</v>
      </c>
      <c r="R13" s="12">
        <f t="shared" si="4"/>
        <v>1.0219855458349185</v>
      </c>
      <c r="T13" s="12">
        <f t="shared" si="5"/>
        <v>2.463179641484885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(1.3138+0.4286+1.2697+0.5508+0.6187+0.1188+0.7445)/7</f>
        <v>0.72070000000000001</v>
      </c>
      <c r="F14" s="11">
        <f>(59.9+50.56+55.53+71.15+39.11+57.03+46.49)/7</f>
        <v>54.252857142857138</v>
      </c>
      <c r="G14" s="8">
        <f>(1.1382+1.1499+1.1235+1.089+0.7972+1.0977+1.3131)/7</f>
        <v>1.1012285714285714</v>
      </c>
      <c r="H14" s="11">
        <f>(161.25+214.04+362.42+282.38+323.34+178.44+366.77)/7</f>
        <v>269.80571428571432</v>
      </c>
      <c r="I14" s="1">
        <v>28</v>
      </c>
      <c r="J14" s="4">
        <v>8</v>
      </c>
      <c r="K14" s="4">
        <v>27</v>
      </c>
      <c r="L14" s="4">
        <v>15</v>
      </c>
      <c r="M14" s="3">
        <f t="shared" si="0"/>
        <v>78</v>
      </c>
      <c r="O14" s="12">
        <f t="shared" si="1"/>
        <v>0.91225077704495505</v>
      </c>
      <c r="P14" s="12">
        <f t="shared" si="2"/>
        <v>0.16333282279062633</v>
      </c>
      <c r="Q14" s="12">
        <f t="shared" si="3"/>
        <v>0.43076157809553522</v>
      </c>
      <c r="R14" s="12">
        <f t="shared" si="4"/>
        <v>1.0525349127859591</v>
      </c>
      <c r="T14" s="12">
        <f t="shared" si="5"/>
        <v>2.5588800907170759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(1.2886+0.3474+1.2595+0.3722+0.501+0.0892+0.5357)/7</f>
        <v>0.62765714285714291</v>
      </c>
      <c r="F15" s="11">
        <f>(82.8+61.26+68.86+54.2+69.9+71.22+61.67)/7</f>
        <v>67.13000000000001</v>
      </c>
      <c r="G15" s="8">
        <f>(1.3666+1.2993+1.2877+1.3841+1.2634+1.3047+1.5021)/7</f>
        <v>1.3439857142857143</v>
      </c>
      <c r="H15" s="10">
        <f>(209.16+259.31+186.29+371.66+230.34+197.3+269.52)/7</f>
        <v>246.22571428571428</v>
      </c>
      <c r="I15" s="1">
        <v>15</v>
      </c>
      <c r="J15" s="4">
        <v>16</v>
      </c>
      <c r="K15" s="4">
        <v>36</v>
      </c>
      <c r="L15" s="4">
        <v>13</v>
      </c>
      <c r="M15" s="3">
        <f t="shared" si="0"/>
        <v>80</v>
      </c>
      <c r="O15" s="12">
        <f t="shared" si="1"/>
        <v>0.6653779091805021</v>
      </c>
      <c r="P15" s="12">
        <f t="shared" si="2"/>
        <v>0.43945474038903376</v>
      </c>
      <c r="Q15" s="12">
        <f t="shared" si="3"/>
        <v>0.74616167015605772</v>
      </c>
      <c r="R15" s="12">
        <f t="shared" si="4"/>
        <v>0.87315111666576106</v>
      </c>
      <c r="T15" s="12">
        <f t="shared" si="5"/>
        <v>2.7241454363913546</v>
      </c>
    </row>
    <row r="16" spans="1:20" x14ac:dyDescent="0.25">
      <c r="A16" s="5" t="s">
        <v>10</v>
      </c>
      <c r="B16" s="1" t="s">
        <v>2</v>
      </c>
      <c r="C16" s="5" t="s">
        <v>4</v>
      </c>
      <c r="D16" s="5" t="s">
        <v>6</v>
      </c>
      <c r="E16" s="9">
        <f>(0.9669+0.4189+0.879+0.2578+0.4751+0.1496+0.4201)/7</f>
        <v>0.50962857142857143</v>
      </c>
      <c r="F16" s="11">
        <f>(79.1+69.5+61.94+61.04+39.92+83.59+59.6)/7</f>
        <v>64.955714285714294</v>
      </c>
      <c r="G16" s="8">
        <f>(1.001+1.0604+1.1131+1.0208+1.1782+1.0409+1.0226)/7</f>
        <v>1.0624285714285713</v>
      </c>
      <c r="H16" s="11">
        <f>(381.55+371.65+270.43+324.54+322.43+434.65+293.76)/7</f>
        <v>342.71571428571434</v>
      </c>
      <c r="I16" s="1">
        <v>9</v>
      </c>
      <c r="J16" s="4">
        <v>14</v>
      </c>
      <c r="K16" s="4">
        <v>24</v>
      </c>
      <c r="L16" s="4">
        <v>17</v>
      </c>
      <c r="M16" s="3">
        <f t="shared" si="0"/>
        <v>64</v>
      </c>
      <c r="O16" s="12">
        <f t="shared" si="1"/>
        <v>0.35220984004245326</v>
      </c>
      <c r="P16" s="12">
        <f t="shared" si="2"/>
        <v>0.39283198039516021</v>
      </c>
      <c r="Q16" s="12">
        <f t="shared" si="3"/>
        <v>0.38035101786271097</v>
      </c>
      <c r="R16" s="12">
        <f t="shared" si="4"/>
        <v>1.6071944791610071</v>
      </c>
      <c r="T16" s="12">
        <f t="shared" si="5"/>
        <v>2.7325873174613315</v>
      </c>
    </row>
    <row r="17" spans="1:20" x14ac:dyDescent="0.25">
      <c r="A17" s="5" t="s">
        <v>0</v>
      </c>
      <c r="B17" s="1" t="s">
        <v>2</v>
      </c>
      <c r="C17" s="5" t="s">
        <v>3</v>
      </c>
      <c r="D17" s="5" t="s">
        <v>5</v>
      </c>
      <c r="E17" s="9">
        <f>(0.4375+0.4583+0.3841+0.2492+0.5344+0.2099+0.392)/7</f>
        <v>0.38077142857142865</v>
      </c>
      <c r="F17" s="10">
        <f>(82.48+84.17+82.35+73.08+98.84+69.11+93.9)/7</f>
        <v>83.418571428571425</v>
      </c>
      <c r="G17" s="8">
        <f>(0.8819+0.8774+0.8784+0.8833+0.8811+0.8776+0.8808)/7</f>
        <v>0.8800714285714285</v>
      </c>
      <c r="H17" s="11">
        <f>(459.56+372.58+364.47+414.66+362.69+321.07+353.8)/7</f>
        <v>378.40428571428578</v>
      </c>
      <c r="I17" s="1">
        <v>2</v>
      </c>
      <c r="J17" s="4">
        <v>26</v>
      </c>
      <c r="K17" s="4">
        <v>9</v>
      </c>
      <c r="L17" s="4">
        <v>20</v>
      </c>
      <c r="M17" s="3">
        <f t="shared" si="0"/>
        <v>57</v>
      </c>
      <c r="O17" s="12">
        <f t="shared" si="1"/>
        <v>1.0310059889318728E-2</v>
      </c>
      <c r="P17" s="12">
        <f t="shared" si="2"/>
        <v>0.78872721703170467</v>
      </c>
      <c r="Q17" s="12">
        <f t="shared" si="3"/>
        <v>0.14342509688627558</v>
      </c>
      <c r="R17" s="12">
        <f t="shared" si="4"/>
        <v>1.8786936912459933</v>
      </c>
      <c r="T17" s="12">
        <f t="shared" si="5"/>
        <v>2.8211560650532923</v>
      </c>
    </row>
    <row r="18" spans="1:20" x14ac:dyDescent="0.25">
      <c r="A18" s="2" t="s">
        <v>8</v>
      </c>
      <c r="B18" s="3" t="s">
        <v>2</v>
      </c>
      <c r="C18" s="2" t="s">
        <v>4</v>
      </c>
      <c r="D18" s="2" t="s">
        <v>5</v>
      </c>
      <c r="E18" s="18">
        <f>(1.3315+0.4834+1.3377+0.4167+0.5593+0.1116+0.5245)/7</f>
        <v>0.68067142857142848</v>
      </c>
      <c r="F18" s="17">
        <f>(91.15+77.13+76.62+66.02+50.57+69.87+49.91)/7</f>
        <v>68.752857142857138</v>
      </c>
      <c r="G18" s="21">
        <f>(1.5148+1.4537+1.4612+1.4799+1.2462+1.4433+1.6005)/7</f>
        <v>1.4570857142857143</v>
      </c>
      <c r="H18" s="17">
        <f>(212.35+316.11+236.87+192.43+184.35+201.17+316.23)/7</f>
        <v>237.07285714285715</v>
      </c>
      <c r="I18" s="3">
        <v>24</v>
      </c>
      <c r="J18" s="6">
        <v>18</v>
      </c>
      <c r="K18" s="6">
        <v>38</v>
      </c>
      <c r="L18" s="6">
        <v>12</v>
      </c>
      <c r="M18" s="3">
        <f t="shared" si="0"/>
        <v>92</v>
      </c>
      <c r="O18" s="12">
        <f t="shared" si="1"/>
        <v>0.80604199833219603</v>
      </c>
      <c r="P18" s="12">
        <f t="shared" si="2"/>
        <v>0.47425333129116237</v>
      </c>
      <c r="Q18" s="12">
        <f t="shared" si="3"/>
        <v>0.89310585475225346</v>
      </c>
      <c r="R18" s="12">
        <f t="shared" si="4"/>
        <v>0.80352116502744131</v>
      </c>
      <c r="T18" s="12">
        <f t="shared" si="5"/>
        <v>2.9769223494030532</v>
      </c>
    </row>
    <row r="19" spans="1:20" x14ac:dyDescent="0.25">
      <c r="A19" s="5" t="s">
        <v>10</v>
      </c>
      <c r="B19" s="1" t="s">
        <v>1</v>
      </c>
      <c r="C19" s="5" t="s">
        <v>4</v>
      </c>
      <c r="D19" s="5" t="s">
        <v>5</v>
      </c>
      <c r="E19" s="9">
        <f>(0.9867+0.4072+0.9351+0.2553+0.5607+0.1214+0.437)/7</f>
        <v>0.52905714285714278</v>
      </c>
      <c r="F19" s="11">
        <f>(77.34+74.45+70.7+80.65+47.03+72.56+55.28)/7</f>
        <v>68.287142857142854</v>
      </c>
      <c r="G19" s="8">
        <f>(1.0432+0.9503+0.9656+0.8256+0.9943+0.8028+0.9459)/7</f>
        <v>0.93252857142857137</v>
      </c>
      <c r="H19" s="11">
        <f>(734.21+358.03+402.86+342.32+251.03+342.35+289.44)/7</f>
        <v>388.60571428571427</v>
      </c>
      <c r="I19" s="1">
        <v>10</v>
      </c>
      <c r="J19" s="4">
        <v>17</v>
      </c>
      <c r="K19" s="4">
        <v>15</v>
      </c>
      <c r="L19" s="5">
        <v>22</v>
      </c>
      <c r="M19" s="3">
        <f t="shared" si="0"/>
        <v>64</v>
      </c>
      <c r="O19" s="12">
        <f t="shared" si="1"/>
        <v>0.40376013948904543</v>
      </c>
      <c r="P19" s="12">
        <f t="shared" si="2"/>
        <v>0.46426711594424863</v>
      </c>
      <c r="Q19" s="12">
        <f t="shared" si="3"/>
        <v>0.21157958038219971</v>
      </c>
      <c r="R19" s="12">
        <f t="shared" si="4"/>
        <v>1.9563006031625281</v>
      </c>
      <c r="T19" s="12">
        <f t="shared" si="5"/>
        <v>3.0359074389780218</v>
      </c>
    </row>
    <row r="20" spans="1:20" x14ac:dyDescent="0.25">
      <c r="A20" s="5" t="s">
        <v>9</v>
      </c>
      <c r="B20" s="1" t="s">
        <v>1</v>
      </c>
      <c r="C20" s="5" t="s">
        <v>4</v>
      </c>
      <c r="D20" s="5" t="s">
        <v>6</v>
      </c>
      <c r="E20" s="9">
        <f>(1.3357+0.4939+1.3119+0.464+0.4394+0.2687+0.4005)/7</f>
        <v>0.67344285714285712</v>
      </c>
      <c r="F20" s="11">
        <f>(75.57+60.91+65.13+85.25+52.7+57.61+65.87)/7</f>
        <v>66.148571428571429</v>
      </c>
      <c r="G20" s="8">
        <f>(0.8826+0.8769+0.991+0.926+1.0334+1.0627+1.0199)/7</f>
        <v>0.97035714285714292</v>
      </c>
      <c r="H20" s="11">
        <f>(229.99+440.96+195.15+295.08+260.56+412.66+542.42)/7</f>
        <v>339.54571428571433</v>
      </c>
      <c r="I20" s="1">
        <v>21</v>
      </c>
      <c r="J20" s="4">
        <v>15</v>
      </c>
      <c r="K20" s="4">
        <v>18</v>
      </c>
      <c r="L20" s="4">
        <v>16</v>
      </c>
      <c r="M20" s="3">
        <f t="shared" si="0"/>
        <v>70</v>
      </c>
      <c r="O20" s="12">
        <f t="shared" si="1"/>
        <v>0.78686225456750813</v>
      </c>
      <c r="P20" s="12">
        <f t="shared" si="2"/>
        <v>0.41841017001072139</v>
      </c>
      <c r="Q20" s="12">
        <f t="shared" si="3"/>
        <v>0.26072802055028454</v>
      </c>
      <c r="R20" s="12">
        <f t="shared" si="4"/>
        <v>1.5830788458403526</v>
      </c>
      <c r="T20" s="12">
        <f t="shared" si="5"/>
        <v>3.0490792909688667</v>
      </c>
    </row>
    <row r="21" spans="1:20" x14ac:dyDescent="0.25">
      <c r="A21" s="5" t="s">
        <v>0</v>
      </c>
      <c r="B21" s="1" t="s">
        <v>2</v>
      </c>
      <c r="C21" s="5" t="s">
        <v>4</v>
      </c>
      <c r="D21" s="5" t="s">
        <v>5</v>
      </c>
      <c r="E21" s="9">
        <f>(0.5203+0.5221+0.3765+0.4075+0.5786+0.3787+0.5147)/7</f>
        <v>0.47120000000000001</v>
      </c>
      <c r="F21" s="10">
        <f>(66.76+122.73+103.44+69.82+98.34+62.5+138.78)/7</f>
        <v>94.624285714285719</v>
      </c>
      <c r="G21" s="8">
        <f>(0.8785+0.8819+0.879+0.8906+0.8787+0.8785+0.8839)/7</f>
        <v>0.88158571428571431</v>
      </c>
      <c r="H21" s="11">
        <f>(358.23+360.11+353.39+405.4+353.93+347.77+363.66)/7</f>
        <v>363.2128571428571</v>
      </c>
      <c r="I21" s="1">
        <v>5</v>
      </c>
      <c r="J21" s="4">
        <v>30</v>
      </c>
      <c r="K21" s="4">
        <v>10</v>
      </c>
      <c r="L21" s="4">
        <v>18</v>
      </c>
      <c r="M21" s="3">
        <f t="shared" si="0"/>
        <v>63</v>
      </c>
      <c r="O21" s="12">
        <f t="shared" si="1"/>
        <v>0.25024638010764921</v>
      </c>
      <c r="P21" s="12">
        <f t="shared" si="2"/>
        <v>1.0290090366059121</v>
      </c>
      <c r="Q21" s="12">
        <f t="shared" si="3"/>
        <v>0.14539251934013409</v>
      </c>
      <c r="R21" s="12">
        <f t="shared" si="4"/>
        <v>1.7631255773515186</v>
      </c>
      <c r="T21" s="12">
        <f t="shared" si="5"/>
        <v>3.1877735134052143</v>
      </c>
    </row>
    <row r="22" spans="1:20" x14ac:dyDescent="0.25">
      <c r="A22" s="5" t="s">
        <v>10</v>
      </c>
      <c r="B22" s="1" t="s">
        <v>2</v>
      </c>
      <c r="C22" s="5" t="s">
        <v>4</v>
      </c>
      <c r="D22" s="5" t="s">
        <v>5</v>
      </c>
      <c r="E22" s="9">
        <f>(0.8704+0.3887+0.8123+0.2707+0.5413+0.175+0.4913)/7</f>
        <v>0.5071</v>
      </c>
      <c r="F22" s="11">
        <f>(84.21+72.5+92.47+71.52+54.34+76+59.77)/7</f>
        <v>72.972857142857137</v>
      </c>
      <c r="G22" s="8">
        <f>(0.9841+0.9076+1.0554+0.9119+0.9755+1.0307+0.8635)/7</f>
        <v>0.96124285714285718</v>
      </c>
      <c r="H22" s="11">
        <f>(438.34+294.07+742.05+408.15+249.75+416.51+336.81)/7</f>
        <v>412.23999999999995</v>
      </c>
      <c r="I22" s="1">
        <v>8</v>
      </c>
      <c r="J22" s="4">
        <v>21</v>
      </c>
      <c r="K22" s="4">
        <v>17</v>
      </c>
      <c r="L22" s="4">
        <v>24</v>
      </c>
      <c r="M22" s="3">
        <f t="shared" si="0"/>
        <v>70</v>
      </c>
      <c r="O22" s="12">
        <f t="shared" si="1"/>
        <v>0.34550072018800704</v>
      </c>
      <c r="P22" s="12">
        <f t="shared" si="2"/>
        <v>0.56474192066166318</v>
      </c>
      <c r="Q22" s="12">
        <f t="shared" si="3"/>
        <v>0.24888636464875957</v>
      </c>
      <c r="R22" s="12">
        <f t="shared" si="4"/>
        <v>2.1360973754279193</v>
      </c>
      <c r="T22" s="12">
        <f t="shared" si="5"/>
        <v>3.2952263809263491</v>
      </c>
    </row>
    <row r="23" spans="1:20" x14ac:dyDescent="0.25">
      <c r="A23" s="5" t="s">
        <v>0</v>
      </c>
      <c r="B23" s="1" t="s">
        <v>1</v>
      </c>
      <c r="C23" s="5" t="s">
        <v>4</v>
      </c>
      <c r="D23" s="5" t="s">
        <v>5</v>
      </c>
      <c r="E23" s="9">
        <f>(0.5211+0.534+0.3765+0.4066+0.5785+0.3735+0.5147)/7</f>
        <v>0.4721285714285714</v>
      </c>
      <c r="F23" s="10">
        <f>(74.88+121.56+107.27+73.72+98.69+61.07+144.62)/7</f>
        <v>97.401428571428568</v>
      </c>
      <c r="G23" s="8">
        <f>(0.8996+0.9135+0.9034+0.915+0.9029+0.9023+0.9082)/7</f>
        <v>0.90641428571428573</v>
      </c>
      <c r="H23" s="11">
        <f>(366.44+363.68+353.21+456.71+343.22+330.08+349.94)/7</f>
        <v>366.18285714285719</v>
      </c>
      <c r="I23" s="1">
        <v>6</v>
      </c>
      <c r="J23" s="4">
        <v>33</v>
      </c>
      <c r="K23" s="4">
        <v>13</v>
      </c>
      <c r="L23" s="4">
        <v>19</v>
      </c>
      <c r="M23" s="3">
        <f t="shared" si="0"/>
        <v>71</v>
      </c>
      <c r="O23" s="12">
        <f t="shared" si="1"/>
        <v>0.25271018118414068</v>
      </c>
      <c r="P23" s="12">
        <f t="shared" si="2"/>
        <v>1.0885587379384285</v>
      </c>
      <c r="Q23" s="12">
        <f t="shared" si="3"/>
        <v>0.17765082334773649</v>
      </c>
      <c r="R23" s="12">
        <f t="shared" si="4"/>
        <v>1.7857197196109336</v>
      </c>
      <c r="T23" s="12">
        <f t="shared" si="5"/>
        <v>3.3046394620812389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6</v>
      </c>
      <c r="E24" s="9">
        <f>(0.8553+0.4544+0.8043+0.2175+0.3953+0.1599+0.3966)/7</f>
        <v>0.46904285714285709</v>
      </c>
      <c r="F24" s="11">
        <f>(89.35+70.69+77.61+86.91+52.69+62.16+61.64)/7</f>
        <v>71.578571428571422</v>
      </c>
      <c r="G24" s="8">
        <f>(0.9135+0.935+0.908+0.8954+0.9335+1.0079+0.9698)/7</f>
        <v>0.93758571428571436</v>
      </c>
      <c r="H24" s="11">
        <f>(464.64+418.05+407.33+444.09+390.17+547.1+655.53)/7</f>
        <v>475.27285714285711</v>
      </c>
      <c r="I24" s="1">
        <v>3</v>
      </c>
      <c r="J24" s="4">
        <v>20</v>
      </c>
      <c r="K24" s="4">
        <v>16</v>
      </c>
      <c r="L24" s="4">
        <v>25</v>
      </c>
      <c r="M24" s="3">
        <f t="shared" si="0"/>
        <v>64</v>
      </c>
      <c r="O24" s="12">
        <f t="shared" si="1"/>
        <v>0.24452278068379948</v>
      </c>
      <c r="P24" s="12">
        <f t="shared" si="2"/>
        <v>0.53484453974574953</v>
      </c>
      <c r="Q24" s="12">
        <f t="shared" si="3"/>
        <v>0.21815002895451935</v>
      </c>
      <c r="R24" s="12">
        <f t="shared" si="4"/>
        <v>2.6156170189642993</v>
      </c>
      <c r="T24" s="12">
        <f t="shared" si="5"/>
        <v>3.6131343683483674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1</v>
      </c>
      <c r="J25" s="4">
        <v>25</v>
      </c>
      <c r="K25" s="4">
        <v>19</v>
      </c>
      <c r="L25" s="4">
        <v>28</v>
      </c>
      <c r="M25" s="3">
        <f t="shared" si="0"/>
        <v>73</v>
      </c>
      <c r="O25" s="12">
        <f t="shared" si="1"/>
        <v>0</v>
      </c>
      <c r="P25" s="12">
        <f t="shared" si="2"/>
        <v>0.7790779598713431</v>
      </c>
      <c r="Q25" s="12">
        <f t="shared" si="3"/>
        <v>0.27145604110056892</v>
      </c>
      <c r="R25" s="12">
        <f t="shared" si="4"/>
        <v>2.5836222355050809</v>
      </c>
      <c r="S25" s="27"/>
      <c r="T25" s="12">
        <f t="shared" si="5"/>
        <v>3.6341562364769926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5</v>
      </c>
      <c r="E26" s="18">
        <f>(0.8749+0.4344+0.7983+0.217+0.4815+0.1446+0.439)/7</f>
        <v>0.48424285714285714</v>
      </c>
      <c r="F26" s="17">
        <f>(79.72+76.8+65.46+85.19+48.57+73.3+61.64)/7</f>
        <v>70.097142857142856</v>
      </c>
      <c r="G26" s="19">
        <f>(0.9516+0.9542+0.9082+0.8571+0.9146+0.9381+0.9389)/7</f>
        <v>0.92324285714285725</v>
      </c>
      <c r="H26" s="17">
        <f>(514.82+441.33+447.06+429.06+461.99+452.9+666.02)/7</f>
        <v>487.5971428571429</v>
      </c>
      <c r="I26" s="3">
        <v>7</v>
      </c>
      <c r="J26" s="6">
        <v>19</v>
      </c>
      <c r="K26" s="6">
        <v>14</v>
      </c>
      <c r="L26" s="6">
        <v>26</v>
      </c>
      <c r="M26" s="3">
        <f t="shared" si="0"/>
        <v>66</v>
      </c>
      <c r="O26" s="12">
        <f t="shared" si="1"/>
        <v>0.28485330907436895</v>
      </c>
      <c r="P26" s="12">
        <f t="shared" si="2"/>
        <v>0.50307857252259147</v>
      </c>
      <c r="Q26" s="12">
        <f t="shared" si="3"/>
        <v>0.19951519741042686</v>
      </c>
      <c r="R26" s="12">
        <f t="shared" si="4"/>
        <v>2.7093734717165687</v>
      </c>
      <c r="T26" s="12">
        <f t="shared" si="5"/>
        <v>3.696820550723956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29</v>
      </c>
      <c r="J27" s="4">
        <v>22</v>
      </c>
      <c r="K27" s="4">
        <v>32</v>
      </c>
      <c r="L27" s="4">
        <v>21</v>
      </c>
      <c r="M27" s="3">
        <f t="shared" si="0"/>
        <v>104</v>
      </c>
      <c r="O27" s="12">
        <f t="shared" si="1"/>
        <v>0.91845955575771343</v>
      </c>
      <c r="P27" s="12">
        <f t="shared" si="2"/>
        <v>0.58500842395466368</v>
      </c>
      <c r="Q27" s="12">
        <f t="shared" si="3"/>
        <v>0.57517409832657751</v>
      </c>
      <c r="R27" s="12">
        <f t="shared" si="4"/>
        <v>1.986154431342716</v>
      </c>
      <c r="S27" s="28"/>
      <c r="T27" s="12">
        <f t="shared" si="5"/>
        <v>4.0647965093816705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23</v>
      </c>
      <c r="K28" s="4">
        <v>21</v>
      </c>
      <c r="L28" s="4">
        <v>23</v>
      </c>
      <c r="M28" s="3">
        <f t="shared" si="0"/>
        <v>100</v>
      </c>
      <c r="O28" s="12">
        <f t="shared" si="1"/>
        <v>1.2143052080964298</v>
      </c>
      <c r="P28" s="12">
        <f t="shared" si="2"/>
        <v>0.6304242609894315</v>
      </c>
      <c r="Q28" s="12">
        <f t="shared" si="3"/>
        <v>0.30350275439143548</v>
      </c>
      <c r="R28" s="12">
        <f t="shared" si="4"/>
        <v>2.121384556865729</v>
      </c>
      <c r="S28" s="28"/>
      <c r="T28" s="12">
        <f t="shared" si="5"/>
        <v>4.2696167803430258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3</v>
      </c>
      <c r="J29" s="4">
        <v>28</v>
      </c>
      <c r="K29" s="4">
        <v>12</v>
      </c>
      <c r="L29" s="4">
        <v>32</v>
      </c>
      <c r="M29" s="3">
        <f t="shared" si="0"/>
        <v>75</v>
      </c>
      <c r="O29" s="12">
        <f t="shared" si="1"/>
        <v>0.24440906678796162</v>
      </c>
      <c r="P29" s="12">
        <f t="shared" si="2"/>
        <v>0.90762240261397842</v>
      </c>
      <c r="Q29" s="12">
        <f t="shared" si="3"/>
        <v>0.16463985032740888</v>
      </c>
      <c r="R29" s="12">
        <f t="shared" si="4"/>
        <v>3.4565360720172436</v>
      </c>
      <c r="S29" s="28"/>
      <c r="T29" s="12">
        <f t="shared" si="5"/>
        <v>4.7732073917465927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27</v>
      </c>
      <c r="K30" s="4">
        <v>35</v>
      </c>
      <c r="L30" s="4">
        <v>27</v>
      </c>
      <c r="M30" s="3">
        <f t="shared" si="0"/>
        <v>123</v>
      </c>
      <c r="O30" s="12">
        <f t="shared" si="1"/>
        <v>1.2934671366841028</v>
      </c>
      <c r="P30" s="12">
        <f t="shared" si="2"/>
        <v>0.82773012712513394</v>
      </c>
      <c r="Q30" s="12">
        <f t="shared" si="3"/>
        <v>0.59715726016006643</v>
      </c>
      <c r="R30" s="12">
        <f t="shared" si="4"/>
        <v>2.6187143400532524</v>
      </c>
      <c r="S30" s="28"/>
      <c r="T30" s="12">
        <f t="shared" si="5"/>
        <v>5.3370688640225552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14</v>
      </c>
      <c r="J31" s="4">
        <v>34</v>
      </c>
      <c r="K31" s="4">
        <v>23</v>
      </c>
      <c r="L31" s="4">
        <v>31</v>
      </c>
      <c r="M31" s="3">
        <f t="shared" si="0"/>
        <v>102</v>
      </c>
      <c r="O31" s="12">
        <f t="shared" si="1"/>
        <v>0.56002198468652864</v>
      </c>
      <c r="P31" s="12">
        <f t="shared" si="2"/>
        <v>1.1521595956501762</v>
      </c>
      <c r="Q31" s="12">
        <f t="shared" si="3"/>
        <v>0.36966011849080155</v>
      </c>
      <c r="R31" s="12">
        <f t="shared" si="4"/>
        <v>3.4562571319893496</v>
      </c>
      <c r="S31" s="28"/>
      <c r="T31" s="12">
        <f t="shared" si="5"/>
        <v>5.5380988308168559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11</v>
      </c>
      <c r="J32" s="4">
        <v>24</v>
      </c>
      <c r="K32" s="4">
        <v>22</v>
      </c>
      <c r="L32" s="4">
        <v>33</v>
      </c>
      <c r="M32" s="3">
        <f t="shared" si="0"/>
        <v>90</v>
      </c>
      <c r="O32" s="12">
        <f t="shared" si="1"/>
        <v>0.4291865665984384</v>
      </c>
      <c r="P32" s="12">
        <f t="shared" si="2"/>
        <v>0.77001684790932745</v>
      </c>
      <c r="Q32" s="12">
        <f t="shared" si="3"/>
        <v>0.30703669057270566</v>
      </c>
      <c r="R32" s="12">
        <f t="shared" si="4"/>
        <v>4.0700038037276531</v>
      </c>
      <c r="S32" s="28"/>
      <c r="T32" s="12">
        <f t="shared" si="5"/>
        <v>5.5762439088081246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29</v>
      </c>
      <c r="M33" s="3">
        <f t="shared" si="0"/>
        <v>129</v>
      </c>
      <c r="O33" s="12">
        <f t="shared" si="1"/>
        <v>1.3706788719581535</v>
      </c>
      <c r="P33" s="12">
        <f t="shared" si="2"/>
        <v>1.5468678204931843</v>
      </c>
      <c r="Q33" s="12">
        <f t="shared" si="3"/>
        <v>0.42474794719883607</v>
      </c>
      <c r="R33" s="12">
        <f t="shared" si="4"/>
        <v>2.8820273868391024</v>
      </c>
      <c r="S33" s="28"/>
      <c r="T33" s="12">
        <f t="shared" si="5"/>
        <v>6.2243220264892765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12</v>
      </c>
      <c r="J34" s="6">
        <v>35</v>
      </c>
      <c r="K34" s="6">
        <v>1</v>
      </c>
      <c r="L34" s="6">
        <v>37</v>
      </c>
      <c r="M34" s="3">
        <f t="shared" si="0"/>
        <v>85</v>
      </c>
      <c r="O34" s="12">
        <f t="shared" si="1"/>
        <v>0.4742400121294823</v>
      </c>
      <c r="P34" s="12">
        <f t="shared" si="2"/>
        <v>1.157488129882065</v>
      </c>
      <c r="Q34" s="12">
        <f t="shared" si="3"/>
        <v>0</v>
      </c>
      <c r="R34" s="12">
        <f t="shared" si="4"/>
        <v>4.8818410041841016</v>
      </c>
      <c r="S34" s="28"/>
      <c r="T34" s="12">
        <f t="shared" si="5"/>
        <v>6.5135691461956489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13</v>
      </c>
      <c r="J35" s="4">
        <v>32</v>
      </c>
      <c r="K35" s="4">
        <v>3</v>
      </c>
      <c r="L35" s="4">
        <v>38</v>
      </c>
      <c r="M35" s="3">
        <f t="shared" si="0"/>
        <v>86</v>
      </c>
      <c r="O35" s="12">
        <f t="shared" si="1"/>
        <v>0.49594420438177572</v>
      </c>
      <c r="P35" s="12">
        <f t="shared" si="2"/>
        <v>1.0598805330065859</v>
      </c>
      <c r="Q35" s="12">
        <f t="shared" si="3"/>
        <v>2.5750961438519984E-2</v>
      </c>
      <c r="R35" s="12">
        <f t="shared" si="4"/>
        <v>5.3538075313807543</v>
      </c>
      <c r="S35" s="28"/>
      <c r="T35" s="12">
        <f t="shared" si="5"/>
        <v>6.9353832302076359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30</v>
      </c>
      <c r="M36" s="3">
        <f t="shared" si="0"/>
        <v>133</v>
      </c>
      <c r="O36" s="12">
        <f t="shared" si="1"/>
        <v>1.6520860182447628</v>
      </c>
      <c r="P36" s="12">
        <f t="shared" si="2"/>
        <v>2.0881911471894625</v>
      </c>
      <c r="Q36" s="12">
        <f t="shared" si="3"/>
        <v>0.39252676436960809</v>
      </c>
      <c r="R36" s="12">
        <f t="shared" si="4"/>
        <v>2.9546088500063403</v>
      </c>
      <c r="S36" s="28"/>
      <c r="T36" s="12">
        <f t="shared" si="5"/>
        <v>7.0874127798101734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1.0557292851186415</v>
      </c>
      <c r="P37" s="12">
        <f t="shared" si="2"/>
        <v>2.4669780977178739</v>
      </c>
      <c r="Q37" s="12">
        <f t="shared" si="3"/>
        <v>0.10000259848248622</v>
      </c>
      <c r="R37" s="12">
        <f t="shared" si="4"/>
        <v>4.2011411182959302</v>
      </c>
      <c r="S37" s="28"/>
      <c r="T37" s="12">
        <f t="shared" si="5"/>
        <v>7.8238510996149317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1.7275288706946657</v>
      </c>
      <c r="P38" s="12">
        <f t="shared" si="2"/>
        <v>1.2407719405728288</v>
      </c>
      <c r="Q38" s="12">
        <f t="shared" si="3"/>
        <v>0.48048539652842748</v>
      </c>
      <c r="R38" s="12">
        <f t="shared" si="4"/>
        <v>4.6245974388233817</v>
      </c>
      <c r="S38" s="28"/>
      <c r="T38" s="12">
        <f t="shared" si="5"/>
        <v>8.0733836466193036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1.6450989310893793</v>
      </c>
      <c r="P39" s="12">
        <f t="shared" si="2"/>
        <v>1.4650635625670085</v>
      </c>
      <c r="Q39" s="12">
        <f t="shared" si="3"/>
        <v>0.2795793923015627</v>
      </c>
      <c r="R39" s="12">
        <f t="shared" si="4"/>
        <v>4.8673513376442248</v>
      </c>
      <c r="S39" s="28"/>
      <c r="T39" s="12">
        <f t="shared" si="5"/>
        <v>8.2570932236021761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1.2998351148510352</v>
      </c>
      <c r="P40" s="12">
        <f t="shared" si="2"/>
        <v>0.91693214887425345</v>
      </c>
      <c r="Q40" s="12">
        <f t="shared" si="3"/>
        <v>1.6104095208398499E-2</v>
      </c>
      <c r="R40" s="12">
        <f t="shared" si="4"/>
        <v>15.382997337390645</v>
      </c>
      <c r="S40" s="28"/>
      <c r="T40" s="12">
        <f t="shared" si="5"/>
        <v>17.615868696324331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31</v>
      </c>
      <c r="K41" s="4">
        <v>40</v>
      </c>
      <c r="L41" s="4">
        <v>40</v>
      </c>
      <c r="M41" s="3">
        <f t="shared" si="0"/>
        <v>148</v>
      </c>
      <c r="O41" s="12">
        <f t="shared" si="1"/>
        <v>1.4986354332499432</v>
      </c>
      <c r="P41" s="12">
        <f t="shared" si="2"/>
        <v>1.0480727012814619</v>
      </c>
      <c r="Q41" s="12">
        <f t="shared" si="3"/>
        <v>2.0625714582683718</v>
      </c>
      <c r="R41" s="12">
        <f t="shared" si="4"/>
        <v>370.39832635983265</v>
      </c>
      <c r="S41" s="28"/>
      <c r="T41" s="12">
        <f t="shared" si="5"/>
        <v>375.00760595263245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5047-E102-4287-9470-8871C20F91C1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(1.2737+0.6594+1.2894+0.2091+0.6702+0.1227+0.6433+0.1749)/8</f>
        <v>0.6303375</v>
      </c>
      <c r="F2" s="17">
        <f>(52.71+51.08+60.04+44.39+35.84+40.69+41.7+45.58)/8</f>
        <v>46.503749999999997</v>
      </c>
      <c r="G2" s="21">
        <f>(0.9517+0.8598+0.9794+0.8272+0.6981+0.8076+0.8403+0.876)/8</f>
        <v>0.85501250000000006</v>
      </c>
      <c r="H2" s="17">
        <f>(123.49+120.07+133.7+155.7+109.64+141.01+136.54+121.5)/8</f>
        <v>130.20625000000001</v>
      </c>
      <c r="I2" s="3">
        <v>23</v>
      </c>
      <c r="J2" s="6">
        <v>1</v>
      </c>
      <c r="K2" s="6">
        <v>5</v>
      </c>
      <c r="L2" s="2">
        <v>1</v>
      </c>
      <c r="M2" s="3">
        <f t="shared" ref="M2:M41" si="0">SUM(I2:L2)</f>
        <v>30</v>
      </c>
      <c r="N2" s="26"/>
      <c r="O2" s="12">
        <f t="shared" ref="O2:O41" si="1">(E2-MIN($E$2:$E$41))/MIN($E$2:$E$41)</f>
        <v>0.73163696301637959</v>
      </c>
      <c r="P2" s="12">
        <f t="shared" ref="P2:P41" si="2">(F2-MIN($F$2:$F$41))/MIN($F$2:$F$41)</f>
        <v>0</v>
      </c>
      <c r="Q2" s="12">
        <f t="shared" ref="Q2:Q41" si="3">(G2-MIN($G$2:$G$41))/MIN($G$2:$G$41)</f>
        <v>0.11086750337802743</v>
      </c>
      <c r="R2" s="12">
        <f t="shared" ref="R2:R41" si="4">(H2-MIN($H$2:$H$41))/MIN($H$2:$H$41)</f>
        <v>0</v>
      </c>
      <c r="T2" s="12">
        <f t="shared" ref="T2:T41" si="5">SUM(O2:R2)</f>
        <v>0.84250446639440701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(1.1939+0.5295+1.2054+0.2766+0.5897+0.1592+0.454+0.156)/8</f>
        <v>0.57053749999999992</v>
      </c>
      <c r="F3" s="11">
        <f>(56.51+60.9+62.78+51.52+43.79+52.13+43.82+56.48)/8</f>
        <v>53.491250000000001</v>
      </c>
      <c r="G3" s="8">
        <f>(0.8658+0.8758+0.9096+0.8829+0.7942+0.8075+0.8397+0.8983)/8</f>
        <v>0.85922500000000002</v>
      </c>
      <c r="H3" s="11">
        <f>(166.24+128.75+132.73+140.78+125.54+137.9+131.39+133.29)/8</f>
        <v>137.07749999999999</v>
      </c>
      <c r="I3" s="1">
        <v>14</v>
      </c>
      <c r="J3" s="4">
        <v>7</v>
      </c>
      <c r="K3" s="4">
        <v>6</v>
      </c>
      <c r="L3" s="4">
        <v>2</v>
      </c>
      <c r="M3" s="3">
        <f t="shared" si="0"/>
        <v>29</v>
      </c>
      <c r="N3" s="26"/>
      <c r="O3" s="12">
        <f t="shared" si="1"/>
        <v>0.56735689021668156</v>
      </c>
      <c r="P3" s="12">
        <f t="shared" si="2"/>
        <v>0.15025669972851663</v>
      </c>
      <c r="Q3" s="12">
        <f t="shared" si="3"/>
        <v>0.11634055711464518</v>
      </c>
      <c r="R3" s="12">
        <f t="shared" si="4"/>
        <v>5.2772044352709449E-2</v>
      </c>
      <c r="T3" s="12">
        <f t="shared" si="5"/>
        <v>0.88672619141255282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(1.328+0.6387+1.2933+0.2081+0.6567+0.1196+0.5433+0.1897)/8</f>
        <v>0.62217500000000003</v>
      </c>
      <c r="F4" s="11">
        <f>(51.46+51.93+58.53+45.16+36.44+41.24+41.95+45.42)/8</f>
        <v>46.516249999999999</v>
      </c>
      <c r="G4" s="8">
        <f>(0.9996+0.8412+0.962+0.8579+0.7042+0.8103+0.8744+0.871)/8</f>
        <v>0.86507499999999982</v>
      </c>
      <c r="H4" s="11">
        <f>(182.66+116.17+130.65+147.77+174.48+179.36+178.69+209.6)/8</f>
        <v>164.92249999999999</v>
      </c>
      <c r="I4" s="1">
        <v>20</v>
      </c>
      <c r="J4" s="4">
        <v>2</v>
      </c>
      <c r="K4" s="4">
        <v>7</v>
      </c>
      <c r="L4" s="4">
        <v>4</v>
      </c>
      <c r="M4" s="3">
        <f t="shared" si="0"/>
        <v>33</v>
      </c>
      <c r="N4" s="26"/>
      <c r="O4" s="12">
        <f t="shared" si="1"/>
        <v>0.70921328251090254</v>
      </c>
      <c r="P4" s="12">
        <f t="shared" si="2"/>
        <v>2.6879552724248785E-4</v>
      </c>
      <c r="Q4" s="12">
        <f t="shared" si="3"/>
        <v>0.12394111838686195</v>
      </c>
      <c r="R4" s="12">
        <f t="shared" si="4"/>
        <v>0.26662506600105579</v>
      </c>
      <c r="T4" s="12">
        <f t="shared" si="5"/>
        <v>1.1000482624260628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(1.2455+0.5+1.2323+0.3004+0.5862+0.1777+0.4921+0.1543)/8</f>
        <v>0.58606249999999993</v>
      </c>
      <c r="F5" s="10">
        <f>(55.47+59.6+62.03+55.14+41.94+49.02+46.46+57.6)/8</f>
        <v>53.407499999999999</v>
      </c>
      <c r="G5" s="8">
        <f>(0.8923+0.9144+0.9164+0.8568+0.7853+0.8317+0.9423+0.902)/8</f>
        <v>0.8801500000000001</v>
      </c>
      <c r="H5" s="11">
        <f>(205.31+122.82+127.03+142.04+171.6+166.16+171.72+202.86)/8</f>
        <v>163.6925</v>
      </c>
      <c r="I5" s="1">
        <v>15</v>
      </c>
      <c r="J5" s="4">
        <v>6</v>
      </c>
      <c r="K5" s="4">
        <v>8</v>
      </c>
      <c r="L5" s="4">
        <v>3</v>
      </c>
      <c r="M5" s="3">
        <f t="shared" si="0"/>
        <v>32</v>
      </c>
      <c r="N5" s="26"/>
      <c r="O5" s="12">
        <f t="shared" si="1"/>
        <v>0.61000652450121851</v>
      </c>
      <c r="P5" s="12">
        <f t="shared" si="2"/>
        <v>0.14845576969599231</v>
      </c>
      <c r="Q5" s="12">
        <f t="shared" si="3"/>
        <v>0.14352718012680618</v>
      </c>
      <c r="R5" s="12">
        <f t="shared" si="4"/>
        <v>0.25717851485623755</v>
      </c>
      <c r="T5" s="12">
        <f t="shared" si="5"/>
        <v>1.1591679891802547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(1.3011+0.4407+1.3109+0.2626+0.4583+0.1998+0.4748+0.2567)/8</f>
        <v>0.58811250000000004</v>
      </c>
      <c r="F6" s="10">
        <f>(56.07+59.15+57.91+70.66+44.24+61.26+54.88+60.19)/8</f>
        <v>58.044999999999995</v>
      </c>
      <c r="G6" s="7">
        <f>(0.8871+0.9177+0.7864+0.8393+0.8878+0.8673+1.0169+0.913)/8</f>
        <v>0.88943749999999999</v>
      </c>
      <c r="H6" s="11">
        <f>(134.99+125.11+131.69+70.66+168.23+100.31+204.7+388.66)/8</f>
        <v>165.54375000000002</v>
      </c>
      <c r="I6" s="1">
        <v>18</v>
      </c>
      <c r="J6" s="4">
        <v>9</v>
      </c>
      <c r="K6" s="4">
        <v>11</v>
      </c>
      <c r="L6" s="4">
        <v>5</v>
      </c>
      <c r="M6" s="3">
        <f t="shared" si="0"/>
        <v>43</v>
      </c>
      <c r="O6" s="12">
        <f t="shared" si="1"/>
        <v>0.61563819923766328</v>
      </c>
      <c r="P6" s="12">
        <f t="shared" si="2"/>
        <v>0.24817891030293254</v>
      </c>
      <c r="Q6" s="12">
        <f t="shared" si="3"/>
        <v>0.15559388317222753</v>
      </c>
      <c r="R6" s="12">
        <f t="shared" si="4"/>
        <v>0.27139634234147747</v>
      </c>
      <c r="T6" s="12">
        <f t="shared" si="5"/>
        <v>1.2908073350543008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(1.3227+0.4749+1.3441+0.442+0.5811+0.2335+0.5447+0.1681)/8</f>
        <v>0.63888750000000005</v>
      </c>
      <c r="F7" s="11">
        <f>(58.29+61.86+60.74+51.39+40.88+45.47+53.57+50.16)/8</f>
        <v>52.795000000000002</v>
      </c>
      <c r="G7" s="8">
        <f>(1.0335+1.1715+1.1142+1.0843+1.1517+1.1855+1.0869+1.2268)/8</f>
        <v>1.1318000000000001</v>
      </c>
      <c r="H7" s="11">
        <f>(160.77+179.11+159.49+181.56+155.86+172.02+177.21+164.4)/8</f>
        <v>168.80250000000001</v>
      </c>
      <c r="I7" s="1">
        <v>27</v>
      </c>
      <c r="J7" s="4">
        <v>5</v>
      </c>
      <c r="K7" s="4">
        <v>29</v>
      </c>
      <c r="L7" s="4">
        <v>7</v>
      </c>
      <c r="M7" s="3">
        <f t="shared" si="0"/>
        <v>68</v>
      </c>
      <c r="O7" s="12">
        <f t="shared" si="1"/>
        <v>0.75512516740496527</v>
      </c>
      <c r="P7" s="12">
        <f t="shared" si="2"/>
        <v>0.13528478886111348</v>
      </c>
      <c r="Q7" s="12">
        <f t="shared" si="3"/>
        <v>0.47048123895644978</v>
      </c>
      <c r="R7" s="12">
        <f t="shared" si="4"/>
        <v>0.29642394278308448</v>
      </c>
      <c r="T7" s="12">
        <f t="shared" si="5"/>
        <v>1.6573151380056128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(1.3621+0.4361+1.3698+0.3612+0.5383+0.1698+0.4519+0.182)/8</f>
        <v>0.60890000000000022</v>
      </c>
      <c r="F8" s="11">
        <f>(64.15+70.27+77.24+64.04+57.29+62.22+52.37+65.66)/8</f>
        <v>64.155000000000001</v>
      </c>
      <c r="G8" s="8">
        <f>(1.1016+1.239+1.1211+1.1332+1.1981+1.1556+1.082+1.22)/8</f>
        <v>1.1563250000000003</v>
      </c>
      <c r="H8" s="11">
        <f>(147.49+195.67+187.54+157.07+153.02+167.57+168.76+149.23)/8</f>
        <v>165.79374999999999</v>
      </c>
      <c r="I8" s="1">
        <v>19</v>
      </c>
      <c r="J8" s="4">
        <v>13</v>
      </c>
      <c r="K8" s="5">
        <v>31</v>
      </c>
      <c r="L8" s="4">
        <v>6</v>
      </c>
      <c r="M8" s="3">
        <f t="shared" si="0"/>
        <v>69</v>
      </c>
      <c r="O8" s="12">
        <f t="shared" si="1"/>
        <v>0.67274475464441497</v>
      </c>
      <c r="P8" s="12">
        <f t="shared" si="2"/>
        <v>0.37956616401903087</v>
      </c>
      <c r="Q8" s="12">
        <f t="shared" si="3"/>
        <v>0.50234513044382134</v>
      </c>
      <c r="R8" s="12">
        <f t="shared" si="4"/>
        <v>0.27331637306196882</v>
      </c>
      <c r="T8" s="12">
        <f t="shared" si="5"/>
        <v>1.8279724221692359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(1.3366+0.5616+1.3558+0.4503+0.6742+0.2342+0.7629+0.1552)/8</f>
        <v>0.69135000000000002</v>
      </c>
      <c r="F9" s="11">
        <f>(49.71+58.68+56.89+43.53+32.71+43.14+51.08+46.9)/8</f>
        <v>47.83</v>
      </c>
      <c r="G9" s="8">
        <f>(1.1058+1.2028+1.1401+1.2722+1.2954+1.2159+1.3044+1.3014)/8</f>
        <v>1.2297499999999999</v>
      </c>
      <c r="H9" s="10">
        <f>(162.21+173.81+185.48+184.26+178.2+159.46+199.82+164.62)/8</f>
        <v>175.98250000000002</v>
      </c>
      <c r="I9" s="1">
        <v>30</v>
      </c>
      <c r="J9" s="4">
        <v>4</v>
      </c>
      <c r="K9" s="4">
        <v>34</v>
      </c>
      <c r="L9" s="4">
        <v>9</v>
      </c>
      <c r="M9" s="3">
        <f t="shared" si="0"/>
        <v>77</v>
      </c>
      <c r="O9" s="12">
        <f t="shared" si="1"/>
        <v>0.89924796538580376</v>
      </c>
      <c r="P9" s="12">
        <f t="shared" si="2"/>
        <v>2.8519205440421511E-2</v>
      </c>
      <c r="Q9" s="12">
        <f t="shared" si="3"/>
        <v>0.59774191871946791</v>
      </c>
      <c r="R9" s="12">
        <f t="shared" si="4"/>
        <v>0.35156722507560123</v>
      </c>
      <c r="T9" s="12">
        <f t="shared" si="5"/>
        <v>1.8770763146212943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(1.3688+0.5081+1.3543+0.437+0.676+0.1217+0.6813+0.1775)/8</f>
        <v>0.6655875</v>
      </c>
      <c r="F10" s="17">
        <f>(52.41+55.11+57.38+43.03+32.31+40.32+51.99+46.21)/8</f>
        <v>47.344999999999999</v>
      </c>
      <c r="G10" s="21">
        <f>(1.1415+1.2812+1.1688+1.1353+1.3105+1.2336+1.3269+1.2901)/8</f>
        <v>1.2359875</v>
      </c>
      <c r="H10" s="20">
        <f>(209.7+171.09+169.95+173.32+240.72+198.07+215.47+279.44)/8</f>
        <v>207.22</v>
      </c>
      <c r="I10" s="3">
        <v>28</v>
      </c>
      <c r="J10" s="6">
        <v>3</v>
      </c>
      <c r="K10" s="6">
        <v>35</v>
      </c>
      <c r="L10" s="6">
        <v>11</v>
      </c>
      <c r="M10" s="3">
        <f t="shared" si="0"/>
        <v>77</v>
      </c>
      <c r="O10" s="12">
        <f t="shared" si="1"/>
        <v>0.82847429689914454</v>
      </c>
      <c r="P10" s="12">
        <f t="shared" si="2"/>
        <v>1.8089938983415366E-2</v>
      </c>
      <c r="Q10" s="12">
        <f t="shared" si="3"/>
        <v>0.60584593597339176</v>
      </c>
      <c r="R10" s="12">
        <f t="shared" si="4"/>
        <v>0.59147506360101743</v>
      </c>
      <c r="T10" s="12">
        <f t="shared" si="5"/>
        <v>2.043885235456969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(1.3206+0.4102+1.3062+0.4721+0.5795+0.0721+0.5153+0.3297)/8</f>
        <v>0.6257125</v>
      </c>
      <c r="F11" s="11">
        <f>(61.32+53.13+72.17+53.5+41.15+62.59+50.88+53.4)/8</f>
        <v>56.017499999999998</v>
      </c>
      <c r="G11" s="8">
        <f>(1.4839+1.4948+1.4472+1.4932+1.2562+1.4373+1.6056+1.5654)/8</f>
        <v>1.47295</v>
      </c>
      <c r="H11" s="11">
        <f>(187.02+167.01+144.5+201.65+171.01+263.98+149.22+158.96)/8</f>
        <v>180.41875000000002</v>
      </c>
      <c r="I11" s="1">
        <v>21</v>
      </c>
      <c r="J11" s="4">
        <v>8</v>
      </c>
      <c r="K11" s="4">
        <v>39</v>
      </c>
      <c r="L11" s="4">
        <v>10</v>
      </c>
      <c r="M11" s="3">
        <f t="shared" si="0"/>
        <v>78</v>
      </c>
      <c r="O11" s="12">
        <f t="shared" si="1"/>
        <v>0.71893135537927921</v>
      </c>
      <c r="P11" s="12">
        <f t="shared" si="2"/>
        <v>0.20458027578421101</v>
      </c>
      <c r="Q11" s="12">
        <f t="shared" si="3"/>
        <v>0.91371738904479805</v>
      </c>
      <c r="R11" s="12">
        <f t="shared" si="4"/>
        <v>0.38563817021072339</v>
      </c>
      <c r="T11" s="12">
        <f t="shared" si="5"/>
        <v>2.2228671904190116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(1.3218+0.3758+1.311+0.4881+0.5768+0.0879+0.5828+0.3306)/8</f>
        <v>0.63434999999999997</v>
      </c>
      <c r="F12" s="11">
        <f>(62.57+60.53+83.04+61.67+54.67+56.71+56.8+68.83)/8</f>
        <v>63.102499999999999</v>
      </c>
      <c r="G12" s="7">
        <f>(1.4147+1.4571+1.4124+1.4399+1.243+1.4357+1.5688+1.5454)/8</f>
        <v>1.4396250000000002</v>
      </c>
      <c r="H12" s="11">
        <f>(177.08+165.33+162.73+164.08+143.14+202.27+204.66+187)/8</f>
        <v>175.78625</v>
      </c>
      <c r="I12" s="1">
        <v>25</v>
      </c>
      <c r="J12" s="4">
        <v>12</v>
      </c>
      <c r="K12" s="4">
        <v>37</v>
      </c>
      <c r="L12" s="4">
        <v>8</v>
      </c>
      <c r="M12" s="3">
        <f t="shared" si="0"/>
        <v>82</v>
      </c>
      <c r="O12" s="12">
        <f t="shared" si="1"/>
        <v>0.74265993612856662</v>
      </c>
      <c r="P12" s="12">
        <f t="shared" si="2"/>
        <v>0.35693358062521846</v>
      </c>
      <c r="Q12" s="12">
        <f t="shared" si="3"/>
        <v>0.87042017461802346</v>
      </c>
      <c r="R12" s="12">
        <f t="shared" si="4"/>
        <v>0.35006000096001522</v>
      </c>
      <c r="T12" s="12">
        <f t="shared" si="5"/>
        <v>2.3200736923318237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(1.3138+0.4286+1.2697+0.5508+0.6187+0.1188+0.7445+0.365)/8</f>
        <v>0.67623750000000005</v>
      </c>
      <c r="F13" s="11">
        <f>(59.9+50.56+55.53+71.15+39.11+57.03+46.49+86.97)/8</f>
        <v>58.342500000000001</v>
      </c>
      <c r="G13" s="8">
        <f>(1.1382+1.1499+1.1235+1.089+0.7972+1.0977+1.3131+1.1659)/8</f>
        <v>1.1093125000000001</v>
      </c>
      <c r="H13" s="11">
        <f>(161.25+214.04+362.42+282.38+323.34+178.44+366.77+277.84)/8</f>
        <v>270.81</v>
      </c>
      <c r="I13" s="1">
        <v>29</v>
      </c>
      <c r="J13" s="4">
        <v>10</v>
      </c>
      <c r="K13" s="4">
        <v>27</v>
      </c>
      <c r="L13" s="4">
        <v>14</v>
      </c>
      <c r="M13" s="3">
        <f t="shared" si="0"/>
        <v>80</v>
      </c>
      <c r="O13" s="12">
        <f t="shared" si="1"/>
        <v>0.8577315339445758</v>
      </c>
      <c r="P13" s="12">
        <f t="shared" si="2"/>
        <v>0.25457624385130245</v>
      </c>
      <c r="Q13" s="12">
        <f t="shared" si="3"/>
        <v>0.44126455150192323</v>
      </c>
      <c r="R13" s="12">
        <f t="shared" si="4"/>
        <v>1.0798540776652426</v>
      </c>
      <c r="T13" s="12">
        <f t="shared" si="5"/>
        <v>2.6334264069630438</v>
      </c>
    </row>
    <row r="14" spans="1:20" x14ac:dyDescent="0.25">
      <c r="A14" s="5" t="s">
        <v>10</v>
      </c>
      <c r="B14" s="1" t="s">
        <v>2</v>
      </c>
      <c r="C14" s="5" t="s">
        <v>4</v>
      </c>
      <c r="D14" s="5" t="s">
        <v>6</v>
      </c>
      <c r="E14" s="9">
        <f>(0.9669+0.4189+0.879+0.2578+0.4751+0.1496+0.4201+0.1432)/8</f>
        <v>0.46382500000000004</v>
      </c>
      <c r="F14" s="11">
        <f>(79.1+69.5+61.94+61.04+39.92+83.59+59.6+74.28)/8</f>
        <v>66.121250000000003</v>
      </c>
      <c r="G14" s="8">
        <f>(1.001+1.0604+1.1131+1.0208+1.1782+1.0409+1.0226+1.0632)/8</f>
        <v>1.0625249999999999</v>
      </c>
      <c r="H14" s="11">
        <f>(381.55+371.65+270.43+324.54+322.43+434.65+293.76+316.81)/8</f>
        <v>339.47750000000002</v>
      </c>
      <c r="I14" s="1">
        <v>8</v>
      </c>
      <c r="J14" s="4">
        <v>14</v>
      </c>
      <c r="K14" s="4">
        <v>24</v>
      </c>
      <c r="L14" s="4">
        <v>16</v>
      </c>
      <c r="M14" s="3">
        <f t="shared" si="0"/>
        <v>62</v>
      </c>
      <c r="O14" s="12">
        <f t="shared" si="1"/>
        <v>0.27420074860066607</v>
      </c>
      <c r="P14" s="12">
        <f t="shared" si="2"/>
        <v>0.42184770045426462</v>
      </c>
      <c r="Q14" s="12">
        <f t="shared" si="3"/>
        <v>0.38047630183972569</v>
      </c>
      <c r="R14" s="12">
        <f t="shared" si="4"/>
        <v>1.6072289156626505</v>
      </c>
      <c r="T14" s="12">
        <f t="shared" si="5"/>
        <v>2.6837536665573065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(1.2886+0.3474+1.2595+0.3722+0.501+0.0892+0.5357+0.2955)/8</f>
        <v>0.58613749999999998</v>
      </c>
      <c r="F15" s="11">
        <f>(82.8+61.26+68.86+54.2+69.9+71.22+61.67+69.45)/8</f>
        <v>67.42</v>
      </c>
      <c r="G15" s="8">
        <f>(1.3666+1.2993+1.2877+1.3841+1.2634+1.3047+1.5021+1.4174)/8</f>
        <v>1.3531625</v>
      </c>
      <c r="H15" s="10">
        <f>(209.16+259.31+186.29+371.66+230.34+197.3+269.52+260.8)/8</f>
        <v>248.04749999999999</v>
      </c>
      <c r="I15" s="1">
        <v>15</v>
      </c>
      <c r="J15" s="4">
        <v>16</v>
      </c>
      <c r="K15" s="4">
        <v>36</v>
      </c>
      <c r="L15" s="4">
        <v>13</v>
      </c>
      <c r="M15" s="3">
        <f t="shared" si="0"/>
        <v>80</v>
      </c>
      <c r="O15" s="12">
        <f t="shared" si="1"/>
        <v>0.61021256138182034</v>
      </c>
      <c r="P15" s="12">
        <f t="shared" si="2"/>
        <v>0.4497755557347527</v>
      </c>
      <c r="Q15" s="12">
        <f t="shared" si="3"/>
        <v>0.7580845286352772</v>
      </c>
      <c r="R15" s="12">
        <f t="shared" si="4"/>
        <v>0.90503528056448879</v>
      </c>
      <c r="T15" s="12">
        <f t="shared" si="5"/>
        <v>2.7231079263163389</v>
      </c>
    </row>
    <row r="16" spans="1:20" x14ac:dyDescent="0.25">
      <c r="A16" s="5" t="s">
        <v>8</v>
      </c>
      <c r="B16" s="1" t="s">
        <v>1</v>
      </c>
      <c r="C16" s="5" t="s">
        <v>4</v>
      </c>
      <c r="D16" s="5" t="s">
        <v>6</v>
      </c>
      <c r="E16" s="9">
        <f>(1.1858+0.424+1.1808+0.4748+0.6384+0.111+0.6991+0.3544)/8</f>
        <v>0.63353750000000009</v>
      </c>
      <c r="F16" s="11">
        <f>(57.68+61.47+48.12+85.14+42.29+55.22+49+92.42)/8</f>
        <v>61.417500000000011</v>
      </c>
      <c r="G16" s="8">
        <f>(1.1335+1.1527+1.134+1.0992+0.7972+1.0852+1.3157+1.2646)/8</f>
        <v>1.1227624999999999</v>
      </c>
      <c r="H16" s="11">
        <f>(216.2+288.53+421.27+195.55+203.58+173.74+361.66+447.23)/8</f>
        <v>288.47000000000003</v>
      </c>
      <c r="I16" s="1">
        <v>24</v>
      </c>
      <c r="J16" s="4">
        <v>11</v>
      </c>
      <c r="K16" s="4">
        <v>28</v>
      </c>
      <c r="L16" s="4">
        <v>15</v>
      </c>
      <c r="M16" s="3">
        <f t="shared" si="0"/>
        <v>78</v>
      </c>
      <c r="O16" s="12">
        <f t="shared" si="1"/>
        <v>0.74042786992204923</v>
      </c>
      <c r="P16" s="12">
        <f t="shared" si="2"/>
        <v>0.32069994355293963</v>
      </c>
      <c r="Q16" s="12">
        <f t="shared" si="3"/>
        <v>0.45873934622180645</v>
      </c>
      <c r="R16" s="12">
        <f t="shared" si="4"/>
        <v>1.2154850477607642</v>
      </c>
      <c r="T16" s="12">
        <f t="shared" si="5"/>
        <v>2.7353522074575594</v>
      </c>
    </row>
    <row r="17" spans="1:20" x14ac:dyDescent="0.25">
      <c r="A17" s="5" t="s">
        <v>0</v>
      </c>
      <c r="B17" s="1" t="s">
        <v>2</v>
      </c>
      <c r="C17" s="5" t="s">
        <v>3</v>
      </c>
      <c r="D17" s="5" t="s">
        <v>5</v>
      </c>
      <c r="E17" s="9">
        <f>(0.4375+0.4583+0.3841+0.2492+0.5344+0.2099+0.392+0.2467)/8</f>
        <v>0.36401250000000007</v>
      </c>
      <c r="F17" s="10">
        <f>(82.48+84.17+82.35+73.08+98.84+69.11+93.9+77.32)/8</f>
        <v>82.65625</v>
      </c>
      <c r="G17" s="8">
        <f>(0.8819+0.8774+0.8784+0.8833+0.8811+0.8776+0.8808+0.8809)/8</f>
        <v>0.88017499999999993</v>
      </c>
      <c r="H17" s="11">
        <f>(459.56+372.58+364.47+414.66+362.69+321.07+353.8+375.64)/8</f>
        <v>378.05875000000003</v>
      </c>
      <c r="I17" s="1">
        <v>1</v>
      </c>
      <c r="J17" s="4">
        <v>25</v>
      </c>
      <c r="K17" s="4">
        <v>9</v>
      </c>
      <c r="L17" s="4">
        <v>20</v>
      </c>
      <c r="M17" s="3">
        <f t="shared" si="0"/>
        <v>55</v>
      </c>
      <c r="O17" s="12">
        <f t="shared" si="1"/>
        <v>0</v>
      </c>
      <c r="P17" s="12">
        <f t="shared" si="2"/>
        <v>0.7774104238905466</v>
      </c>
      <c r="Q17" s="12">
        <f t="shared" si="3"/>
        <v>0.14355966115788382</v>
      </c>
      <c r="R17" s="12">
        <f t="shared" si="4"/>
        <v>1.9035376566025057</v>
      </c>
      <c r="T17" s="12">
        <f t="shared" si="5"/>
        <v>2.8245077416509359</v>
      </c>
    </row>
    <row r="18" spans="1:20" x14ac:dyDescent="0.25">
      <c r="A18" s="2" t="s">
        <v>8</v>
      </c>
      <c r="B18" s="3" t="s">
        <v>2</v>
      </c>
      <c r="C18" s="2" t="s">
        <v>4</v>
      </c>
      <c r="D18" s="2" t="s">
        <v>5</v>
      </c>
      <c r="E18" s="18">
        <f>(1.3315+0.4834+1.3377+0.4167+0.5593+0.1116+0.5245+0.3262)/8</f>
        <v>0.63636249999999994</v>
      </c>
      <c r="F18" s="17">
        <f>(91.15+77.13+76.62+66.02+50.57+69.87+49.91+69.17)/8</f>
        <v>68.804999999999993</v>
      </c>
      <c r="G18" s="21">
        <f>(1.5148+1.4537+1.4612+1.4799+1.2462+1.4433+1.6005+1.6267)/8</f>
        <v>1.4782875</v>
      </c>
      <c r="H18" s="17">
        <f>(212.35+316.11+236.87+192.43+184.35+201.17+316.23+198.87)/8</f>
        <v>232.29750000000001</v>
      </c>
      <c r="I18" s="3">
        <v>26</v>
      </c>
      <c r="J18" s="6">
        <v>18</v>
      </c>
      <c r="K18" s="6">
        <v>38</v>
      </c>
      <c r="L18" s="6">
        <v>12</v>
      </c>
      <c r="M18" s="3">
        <f t="shared" si="0"/>
        <v>94</v>
      </c>
      <c r="O18" s="12">
        <f t="shared" si="1"/>
        <v>0.74818859242471014</v>
      </c>
      <c r="P18" s="12">
        <f t="shared" si="2"/>
        <v>0.47955810015321337</v>
      </c>
      <c r="Q18" s="12">
        <f t="shared" si="3"/>
        <v>0.92065208917991914</v>
      </c>
      <c r="R18" s="12">
        <f t="shared" si="4"/>
        <v>0.78407334517352267</v>
      </c>
      <c r="S18" s="27"/>
      <c r="T18" s="12">
        <f t="shared" si="5"/>
        <v>2.9324721269313656</v>
      </c>
    </row>
    <row r="19" spans="1:20" x14ac:dyDescent="0.25">
      <c r="A19" s="5" t="s">
        <v>9</v>
      </c>
      <c r="B19" s="1" t="s">
        <v>1</v>
      </c>
      <c r="C19" s="5" t="s">
        <v>4</v>
      </c>
      <c r="D19" s="5" t="s">
        <v>6</v>
      </c>
      <c r="E19" s="9">
        <f>(1.3357+0.4939+1.3119+0.464+0.4394+0.2687+0.4005+0.3223)/8</f>
        <v>0.62955000000000005</v>
      </c>
      <c r="F19" s="11">
        <f>(75.57+60.91+65.13+85.25+52.7+57.61+65.87+66.61)/8</f>
        <v>66.206249999999997</v>
      </c>
      <c r="G19" s="8">
        <f>(0.8826+0.8769+0.991+0.926+1.0334+1.0627+1.0199+1.0366)/8</f>
        <v>0.97863750000000005</v>
      </c>
      <c r="H19" s="11">
        <f>(229.99+440.96+195.15+295.08+260.56+412.66+542.42+341.11)/8</f>
        <v>339.74125000000004</v>
      </c>
      <c r="I19" s="1">
        <v>22</v>
      </c>
      <c r="J19" s="4">
        <v>15</v>
      </c>
      <c r="K19" s="4">
        <v>19</v>
      </c>
      <c r="L19" s="4">
        <v>17</v>
      </c>
      <c r="M19" s="3">
        <f t="shared" si="0"/>
        <v>73</v>
      </c>
      <c r="O19" s="12">
        <f t="shared" si="1"/>
        <v>0.72947357577006267</v>
      </c>
      <c r="P19" s="12">
        <f t="shared" si="2"/>
        <v>0.42367551003951298</v>
      </c>
      <c r="Q19" s="12">
        <f t="shared" si="3"/>
        <v>0.27148620205799834</v>
      </c>
      <c r="R19" s="12">
        <f t="shared" si="4"/>
        <v>1.6092545480727691</v>
      </c>
      <c r="T19" s="12">
        <f t="shared" si="5"/>
        <v>3.033889835940343</v>
      </c>
    </row>
    <row r="20" spans="1:20" x14ac:dyDescent="0.25">
      <c r="A20" s="5" t="s">
        <v>10</v>
      </c>
      <c r="B20" s="1" t="s">
        <v>2</v>
      </c>
      <c r="C20" s="5" t="s">
        <v>4</v>
      </c>
      <c r="D20" s="5" t="s">
        <v>5</v>
      </c>
      <c r="E20" s="9">
        <f>(0.8704+0.3887+0.8123+0.2707+0.5413+0.175+0.4913+0.1482)/8</f>
        <v>0.46223749999999997</v>
      </c>
      <c r="F20" s="11">
        <f>(84.21+72.5+92.47+71.52+54.34+76+59.77+71.97)/8</f>
        <v>72.847499999999997</v>
      </c>
      <c r="G20" s="8">
        <f>(0.9841+0.9076+1.0554+0.9119+0.9755+1.0307+0.8635+0.8978)/8</f>
        <v>0.95331250000000001</v>
      </c>
      <c r="H20" s="11">
        <f>(438.34+294.07+742.05+408.15+249.75+416.51+336.81+265.61)/8</f>
        <v>393.91125</v>
      </c>
      <c r="I20" s="1">
        <v>7</v>
      </c>
      <c r="J20" s="4">
        <v>21</v>
      </c>
      <c r="K20" s="4">
        <v>17</v>
      </c>
      <c r="L20" s="4">
        <v>22</v>
      </c>
      <c r="M20" s="3">
        <f t="shared" si="0"/>
        <v>67</v>
      </c>
      <c r="O20" s="12">
        <f t="shared" si="1"/>
        <v>0.26983963462793137</v>
      </c>
      <c r="P20" s="12">
        <f t="shared" si="2"/>
        <v>0.56648657366341426</v>
      </c>
      <c r="Q20" s="12">
        <f t="shared" si="3"/>
        <v>0.23858291757613567</v>
      </c>
      <c r="R20" s="12">
        <f t="shared" si="4"/>
        <v>2.0252868045888732</v>
      </c>
      <c r="T20" s="12">
        <f t="shared" si="5"/>
        <v>3.1001959304563544</v>
      </c>
    </row>
    <row r="21" spans="1:20" x14ac:dyDescent="0.25">
      <c r="A21" s="5" t="s">
        <v>0</v>
      </c>
      <c r="B21" s="1" t="s">
        <v>2</v>
      </c>
      <c r="C21" s="5" t="s">
        <v>4</v>
      </c>
      <c r="D21" s="5" t="s">
        <v>5</v>
      </c>
      <c r="E21" s="9">
        <f>(0.5203+0.5221+0.3765+0.4075+0.5786+0.3787+0.5147+0.3045)/8</f>
        <v>0.4503625</v>
      </c>
      <c r="F21" s="10">
        <f>(66.76+122.73+103.44+69.82+98.34+62.5+138.78+67.4)/8</f>
        <v>91.221249999999998</v>
      </c>
      <c r="G21" s="8">
        <f>(0.8785+0.8819+0.879+0.8906+0.8787+0.8785+0.8839+0.8772)/8</f>
        <v>0.88103750000000003</v>
      </c>
      <c r="H21" s="11">
        <f>(358.23+360.11+353.39+405.4+353.93+347.77+363.66+358.27)/8</f>
        <v>362.59499999999997</v>
      </c>
      <c r="I21" s="1">
        <v>5</v>
      </c>
      <c r="J21" s="4">
        <v>30</v>
      </c>
      <c r="K21" s="4">
        <v>10</v>
      </c>
      <c r="L21" s="4">
        <v>18</v>
      </c>
      <c r="M21" s="3">
        <f t="shared" si="0"/>
        <v>63</v>
      </c>
      <c r="O21" s="12">
        <f t="shared" si="1"/>
        <v>0.23721712853267377</v>
      </c>
      <c r="P21" s="12">
        <f t="shared" si="2"/>
        <v>0.96158911915705736</v>
      </c>
      <c r="Q21" s="12">
        <f t="shared" si="3"/>
        <v>0.14468025673006979</v>
      </c>
      <c r="R21" s="12">
        <f t="shared" si="4"/>
        <v>1.7847741563865016</v>
      </c>
      <c r="T21" s="12">
        <f t="shared" si="5"/>
        <v>3.1282606608063026</v>
      </c>
    </row>
    <row r="22" spans="1:20" x14ac:dyDescent="0.25">
      <c r="A22" s="5" t="s">
        <v>10</v>
      </c>
      <c r="B22" s="1" t="s">
        <v>1</v>
      </c>
      <c r="C22" s="5" t="s">
        <v>4</v>
      </c>
      <c r="D22" s="5" t="s">
        <v>5</v>
      </c>
      <c r="E22" s="9">
        <f>(0.9867+0.4072+0.9351+0.2553+0.5607+0.1214+0.437+0.1349)/8</f>
        <v>0.47978749999999992</v>
      </c>
      <c r="F22" s="11">
        <f>(77.34+74.45+70.7+80.65+47.03+72.56+55.28+69.01)/8</f>
        <v>68.377499999999998</v>
      </c>
      <c r="G22" s="8">
        <f>(1.0432+0.9503+0.9656+0.8256+0.9943+0.8028+0.9459+0.9385)/8</f>
        <v>0.93327499999999997</v>
      </c>
      <c r="H22" s="11">
        <f>(734.21+358.03+402.86+342.32+251.03+342.35+289.44+568.11)/8</f>
        <v>411.04374999999999</v>
      </c>
      <c r="I22" s="1">
        <v>10</v>
      </c>
      <c r="J22" s="4">
        <v>17</v>
      </c>
      <c r="K22" s="4">
        <v>15</v>
      </c>
      <c r="L22" s="5">
        <v>24</v>
      </c>
      <c r="M22" s="3">
        <f t="shared" si="0"/>
        <v>66</v>
      </c>
      <c r="O22" s="12">
        <f t="shared" si="1"/>
        <v>0.31805226468871212</v>
      </c>
      <c r="P22" s="12">
        <f t="shared" si="2"/>
        <v>0.47036529312152253</v>
      </c>
      <c r="Q22" s="12">
        <f t="shared" si="3"/>
        <v>0.2125493711672384</v>
      </c>
      <c r="R22" s="12">
        <f t="shared" si="4"/>
        <v>2.1568665098641575</v>
      </c>
      <c r="T22" s="12">
        <f t="shared" si="5"/>
        <v>3.1578334388416307</v>
      </c>
    </row>
    <row r="23" spans="1:20" x14ac:dyDescent="0.25">
      <c r="A23" s="5" t="s">
        <v>0</v>
      </c>
      <c r="B23" s="1" t="s">
        <v>1</v>
      </c>
      <c r="C23" s="5" t="s">
        <v>4</v>
      </c>
      <c r="D23" s="5" t="s">
        <v>5</v>
      </c>
      <c r="E23" s="9">
        <f>(0.5211+0.534+0.3765+0.4066+0.5785+0.3735+0.5147+0.3552)/8</f>
        <v>0.45751249999999999</v>
      </c>
      <c r="F23" s="10">
        <f>(74.88+121.56+107.27+73.72+98.69+61.07+144.62+77.65)/8</f>
        <v>94.93249999999999</v>
      </c>
      <c r="G23" s="8">
        <f>(0.8996+0.9135+0.9034+0.915+0.9029+0.9023+0.9082+0.903)/8</f>
        <v>0.90598749999999995</v>
      </c>
      <c r="H23" s="11">
        <f>(366.44+363.68+353.21+456.71+343.22+330.08+349.94+385.28)/8</f>
        <v>368.57000000000005</v>
      </c>
      <c r="I23" s="1">
        <v>6</v>
      </c>
      <c r="J23" s="4">
        <v>31</v>
      </c>
      <c r="K23" s="4">
        <v>13</v>
      </c>
      <c r="L23" s="4">
        <v>19</v>
      </c>
      <c r="M23" s="3">
        <f t="shared" si="0"/>
        <v>69</v>
      </c>
      <c r="O23" s="12">
        <f t="shared" si="1"/>
        <v>0.25685931115002891</v>
      </c>
      <c r="P23" s="12">
        <f t="shared" si="2"/>
        <v>1.0413945111953335</v>
      </c>
      <c r="Q23" s="12">
        <f t="shared" si="3"/>
        <v>0.17709632574576453</v>
      </c>
      <c r="R23" s="12">
        <f t="shared" si="4"/>
        <v>1.8306628906062499</v>
      </c>
      <c r="T23" s="12">
        <f t="shared" si="5"/>
        <v>3.3060130386973769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(0.8749+0.4344+0.7983+0.217+0.4815+0.1446+0.439+0.1604)/8</f>
        <v>0.4437625</v>
      </c>
      <c r="F24" s="11">
        <f>(79.72+76.8+65.46+85.19+48.57+73.3+61.64+70.01)/8</f>
        <v>70.086249999999993</v>
      </c>
      <c r="G24" s="7">
        <f>(0.9516+0.9542+0.9082+0.8571+0.9146+0.9381+0.9389+0.936)/8</f>
        <v>0.92483750000000009</v>
      </c>
      <c r="H24" s="11">
        <f>(514.82+441.33+447.06+429.06+461.99+452.9+666.02+422.03)/8</f>
        <v>479.40125</v>
      </c>
      <c r="I24" s="1">
        <v>4</v>
      </c>
      <c r="J24" s="4">
        <v>19</v>
      </c>
      <c r="K24" s="4">
        <v>14</v>
      </c>
      <c r="L24" s="4">
        <v>27</v>
      </c>
      <c r="M24" s="3">
        <f t="shared" si="0"/>
        <v>64</v>
      </c>
      <c r="O24" s="12">
        <f t="shared" si="1"/>
        <v>0.21908588303973056</v>
      </c>
      <c r="P24" s="12">
        <f t="shared" si="2"/>
        <v>0.50710964169556216</v>
      </c>
      <c r="Q24" s="12">
        <f t="shared" si="3"/>
        <v>0.20158702317846403</v>
      </c>
      <c r="R24" s="12">
        <f t="shared" si="4"/>
        <v>2.681860509768156</v>
      </c>
      <c r="T24" s="12">
        <f t="shared" si="5"/>
        <v>3.6096430576819127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2</v>
      </c>
      <c r="J25" s="4">
        <v>26</v>
      </c>
      <c r="K25" s="4">
        <v>18</v>
      </c>
      <c r="L25" s="4">
        <v>25</v>
      </c>
      <c r="M25" s="3">
        <f t="shared" si="0"/>
        <v>71</v>
      </c>
      <c r="O25" s="12">
        <f t="shared" si="1"/>
        <v>3.5364758863264845E-2</v>
      </c>
      <c r="P25" s="12">
        <f t="shared" si="2"/>
        <v>0.78412647213550368</v>
      </c>
      <c r="Q25" s="12">
        <f t="shared" si="3"/>
        <v>0.27145604110056892</v>
      </c>
      <c r="R25" s="12">
        <f t="shared" si="4"/>
        <v>2.6178535427995411</v>
      </c>
      <c r="S25" s="28"/>
      <c r="T25" s="12">
        <f t="shared" si="5"/>
        <v>3.7088008148988783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(0.8553+0.4544+0.8043+0.2175+0.3953+0.1599+0.3966+0.1542)/8</f>
        <v>0.42968749999999994</v>
      </c>
      <c r="F26" s="17">
        <f>(89.35+70.69+77.61+86.91+52.69+62.16+61.64+71.17)/8</f>
        <v>71.527499999999989</v>
      </c>
      <c r="G26" s="21">
        <f>(0.9135+0.935+0.908+0.8954+0.9335+1.0079+0.9698+0.9267)/8</f>
        <v>0.93622500000000008</v>
      </c>
      <c r="H26" s="17">
        <f>(464.64+418.05+407.33+444.09+390.17+547.1+655.53+850)/8</f>
        <v>522.11374999999998</v>
      </c>
      <c r="I26" s="3">
        <v>3</v>
      </c>
      <c r="J26" s="6">
        <v>20</v>
      </c>
      <c r="K26" s="6">
        <v>16</v>
      </c>
      <c r="L26" s="6">
        <v>30</v>
      </c>
      <c r="M26" s="3">
        <f t="shared" si="0"/>
        <v>69</v>
      </c>
      <c r="O26" s="12">
        <f t="shared" si="1"/>
        <v>0.18041962844682494</v>
      </c>
      <c r="P26" s="12">
        <f t="shared" si="2"/>
        <v>0.53810176598661386</v>
      </c>
      <c r="Q26" s="12">
        <f t="shared" si="3"/>
        <v>0.21638213283442492</v>
      </c>
      <c r="R26" s="12">
        <f t="shared" si="4"/>
        <v>3.0098977583641333</v>
      </c>
      <c r="T26" s="12">
        <f t="shared" si="5"/>
        <v>3.9448012856319972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22</v>
      </c>
      <c r="K27" s="4">
        <v>32</v>
      </c>
      <c r="L27" s="4">
        <v>21</v>
      </c>
      <c r="M27" s="3">
        <f t="shared" si="0"/>
        <v>106</v>
      </c>
      <c r="O27" s="12">
        <f t="shared" si="1"/>
        <v>0.98630541533601113</v>
      </c>
      <c r="P27" s="12">
        <f t="shared" si="2"/>
        <v>0.58950622261645558</v>
      </c>
      <c r="Q27" s="12">
        <f t="shared" si="3"/>
        <v>0.57517409832657751</v>
      </c>
      <c r="R27" s="12">
        <f t="shared" si="4"/>
        <v>2.0146786348581571</v>
      </c>
      <c r="S27" s="28"/>
      <c r="T27" s="12">
        <f t="shared" si="5"/>
        <v>4.1656643711372014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23</v>
      </c>
      <c r="K28" s="4">
        <v>21</v>
      </c>
      <c r="L28" s="4">
        <v>23</v>
      </c>
      <c r="M28" s="3">
        <f t="shared" si="0"/>
        <v>100</v>
      </c>
      <c r="O28" s="12">
        <f t="shared" si="1"/>
        <v>1.2926135778304317</v>
      </c>
      <c r="P28" s="12">
        <f t="shared" si="2"/>
        <v>0.63505093675241231</v>
      </c>
      <c r="Q28" s="12">
        <f t="shared" si="3"/>
        <v>0.30350275439143548</v>
      </c>
      <c r="R28" s="12">
        <f t="shared" si="4"/>
        <v>2.1512004992079872</v>
      </c>
      <c r="S28" s="28"/>
      <c r="T28" s="12">
        <f t="shared" si="5"/>
        <v>4.3823677681822666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9</v>
      </c>
      <c r="J29" s="4">
        <v>28</v>
      </c>
      <c r="K29" s="4">
        <v>12</v>
      </c>
      <c r="L29" s="4">
        <v>32</v>
      </c>
      <c r="M29" s="3">
        <f t="shared" si="0"/>
        <v>81</v>
      </c>
      <c r="O29" s="12">
        <f t="shared" si="1"/>
        <v>0.28841729336217831</v>
      </c>
      <c r="P29" s="12">
        <f t="shared" si="2"/>
        <v>0.91303568708616678</v>
      </c>
      <c r="Q29" s="12">
        <f t="shared" si="3"/>
        <v>0.16463985032740888</v>
      </c>
      <c r="R29" s="12">
        <f t="shared" si="4"/>
        <v>3.49910558568937</v>
      </c>
      <c r="S29" s="28"/>
      <c r="T29" s="12">
        <f t="shared" si="5"/>
        <v>4.8651984164651241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27</v>
      </c>
      <c r="K30" s="4">
        <v>33</v>
      </c>
      <c r="L30" s="4">
        <v>26</v>
      </c>
      <c r="M30" s="3">
        <f t="shared" si="0"/>
        <v>120</v>
      </c>
      <c r="O30" s="12">
        <f t="shared" si="1"/>
        <v>1.3745750489337587</v>
      </c>
      <c r="P30" s="12">
        <f t="shared" si="2"/>
        <v>0.83291670026610765</v>
      </c>
      <c r="Q30" s="12">
        <f t="shared" si="3"/>
        <v>0.59715726016006643</v>
      </c>
      <c r="R30" s="12">
        <f t="shared" si="4"/>
        <v>2.6532808524936398</v>
      </c>
      <c r="S30" s="28"/>
      <c r="T30" s="12">
        <f t="shared" si="5"/>
        <v>5.4579298618535725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17</v>
      </c>
      <c r="J31" s="4">
        <v>34</v>
      </c>
      <c r="K31" s="4">
        <v>23</v>
      </c>
      <c r="L31" s="4">
        <v>31</v>
      </c>
      <c r="M31" s="3">
        <f t="shared" si="0"/>
        <v>105</v>
      </c>
      <c r="O31" s="12">
        <f t="shared" si="1"/>
        <v>0.6151917859963596</v>
      </c>
      <c r="P31" s="12">
        <f t="shared" si="2"/>
        <v>1.1582668064403412</v>
      </c>
      <c r="Q31" s="12">
        <f t="shared" si="3"/>
        <v>0.36966011849080155</v>
      </c>
      <c r="R31" s="12">
        <f t="shared" si="4"/>
        <v>3.4988239811836985</v>
      </c>
      <c r="S31" s="28"/>
      <c r="T31" s="12">
        <f t="shared" si="5"/>
        <v>5.6419426921112006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11</v>
      </c>
      <c r="J32" s="4">
        <v>24</v>
      </c>
      <c r="K32" s="4">
        <v>22</v>
      </c>
      <c r="L32" s="4">
        <v>33</v>
      </c>
      <c r="M32" s="3">
        <f t="shared" si="0"/>
        <v>90</v>
      </c>
      <c r="O32" s="12">
        <f t="shared" si="1"/>
        <v>0.4797294048968096</v>
      </c>
      <c r="P32" s="12">
        <f t="shared" si="2"/>
        <v>0.7750396473402682</v>
      </c>
      <c r="Q32" s="12">
        <f t="shared" si="3"/>
        <v>0.30703669057270566</v>
      </c>
      <c r="R32" s="12">
        <f t="shared" si="4"/>
        <v>4.1184332549320786</v>
      </c>
      <c r="S32" s="28"/>
      <c r="T32" s="12">
        <f t="shared" si="5"/>
        <v>5.6802389977418617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1.4545173586071902</v>
      </c>
      <c r="P33" s="12">
        <f t="shared" si="2"/>
        <v>1.5540950998575387</v>
      </c>
      <c r="Q33" s="12">
        <f t="shared" si="3"/>
        <v>0.42474794719883607</v>
      </c>
      <c r="R33" s="12">
        <f t="shared" si="4"/>
        <v>2.9191091057456915</v>
      </c>
      <c r="S33" s="28"/>
      <c r="T33" s="12">
        <f t="shared" si="5"/>
        <v>6.3524695114092564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12</v>
      </c>
      <c r="J34" s="6">
        <v>35</v>
      </c>
      <c r="K34" s="6">
        <v>1</v>
      </c>
      <c r="L34" s="6">
        <v>37</v>
      </c>
      <c r="M34" s="3">
        <f t="shared" si="0"/>
        <v>85</v>
      </c>
      <c r="O34" s="12">
        <f t="shared" si="1"/>
        <v>0.52637615466501808</v>
      </c>
      <c r="P34" s="12">
        <f t="shared" si="2"/>
        <v>1.1636104615219207</v>
      </c>
      <c r="Q34" s="12">
        <f t="shared" si="3"/>
        <v>0</v>
      </c>
      <c r="R34" s="12">
        <f t="shared" si="4"/>
        <v>4.9380252484039735</v>
      </c>
      <c r="S34" s="28"/>
      <c r="T34" s="12">
        <f t="shared" si="5"/>
        <v>6.6280118645909125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13</v>
      </c>
      <c r="J35" s="4">
        <v>33</v>
      </c>
      <c r="K35" s="4">
        <v>3</v>
      </c>
      <c r="L35" s="4">
        <v>38</v>
      </c>
      <c r="M35" s="3">
        <f t="shared" si="0"/>
        <v>87</v>
      </c>
      <c r="O35" s="12">
        <f t="shared" si="1"/>
        <v>0.54884791044263581</v>
      </c>
      <c r="P35" s="12">
        <f t="shared" si="2"/>
        <v>1.0657258823213183</v>
      </c>
      <c r="Q35" s="12">
        <f t="shared" si="3"/>
        <v>2.5750961438519984E-2</v>
      </c>
      <c r="R35" s="12">
        <f t="shared" si="4"/>
        <v>5.4145000720011511</v>
      </c>
      <c r="S35" s="28"/>
      <c r="T35" s="12">
        <f t="shared" si="5"/>
        <v>7.0548248262036255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1.745876400764625</v>
      </c>
      <c r="P36" s="12">
        <f t="shared" si="2"/>
        <v>2.096954546676344</v>
      </c>
      <c r="Q36" s="12">
        <f t="shared" si="3"/>
        <v>0.39252676436960809</v>
      </c>
      <c r="R36" s="12">
        <f t="shared" si="4"/>
        <v>2.9923838781420504</v>
      </c>
      <c r="S36" s="28"/>
      <c r="T36" s="12">
        <f t="shared" si="5"/>
        <v>7.2277415899526272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1.1284296555750142</v>
      </c>
      <c r="P37" s="12">
        <f t="shared" si="2"/>
        <v>2.4768163857753409</v>
      </c>
      <c r="Q37" s="12">
        <f t="shared" si="3"/>
        <v>0.10000259848248622</v>
      </c>
      <c r="R37" s="12">
        <f t="shared" si="4"/>
        <v>4.250823213171409</v>
      </c>
      <c r="S37" s="28"/>
      <c r="T37" s="12">
        <f t="shared" si="5"/>
        <v>7.95607185300425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1.8239872714993757</v>
      </c>
      <c r="P38" s="12">
        <f t="shared" si="2"/>
        <v>1.2471306077466873</v>
      </c>
      <c r="Q38" s="12">
        <f t="shared" si="3"/>
        <v>0.48048539652842748</v>
      </c>
      <c r="R38" s="12">
        <f t="shared" si="4"/>
        <v>4.6783244531912507</v>
      </c>
      <c r="S38" s="28"/>
      <c r="T38" s="12">
        <f t="shared" si="5"/>
        <v>8.2299277289657411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1.7386422169568347</v>
      </c>
      <c r="P39" s="12">
        <f t="shared" si="2"/>
        <v>1.4720587049431497</v>
      </c>
      <c r="Q39" s="12">
        <f t="shared" si="3"/>
        <v>0.2795793923015627</v>
      </c>
      <c r="R39" s="12">
        <f t="shared" si="4"/>
        <v>4.9233971743547897</v>
      </c>
      <c r="S39" s="28"/>
      <c r="T39" s="12">
        <f t="shared" si="5"/>
        <v>8.4136774885563366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1.381168229113011</v>
      </c>
      <c r="P40" s="12">
        <f t="shared" si="2"/>
        <v>0.92237185173238745</v>
      </c>
      <c r="Q40" s="12">
        <f t="shared" si="3"/>
        <v>1.6104095208398499E-2</v>
      </c>
      <c r="R40" s="12">
        <f t="shared" si="4"/>
        <v>15.539490231843709</v>
      </c>
      <c r="S40" s="28"/>
      <c r="T40" s="12">
        <f t="shared" si="5"/>
        <v>17.859134407897507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1.5869990728340366</v>
      </c>
      <c r="P41" s="12">
        <f t="shared" si="2"/>
        <v>1.0538845433611983</v>
      </c>
      <c r="Q41" s="12">
        <f t="shared" si="3"/>
        <v>2.0625714582683718</v>
      </c>
      <c r="R41" s="12">
        <f t="shared" si="4"/>
        <v>373.94597993567891</v>
      </c>
      <c r="S41" s="28"/>
      <c r="T41" s="12">
        <f t="shared" si="5"/>
        <v>378.6494350101425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D07B-6D28-4FA2-9FDB-8435A25956F4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3</v>
      </c>
      <c r="D2" s="2" t="s">
        <v>6</v>
      </c>
      <c r="E2" s="18">
        <f>(1.1939+0.5295+1.2054+0.2766+0.5897+0.1592+0.454+0.156+0.1678)/9</f>
        <v>0.52578888888888875</v>
      </c>
      <c r="F2" s="17">
        <f>(56.51+60.9+62.78+51.52+43.79+52.13+43.82+56.48+131.46)/9</f>
        <v>62.154444444444444</v>
      </c>
      <c r="G2" s="21">
        <f>(0.8658+0.8758+0.9096+0.8829+0.7942+0.8075+0.8397+0.8983+0.8791)/9</f>
        <v>0.86143333333333338</v>
      </c>
      <c r="H2" s="17">
        <f>(166.24+128.75+132.73+140.78+125.54+137.9+131.39+133.29+130.47)/9</f>
        <v>136.34333333333333</v>
      </c>
      <c r="I2" s="3">
        <v>11</v>
      </c>
      <c r="J2" s="6">
        <v>5</v>
      </c>
      <c r="K2" s="6">
        <v>7</v>
      </c>
      <c r="L2" s="6">
        <v>2</v>
      </c>
      <c r="M2" s="3">
        <f t="shared" ref="M2:M41" si="0">SUM(I2:L2)</f>
        <v>25</v>
      </c>
      <c r="N2" s="26"/>
      <c r="O2" s="12">
        <f t="shared" ref="O2:O41" si="1">(E2-MIN($E$2:$E$41))/MIN($E$2:$E$41)</f>
        <v>0.51616417288776317</v>
      </c>
      <c r="P2" s="12">
        <f t="shared" ref="P2:P41" si="2">(F2-MIN($F$2:$F$41))/MIN($F$2:$F$41)</f>
        <v>8.8370916590462353E-2</v>
      </c>
      <c r="Q2" s="12">
        <f t="shared" ref="Q2:Q41" si="3">(G2-MIN($G$2:$G$41))/MIN($G$2:$G$41)</f>
        <v>0.11920971485985536</v>
      </c>
      <c r="R2" s="12">
        <f t="shared" ref="R2:R41" si="4">(H2-MIN($H$2:$H$41))/MIN($H$2:$H$41)</f>
        <v>4.9692044482463671E-2</v>
      </c>
      <c r="T2" s="12">
        <f t="shared" ref="T2:T41" si="5">SUM(O2:R2)</f>
        <v>0.77343684882054453</v>
      </c>
    </row>
    <row r="3" spans="1:20" x14ac:dyDescent="0.25">
      <c r="A3" s="5" t="s">
        <v>7</v>
      </c>
      <c r="B3" s="1" t="s">
        <v>1</v>
      </c>
      <c r="C3" s="5" t="s">
        <v>4</v>
      </c>
      <c r="D3" s="5" t="s">
        <v>6</v>
      </c>
      <c r="E3" s="9">
        <f>(1.2737+0.6594+1.2894+0.2091+0.6702+0.1227+0.6433+0.1749+0.1594)/9</f>
        <v>0.57801111111111103</v>
      </c>
      <c r="F3" s="11">
        <f>(52.71+51.08+60.04+44.39+35.84+40.69+41.7+45.58+148.19)/9</f>
        <v>57.802222222222227</v>
      </c>
      <c r="G3" s="8">
        <f>(0.9517+0.8598+0.9794+0.8272+0.6981+0.8076+0.8403+0.876+0.864)/9</f>
        <v>0.85601111111111117</v>
      </c>
      <c r="H3" s="11">
        <f>(123.49+120.07+133.7+155.7+109.64+141.01+136.54+121.5+127.35)/9</f>
        <v>129.88888888888889</v>
      </c>
      <c r="I3" s="1">
        <v>20</v>
      </c>
      <c r="J3" s="4">
        <v>2</v>
      </c>
      <c r="K3" s="4">
        <v>5</v>
      </c>
      <c r="L3" s="5">
        <v>1</v>
      </c>
      <c r="M3" s="3">
        <f t="shared" si="0"/>
        <v>28</v>
      </c>
      <c r="N3" s="26"/>
      <c r="O3" s="12">
        <f t="shared" si="1"/>
        <v>0.66675210662907236</v>
      </c>
      <c r="P3" s="12">
        <f t="shared" si="2"/>
        <v>1.2160242815728516E-2</v>
      </c>
      <c r="Q3" s="12">
        <f t="shared" si="3"/>
        <v>0.1121649401194149</v>
      </c>
      <c r="R3" s="12">
        <f t="shared" si="4"/>
        <v>0</v>
      </c>
      <c r="T3" s="12">
        <f t="shared" si="5"/>
        <v>0.79107728956421575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(1.328+0.6387+1.2933+0.2081+0.6567+0.1196+0.5433+0.1897+0.1499)/9</f>
        <v>0.56969999999999998</v>
      </c>
      <c r="F4" s="11">
        <f>(51.46+51.93+58.53+45.16+36.44+41.24+41.95+45.42+141.84)/9</f>
        <v>57.107777777777784</v>
      </c>
      <c r="G4" s="8">
        <f>(0.9996+0.8412+0.962+0.8579+0.7042+0.8103+0.8744+0.871+0.8117)/9</f>
        <v>0.85914444444444427</v>
      </c>
      <c r="H4" s="11">
        <f>(182.66+116.17+130.65+147.77+174.48+179.36+178.69+209.6+125.71)/9</f>
        <v>160.56555555555553</v>
      </c>
      <c r="I4" s="1">
        <v>19</v>
      </c>
      <c r="J4" s="4">
        <v>1</v>
      </c>
      <c r="K4" s="4">
        <v>6</v>
      </c>
      <c r="L4" s="4">
        <v>4</v>
      </c>
      <c r="M4" s="3">
        <f t="shared" si="0"/>
        <v>30</v>
      </c>
      <c r="N4" s="26"/>
      <c r="O4" s="12">
        <f t="shared" si="1"/>
        <v>0.64278619717407282</v>
      </c>
      <c r="P4" s="12">
        <f t="shared" si="2"/>
        <v>0</v>
      </c>
      <c r="Q4" s="12">
        <f t="shared" si="3"/>
        <v>0.11623589601450519</v>
      </c>
      <c r="R4" s="12">
        <f t="shared" si="4"/>
        <v>0.2361762189905901</v>
      </c>
      <c r="T4" s="12">
        <f t="shared" si="5"/>
        <v>0.9951983121791681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(1.2455+0.5+1.2323+0.3004+0.5862+0.1777+0.4921+0.1543+0.1727)/9</f>
        <v>0.54013333333333324</v>
      </c>
      <c r="F5" s="10">
        <f>(55.47+59.6+62.03+55.14+41.94+49.02+46.46+57.6+149.03)/9</f>
        <v>64.032222222222217</v>
      </c>
      <c r="G5" s="8">
        <f>(0.8923+0.9144+0.9164+0.8568+0.7853+0.8317+0.9423+0.902+0.8572)/9</f>
        <v>0.87760000000000005</v>
      </c>
      <c r="H5" s="11">
        <f>(205.31+122.82+127.03+142.04+171.6+166.16+171.72+202.86+117.32)/9</f>
        <v>158.54</v>
      </c>
      <c r="I5" s="1">
        <v>13</v>
      </c>
      <c r="J5" s="4">
        <v>7</v>
      </c>
      <c r="K5" s="4">
        <v>8</v>
      </c>
      <c r="L5" s="4">
        <v>3</v>
      </c>
      <c r="M5" s="3">
        <f t="shared" si="0"/>
        <v>31</v>
      </c>
      <c r="N5" s="26"/>
      <c r="O5" s="12">
        <f t="shared" si="1"/>
        <v>0.5575277946877697</v>
      </c>
      <c r="P5" s="12">
        <f t="shared" si="2"/>
        <v>0.12125221316419224</v>
      </c>
      <c r="Q5" s="12">
        <f t="shared" si="3"/>
        <v>0.14021411495686537</v>
      </c>
      <c r="R5" s="12">
        <f t="shared" si="4"/>
        <v>0.22058169375534642</v>
      </c>
      <c r="T5" s="12">
        <f t="shared" si="5"/>
        <v>1.0395758165641737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(1.3011+0.4407+1.3109+0.2626+0.4583+0.1998+0.4748+0.2567+0.1864)/9</f>
        <v>0.54347777777777784</v>
      </c>
      <c r="F6" s="10">
        <f>(56.07+59.15+57.91+70.66+44.24+61.26+54.88+60.19+180.04)/9</f>
        <v>71.599999999999994</v>
      </c>
      <c r="G6" s="7">
        <f>(0.8871+0.9177+0.7864+0.8393+0.8878+0.8673+1.0169+0.913+0.8266)/9</f>
        <v>0.88245555555555555</v>
      </c>
      <c r="H6" s="11">
        <f>(134.99+125.11+131.69+70.66+168.23+100.31+204.7+388.66+153.2)/9</f>
        <v>164.17222222222225</v>
      </c>
      <c r="I6" s="1">
        <v>14</v>
      </c>
      <c r="J6" s="4">
        <v>11</v>
      </c>
      <c r="K6" s="4">
        <v>10</v>
      </c>
      <c r="L6" s="4">
        <v>5</v>
      </c>
      <c r="M6" s="3">
        <f t="shared" si="0"/>
        <v>40</v>
      </c>
      <c r="O6" s="12">
        <f t="shared" si="1"/>
        <v>0.56717183044439434</v>
      </c>
      <c r="P6" s="12">
        <f t="shared" si="2"/>
        <v>0.25376967527287564</v>
      </c>
      <c r="Q6" s="12">
        <f t="shared" si="3"/>
        <v>0.14652265299287448</v>
      </c>
      <c r="R6" s="12">
        <f t="shared" si="4"/>
        <v>0.26394354148845189</v>
      </c>
      <c r="T6" s="12">
        <f t="shared" si="5"/>
        <v>1.2314077001985964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(1.3227+0.4749+1.3441+0.442+0.5811+0.2335+0.5447+0.1681+0.2061)/9</f>
        <v>0.5908000000000001</v>
      </c>
      <c r="F7" s="11">
        <f>(58.29+61.86+60.74+51.39+40.88+45.47+53.57+50.16+158.91)/9</f>
        <v>64.585555555555558</v>
      </c>
      <c r="G7" s="8">
        <f>(1.0335+1.1715+1.1142+1.0843+1.1517+1.1855+1.0869+1.2268+1.1976)/9</f>
        <v>1.1391111111111112</v>
      </c>
      <c r="H7" s="11">
        <f>(160.77+179.11+159.49+181.56+155.86+172.02+177.21+164.4+159.52)/9</f>
        <v>167.77111111111111</v>
      </c>
      <c r="I7" s="1">
        <v>26</v>
      </c>
      <c r="J7" s="4">
        <v>8</v>
      </c>
      <c r="K7" s="4">
        <v>28</v>
      </c>
      <c r="L7" s="4">
        <v>7</v>
      </c>
      <c r="M7" s="3">
        <f t="shared" si="0"/>
        <v>69</v>
      </c>
      <c r="O7" s="12">
        <f t="shared" si="1"/>
        <v>0.70363013040274247</v>
      </c>
      <c r="P7" s="12">
        <f t="shared" si="2"/>
        <v>0.1309414946397649</v>
      </c>
      <c r="Q7" s="12">
        <f t="shared" si="3"/>
        <v>0.4799801360449944</v>
      </c>
      <c r="R7" s="12">
        <f t="shared" si="4"/>
        <v>0.29165098374679216</v>
      </c>
      <c r="T7" s="12">
        <f t="shared" si="5"/>
        <v>1.6062027448342939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(1.3621+0.4361+1.3698+0.3612+0.5383+0.1698+0.4519+0.182+0.2266)/9</f>
        <v>0.56642222222222249</v>
      </c>
      <c r="F8" s="11">
        <f>(64.15+70.27+77.24+64.04+57.29+62.22+52.37+65.66+189.65)/9</f>
        <v>78.098888888888894</v>
      </c>
      <c r="G8" s="8">
        <f>(1.1016+1.239+1.1211+1.1332+1.1981+1.1556+1.082+1.22+1.2021)/9</f>
        <v>1.1614111111111114</v>
      </c>
      <c r="H8" s="11">
        <f>(147.49+195.67+187.54+157.07+153.02+167.57+168.76+149.23+136.04)/9</f>
        <v>162.48777777777775</v>
      </c>
      <c r="I8" s="1">
        <v>18</v>
      </c>
      <c r="J8" s="4">
        <v>19</v>
      </c>
      <c r="K8" s="5">
        <v>31</v>
      </c>
      <c r="L8" s="4">
        <v>6</v>
      </c>
      <c r="M8" s="3">
        <f t="shared" si="0"/>
        <v>74</v>
      </c>
      <c r="O8" s="12">
        <f t="shared" si="1"/>
        <v>0.63333440133286378</v>
      </c>
      <c r="P8" s="12">
        <f t="shared" si="2"/>
        <v>0.36757009163958981</v>
      </c>
      <c r="Q8" s="12">
        <f t="shared" si="3"/>
        <v>0.50895321576643737</v>
      </c>
      <c r="R8" s="12">
        <f t="shared" si="4"/>
        <v>0.25097519247219829</v>
      </c>
      <c r="T8" s="12">
        <f t="shared" si="5"/>
        <v>1.7608329012110893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(1.3366+0.5616+1.3558+0.4503+0.6742+0.2342+0.7629+0.1552+0.1869)/9</f>
        <v>0.63529999999999998</v>
      </c>
      <c r="F9" s="11">
        <f>(49.71+58.68+56.89+43.53+32.71+43.14+51.08+46.9+169.75)/9</f>
        <v>61.376666666666665</v>
      </c>
      <c r="G9" s="8">
        <f>(1.1058+1.2028+1.1401+1.2722+1.2954+1.2159+1.3044+1.3014+1.1927)/9</f>
        <v>1.2256333333333334</v>
      </c>
      <c r="H9" s="10">
        <f>(162.21+173.81+185.48+184.26+178.2+159.46+199.82+164.62+172.47)/9</f>
        <v>175.59222222222223</v>
      </c>
      <c r="I9" s="1">
        <v>29</v>
      </c>
      <c r="J9" s="4">
        <v>4</v>
      </c>
      <c r="K9" s="4">
        <v>33</v>
      </c>
      <c r="L9" s="4">
        <v>9</v>
      </c>
      <c r="M9" s="3">
        <f t="shared" si="0"/>
        <v>75</v>
      </c>
      <c r="O9" s="12">
        <f t="shared" si="1"/>
        <v>0.83195027394187893</v>
      </c>
      <c r="P9" s="12">
        <f t="shared" si="2"/>
        <v>7.4751444636846368E-2</v>
      </c>
      <c r="Q9" s="12">
        <f t="shared" si="3"/>
        <v>0.59239337560198202</v>
      </c>
      <c r="R9" s="12">
        <f t="shared" si="4"/>
        <v>0.35186484174508137</v>
      </c>
      <c r="T9" s="12">
        <f t="shared" si="5"/>
        <v>1.8509599359257887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(1.3688+0.5081+1.3543+0.437+0.676+0.1217+0.6813+0.1775+0.1857)/9</f>
        <v>0.61226666666666663</v>
      </c>
      <c r="F10" s="17">
        <f>(52.41+55.11+57.38+43.03+32.31+40.32+51.99+46.21+171.77)/9</f>
        <v>61.169999999999995</v>
      </c>
      <c r="G10" s="21">
        <f>(1.1415+1.2812+1.1688+1.1353+1.3105+1.2336+1.3269+1.2901+1.2402)/9</f>
        <v>1.2364555555555556</v>
      </c>
      <c r="H10" s="20">
        <f>(209.7+171.09+169.95+173.32+240.72+198.07+215.47+279.44+196.07)/9</f>
        <v>205.98111111111109</v>
      </c>
      <c r="I10" s="3">
        <v>27</v>
      </c>
      <c r="J10" s="6">
        <v>3</v>
      </c>
      <c r="K10" s="6">
        <v>35</v>
      </c>
      <c r="L10" s="6">
        <v>11</v>
      </c>
      <c r="M10" s="3">
        <f t="shared" si="0"/>
        <v>76</v>
      </c>
      <c r="O10" s="12">
        <f t="shared" si="1"/>
        <v>0.76553138316619085</v>
      </c>
      <c r="P10" s="12">
        <f t="shared" si="2"/>
        <v>7.1132556374885483E-2</v>
      </c>
      <c r="Q10" s="12">
        <f t="shared" si="3"/>
        <v>0.60645405305523825</v>
      </c>
      <c r="R10" s="12">
        <f t="shared" si="4"/>
        <v>0.58582549187339594</v>
      </c>
      <c r="T10" s="12">
        <f t="shared" si="5"/>
        <v>2.0289434844697105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(1.3206+0.4102+1.3062+0.4721+0.5795+0.0721+0.5153+0.3297+0.2079)/9</f>
        <v>0.57928888888888896</v>
      </c>
      <c r="F11" s="11">
        <f>(61.32+53.13+72.17+53.5+41.15+62.59+50.88+53.4+127.49)/9</f>
        <v>63.958888888888886</v>
      </c>
      <c r="G11" s="8">
        <f>(1.4839+1.4948+1.4472+1.4932+1.2562+1.4373+1.6056+1.5654+1.3186)/9</f>
        <v>1.4558</v>
      </c>
      <c r="H11" s="11">
        <f>(187.02+167.01+144.5+201.65+171.01+263.98+149.22+158.96+184.4)/9</f>
        <v>180.86111111111114</v>
      </c>
      <c r="I11" s="1">
        <v>21</v>
      </c>
      <c r="J11" s="4">
        <v>6</v>
      </c>
      <c r="K11" s="4">
        <v>38</v>
      </c>
      <c r="L11" s="4">
        <v>10</v>
      </c>
      <c r="M11" s="3">
        <f t="shared" si="0"/>
        <v>75</v>
      </c>
      <c r="O11" s="12">
        <f t="shared" si="1"/>
        <v>0.67043670500784958</v>
      </c>
      <c r="P11" s="12">
        <f t="shared" si="2"/>
        <v>0.11996809152285136</v>
      </c>
      <c r="Q11" s="12">
        <f t="shared" si="3"/>
        <v>0.8914354017253926</v>
      </c>
      <c r="R11" s="12">
        <f t="shared" si="4"/>
        <v>0.39242942686056487</v>
      </c>
      <c r="T11" s="12">
        <f t="shared" si="5"/>
        <v>2.0742696251166586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(1.3218+0.3758+1.311+0.4881+0.5768+0.0879+0.5828+0.3306+0.2112)/9</f>
        <v>0.58733333333333326</v>
      </c>
      <c r="F12" s="11">
        <f>(62.57+60.53+83.04+61.67+54.67+56.71+56.8+68.83+179.3)/9</f>
        <v>76.013333333333335</v>
      </c>
      <c r="G12" s="7">
        <f>(1.4147+1.4571+1.4124+1.4399+1.243+1.4357+1.5688+1.5454+1.3522)/9</f>
        <v>1.4299111111111111</v>
      </c>
      <c r="H12" s="11">
        <f>(177.08+165.33+162.73+164.08+143.14+202.27+204.66+187+195.21)/9</f>
        <v>177.94444444444446</v>
      </c>
      <c r="I12" s="1">
        <v>24</v>
      </c>
      <c r="J12" s="4">
        <v>16</v>
      </c>
      <c r="K12" s="4">
        <v>37</v>
      </c>
      <c r="L12" s="4">
        <v>8</v>
      </c>
      <c r="M12" s="3">
        <f t="shared" si="0"/>
        <v>85</v>
      </c>
      <c r="O12" s="12">
        <f t="shared" si="1"/>
        <v>0.69363365480119121</v>
      </c>
      <c r="P12" s="12">
        <f t="shared" si="2"/>
        <v>0.33105045041539377</v>
      </c>
      <c r="Q12" s="12">
        <f t="shared" si="3"/>
        <v>0.85779948954255181</v>
      </c>
      <c r="R12" s="12">
        <f t="shared" si="4"/>
        <v>0.36997433704020544</v>
      </c>
      <c r="T12" s="12">
        <f t="shared" si="5"/>
        <v>2.2524579317993423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(1.3138+0.4286+1.2697+0.5508+0.6187+0.1188+0.7445+0.365+0.2085)/9</f>
        <v>0.62426666666666675</v>
      </c>
      <c r="F13" s="11">
        <f>(59.9+50.56+55.53+71.15+39.11+57.03+46.49+86.97+154.94)/9</f>
        <v>69.075555555555567</v>
      </c>
      <c r="G13" s="8">
        <f>(1.1382+1.1499+1.1235+1.089+0.7972+1.0977+1.3131+1.1659+1.3177)/9</f>
        <v>1.1324666666666667</v>
      </c>
      <c r="H13" s="11">
        <f>(161.25+214.04+362.42+282.38+323.34+178.44+366.77+277.84+246.55)/9</f>
        <v>268.11444444444447</v>
      </c>
      <c r="I13" s="1">
        <v>28</v>
      </c>
      <c r="J13" s="4">
        <v>10</v>
      </c>
      <c r="K13" s="4">
        <v>27</v>
      </c>
      <c r="L13" s="4">
        <v>14</v>
      </c>
      <c r="M13" s="3">
        <f t="shared" si="0"/>
        <v>79</v>
      </c>
      <c r="O13" s="12">
        <f t="shared" si="1"/>
        <v>0.80013456794078985</v>
      </c>
      <c r="P13" s="12">
        <f t="shared" si="2"/>
        <v>0.20956476058913953</v>
      </c>
      <c r="Q13" s="12">
        <f t="shared" si="3"/>
        <v>0.47134739978519236</v>
      </c>
      <c r="R13" s="12">
        <f t="shared" si="4"/>
        <v>1.0641830624465358</v>
      </c>
      <c r="T13" s="12">
        <f t="shared" si="5"/>
        <v>2.5452297907616575</v>
      </c>
    </row>
    <row r="14" spans="1:20" x14ac:dyDescent="0.25">
      <c r="A14" s="5" t="s">
        <v>8</v>
      </c>
      <c r="B14" s="1" t="s">
        <v>2</v>
      </c>
      <c r="C14" s="5" t="s">
        <v>4</v>
      </c>
      <c r="D14" s="5" t="s">
        <v>6</v>
      </c>
      <c r="E14" s="9">
        <f>(1.2886+0.3474+1.2595+0.3722+0.501+0.0892+0.5357+0.2955+0.2022)/9</f>
        <v>0.54347777777777784</v>
      </c>
      <c r="F14" s="11">
        <f>(82.8+61.26+68.86+54.2+69.9+71.22+61.67+69.45+187.85)/9</f>
        <v>80.801111111111112</v>
      </c>
      <c r="G14" s="8">
        <f>(1.3666+1.2993+1.2877+1.3841+1.2634+1.3047+1.5021+1.4174+1.2265)/9</f>
        <v>1.339088888888889</v>
      </c>
      <c r="H14" s="10">
        <f>(209.16+259.31+186.29+371.66+230.34+197.3+269.52+260.8+245.02)/9</f>
        <v>247.71111111111111</v>
      </c>
      <c r="I14" s="1">
        <v>14</v>
      </c>
      <c r="J14" s="4">
        <v>22</v>
      </c>
      <c r="K14" s="4">
        <v>36</v>
      </c>
      <c r="L14" s="4">
        <v>13</v>
      </c>
      <c r="M14" s="3">
        <f t="shared" si="0"/>
        <v>85</v>
      </c>
      <c r="O14" s="12">
        <f t="shared" si="1"/>
        <v>0.56717183044439434</v>
      </c>
      <c r="P14" s="12">
        <f t="shared" si="2"/>
        <v>0.41488802848415263</v>
      </c>
      <c r="Q14" s="12">
        <f t="shared" si="3"/>
        <v>0.73979951264017396</v>
      </c>
      <c r="R14" s="12">
        <f t="shared" si="4"/>
        <v>0.90710008554319932</v>
      </c>
      <c r="T14" s="12">
        <f t="shared" si="5"/>
        <v>2.6289594571119204</v>
      </c>
    </row>
    <row r="15" spans="1:20" x14ac:dyDescent="0.25">
      <c r="A15" s="5" t="s">
        <v>0</v>
      </c>
      <c r="B15" s="1" t="s">
        <v>2</v>
      </c>
      <c r="C15" s="5" t="s">
        <v>3</v>
      </c>
      <c r="D15" s="5" t="s">
        <v>5</v>
      </c>
      <c r="E15" s="9">
        <f>(0.4375+0.4583+0.3841+0.2492+0.5344+0.2099+0.392+0.2467+0.209)/9</f>
        <v>0.34678888888888898</v>
      </c>
      <c r="F15" s="10">
        <f>(82.48+84.17+82.35+73.08+98.84+69.11+93.9+77.32+137.41)/9</f>
        <v>88.74</v>
      </c>
      <c r="G15" s="8">
        <f>(0.8819+0.8774+0.8784+0.8833+0.8811+0.8776+0.8808+0.8809+0.948)/9</f>
        <v>0.88771111111111112</v>
      </c>
      <c r="H15" s="11">
        <f>(459.56+372.58+364.47+414.66+362.69+321.07+353.8+375.64+429.41)/9</f>
        <v>383.76444444444445</v>
      </c>
      <c r="I15" s="1">
        <v>1</v>
      </c>
      <c r="J15" s="4">
        <v>27</v>
      </c>
      <c r="K15" s="4">
        <v>11</v>
      </c>
      <c r="L15" s="4">
        <v>20</v>
      </c>
      <c r="M15" s="3">
        <f t="shared" si="0"/>
        <v>59</v>
      </c>
      <c r="O15" s="12">
        <f t="shared" si="1"/>
        <v>0</v>
      </c>
      <c r="P15" s="12">
        <f t="shared" si="2"/>
        <v>0.55390392435356128</v>
      </c>
      <c r="Q15" s="12">
        <f t="shared" si="3"/>
        <v>0.15335088752612933</v>
      </c>
      <c r="R15" s="12">
        <f t="shared" si="4"/>
        <v>1.9545594525235246</v>
      </c>
      <c r="T15" s="12">
        <f t="shared" si="5"/>
        <v>2.6618142644032154</v>
      </c>
    </row>
    <row r="16" spans="1:20" x14ac:dyDescent="0.25">
      <c r="A16" s="5" t="s">
        <v>8</v>
      </c>
      <c r="B16" s="1" t="s">
        <v>1</v>
      </c>
      <c r="C16" s="5" t="s">
        <v>4</v>
      </c>
      <c r="D16" s="5" t="s">
        <v>6</v>
      </c>
      <c r="E16" s="9">
        <f>(1.1858+0.424+1.1808+0.4748+0.6384+0.111+0.6991+0.3544+0.2026)/9</f>
        <v>0.58565555555555571</v>
      </c>
      <c r="F16" s="11">
        <f>(57.68+61.47+48.12+85.14+42.29+55.22+49+92.42+175.07)/9</f>
        <v>74.045555555555566</v>
      </c>
      <c r="G16" s="8">
        <f>(1.1335+1.1527+1.134+1.0992+0.7972+1.0852+1.3157+1.2646+1.3135)/9</f>
        <v>1.1439555555555554</v>
      </c>
      <c r="H16" s="11">
        <f>(216.2+288.53+421.27+195.55+203.58+173.74+361.66+447.23+278.88)/9</f>
        <v>287.40444444444449</v>
      </c>
      <c r="I16" s="1">
        <v>23</v>
      </c>
      <c r="J16" s="4">
        <v>15</v>
      </c>
      <c r="K16" s="4">
        <v>30</v>
      </c>
      <c r="L16" s="4">
        <v>15</v>
      </c>
      <c r="M16" s="3">
        <f t="shared" si="0"/>
        <v>83</v>
      </c>
      <c r="O16" s="12">
        <f t="shared" si="1"/>
        <v>0.68879561692992852</v>
      </c>
      <c r="P16" s="12">
        <f t="shared" si="2"/>
        <v>0.29659318637274551</v>
      </c>
      <c r="Q16" s="12">
        <f t="shared" si="3"/>
        <v>0.48627423806719094</v>
      </c>
      <c r="R16" s="12">
        <f t="shared" si="4"/>
        <v>1.2126946107784435</v>
      </c>
      <c r="T16" s="12">
        <f t="shared" si="5"/>
        <v>2.6843576521483086</v>
      </c>
    </row>
    <row r="17" spans="1:20" x14ac:dyDescent="0.25">
      <c r="A17" s="5" t="s">
        <v>8</v>
      </c>
      <c r="B17" s="1" t="s">
        <v>2</v>
      </c>
      <c r="C17" s="5" t="s">
        <v>4</v>
      </c>
      <c r="D17" s="5" t="s">
        <v>5</v>
      </c>
      <c r="E17" s="9">
        <f>(1.3315+0.4834+1.3377+0.4167+0.5593+0.1116+0.5245+0.3262)/8</f>
        <v>0.63636249999999994</v>
      </c>
      <c r="F17" s="11">
        <f>(91.15+77.13+76.62+66.02+50.57+69.87+49.91+69.17)/8</f>
        <v>68.804999999999993</v>
      </c>
      <c r="G17" s="8">
        <f>(1.5148+1.4537+1.4612+1.4799+1.2462+1.4433+1.6005+1.6267)/8</f>
        <v>1.4782875</v>
      </c>
      <c r="H17" s="11">
        <f>(212.35+316.11+236.87+192.43+184.35+201.17+316.23+198.87)/8</f>
        <v>232.29750000000001</v>
      </c>
      <c r="I17" s="1">
        <v>30</v>
      </c>
      <c r="J17" s="4">
        <v>9</v>
      </c>
      <c r="K17" s="4">
        <v>39</v>
      </c>
      <c r="L17" s="4">
        <v>12</v>
      </c>
      <c r="M17" s="3">
        <f t="shared" si="0"/>
        <v>90</v>
      </c>
      <c r="O17" s="12">
        <f t="shared" si="1"/>
        <v>0.83501409759379641</v>
      </c>
      <c r="P17" s="12">
        <f t="shared" si="2"/>
        <v>0.20482712998813135</v>
      </c>
      <c r="Q17" s="12">
        <f t="shared" si="3"/>
        <v>0.92065208917991914</v>
      </c>
      <c r="R17" s="12">
        <f t="shared" si="4"/>
        <v>0.78843242087254073</v>
      </c>
      <c r="T17" s="12">
        <f t="shared" si="5"/>
        <v>2.7489257376343876</v>
      </c>
    </row>
    <row r="18" spans="1:20" x14ac:dyDescent="0.25">
      <c r="A18" s="2" t="s">
        <v>10</v>
      </c>
      <c r="B18" s="3" t="s">
        <v>2</v>
      </c>
      <c r="C18" s="2" t="s">
        <v>4</v>
      </c>
      <c r="D18" s="2" t="s">
        <v>6</v>
      </c>
      <c r="E18" s="18">
        <f>(0.9669+0.4189+0.879+0.2578+0.4751+0.1496+0.4201+0.1432+0.1848)/9</f>
        <v>0.43282222222222227</v>
      </c>
      <c r="F18" s="17">
        <f>(79.1+69.5+61.94+61.04+39.92+83.59+59.6+74.28+161.42)/9</f>
        <v>76.709999999999994</v>
      </c>
      <c r="G18" s="21">
        <f>(1.001+1.0604+1.1131+1.0208+1.1782+1.0409+1.0226+1.0632+1.0844)/9</f>
        <v>1.0649555555555557</v>
      </c>
      <c r="H18" s="17">
        <f>(381.55+371.65+270.43+324.54+322.43+434.65+293.76+316.81+614.26)/9</f>
        <v>370.00888888888886</v>
      </c>
      <c r="I18" s="3">
        <v>6</v>
      </c>
      <c r="J18" s="6">
        <v>18</v>
      </c>
      <c r="K18" s="6">
        <v>24</v>
      </c>
      <c r="L18" s="6">
        <v>16</v>
      </c>
      <c r="M18" s="3">
        <f t="shared" si="0"/>
        <v>64</v>
      </c>
      <c r="O18" s="12">
        <f t="shared" si="1"/>
        <v>0.24808561084233105</v>
      </c>
      <c r="P18" s="12">
        <f t="shared" si="2"/>
        <v>0.34324960600813254</v>
      </c>
      <c r="Q18" s="12">
        <f t="shared" si="3"/>
        <v>0.38363417986118359</v>
      </c>
      <c r="R18" s="12">
        <f t="shared" si="4"/>
        <v>1.8486569717707442</v>
      </c>
      <c r="T18" s="12">
        <f t="shared" si="5"/>
        <v>2.8236263684823912</v>
      </c>
    </row>
    <row r="19" spans="1:20" x14ac:dyDescent="0.25">
      <c r="A19" s="5" t="s">
        <v>10</v>
      </c>
      <c r="B19" s="1" t="s">
        <v>1</v>
      </c>
      <c r="C19" s="5" t="s">
        <v>4</v>
      </c>
      <c r="D19" s="5" t="s">
        <v>5</v>
      </c>
      <c r="E19" s="9">
        <f>(0.9867+0.4072+0.9351+0.2553+0.5607+0.1214+0.437+0.1349+0.1839)/9</f>
        <v>0.44691111111111109</v>
      </c>
      <c r="F19" s="11">
        <f>(77.34+74.45+70.7+80.65+47.03+72.56+55.28+69.01+109.29)/9</f>
        <v>72.923333333333332</v>
      </c>
      <c r="G19" s="8">
        <f>(1.0432+0.9503+0.9656+0.8256+0.9943+0.8028+0.9459+0.9385+0.8114)/9</f>
        <v>0.91973333333333329</v>
      </c>
      <c r="H19" s="11">
        <f>(734.21+358.03+402.86+342.32+251.03+342.35+289.44+568.11+299.86)/9</f>
        <v>398.69</v>
      </c>
      <c r="I19" s="1">
        <v>9</v>
      </c>
      <c r="J19" s="4">
        <v>12</v>
      </c>
      <c r="K19" s="4">
        <v>14</v>
      </c>
      <c r="L19" s="5">
        <v>24</v>
      </c>
      <c r="M19" s="3">
        <f t="shared" si="0"/>
        <v>59</v>
      </c>
      <c r="O19" s="12">
        <f t="shared" si="1"/>
        <v>0.2887123129665819</v>
      </c>
      <c r="P19" s="12">
        <f t="shared" si="2"/>
        <v>0.27694223398252799</v>
      </c>
      <c r="Q19" s="12">
        <f t="shared" si="3"/>
        <v>0.19495547933340271</v>
      </c>
      <c r="R19" s="12">
        <f t="shared" si="4"/>
        <v>2.0694696321642434</v>
      </c>
      <c r="T19" s="12">
        <f t="shared" si="5"/>
        <v>2.8300796584467562</v>
      </c>
    </row>
    <row r="20" spans="1:20" x14ac:dyDescent="0.25">
      <c r="A20" s="5" t="s">
        <v>0</v>
      </c>
      <c r="B20" s="1" t="s">
        <v>2</v>
      </c>
      <c r="C20" s="5" t="s">
        <v>4</v>
      </c>
      <c r="D20" s="5" t="s">
        <v>5</v>
      </c>
      <c r="E20" s="9">
        <f>(0.5203+0.5221+0.3765+0.4075+0.5786+0.3787+0.5147+0.3045+0.3027)/9</f>
        <v>0.43395555555555559</v>
      </c>
      <c r="F20" s="10">
        <f>(66.76+122.73+103.44+69.82+98.34+62.5+138.78+67.4+152.34)/9</f>
        <v>98.012222222222221</v>
      </c>
      <c r="G20" s="8">
        <f>(0.8785+0.8819+0.879+0.8906+0.8787+0.8785+0.8839+0.8772+0.8756)/9</f>
        <v>0.8804333333333334</v>
      </c>
      <c r="H20" s="11">
        <f>(358.23+360.11+353.39+405.4+353.93+347.77+363.66+358.27+355.27)/9</f>
        <v>361.7811111111111</v>
      </c>
      <c r="I20" s="1">
        <v>7</v>
      </c>
      <c r="J20" s="4">
        <v>32</v>
      </c>
      <c r="K20" s="4">
        <v>9</v>
      </c>
      <c r="L20" s="4">
        <v>18</v>
      </c>
      <c r="M20" s="3">
        <f t="shared" si="0"/>
        <v>66</v>
      </c>
      <c r="O20" s="12">
        <f t="shared" si="1"/>
        <v>0.25135368940437647</v>
      </c>
      <c r="P20" s="12">
        <f t="shared" si="2"/>
        <v>0.71626748642916882</v>
      </c>
      <c r="Q20" s="12">
        <f t="shared" si="3"/>
        <v>0.1438952984790218</v>
      </c>
      <c r="R20" s="12">
        <f t="shared" si="4"/>
        <v>1.7853122326775022</v>
      </c>
      <c r="T20" s="12">
        <f t="shared" si="5"/>
        <v>2.8968287069900693</v>
      </c>
    </row>
    <row r="21" spans="1:20" x14ac:dyDescent="0.25">
      <c r="A21" s="5" t="s">
        <v>0</v>
      </c>
      <c r="B21" s="1" t="s">
        <v>1</v>
      </c>
      <c r="C21" s="5" t="s">
        <v>4</v>
      </c>
      <c r="D21" s="5" t="s">
        <v>5</v>
      </c>
      <c r="E21" s="9">
        <f>(0.5211+0.534+0.3765+0.4066+0.5785+0.3735+0.5147+0.3552+0.2997)/9</f>
        <v>0.4399777777777778</v>
      </c>
      <c r="F21" s="10">
        <f>(74.88+121.56+107.27+73.72+98.69+61.07+144.62+77.65+152.15)/9</f>
        <v>101.28999999999999</v>
      </c>
      <c r="G21" s="8">
        <f>(0.8996+0.9135+0.9034+0.915+0.9029+0.9023+0.9082+0.903+0.9094)/9</f>
        <v>0.90636666666666654</v>
      </c>
      <c r="H21" s="11">
        <f>(366.44+363.68+353.21+456.71+343.22+330.08+349.94+385.28+354.81)/9</f>
        <v>367.04111111111115</v>
      </c>
      <c r="I21" s="1">
        <v>8</v>
      </c>
      <c r="J21" s="4">
        <v>35</v>
      </c>
      <c r="K21" s="4">
        <v>13</v>
      </c>
      <c r="L21" s="4">
        <v>19</v>
      </c>
      <c r="M21" s="3">
        <f t="shared" si="0"/>
        <v>75</v>
      </c>
      <c r="O21" s="12">
        <f t="shared" si="1"/>
        <v>0.26871936176348055</v>
      </c>
      <c r="P21" s="12">
        <f t="shared" si="2"/>
        <v>0.7736638325194074</v>
      </c>
      <c r="Q21" s="12">
        <f t="shared" si="3"/>
        <v>0.17758895471711184</v>
      </c>
      <c r="R21" s="12">
        <f t="shared" si="4"/>
        <v>1.8258083832335332</v>
      </c>
      <c r="S21" s="27"/>
      <c r="T21" s="12">
        <f t="shared" si="5"/>
        <v>3.0457805322335334</v>
      </c>
    </row>
    <row r="22" spans="1:20" x14ac:dyDescent="0.25">
      <c r="A22" s="5" t="s">
        <v>10</v>
      </c>
      <c r="B22" s="1" t="s">
        <v>2</v>
      </c>
      <c r="C22" s="5" t="s">
        <v>4</v>
      </c>
      <c r="D22" s="5" t="s">
        <v>5</v>
      </c>
      <c r="E22" s="9">
        <f>(0.8704+0.3887+0.8123+0.2707+0.5413+0.175+0.4913+0.1482+0.1803)/9</f>
        <v>0.43091111111111108</v>
      </c>
      <c r="F22" s="11">
        <f>(84.21+72.5+92.47+71.52+54.34+76+59.77+71.97+171.43)/9</f>
        <v>83.801111111111112</v>
      </c>
      <c r="G22" s="8">
        <f>(0.9841+0.9076+1.0554+0.9119+0.9755+1.0307+0.8635+0.8978+1.0676)/9</f>
        <v>0.96601111111111115</v>
      </c>
      <c r="H22" s="11">
        <f>(438.34+294.07+742.05+408.15+249.75+416.51+336.81+265.61+491.36)/9</f>
        <v>404.73888888888888</v>
      </c>
      <c r="I22" s="1">
        <v>5</v>
      </c>
      <c r="J22" s="4">
        <v>25</v>
      </c>
      <c r="K22" s="4">
        <v>17</v>
      </c>
      <c r="L22" s="4">
        <v>22</v>
      </c>
      <c r="M22" s="3">
        <f t="shared" si="0"/>
        <v>69</v>
      </c>
      <c r="O22" s="12">
        <f t="shared" si="1"/>
        <v>0.24257473326711695</v>
      </c>
      <c r="P22" s="12">
        <f t="shared" si="2"/>
        <v>0.46742027744809994</v>
      </c>
      <c r="Q22" s="12">
        <f t="shared" si="3"/>
        <v>0.25508147686195726</v>
      </c>
      <c r="R22" s="12">
        <f t="shared" si="4"/>
        <v>2.1160393498716856</v>
      </c>
      <c r="T22" s="12">
        <f t="shared" si="5"/>
        <v>3.0811158374488596</v>
      </c>
    </row>
    <row r="23" spans="1:20" x14ac:dyDescent="0.25">
      <c r="A23" s="5" t="s">
        <v>9</v>
      </c>
      <c r="B23" s="1" t="s">
        <v>1</v>
      </c>
      <c r="C23" s="5" t="s">
        <v>4</v>
      </c>
      <c r="D23" s="5" t="s">
        <v>6</v>
      </c>
      <c r="E23" s="9">
        <f>(1.3357+0.4939+1.3119+0.464+0.4394+0.2687+0.4005+0.3223+0.1786)/9</f>
        <v>0.57944444444444454</v>
      </c>
      <c r="F23" s="11">
        <f>(75.57+60.91+65.13+85.25+52.7+57.61+65.87+66.61+194.56)/9</f>
        <v>80.467777777777783</v>
      </c>
      <c r="G23" s="8">
        <f>(0.8826+0.8769+0.991+0.926+1.0334+1.0627+1.0199+1.0366+1.049)/9</f>
        <v>0.98645555555555553</v>
      </c>
      <c r="H23" s="11">
        <f>(229.99+440.96+195.15+295.08+260.56+412.66+542.42+341.11+733.88)/9</f>
        <v>383.53444444444449</v>
      </c>
      <c r="I23" s="1">
        <v>22</v>
      </c>
      <c r="J23" s="4">
        <v>21</v>
      </c>
      <c r="K23" s="4">
        <v>20</v>
      </c>
      <c r="L23" s="4">
        <v>17</v>
      </c>
      <c r="M23" s="3">
        <f t="shared" si="0"/>
        <v>80</v>
      </c>
      <c r="O23" s="12">
        <f t="shared" si="1"/>
        <v>0.67088526481048327</v>
      </c>
      <c r="P23" s="12">
        <f t="shared" si="2"/>
        <v>0.40905111193260302</v>
      </c>
      <c r="Q23" s="12">
        <f t="shared" si="3"/>
        <v>0.28164374227673272</v>
      </c>
      <c r="R23" s="12">
        <f t="shared" si="4"/>
        <v>1.9527887082976907</v>
      </c>
      <c r="S23" s="27"/>
      <c r="T23" s="12">
        <f t="shared" si="5"/>
        <v>3.3143688273175096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(0.8749+0.4344+0.7983+0.217+0.4815+0.1446+0.439+0.1604+0.1901)/9</f>
        <v>0.41557777777777782</v>
      </c>
      <c r="F24" s="11">
        <f>(79.72+76.8+65.46+85.19+48.57+73.3+61.64+70.01+101.76)/9</f>
        <v>73.605555555555554</v>
      </c>
      <c r="G24" s="7">
        <f>(0.9516+0.9542+0.9082+0.8571+0.9146+0.9381+0.9389+0.936+0.9552)/9</f>
        <v>0.92821111111111121</v>
      </c>
      <c r="H24" s="11">
        <f>(514.82+441.33+447.06+429.06+461.99+452.9+666.02+422.03+415.88)/9</f>
        <v>472.34333333333336</v>
      </c>
      <c r="I24" s="1">
        <v>4</v>
      </c>
      <c r="J24" s="4">
        <v>13</v>
      </c>
      <c r="K24" s="4">
        <v>15</v>
      </c>
      <c r="L24" s="4">
        <v>27</v>
      </c>
      <c r="M24" s="3">
        <f t="shared" si="0"/>
        <v>59</v>
      </c>
      <c r="O24" s="12">
        <f t="shared" si="1"/>
        <v>0.19835955272179662</v>
      </c>
      <c r="P24" s="12">
        <f t="shared" si="2"/>
        <v>0.28888845652469974</v>
      </c>
      <c r="Q24" s="12">
        <f t="shared" si="3"/>
        <v>0.20597015787224732</v>
      </c>
      <c r="R24" s="12">
        <f t="shared" si="4"/>
        <v>2.636518391787853</v>
      </c>
      <c r="T24" s="12">
        <f t="shared" si="5"/>
        <v>3.3297365589065966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2</v>
      </c>
      <c r="J25" s="4">
        <v>24</v>
      </c>
      <c r="K25" s="4">
        <v>18</v>
      </c>
      <c r="L25" s="4">
        <v>25</v>
      </c>
      <c r="M25" s="3">
        <f t="shared" si="0"/>
        <v>69</v>
      </c>
      <c r="O25" s="12">
        <f t="shared" si="1"/>
        <v>8.6787167527931669E-2</v>
      </c>
      <c r="P25" s="12">
        <f t="shared" si="2"/>
        <v>0.45284188348958643</v>
      </c>
      <c r="Q25" s="12">
        <f t="shared" si="3"/>
        <v>0.27145604110056892</v>
      </c>
      <c r="R25" s="12">
        <f t="shared" si="4"/>
        <v>2.626693144323597</v>
      </c>
      <c r="S25" s="28"/>
      <c r="T25" s="12">
        <f t="shared" si="5"/>
        <v>3.4377782364416838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(0.8553+0.4544+0.8043+0.2175+0.3953+0.1599+0.3966+0.1542+0.1859)/9</f>
        <v>0.40259999999999996</v>
      </c>
      <c r="F26" s="17">
        <f>(89.35+70.69+77.61+86.91+52.69+62.16+61.64+71.17+139.16)/9</f>
        <v>79.042222222222208</v>
      </c>
      <c r="G26" s="21">
        <f>(0.9135+0.935+0.908+0.8954+0.9335+1.0079+0.9698+0.9267+1.0007)/9</f>
        <v>0.94338888888888894</v>
      </c>
      <c r="H26" s="17">
        <f>(464.64+418.05+407.33+444.09+390.17+547.1+655.53+850+555.75)/9</f>
        <v>525.85111111111109</v>
      </c>
      <c r="I26" s="3">
        <v>3</v>
      </c>
      <c r="J26" s="6">
        <v>20</v>
      </c>
      <c r="K26" s="6">
        <v>16</v>
      </c>
      <c r="L26" s="6">
        <v>30</v>
      </c>
      <c r="M26" s="3">
        <f t="shared" si="0"/>
        <v>69</v>
      </c>
      <c r="O26" s="12">
        <f t="shared" si="1"/>
        <v>0.16093684918778592</v>
      </c>
      <c r="P26" s="12">
        <f t="shared" si="2"/>
        <v>0.3840885654804751</v>
      </c>
      <c r="Q26" s="12">
        <f t="shared" si="3"/>
        <v>0.22568975273995562</v>
      </c>
      <c r="R26" s="12">
        <f t="shared" si="4"/>
        <v>3.0484687767322494</v>
      </c>
      <c r="T26" s="12">
        <f t="shared" si="5"/>
        <v>3.819183944140466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14</v>
      </c>
      <c r="K27" s="4">
        <v>32</v>
      </c>
      <c r="L27" s="4">
        <v>21</v>
      </c>
      <c r="M27" s="3">
        <f t="shared" si="0"/>
        <v>98</v>
      </c>
      <c r="O27" s="12">
        <f t="shared" si="1"/>
        <v>1.0849572266188194</v>
      </c>
      <c r="P27" s="12">
        <f t="shared" si="2"/>
        <v>0.2943595929723522</v>
      </c>
      <c r="Q27" s="12">
        <f t="shared" si="3"/>
        <v>0.57517409832657751</v>
      </c>
      <c r="R27" s="12">
        <f t="shared" si="4"/>
        <v>2.0220444824636439</v>
      </c>
      <c r="S27" s="28"/>
      <c r="T27" s="12">
        <f t="shared" si="5"/>
        <v>3.9765354003813931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17</v>
      </c>
      <c r="K28" s="4">
        <v>21</v>
      </c>
      <c r="L28" s="4">
        <v>23</v>
      </c>
      <c r="M28" s="3">
        <f t="shared" si="0"/>
        <v>94</v>
      </c>
      <c r="O28" s="12">
        <f t="shared" si="1"/>
        <v>1.4064784851494665</v>
      </c>
      <c r="P28" s="12">
        <f t="shared" si="2"/>
        <v>0.33144736074089892</v>
      </c>
      <c r="Q28" s="12">
        <f t="shared" si="3"/>
        <v>0.30350275439143548</v>
      </c>
      <c r="R28" s="12">
        <f t="shared" si="4"/>
        <v>2.1588999144568009</v>
      </c>
      <c r="S28" s="28"/>
      <c r="T28" s="12">
        <f t="shared" si="5"/>
        <v>4.2003285147386018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10</v>
      </c>
      <c r="J29" s="4">
        <v>28</v>
      </c>
      <c r="K29" s="4">
        <v>12</v>
      </c>
      <c r="L29" s="4">
        <v>32</v>
      </c>
      <c r="M29" s="3">
        <f t="shared" si="0"/>
        <v>82</v>
      </c>
      <c r="O29" s="12">
        <f t="shared" si="1"/>
        <v>0.35240780494056556</v>
      </c>
      <c r="P29" s="12">
        <f t="shared" si="2"/>
        <v>0.55781465844309941</v>
      </c>
      <c r="Q29" s="12">
        <f t="shared" si="3"/>
        <v>0.16463985032740888</v>
      </c>
      <c r="R29" s="12">
        <f t="shared" si="4"/>
        <v>3.5100983746792123</v>
      </c>
      <c r="S29" s="28"/>
      <c r="T29" s="12">
        <f t="shared" si="5"/>
        <v>4.5849606883902858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26</v>
      </c>
      <c r="K30" s="4">
        <v>34</v>
      </c>
      <c r="L30" s="4">
        <v>26</v>
      </c>
      <c r="M30" s="3">
        <f t="shared" si="0"/>
        <v>120</v>
      </c>
      <c r="O30" s="12">
        <f t="shared" si="1"/>
        <v>1.4925106532953121</v>
      </c>
      <c r="P30" s="12">
        <f t="shared" si="2"/>
        <v>0.4925725236881528</v>
      </c>
      <c r="Q30" s="12">
        <f t="shared" si="3"/>
        <v>0.59715726016006643</v>
      </c>
      <c r="R30" s="12">
        <f t="shared" si="4"/>
        <v>2.6622070145423442</v>
      </c>
      <c r="S30" s="28"/>
      <c r="T30" s="12">
        <f t="shared" si="5"/>
        <v>5.2444474516858754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25</v>
      </c>
      <c r="J31" s="4">
        <v>33</v>
      </c>
      <c r="K31" s="4">
        <v>23</v>
      </c>
      <c r="L31" s="4">
        <v>31</v>
      </c>
      <c r="M31" s="3">
        <f t="shared" si="0"/>
        <v>112</v>
      </c>
      <c r="O31" s="12">
        <f t="shared" si="1"/>
        <v>0.69541187401877491</v>
      </c>
      <c r="P31" s="12">
        <f t="shared" si="2"/>
        <v>0.75751016596299392</v>
      </c>
      <c r="Q31" s="12">
        <f t="shared" si="3"/>
        <v>0.36966011849080155</v>
      </c>
      <c r="R31" s="12">
        <f t="shared" si="4"/>
        <v>3.5098160821214712</v>
      </c>
      <c r="S31" s="28"/>
      <c r="T31" s="12">
        <f t="shared" si="5"/>
        <v>5.332398240594042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12</v>
      </c>
      <c r="J32" s="4">
        <v>23</v>
      </c>
      <c r="K32" s="4">
        <v>22</v>
      </c>
      <c r="L32" s="4">
        <v>33</v>
      </c>
      <c r="M32" s="3">
        <f t="shared" si="0"/>
        <v>90</v>
      </c>
      <c r="O32" s="12">
        <f t="shared" si="1"/>
        <v>0.55322162058248658</v>
      </c>
      <c r="P32" s="12">
        <f t="shared" si="2"/>
        <v>0.44544234099266466</v>
      </c>
      <c r="Q32" s="12">
        <f t="shared" si="3"/>
        <v>0.30703669057270566</v>
      </c>
      <c r="R32" s="12">
        <f t="shared" si="4"/>
        <v>4.1309392643284859</v>
      </c>
      <c r="S32" s="28"/>
      <c r="T32" s="12">
        <f t="shared" si="5"/>
        <v>5.4366399164763433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1.5764233763737137</v>
      </c>
      <c r="P33" s="12">
        <f t="shared" si="2"/>
        <v>1.0798392902309473</v>
      </c>
      <c r="Q33" s="12">
        <f t="shared" si="3"/>
        <v>0.42474794719883607</v>
      </c>
      <c r="R33" s="12">
        <f t="shared" si="4"/>
        <v>2.9286847733105219</v>
      </c>
      <c r="S33" s="28"/>
      <c r="T33" s="12">
        <f t="shared" si="5"/>
        <v>6.0096953871140197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16</v>
      </c>
      <c r="J34" s="6">
        <v>34</v>
      </c>
      <c r="K34" s="6">
        <v>1</v>
      </c>
      <c r="L34" s="6">
        <v>37</v>
      </c>
      <c r="M34" s="3">
        <f t="shared" si="0"/>
        <v>88</v>
      </c>
      <c r="O34" s="12">
        <f t="shared" si="1"/>
        <v>0.60218512703854365</v>
      </c>
      <c r="P34" s="12">
        <f t="shared" si="2"/>
        <v>0.76186158725217434</v>
      </c>
      <c r="Q34" s="12">
        <f t="shared" si="3"/>
        <v>0</v>
      </c>
      <c r="R34" s="12">
        <f t="shared" si="4"/>
        <v>4.9525337895637298</v>
      </c>
      <c r="S34" s="28"/>
      <c r="T34" s="12">
        <f t="shared" si="5"/>
        <v>6.316580503854448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17</v>
      </c>
      <c r="J35" s="4">
        <v>31</v>
      </c>
      <c r="K35" s="4">
        <v>3</v>
      </c>
      <c r="L35" s="4">
        <v>38</v>
      </c>
      <c r="M35" s="3">
        <f t="shared" si="0"/>
        <v>89</v>
      </c>
      <c r="O35" s="12">
        <f t="shared" si="1"/>
        <v>0.6257729646598954</v>
      </c>
      <c r="P35" s="12">
        <f t="shared" si="2"/>
        <v>0.68215265482421117</v>
      </c>
      <c r="Q35" s="12">
        <f t="shared" si="3"/>
        <v>2.5750961438519984E-2</v>
      </c>
      <c r="R35" s="12">
        <f t="shared" si="4"/>
        <v>5.4301727972626175</v>
      </c>
      <c r="S35" s="28"/>
      <c r="T35" s="12">
        <f t="shared" si="5"/>
        <v>6.7638493781852445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1.8822530518086564</v>
      </c>
      <c r="P36" s="12">
        <f t="shared" si="2"/>
        <v>1.5218981652625638</v>
      </c>
      <c r="Q36" s="12">
        <f t="shared" si="3"/>
        <v>0.39252676436960809</v>
      </c>
      <c r="R36" s="12">
        <f t="shared" si="4"/>
        <v>3.0021385799828915</v>
      </c>
      <c r="S36" s="28"/>
      <c r="T36" s="12">
        <f t="shared" si="5"/>
        <v>6.7988165614237204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1.2341402069783083</v>
      </c>
      <c r="P37" s="12">
        <f t="shared" si="2"/>
        <v>1.8312255579119401</v>
      </c>
      <c r="Q37" s="12">
        <f t="shared" si="3"/>
        <v>0.10000259848248622</v>
      </c>
      <c r="R37" s="12">
        <f t="shared" si="4"/>
        <v>4.2636526946107782</v>
      </c>
      <c r="S37" s="28"/>
      <c r="T37" s="12">
        <f t="shared" si="5"/>
        <v>7.4290210579835128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29</v>
      </c>
      <c r="L38" s="4">
        <v>35</v>
      </c>
      <c r="M38" s="3">
        <f t="shared" si="0"/>
        <v>140</v>
      </c>
      <c r="O38" s="12">
        <f t="shared" si="1"/>
        <v>1.9642433757329139</v>
      </c>
      <c r="P38" s="12">
        <f t="shared" si="2"/>
        <v>0.82987333891083115</v>
      </c>
      <c r="Q38" s="12">
        <f t="shared" si="3"/>
        <v>0.48048539652842748</v>
      </c>
      <c r="R38" s="12">
        <f t="shared" si="4"/>
        <v>4.6921984602224125</v>
      </c>
      <c r="S38" s="28"/>
      <c r="T38" s="12">
        <f t="shared" si="5"/>
        <v>7.9668005713945851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1.8746595751497863</v>
      </c>
      <c r="P39" s="12">
        <f t="shared" si="2"/>
        <v>1.0130357802984606</v>
      </c>
      <c r="Q39" s="12">
        <f t="shared" si="3"/>
        <v>0.2795793923015627</v>
      </c>
      <c r="R39" s="12">
        <f t="shared" si="4"/>
        <v>4.9378699743370404</v>
      </c>
      <c r="S39" s="28"/>
      <c r="T39" s="12">
        <f t="shared" si="5"/>
        <v>8.10514472208685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1.4994312902502316</v>
      </c>
      <c r="P40" s="12">
        <f t="shared" si="2"/>
        <v>0.56541724225149326</v>
      </c>
      <c r="Q40" s="12">
        <f t="shared" si="3"/>
        <v>1.6104095208398499E-2</v>
      </c>
      <c r="R40" s="12">
        <f t="shared" si="4"/>
        <v>15.579901625320788</v>
      </c>
      <c r="S40" s="28"/>
      <c r="T40" s="12">
        <f t="shared" si="5"/>
        <v>17.660854253030912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30</v>
      </c>
      <c r="K41" s="4">
        <v>40</v>
      </c>
      <c r="L41" s="4">
        <v>40</v>
      </c>
      <c r="M41" s="3">
        <f t="shared" si="0"/>
        <v>147</v>
      </c>
      <c r="O41" s="12">
        <f t="shared" si="1"/>
        <v>1.715484925186632</v>
      </c>
      <c r="P41" s="12">
        <f t="shared" si="2"/>
        <v>0.67251006868105101</v>
      </c>
      <c r="Q41" s="12">
        <f t="shared" si="3"/>
        <v>2.0625714582683718</v>
      </c>
      <c r="R41" s="12">
        <f t="shared" si="4"/>
        <v>374.86209580838323</v>
      </c>
      <c r="S41" s="28"/>
      <c r="T41" s="12">
        <f t="shared" si="5"/>
        <v>379.31266226051929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7D15-B37F-4E94-8C19-6004211B0648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(1.2737+0.6594+1.2894+0.2091+0.6702+0.1227+0.6433+0.1749+0.1594+0.1365)/10</f>
        <v>0.53386</v>
      </c>
      <c r="F2" s="17">
        <f>(52.71+51.08+60.04+44.39+35.84+40.69+41.7+45.58+148.19+97.39)/10</f>
        <v>61.761000000000003</v>
      </c>
      <c r="G2" s="21">
        <f>(0.9517+0.8598+0.9794+0.8272+0.6981+0.8076+0.8403+0.876+0.864+0.8005)/10</f>
        <v>0.85045999999999999</v>
      </c>
      <c r="H2" s="17">
        <f>(123.49+120.07+133.7+155.7+109.64+141.01+136.54+121.5+127.35+128)/10</f>
        <v>129.69999999999999</v>
      </c>
      <c r="I2" s="3">
        <v>16</v>
      </c>
      <c r="J2" s="6">
        <v>2</v>
      </c>
      <c r="K2" s="6">
        <v>5</v>
      </c>
      <c r="L2" s="2">
        <v>1</v>
      </c>
      <c r="M2" s="3">
        <f t="shared" ref="M2:M41" si="0">SUM(I2:L2)</f>
        <v>24</v>
      </c>
      <c r="N2" s="26"/>
      <c r="O2" s="12">
        <f t="shared" ref="O2:O41" si="1">(E2-MIN($E$2:$E$41))/MIN($E$2:$E$41)</f>
        <v>0.57895359498388066</v>
      </c>
      <c r="P2" s="12">
        <f t="shared" ref="P2:P41" si="2">(F2-MIN($F$2:$F$41))/MIN($F$2:$F$41)</f>
        <v>9.034766697163724E-3</v>
      </c>
      <c r="Q2" s="12">
        <f t="shared" ref="Q2:Q41" si="3">(G2-MIN($G$2:$G$41))/MIN($G$2:$G$41)</f>
        <v>0.10495270761875075</v>
      </c>
      <c r="R2" s="12">
        <f t="shared" ref="R2:R41" si="4">(H2-MIN($H$2:$H$41))/MIN($H$2:$H$41)</f>
        <v>0</v>
      </c>
      <c r="T2" s="12">
        <f t="shared" ref="T2:T41" si="5">SUM(O2:R2)</f>
        <v>0.69294106929979515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(1.1939+0.5295+1.2054+0.2766+0.5897+0.1592+0.454+0.156+0.1678+0.1614)/10</f>
        <v>0.48934999999999995</v>
      </c>
      <c r="F3" s="11">
        <f>(56.51+60.9+62.78+51.52+43.79+52.13+43.82+56.48+131.46+130.18)/10</f>
        <v>68.956999999999994</v>
      </c>
      <c r="G3" s="8">
        <f>(0.8658+0.8758+0.9096+0.8829+0.7942+0.8075+0.8397+0.8983+0.8791+0.8384)/10</f>
        <v>0.85913000000000006</v>
      </c>
      <c r="H3" s="11">
        <f>(166.24+128.75+132.73+140.78+125.54+137.9+131.39+133.29+130.47+128.06)/10</f>
        <v>135.51499999999999</v>
      </c>
      <c r="I3" s="1">
        <v>11</v>
      </c>
      <c r="J3" s="4">
        <v>7</v>
      </c>
      <c r="K3" s="4">
        <v>7</v>
      </c>
      <c r="L3" s="4">
        <v>2</v>
      </c>
      <c r="M3" s="3">
        <f t="shared" si="0"/>
        <v>27</v>
      </c>
      <c r="N3" s="26"/>
      <c r="O3" s="12">
        <f t="shared" si="1"/>
        <v>0.44731004702611527</v>
      </c>
      <c r="P3" s="12">
        <f t="shared" si="2"/>
        <v>0.1266010978956997</v>
      </c>
      <c r="Q3" s="12">
        <f t="shared" si="3"/>
        <v>0.1162171291965494</v>
      </c>
      <c r="R3" s="12">
        <f t="shared" si="4"/>
        <v>4.4834232845026974E-2</v>
      </c>
      <c r="T3" s="12">
        <f t="shared" si="5"/>
        <v>0.73496250696339127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(1.328+0.6387+1.2933+0.2081+0.6567+0.1196+0.5433+0.1897+0.1499+0.1415)/10</f>
        <v>0.52688000000000001</v>
      </c>
      <c r="F4" s="11">
        <f>(51.46+51.93+58.53+45.16+36.44+41.24+41.95+45.42+141.84+98.11)/10</f>
        <v>61.208000000000006</v>
      </c>
      <c r="G4" s="8">
        <f>(0.9996+0.8412+0.962+0.8579+0.7042+0.8103+0.8744+0.871+0.8117+0.8024)/10</f>
        <v>0.85346999999999995</v>
      </c>
      <c r="H4" s="11">
        <f>(182.66+116.17+130.65+147.77+174.48+179.36+178.69+209.6+125.71+157.67)/10</f>
        <v>160.27600000000001</v>
      </c>
      <c r="I4" s="1">
        <v>15</v>
      </c>
      <c r="J4" s="4">
        <v>1</v>
      </c>
      <c r="K4" s="4">
        <v>6</v>
      </c>
      <c r="L4" s="4">
        <v>4</v>
      </c>
      <c r="M4" s="3">
        <f t="shared" si="0"/>
        <v>26</v>
      </c>
      <c r="N4" s="26"/>
      <c r="O4" s="12">
        <f t="shared" si="1"/>
        <v>0.55830942592647337</v>
      </c>
      <c r="P4" s="12">
        <f t="shared" si="2"/>
        <v>0</v>
      </c>
      <c r="Q4" s="12">
        <f t="shared" si="3"/>
        <v>0.10886342376052391</v>
      </c>
      <c r="R4" s="12">
        <f t="shared" si="4"/>
        <v>0.23574402467232092</v>
      </c>
      <c r="T4" s="12">
        <f t="shared" si="5"/>
        <v>0.90291687435931822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(1.2455+0.5+1.2323+0.3004+0.5862+0.1777+0.4921+0.1543+0.1727+0.1889)/10</f>
        <v>0.50500999999999996</v>
      </c>
      <c r="F5" s="10">
        <f>(55.47+59.6+62.03+55.14+41.94+49.02+46.46+57.6+149.03+136.38)/10</f>
        <v>71.266999999999996</v>
      </c>
      <c r="G5" s="8">
        <f>(0.8923+0.9144+0.9164+0.8568+0.7853+0.8317+0.9423+0.902+0.8572+0.8455)/10</f>
        <v>0.87439</v>
      </c>
      <c r="H5" s="11">
        <f>(205.31+122.82+127.03+142.04+171.6+166.16+171.72+202.86+117.32+148.29)/10</f>
        <v>157.51499999999999</v>
      </c>
      <c r="I5" s="1">
        <v>12</v>
      </c>
      <c r="J5" s="4">
        <v>8</v>
      </c>
      <c r="K5" s="4">
        <v>8</v>
      </c>
      <c r="L5" s="4">
        <v>3</v>
      </c>
      <c r="M5" s="3">
        <f t="shared" si="0"/>
        <v>31</v>
      </c>
      <c r="N5" s="26"/>
      <c r="O5" s="12">
        <f t="shared" si="1"/>
        <v>0.4936263346248258</v>
      </c>
      <c r="P5" s="12">
        <f t="shared" si="2"/>
        <v>0.16434126258005471</v>
      </c>
      <c r="Q5" s="12">
        <f t="shared" si="3"/>
        <v>0.1360435505664693</v>
      </c>
      <c r="R5" s="12">
        <f t="shared" si="4"/>
        <v>0.21445643793369315</v>
      </c>
      <c r="T5" s="12">
        <f t="shared" si="5"/>
        <v>1.0084675857050429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(1.3011+0.4407+1.3109+0.2626+0.4583+0.1998+0.4748+0.2567+0.1864+0.1889)/10</f>
        <v>0.50802000000000003</v>
      </c>
      <c r="F6" s="10">
        <f>(56.07+59.15+57.91+70.66+44.24+61.26+54.88+60.19+180.04+117.65)/10</f>
        <v>76.204999999999998</v>
      </c>
      <c r="G6" s="7">
        <f>(0.8871+0.9177+0.7864+0.8393+0.8878+0.8673+1.0169+0.913+0.8266+0.9153)/10</f>
        <v>0.88573999999999997</v>
      </c>
      <c r="H6" s="11">
        <f>(134.99+125.11+131.69+70.66+168.23+100.31+204.7+388.66+153.2+219.52)/10</f>
        <v>169.70700000000002</v>
      </c>
      <c r="I6" s="1">
        <v>14</v>
      </c>
      <c r="J6" s="4">
        <v>16</v>
      </c>
      <c r="K6" s="4">
        <v>10</v>
      </c>
      <c r="L6" s="4">
        <v>7</v>
      </c>
      <c r="M6" s="3">
        <f t="shared" si="0"/>
        <v>47</v>
      </c>
      <c r="O6" s="12">
        <f t="shared" si="1"/>
        <v>0.50252876282866499</v>
      </c>
      <c r="P6" s="12">
        <f t="shared" si="2"/>
        <v>0.24501699124297463</v>
      </c>
      <c r="Q6" s="12">
        <f t="shared" si="3"/>
        <v>0.15078993867581342</v>
      </c>
      <c r="R6" s="12">
        <f t="shared" si="4"/>
        <v>0.30845797995373969</v>
      </c>
      <c r="T6" s="12">
        <f t="shared" si="5"/>
        <v>1.2067936727011928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(1.3227+0.4749+1.3441+0.442+0.5811+0.2335+0.5447+0.1681+0.2061+0.2694)/10</f>
        <v>0.55866000000000005</v>
      </c>
      <c r="F7" s="11">
        <f>(58.29+61.86+60.74+51.39+40.88+45.47+53.57+50.16+158.91+138.12)/10</f>
        <v>71.938999999999993</v>
      </c>
      <c r="G7" s="8">
        <f>(1.0335+1.1715+1.1142+1.0843+1.1517+1.1855+1.0869+1.2268+1.1976+1.1815)/10</f>
        <v>1.1433500000000001</v>
      </c>
      <c r="H7" s="11">
        <f>(160.77+179.11+159.49+181.56+155.86+172.02+177.21+164.4+159.52+156.9)/10</f>
        <v>166.68400000000003</v>
      </c>
      <c r="I7" s="1">
        <v>23</v>
      </c>
      <c r="J7" s="4">
        <v>9</v>
      </c>
      <c r="K7" s="4">
        <v>30</v>
      </c>
      <c r="L7" s="4">
        <v>6</v>
      </c>
      <c r="M7" s="3">
        <f t="shared" si="0"/>
        <v>68</v>
      </c>
      <c r="O7" s="12">
        <f t="shared" si="1"/>
        <v>0.6523025051018897</v>
      </c>
      <c r="P7" s="12">
        <f t="shared" si="2"/>
        <v>0.17532021957913976</v>
      </c>
      <c r="Q7" s="12">
        <f t="shared" si="3"/>
        <v>0.48548747531441666</v>
      </c>
      <c r="R7" s="12">
        <f t="shared" si="4"/>
        <v>0.28515034695451075</v>
      </c>
      <c r="T7" s="12">
        <f t="shared" si="5"/>
        <v>1.5982605469499569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(1.3621+0.4361+1.3698+0.3612+0.5383+0.1698+0.4519+0.182+0.2266+0.2873)/10</f>
        <v>0.53851000000000027</v>
      </c>
      <c r="F8" s="11">
        <f>(64.15+70.27+77.24+64.04+57.29+62.22+52.37+65.66+189.65+152.8)/10</f>
        <v>85.569000000000003</v>
      </c>
      <c r="G8" s="8">
        <f>(1.1016+1.239+1.1211+1.1332+1.1981+1.1556+1.082+1.22+1.2021+1.2049)/10</f>
        <v>1.1657600000000001</v>
      </c>
      <c r="H8" s="11">
        <f>(147.49+195.67+187.54+157.07+153.02+167.57+168.76+149.23+136.04+170.86)/10</f>
        <v>163.32499999999999</v>
      </c>
      <c r="I8" s="1">
        <v>17</v>
      </c>
      <c r="J8" s="4">
        <v>25</v>
      </c>
      <c r="K8" s="5">
        <v>31</v>
      </c>
      <c r="L8" s="4">
        <v>5</v>
      </c>
      <c r="M8" s="3">
        <f t="shared" si="0"/>
        <v>78</v>
      </c>
      <c r="O8" s="12">
        <f t="shared" si="1"/>
        <v>0.59270651563100807</v>
      </c>
      <c r="P8" s="12">
        <f t="shared" si="2"/>
        <v>0.39800352895046393</v>
      </c>
      <c r="Q8" s="12">
        <f t="shared" si="3"/>
        <v>0.51460347157260189</v>
      </c>
      <c r="R8" s="12">
        <f t="shared" si="4"/>
        <v>0.25925212027756361</v>
      </c>
      <c r="T8" s="12">
        <f t="shared" si="5"/>
        <v>1.7645656364316373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(1.3366+0.5616+1.3558+0.4503+0.6742+0.2342+0.7629+0.1552+0.1869+0.2273)/10</f>
        <v>0.59449999999999992</v>
      </c>
      <c r="F9" s="11">
        <f>(49.71+58.68+56.89+43.53+32.71+43.14+51.08+46.9+169.75+106.64)/10</f>
        <v>65.902999999999992</v>
      </c>
      <c r="G9" s="8">
        <f>(1.1058+1.2028+1.1401+1.2722+1.2954+1.2159+1.3044+1.3014+1.1927+1.1655)/10</f>
        <v>1.2196199999999999</v>
      </c>
      <c r="H9" s="10">
        <f>(162.21+173.81+185.48+184.26+178.2+159.46+199.82+164.62+172.47+177.38)/10</f>
        <v>175.77100000000002</v>
      </c>
      <c r="I9" s="1">
        <v>29</v>
      </c>
      <c r="J9" s="4">
        <v>5</v>
      </c>
      <c r="K9" s="4">
        <v>33</v>
      </c>
      <c r="L9" s="4">
        <v>8</v>
      </c>
      <c r="M9" s="3">
        <f t="shared" si="0"/>
        <v>75</v>
      </c>
      <c r="O9" s="12">
        <f t="shared" si="1"/>
        <v>0.75830351069178603</v>
      </c>
      <c r="P9" s="12">
        <f t="shared" si="2"/>
        <v>7.6705659390929062E-2</v>
      </c>
      <c r="Q9" s="12">
        <f t="shared" si="3"/>
        <v>0.58458060492672281</v>
      </c>
      <c r="R9" s="12">
        <f t="shared" si="4"/>
        <v>0.35521202775636107</v>
      </c>
      <c r="T9" s="12">
        <f t="shared" si="5"/>
        <v>1.774801802765799</v>
      </c>
    </row>
    <row r="10" spans="1:20" x14ac:dyDescent="0.25">
      <c r="A10" s="2" t="s">
        <v>8</v>
      </c>
      <c r="B10" s="3" t="s">
        <v>2</v>
      </c>
      <c r="C10" s="2" t="s">
        <v>3</v>
      </c>
      <c r="D10" s="2" t="s">
        <v>6</v>
      </c>
      <c r="E10" s="18">
        <f>(1.3206+0.4102+1.3062+0.4721+0.5795+0.0721+0.5153+0.3297+0.2079+0.1806)/10</f>
        <v>0.53942000000000001</v>
      </c>
      <c r="F10" s="17">
        <f>(61.32+53.13+72.17+53.5+41.15+62.59+50.88+53.4+127.49+73.1)/10</f>
        <v>64.873000000000005</v>
      </c>
      <c r="G10" s="21">
        <f>(1.4839+1.4948+1.4472+1.4932+1.2562+1.4373+1.6056+1.5654+1.3186+1.4531)/10</f>
        <v>1.45553</v>
      </c>
      <c r="H10" s="17">
        <f>(187.02+167.01+144.5+201.65+171.01+263.98+149.22+158.96+184.4+174.34)/10</f>
        <v>180.209</v>
      </c>
      <c r="I10" s="3">
        <v>19</v>
      </c>
      <c r="J10" s="6">
        <v>3</v>
      </c>
      <c r="K10" s="6">
        <v>38</v>
      </c>
      <c r="L10" s="6">
        <v>10</v>
      </c>
      <c r="M10" s="3">
        <f t="shared" si="0"/>
        <v>70</v>
      </c>
      <c r="O10" s="12">
        <f t="shared" si="1"/>
        <v>0.59539794741356333</v>
      </c>
      <c r="P10" s="12">
        <f t="shared" si="2"/>
        <v>5.9877793752450642E-2</v>
      </c>
      <c r="Q10" s="12">
        <f t="shared" si="3"/>
        <v>0.89108460658975175</v>
      </c>
      <c r="R10" s="12">
        <f t="shared" si="4"/>
        <v>0.38942945258288375</v>
      </c>
      <c r="T10" s="12">
        <f t="shared" si="5"/>
        <v>1.9357898003386493</v>
      </c>
    </row>
    <row r="11" spans="1:20" x14ac:dyDescent="0.25">
      <c r="A11" s="5" t="s">
        <v>7</v>
      </c>
      <c r="B11" s="1" t="s">
        <v>2</v>
      </c>
      <c r="C11" s="5" t="s">
        <v>4</v>
      </c>
      <c r="D11" s="5" t="s">
        <v>5</v>
      </c>
      <c r="E11" s="9">
        <f>(1.3688+0.5081+1.3543+0.437+0.676+0.1217+0.6813+0.1775+0.1857+0.2337)/10</f>
        <v>0.57440999999999998</v>
      </c>
      <c r="F11" s="11">
        <f>(52.41+55.11+57.38+43.03+32.31+40.32+51.99+46.21+171.77+107.94)/10</f>
        <v>65.847000000000008</v>
      </c>
      <c r="G11" s="8">
        <f>(1.1415+1.2812+1.1688+1.1353+1.3105+1.2336+1.3269+1.2901+1.2402+1.2023)/10</f>
        <v>1.2330399999999999</v>
      </c>
      <c r="H11" s="10">
        <f>(209.7+171.09+169.95+173.32+240.72+198.07+215.47+279.44+196.07+207.52)/10</f>
        <v>206.13499999999999</v>
      </c>
      <c r="I11" s="1">
        <v>25</v>
      </c>
      <c r="J11" s="4">
        <v>4</v>
      </c>
      <c r="K11" s="4">
        <v>35</v>
      </c>
      <c r="L11" s="4">
        <v>11</v>
      </c>
      <c r="M11" s="3">
        <f t="shared" si="0"/>
        <v>75</v>
      </c>
      <c r="O11" s="12">
        <f t="shared" si="1"/>
        <v>0.69888497826151208</v>
      </c>
      <c r="P11" s="12">
        <f t="shared" si="2"/>
        <v>7.5790746307672241E-2</v>
      </c>
      <c r="Q11" s="12">
        <f t="shared" si="3"/>
        <v>0.60201642240931297</v>
      </c>
      <c r="R11" s="12">
        <f t="shared" si="4"/>
        <v>0.58932151117964537</v>
      </c>
      <c r="T11" s="12">
        <f t="shared" si="5"/>
        <v>1.9660136581581424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(1.3218+0.3758+1.311+0.4881+0.5768+0.0879+0.5828+0.3306+0.2112+0.1791)/10</f>
        <v>0.54650999999999994</v>
      </c>
      <c r="F12" s="11">
        <f>(62.57+60.53+83.04+61.67+54.67+56.71+56.8+68.83+179.3+95.21)/10</f>
        <v>77.933000000000007</v>
      </c>
      <c r="G12" s="7">
        <f>(1.4147+1.4571+1.4124+1.4399+1.243+1.4357+1.5688+1.5454+1.3522+1.444)/10</f>
        <v>1.4313200000000001</v>
      </c>
      <c r="H12" s="11">
        <f>(177.08+165.33+162.73+164.08+143.14+202.27+204.66+187+195.21+170.78)/10</f>
        <v>177.22800000000001</v>
      </c>
      <c r="I12" s="1">
        <v>21</v>
      </c>
      <c r="J12" s="4">
        <v>9</v>
      </c>
      <c r="K12" s="4">
        <v>37</v>
      </c>
      <c r="L12" s="4">
        <v>9</v>
      </c>
      <c r="M12" s="3">
        <f t="shared" si="0"/>
        <v>76</v>
      </c>
      <c r="O12" s="12">
        <f t="shared" si="1"/>
        <v>0.61636745437875196</v>
      </c>
      <c r="P12" s="12">
        <f t="shared" si="2"/>
        <v>0.27324859495490783</v>
      </c>
      <c r="Q12" s="12">
        <f t="shared" si="3"/>
        <v>0.85962997609396152</v>
      </c>
      <c r="R12" s="12">
        <f t="shared" si="4"/>
        <v>0.36644564379336952</v>
      </c>
      <c r="T12" s="12">
        <f t="shared" si="5"/>
        <v>2.1156916692209906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(1.3138+0.4286+1.2697+0.5508+0.6187+0.1188+0.7445+0.365+0.2085+0.1802)/10</f>
        <v>0.57986000000000004</v>
      </c>
      <c r="F13" s="11">
        <f>(59.9+50.56+55.53+71.15+39.11+57.03+46.49+86.97+154.94+116.52)/10</f>
        <v>73.820000000000007</v>
      </c>
      <c r="G13" s="8">
        <f>(1.1382+1.1499+1.1235+1.089+0.7972+1.0977+1.3131+1.1659+1.3177+1.094)/10</f>
        <v>1.1286200000000002</v>
      </c>
      <c r="H13" s="11">
        <f>(161.25+214.04+362.42+282.38+323.34+178.44+366.77+277.84+246.55+163.64)/10</f>
        <v>257.66700000000003</v>
      </c>
      <c r="I13" s="1">
        <v>27</v>
      </c>
      <c r="J13" s="4">
        <v>12</v>
      </c>
      <c r="K13" s="4">
        <v>27</v>
      </c>
      <c r="L13" s="4">
        <v>14</v>
      </c>
      <c r="M13" s="3">
        <f t="shared" si="0"/>
        <v>80</v>
      </c>
      <c r="O13" s="12">
        <f t="shared" si="1"/>
        <v>0.71500399278341342</v>
      </c>
      <c r="P13" s="12">
        <f t="shared" si="2"/>
        <v>0.20605149653640048</v>
      </c>
      <c r="Q13" s="12">
        <f t="shared" si="3"/>
        <v>0.46634965180334725</v>
      </c>
      <c r="R13" s="12">
        <f t="shared" si="4"/>
        <v>0.98663839629915229</v>
      </c>
      <c r="T13" s="12">
        <f t="shared" si="5"/>
        <v>2.3740435374223132</v>
      </c>
    </row>
    <row r="14" spans="1:20" x14ac:dyDescent="0.25">
      <c r="A14" s="5" t="s">
        <v>0</v>
      </c>
      <c r="B14" s="1" t="s">
        <v>2</v>
      </c>
      <c r="C14" s="5" t="s">
        <v>3</v>
      </c>
      <c r="D14" s="5" t="s">
        <v>5</v>
      </c>
      <c r="E14" s="9">
        <f>(0.4375+0.4583+0.3841+0.2492+0.5344+0.2099+0.392+0.2467+0.209+0.26)/10</f>
        <v>0.33811000000000008</v>
      </c>
      <c r="F14" s="10">
        <f>(82.48+84.17+82.35+73.08+98.84+69.11+93.9+77.32+137.41+90.95)/10</f>
        <v>88.960999999999999</v>
      </c>
      <c r="G14" s="8">
        <f>(0.8819+0.8774+0.8784+0.8833+0.8811+0.8776+0.8808+0.8809+0.948+0.8773)/10</f>
        <v>0.88666999999999996</v>
      </c>
      <c r="H14" s="11">
        <f>(459.56+372.58+364.47+414.66+362.69+321.07+353.8+375.64+429.41+362.17)/10</f>
        <v>381.60500000000002</v>
      </c>
      <c r="I14" s="1">
        <v>1</v>
      </c>
      <c r="J14" s="4">
        <v>27</v>
      </c>
      <c r="K14" s="4">
        <v>11</v>
      </c>
      <c r="L14" s="4">
        <v>19</v>
      </c>
      <c r="M14" s="3">
        <f t="shared" si="0"/>
        <v>58</v>
      </c>
      <c r="O14" s="12">
        <f t="shared" si="1"/>
        <v>0</v>
      </c>
      <c r="P14" s="12">
        <f t="shared" si="2"/>
        <v>0.45342112142203617</v>
      </c>
      <c r="Q14" s="12">
        <f t="shared" si="3"/>
        <v>0.15199823303190943</v>
      </c>
      <c r="R14" s="12">
        <f t="shared" si="4"/>
        <v>1.9422127987663844</v>
      </c>
      <c r="T14" s="12">
        <f t="shared" si="5"/>
        <v>2.5476321532203299</v>
      </c>
    </row>
    <row r="15" spans="1:20" x14ac:dyDescent="0.25">
      <c r="A15" s="5" t="s">
        <v>8</v>
      </c>
      <c r="B15" s="1" t="s">
        <v>1</v>
      </c>
      <c r="C15" s="5" t="s">
        <v>4</v>
      </c>
      <c r="D15" s="5" t="s">
        <v>6</v>
      </c>
      <c r="E15" s="9">
        <f>(1.1858+0.424+1.1808+0.4748+0.6384+0.111+0.6991+0.3544+0.2026+0.1826)/10</f>
        <v>0.54535000000000011</v>
      </c>
      <c r="F15" s="11">
        <f>(57.68+61.47+48.12+85.14+42.29+55.22+49+92.42+175.07+106.5)/10</f>
        <v>77.291000000000011</v>
      </c>
      <c r="G15" s="8">
        <f>(1.1335+1.1527+1.134+1.0992+0.7972+1.0852+1.3157+1.2646+1.3135+1.092)/10</f>
        <v>1.13876</v>
      </c>
      <c r="H15" s="11">
        <f>(216.2+288.53+421.27+195.55+203.58+173.74+361.66+447.23+278.88+263.46)/10</f>
        <v>285.01000000000005</v>
      </c>
      <c r="I15" s="1">
        <v>20</v>
      </c>
      <c r="J15" s="4">
        <v>17</v>
      </c>
      <c r="K15" s="4">
        <v>28</v>
      </c>
      <c r="L15" s="4">
        <v>15</v>
      </c>
      <c r="M15" s="3">
        <f t="shared" si="0"/>
        <v>80</v>
      </c>
      <c r="O15" s="12">
        <f t="shared" si="1"/>
        <v>0.61293661826032941</v>
      </c>
      <c r="P15" s="12">
        <f t="shared" si="2"/>
        <v>0.26275976996471057</v>
      </c>
      <c r="Q15" s="12">
        <f t="shared" si="3"/>
        <v>0.47952395800852315</v>
      </c>
      <c r="R15" s="12">
        <f t="shared" si="4"/>
        <v>1.1974556669236707</v>
      </c>
      <c r="T15" s="12">
        <f t="shared" si="5"/>
        <v>2.5526760131572335</v>
      </c>
    </row>
    <row r="16" spans="1:20" x14ac:dyDescent="0.25">
      <c r="A16" s="5" t="s">
        <v>8</v>
      </c>
      <c r="B16" s="1" t="s">
        <v>2</v>
      </c>
      <c r="C16" s="5" t="s">
        <v>4</v>
      </c>
      <c r="D16" s="5" t="s">
        <v>6</v>
      </c>
      <c r="E16" s="9">
        <f>(1.2886+0.3474+1.2595+0.3722+0.501+0.0892+0.5357+0.2955+0.2022+0.1881)/10</f>
        <v>0.50794000000000006</v>
      </c>
      <c r="F16" s="11">
        <f>(82.8+61.26+68.86+54.2+69.9+71.22+61.67+69.45+187.85+160.38)/10</f>
        <v>88.759</v>
      </c>
      <c r="G16" s="8">
        <f>(1.3666+1.2993+1.2877+1.3841+1.2634+1.3047+1.5021+1.4174+1.2265+1.32)/10</f>
        <v>1.33718</v>
      </c>
      <c r="H16" s="10">
        <f>(209.16+259.31+186.29+371.66+230.34+197.3+269.52+260.8+245.02+230.11)/10</f>
        <v>245.95100000000002</v>
      </c>
      <c r="I16" s="1">
        <v>13</v>
      </c>
      <c r="J16" s="4">
        <v>26</v>
      </c>
      <c r="K16" s="4">
        <v>36</v>
      </c>
      <c r="L16" s="4">
        <v>13</v>
      </c>
      <c r="M16" s="3">
        <f t="shared" si="0"/>
        <v>88</v>
      </c>
      <c r="O16" s="12">
        <f t="shared" si="1"/>
        <v>0.50229215344118761</v>
      </c>
      <c r="P16" s="12">
        <f t="shared" si="2"/>
        <v>0.45012089922885884</v>
      </c>
      <c r="Q16" s="12">
        <f t="shared" si="3"/>
        <v>0.73731940546720742</v>
      </c>
      <c r="R16" s="12">
        <f t="shared" si="4"/>
        <v>0.89630686198920617</v>
      </c>
      <c r="S16" s="27"/>
      <c r="T16" s="12">
        <f t="shared" si="5"/>
        <v>2.58603932012646</v>
      </c>
    </row>
    <row r="17" spans="1:20" x14ac:dyDescent="0.25">
      <c r="A17" s="5" t="s">
        <v>10</v>
      </c>
      <c r="B17" s="1" t="s">
        <v>2</v>
      </c>
      <c r="C17" s="5" t="s">
        <v>4</v>
      </c>
      <c r="D17" s="5" t="s">
        <v>6</v>
      </c>
      <c r="E17" s="9">
        <f>(0.9669+0.4189+0.879+0.2578+0.4751+0.1496+0.4201+0.1432+0.1848+0.2278)/10</f>
        <v>0.41232000000000008</v>
      </c>
      <c r="F17" s="11">
        <f>(79.1+69.5+61.94+61.04+39.92+83.59+59.6+74.28+161.42+63.15)/10</f>
        <v>75.353999999999999</v>
      </c>
      <c r="G17" s="8">
        <f>(1.001+1.0604+1.1131+1.0208+1.1782+1.0409+1.0226+1.0632+1.0844+1.0954)/10</f>
        <v>1.0680000000000001</v>
      </c>
      <c r="H17" s="11">
        <f>(381.55+371.65+270.43+324.54+322.43+434.65+293.76+316.81+614.26+314.76)/10</f>
        <v>364.48400000000004</v>
      </c>
      <c r="I17" s="1">
        <v>6</v>
      </c>
      <c r="J17" s="4">
        <v>14</v>
      </c>
      <c r="K17" s="4">
        <v>24</v>
      </c>
      <c r="L17" s="4">
        <v>17</v>
      </c>
      <c r="M17" s="3">
        <f t="shared" si="0"/>
        <v>61</v>
      </c>
      <c r="O17" s="12">
        <f t="shared" si="1"/>
        <v>0.21948478305876781</v>
      </c>
      <c r="P17" s="12">
        <f t="shared" si="2"/>
        <v>0.23111357992419279</v>
      </c>
      <c r="Q17" s="12">
        <f t="shared" si="3"/>
        <v>0.38758964764577508</v>
      </c>
      <c r="R17" s="12">
        <f t="shared" si="4"/>
        <v>1.8102081727062458</v>
      </c>
      <c r="T17" s="12">
        <f t="shared" si="5"/>
        <v>2.6483961833349814</v>
      </c>
    </row>
    <row r="18" spans="1:20" x14ac:dyDescent="0.25">
      <c r="A18" s="2" t="s">
        <v>10</v>
      </c>
      <c r="B18" s="3" t="s">
        <v>1</v>
      </c>
      <c r="C18" s="2" t="s">
        <v>4</v>
      </c>
      <c r="D18" s="2" t="s">
        <v>5</v>
      </c>
      <c r="E18" s="18">
        <f>(0.9867+0.4072+0.9351+0.2553+0.5607+0.1214+0.437+0.1349+0.1839+0.2097)/10</f>
        <v>0.42318999999999996</v>
      </c>
      <c r="F18" s="17">
        <f>(77.34+74.45+70.7+80.65+47.03+72.56+55.28+69.01+109.29+70.05)/10</f>
        <v>72.635999999999996</v>
      </c>
      <c r="G18" s="21">
        <f>(1.0432+0.9503+0.9656+0.8256+0.9943+0.8028+0.9459+0.9385+0.8114+0.9702)/10</f>
        <v>0.92477999999999994</v>
      </c>
      <c r="H18" s="17">
        <f>(734.21+358.03+402.86+342.32+251.03+342.35+289.44+568.11+299.86+328.4)/10</f>
        <v>391.661</v>
      </c>
      <c r="I18" s="3">
        <v>7</v>
      </c>
      <c r="J18" s="6">
        <v>10</v>
      </c>
      <c r="K18" s="6">
        <v>15</v>
      </c>
      <c r="L18" s="2">
        <v>21</v>
      </c>
      <c r="M18" s="3">
        <f t="shared" si="0"/>
        <v>53</v>
      </c>
      <c r="O18" s="12">
        <f t="shared" si="1"/>
        <v>0.25163408358226569</v>
      </c>
      <c r="P18" s="12">
        <f t="shared" si="2"/>
        <v>0.18670761991896467</v>
      </c>
      <c r="Q18" s="12">
        <f t="shared" si="3"/>
        <v>0.20151231680698475</v>
      </c>
      <c r="R18" s="12">
        <f t="shared" si="4"/>
        <v>2.0197455666923672</v>
      </c>
      <c r="T18" s="12">
        <f t="shared" si="5"/>
        <v>2.6595995870005824</v>
      </c>
    </row>
    <row r="19" spans="1:20" x14ac:dyDescent="0.25">
      <c r="A19" s="5" t="s">
        <v>8</v>
      </c>
      <c r="B19" s="1" t="s">
        <v>2</v>
      </c>
      <c r="C19" s="5" t="s">
        <v>4</v>
      </c>
      <c r="D19" s="5" t="s">
        <v>5</v>
      </c>
      <c r="E19" s="9">
        <f>(1.3315+0.4834+1.3377+0.4167+0.5593+0.1116+0.5245+0.3262)/8</f>
        <v>0.63636249999999994</v>
      </c>
      <c r="F19" s="11">
        <f>(91.15+77.13+76.62+66.02+50.57+69.87+49.91+69.17)/8</f>
        <v>68.804999999999993</v>
      </c>
      <c r="G19" s="8">
        <f>(1.5148+1.4537+1.4612+1.4799+1.2462+1.4433+1.6005+1.6267)/8</f>
        <v>1.4782875</v>
      </c>
      <c r="H19" s="11">
        <f>(212.35+316.11+236.87+192.43+184.35+201.17+316.23+198.87)/8</f>
        <v>232.29750000000001</v>
      </c>
      <c r="I19" s="1">
        <v>30</v>
      </c>
      <c r="J19" s="4">
        <v>6</v>
      </c>
      <c r="K19" s="4">
        <v>39</v>
      </c>
      <c r="L19" s="4">
        <v>12</v>
      </c>
      <c r="M19" s="3">
        <f t="shared" si="0"/>
        <v>87</v>
      </c>
      <c r="O19" s="12">
        <f t="shared" si="1"/>
        <v>0.88211676673271955</v>
      </c>
      <c r="P19" s="12">
        <f t="shared" si="2"/>
        <v>0.12411776238400186</v>
      </c>
      <c r="Q19" s="12">
        <f t="shared" si="3"/>
        <v>0.92065208917991914</v>
      </c>
      <c r="R19" s="12">
        <f t="shared" si="4"/>
        <v>0.79103700848111047</v>
      </c>
      <c r="S19" s="28"/>
      <c r="T19" s="12">
        <f t="shared" si="5"/>
        <v>2.7179236267777513</v>
      </c>
    </row>
    <row r="20" spans="1:20" x14ac:dyDescent="0.25">
      <c r="A20" s="5" t="s">
        <v>0</v>
      </c>
      <c r="B20" s="1" t="s">
        <v>2</v>
      </c>
      <c r="C20" s="5" t="s">
        <v>4</v>
      </c>
      <c r="D20" s="5" t="s">
        <v>5</v>
      </c>
      <c r="E20" s="9">
        <f>(0.5203+0.5221+0.3765+0.4075+0.5786+0.3787+0.5147+0.3045+0.3027+0.4413)/10</f>
        <v>0.43468999999999997</v>
      </c>
      <c r="F20" s="10">
        <f>(66.76+122.73+103.44+69.82+98.34+62.5+138.78+67.4+152.34+110)/10</f>
        <v>99.210999999999999</v>
      </c>
      <c r="G20" s="8">
        <f>(0.8785+0.8819+0.879+0.8906+0.8787+0.8785+0.8839+0.8772+0.8756+0.8745)/10</f>
        <v>0.87984000000000007</v>
      </c>
      <c r="H20" s="11">
        <f>(358.23+360.11+353.39+405.4+353.93+347.77+363.66+358.27+355.27+352.94)/10</f>
        <v>360.89699999999999</v>
      </c>
      <c r="I20" s="1">
        <v>8</v>
      </c>
      <c r="J20" s="4">
        <v>32</v>
      </c>
      <c r="K20" s="4">
        <v>9</v>
      </c>
      <c r="L20" s="4">
        <v>16</v>
      </c>
      <c r="M20" s="3">
        <f t="shared" si="0"/>
        <v>65</v>
      </c>
      <c r="O20" s="12">
        <f t="shared" si="1"/>
        <v>0.28564668303214891</v>
      </c>
      <c r="P20" s="12">
        <f t="shared" si="2"/>
        <v>0.6208828911253429</v>
      </c>
      <c r="Q20" s="12">
        <f t="shared" si="3"/>
        <v>0.1431244153414408</v>
      </c>
      <c r="R20" s="12">
        <f t="shared" si="4"/>
        <v>1.7825520431765616</v>
      </c>
      <c r="T20" s="12">
        <f t="shared" si="5"/>
        <v>2.8322060326754941</v>
      </c>
    </row>
    <row r="21" spans="1:20" x14ac:dyDescent="0.25">
      <c r="A21" s="5" t="s">
        <v>10</v>
      </c>
      <c r="B21" s="1" t="s">
        <v>2</v>
      </c>
      <c r="C21" s="5" t="s">
        <v>4</v>
      </c>
      <c r="D21" s="5" t="s">
        <v>5</v>
      </c>
      <c r="E21" s="9">
        <f>(0.8704+0.3887+0.8123+0.2707+0.5413+0.175+0.4913+0.1482+0.1803+0.1568)/10</f>
        <v>0.40349999999999991</v>
      </c>
      <c r="F21" s="11">
        <f>(84.21+72.5+92.47+71.52+54.34+76+59.77+71.97+171.43+72.91)/10</f>
        <v>82.712000000000003</v>
      </c>
      <c r="G21" s="8">
        <f>(0.9841+0.9076+1.0554+0.9119+0.9755+1.0307+0.8635+0.8978+1.0676+0.9402)/10</f>
        <v>0.96343000000000012</v>
      </c>
      <c r="H21" s="11">
        <f>(438.34+294.07+742.05+408.15+249.75+416.51+336.81+265.61+491.36+374)/10</f>
        <v>401.66500000000002</v>
      </c>
      <c r="I21" s="1">
        <v>5</v>
      </c>
      <c r="J21" s="4">
        <v>22</v>
      </c>
      <c r="K21" s="4">
        <v>17</v>
      </c>
      <c r="L21" s="4">
        <v>23</v>
      </c>
      <c r="M21" s="3">
        <f t="shared" si="0"/>
        <v>67</v>
      </c>
      <c r="O21" s="12">
        <f t="shared" si="1"/>
        <v>0.19339859808937868</v>
      </c>
      <c r="P21" s="12">
        <f t="shared" si="2"/>
        <v>0.35132662397072273</v>
      </c>
      <c r="Q21" s="12">
        <f t="shared" si="3"/>
        <v>0.25172799085334191</v>
      </c>
      <c r="R21" s="12">
        <f t="shared" si="4"/>
        <v>2.0968774094063227</v>
      </c>
      <c r="T21" s="12">
        <f t="shared" si="5"/>
        <v>2.8933306223197661</v>
      </c>
    </row>
    <row r="22" spans="1:20" x14ac:dyDescent="0.25">
      <c r="A22" s="5" t="s">
        <v>0</v>
      </c>
      <c r="B22" s="1" t="s">
        <v>1</v>
      </c>
      <c r="C22" s="5" t="s">
        <v>4</v>
      </c>
      <c r="D22" s="5" t="s">
        <v>5</v>
      </c>
      <c r="E22" s="9">
        <f>(0.5211+0.534+0.3765+0.4066+0.5785+0.3735+0.5147+0.3552+0.2997)/9</f>
        <v>0.4399777777777778</v>
      </c>
      <c r="F22" s="10">
        <f>(74.88+121.56+107.27+73.72+98.69+61.07+144.62+77.65+152.15)/9</f>
        <v>101.28999999999999</v>
      </c>
      <c r="G22" s="8">
        <f>(0.8996+0.9135+0.9034+0.915+0.9029+0.9023+0.9082+0.903+0.9094)/9</f>
        <v>0.90636666666666654</v>
      </c>
      <c r="H22" s="11">
        <f>(366.44+363.68+353.21+456.71+343.22+330.08+349.94+385.28+354.81)/9</f>
        <v>367.04111111111115</v>
      </c>
      <c r="I22" s="1">
        <v>9</v>
      </c>
      <c r="J22" s="4">
        <v>35</v>
      </c>
      <c r="K22" s="4">
        <v>13</v>
      </c>
      <c r="L22" s="4">
        <v>18</v>
      </c>
      <c r="M22" s="3">
        <f t="shared" si="0"/>
        <v>75</v>
      </c>
      <c r="O22" s="12">
        <f t="shared" si="1"/>
        <v>0.30128590629610985</v>
      </c>
      <c r="P22" s="12">
        <f t="shared" si="2"/>
        <v>0.65484903934126226</v>
      </c>
      <c r="Q22" s="12">
        <f t="shared" si="3"/>
        <v>0.17758895471711184</v>
      </c>
      <c r="R22" s="12">
        <f t="shared" si="4"/>
        <v>1.829923755675491</v>
      </c>
      <c r="S22" s="28"/>
      <c r="T22" s="12">
        <f t="shared" si="5"/>
        <v>2.9636476560299752</v>
      </c>
    </row>
    <row r="23" spans="1:20" x14ac:dyDescent="0.25">
      <c r="A23" s="5" t="s">
        <v>10</v>
      </c>
      <c r="B23" s="1" t="s">
        <v>2</v>
      </c>
      <c r="C23" s="5" t="s">
        <v>3</v>
      </c>
      <c r="D23" s="5" t="s">
        <v>5</v>
      </c>
      <c r="E23" s="9">
        <f>(0.8749+0.4344+0.7983+0.217+0.4815+0.1446+0.439+0.1604+0.1901+0.1455)/10</f>
        <v>0.38857000000000003</v>
      </c>
      <c r="F23" s="11">
        <f>(79.72+76.8+65.46+85.19+48.57+73.3+61.64+70.01+101.76+65.23)/10</f>
        <v>72.768000000000001</v>
      </c>
      <c r="G23" s="7">
        <f>(0.9516+0.9542+0.9082+0.8571+0.9146+0.9381+0.9389+0.936+0.9552+0.8894)/10</f>
        <v>0.9243300000000001</v>
      </c>
      <c r="H23" s="11">
        <f>(514.82+441.33+447.06+429.06+461.99+452.9+666.02+422.03+415.88+466.8)/10</f>
        <v>471.78900000000004</v>
      </c>
      <c r="I23" s="1">
        <v>4</v>
      </c>
      <c r="J23" s="4">
        <v>11</v>
      </c>
      <c r="K23" s="4">
        <v>14</v>
      </c>
      <c r="L23" s="4">
        <v>26</v>
      </c>
      <c r="M23" s="3">
        <f t="shared" si="0"/>
        <v>55</v>
      </c>
      <c r="O23" s="12">
        <f t="shared" si="1"/>
        <v>0.14924137115140024</v>
      </c>
      <c r="P23" s="12">
        <f t="shared" si="2"/>
        <v>0.18886420075807075</v>
      </c>
      <c r="Q23" s="12">
        <f t="shared" si="3"/>
        <v>0.20092765824758366</v>
      </c>
      <c r="R23" s="12">
        <f t="shared" si="4"/>
        <v>2.6375404780262151</v>
      </c>
      <c r="T23" s="12">
        <f t="shared" si="5"/>
        <v>3.1765737081832697</v>
      </c>
    </row>
    <row r="24" spans="1:20" x14ac:dyDescent="0.25">
      <c r="A24" s="5" t="s">
        <v>9</v>
      </c>
      <c r="B24" s="1" t="s">
        <v>1</v>
      </c>
      <c r="C24" s="5" t="s">
        <v>4</v>
      </c>
      <c r="D24" s="5" t="s">
        <v>6</v>
      </c>
      <c r="E24" s="9">
        <f>(1.3357+0.4939+1.3119+0.464+0.4394+0.2687+0.4005+0.3223+0.1786)/9</f>
        <v>0.57944444444444454</v>
      </c>
      <c r="F24" s="11">
        <f>(75.57+60.91+65.13+85.25+52.7+57.61+65.87+66.61+194.56)/9</f>
        <v>80.467777777777783</v>
      </c>
      <c r="G24" s="8">
        <f>(0.8826+0.8769+0.991+0.926+1.0334+1.0627+1.0199+1.0366+1.049)/9</f>
        <v>0.98645555555555553</v>
      </c>
      <c r="H24" s="11">
        <f>(229.99+440.96+195.15+295.08+260.56+412.66+542.42+341.11+733.88)/9</f>
        <v>383.53444444444449</v>
      </c>
      <c r="I24" s="1">
        <v>26</v>
      </c>
      <c r="J24" s="4">
        <v>20</v>
      </c>
      <c r="K24" s="4">
        <v>20</v>
      </c>
      <c r="L24" s="4">
        <v>20</v>
      </c>
      <c r="M24" s="3">
        <f t="shared" si="0"/>
        <v>86</v>
      </c>
      <c r="O24" s="12">
        <f t="shared" si="1"/>
        <v>0.71377493846512796</v>
      </c>
      <c r="P24" s="12">
        <f t="shared" si="2"/>
        <v>0.31466111909844752</v>
      </c>
      <c r="Q24" s="12">
        <f t="shared" si="3"/>
        <v>0.28164374227673272</v>
      </c>
      <c r="R24" s="12">
        <f t="shared" si="4"/>
        <v>1.957089008823782</v>
      </c>
      <c r="S24" s="28"/>
      <c r="T24" s="12">
        <f t="shared" si="5"/>
        <v>3.2671688086640902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2</v>
      </c>
      <c r="J25" s="4">
        <v>23</v>
      </c>
      <c r="K25" s="4">
        <v>18</v>
      </c>
      <c r="L25" s="4">
        <v>25</v>
      </c>
      <c r="M25" s="3">
        <f t="shared" si="0"/>
        <v>68</v>
      </c>
      <c r="O25" s="12">
        <f t="shared" si="1"/>
        <v>0.11468372507679211</v>
      </c>
      <c r="P25" s="12">
        <f t="shared" si="2"/>
        <v>0.35551841962768616</v>
      </c>
      <c r="Q25" s="12">
        <f t="shared" si="3"/>
        <v>0.27145604110056892</v>
      </c>
      <c r="R25" s="12">
        <f t="shared" si="4"/>
        <v>2.6319748871021038</v>
      </c>
      <c r="S25" s="28"/>
      <c r="T25" s="12">
        <f t="shared" si="5"/>
        <v>3.3736330729071513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(0.8553+0.4544+0.8043+0.2175+0.3953+0.1599+0.3966+0.1542+0.1859+0.1677)/10</f>
        <v>0.37910999999999995</v>
      </c>
      <c r="F26" s="17">
        <f>(89.35+70.69+77.61+86.91+52.69+62.16+61.64+71.17+139.16+66.07)/10</f>
        <v>77.744999999999976</v>
      </c>
      <c r="G26" s="21">
        <f>(0.9135+0.935+0.908+0.8954+0.9335+1.0079+0.9698+0.9267+1.0007+0.9044)/10</f>
        <v>0.93949000000000016</v>
      </c>
      <c r="H26" s="17">
        <f>(464.64+418.05+407.33+444.09+390.17+547.1+655.53+850+555.75+510.56)/10</f>
        <v>524.322</v>
      </c>
      <c r="I26" s="3">
        <v>3</v>
      </c>
      <c r="J26" s="6">
        <v>18</v>
      </c>
      <c r="K26" s="6">
        <v>16</v>
      </c>
      <c r="L26" s="6">
        <v>30</v>
      </c>
      <c r="M26" s="3">
        <f t="shared" si="0"/>
        <v>67</v>
      </c>
      <c r="O26" s="12">
        <f t="shared" si="1"/>
        <v>0.12126231108219178</v>
      </c>
      <c r="P26" s="12">
        <f t="shared" si="2"/>
        <v>0.27017710103254428</v>
      </c>
      <c r="Q26" s="12">
        <f t="shared" si="3"/>
        <v>0.22062415549319231</v>
      </c>
      <c r="R26" s="12">
        <f t="shared" si="4"/>
        <v>3.0425751734772555</v>
      </c>
      <c r="T26" s="12">
        <f t="shared" si="5"/>
        <v>3.6546387410851837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13</v>
      </c>
      <c r="K27" s="4">
        <v>32</v>
      </c>
      <c r="L27" s="4">
        <v>22</v>
      </c>
      <c r="M27" s="3">
        <f t="shared" si="0"/>
        <v>98</v>
      </c>
      <c r="O27" s="12">
        <f t="shared" si="1"/>
        <v>1.1384756440211758</v>
      </c>
      <c r="P27" s="12">
        <f t="shared" si="2"/>
        <v>0.20765259443210013</v>
      </c>
      <c r="Q27" s="12">
        <f t="shared" si="3"/>
        <v>0.57517409832657751</v>
      </c>
      <c r="R27" s="12">
        <f t="shared" si="4"/>
        <v>2.0264456437933696</v>
      </c>
      <c r="S27" s="28"/>
      <c r="T27" s="12">
        <f t="shared" si="5"/>
        <v>3.9477479805732232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15</v>
      </c>
      <c r="K28" s="4">
        <v>21</v>
      </c>
      <c r="L28" s="4">
        <v>24</v>
      </c>
      <c r="M28" s="3">
        <f t="shared" si="0"/>
        <v>93</v>
      </c>
      <c r="O28" s="12">
        <f t="shared" si="1"/>
        <v>1.4682499778178699</v>
      </c>
      <c r="P28" s="12">
        <f t="shared" si="2"/>
        <v>0.2422559142595736</v>
      </c>
      <c r="Q28" s="12">
        <f t="shared" si="3"/>
        <v>0.30350275439143548</v>
      </c>
      <c r="R28" s="12">
        <f t="shared" si="4"/>
        <v>2.1635003855050123</v>
      </c>
      <c r="S28" s="28"/>
      <c r="T28" s="12">
        <f t="shared" si="5"/>
        <v>4.1775090319738908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10</v>
      </c>
      <c r="J29" s="4">
        <v>27</v>
      </c>
      <c r="K29" s="4">
        <v>12</v>
      </c>
      <c r="L29" s="4">
        <v>32</v>
      </c>
      <c r="M29" s="3">
        <f t="shared" si="0"/>
        <v>81</v>
      </c>
      <c r="O29" s="12">
        <f t="shared" si="1"/>
        <v>0.38712253408653963</v>
      </c>
      <c r="P29" s="12">
        <f t="shared" si="2"/>
        <v>0.45345924280050509</v>
      </c>
      <c r="Q29" s="12">
        <f t="shared" si="3"/>
        <v>0.16463985032740888</v>
      </c>
      <c r="R29" s="12">
        <f t="shared" si="4"/>
        <v>3.5166666666666666</v>
      </c>
      <c r="S29" s="28"/>
      <c r="T29" s="12">
        <f t="shared" si="5"/>
        <v>4.52188829388112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24</v>
      </c>
      <c r="K30" s="4">
        <v>34</v>
      </c>
      <c r="L30" s="4">
        <v>27</v>
      </c>
      <c r="M30" s="3">
        <f t="shared" si="0"/>
        <v>119</v>
      </c>
      <c r="O30" s="12">
        <f t="shared" si="1"/>
        <v>1.5564904912602404</v>
      </c>
      <c r="P30" s="12">
        <f t="shared" si="2"/>
        <v>0.39258757025225444</v>
      </c>
      <c r="Q30" s="12">
        <f t="shared" si="3"/>
        <v>0.59715726016006643</v>
      </c>
      <c r="R30" s="12">
        <f t="shared" si="4"/>
        <v>2.6675404780262149</v>
      </c>
      <c r="S30" s="28"/>
      <c r="T30" s="12">
        <f t="shared" si="5"/>
        <v>5.2137757996987766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28</v>
      </c>
      <c r="J31" s="4">
        <v>33</v>
      </c>
      <c r="K31" s="4">
        <v>23</v>
      </c>
      <c r="L31" s="4">
        <v>31</v>
      </c>
      <c r="M31" s="3">
        <f t="shared" si="0"/>
        <v>115</v>
      </c>
      <c r="O31" s="12">
        <f t="shared" si="1"/>
        <v>0.73893111709207016</v>
      </c>
      <c r="P31" s="12">
        <f t="shared" si="2"/>
        <v>0.63977748006796498</v>
      </c>
      <c r="Q31" s="12">
        <f t="shared" si="3"/>
        <v>0.36966011849080155</v>
      </c>
      <c r="R31" s="12">
        <f t="shared" si="4"/>
        <v>3.5163839629915192</v>
      </c>
      <c r="S31" s="28"/>
      <c r="T31" s="12">
        <f t="shared" si="5"/>
        <v>5.2647526786423562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18</v>
      </c>
      <c r="J32" s="4">
        <v>21</v>
      </c>
      <c r="K32" s="4">
        <v>22</v>
      </c>
      <c r="L32" s="4">
        <v>33</v>
      </c>
      <c r="M32" s="3">
        <f t="shared" si="0"/>
        <v>94</v>
      </c>
      <c r="O32" s="12">
        <f t="shared" si="1"/>
        <v>0.59309100588565822</v>
      </c>
      <c r="P32" s="12">
        <f t="shared" si="2"/>
        <v>0.34861456018821046</v>
      </c>
      <c r="Q32" s="12">
        <f t="shared" si="3"/>
        <v>0.30703669057270566</v>
      </c>
      <c r="R32" s="12">
        <f t="shared" si="4"/>
        <v>4.1384117193523515</v>
      </c>
      <c r="S32" s="28"/>
      <c r="T32" s="12">
        <f t="shared" si="5"/>
        <v>5.3871539759989258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1.6425571559551617</v>
      </c>
      <c r="P33" s="12">
        <f t="shared" si="2"/>
        <v>0.94051431185465939</v>
      </c>
      <c r="Q33" s="12">
        <f t="shared" si="3"/>
        <v>0.42474794719883607</v>
      </c>
      <c r="R33" s="12">
        <f t="shared" si="4"/>
        <v>2.9344063222821899</v>
      </c>
      <c r="S33" s="28"/>
      <c r="T33" s="12">
        <f t="shared" si="5"/>
        <v>5.9422257372908476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22</v>
      </c>
      <c r="J34" s="6">
        <v>34</v>
      </c>
      <c r="K34" s="6">
        <v>1</v>
      </c>
      <c r="L34" s="6">
        <v>37</v>
      </c>
      <c r="M34" s="3">
        <f t="shared" si="0"/>
        <v>94</v>
      </c>
      <c r="O34" s="12">
        <f t="shared" si="1"/>
        <v>0.64331134837774651</v>
      </c>
      <c r="P34" s="12">
        <f t="shared" si="2"/>
        <v>0.64383740687491842</v>
      </c>
      <c r="Q34" s="12">
        <f t="shared" si="3"/>
        <v>0</v>
      </c>
      <c r="R34" s="12">
        <f t="shared" si="4"/>
        <v>4.9612027756360844</v>
      </c>
      <c r="S34" s="28"/>
      <c r="T34" s="12">
        <f t="shared" si="5"/>
        <v>6.2483515308887494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24</v>
      </c>
      <c r="J35" s="4">
        <v>31</v>
      </c>
      <c r="K35" s="4">
        <v>3</v>
      </c>
      <c r="L35" s="4">
        <v>38</v>
      </c>
      <c r="M35" s="3">
        <f t="shared" si="0"/>
        <v>96</v>
      </c>
      <c r="O35" s="12">
        <f t="shared" si="1"/>
        <v>0.66750465824731586</v>
      </c>
      <c r="P35" s="12">
        <f t="shared" si="2"/>
        <v>0.56946804339302026</v>
      </c>
      <c r="Q35" s="12">
        <f t="shared" si="3"/>
        <v>2.5750961438519984E-2</v>
      </c>
      <c r="R35" s="12">
        <f t="shared" si="4"/>
        <v>5.4395373939861225</v>
      </c>
      <c r="S35" s="28"/>
      <c r="T35" s="12">
        <f t="shared" si="5"/>
        <v>6.7022610570649785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1.9562371220411496</v>
      </c>
      <c r="P36" s="12">
        <f t="shared" si="2"/>
        <v>1.3529603973336819</v>
      </c>
      <c r="Q36" s="12">
        <f t="shared" si="3"/>
        <v>0.39252676436960809</v>
      </c>
      <c r="R36" s="12">
        <f t="shared" si="4"/>
        <v>3.007967103572347</v>
      </c>
      <c r="S36" s="28"/>
      <c r="T36" s="12">
        <f t="shared" si="5"/>
        <v>6.709691387316786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1.2914879772854984</v>
      </c>
      <c r="P37" s="12">
        <f t="shared" si="2"/>
        <v>1.6415664619004051</v>
      </c>
      <c r="Q37" s="12">
        <f t="shared" si="3"/>
        <v>0.10000259848248622</v>
      </c>
      <c r="R37" s="12">
        <f t="shared" si="4"/>
        <v>4.271318427139553</v>
      </c>
      <c r="S37" s="28"/>
      <c r="T37" s="12">
        <f t="shared" si="5"/>
        <v>7.3043754648079426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29</v>
      </c>
      <c r="L38" s="4">
        <v>35</v>
      </c>
      <c r="M38" s="3">
        <f t="shared" si="0"/>
        <v>140</v>
      </c>
      <c r="O38" s="12">
        <f t="shared" si="1"/>
        <v>2.040332041840426</v>
      </c>
      <c r="P38" s="12">
        <f t="shared" si="2"/>
        <v>0.7072931642922492</v>
      </c>
      <c r="Q38" s="12">
        <f t="shared" si="3"/>
        <v>0.48048539652842748</v>
      </c>
      <c r="R38" s="12">
        <f t="shared" si="4"/>
        <v>4.7004883063479834</v>
      </c>
      <c r="S38" s="28"/>
      <c r="T38" s="12">
        <f t="shared" si="5"/>
        <v>7.9285989090090858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1.9484487297033506</v>
      </c>
      <c r="P39" s="12">
        <f t="shared" si="2"/>
        <v>0.87818585805776994</v>
      </c>
      <c r="Q39" s="12">
        <f t="shared" si="3"/>
        <v>0.2795793923015627</v>
      </c>
      <c r="R39" s="12">
        <f t="shared" si="4"/>
        <v>4.9465176047288617</v>
      </c>
      <c r="S39" s="28"/>
      <c r="T39" s="12">
        <f t="shared" si="5"/>
        <v>8.0527315847915446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1.5635887728845637</v>
      </c>
      <c r="P40" s="12">
        <f t="shared" si="2"/>
        <v>0.46055254215135277</v>
      </c>
      <c r="Q40" s="12">
        <f t="shared" si="3"/>
        <v>1.6104095208398499E-2</v>
      </c>
      <c r="R40" s="12">
        <f t="shared" si="4"/>
        <v>15.604047802621436</v>
      </c>
      <c r="S40" s="28"/>
      <c r="T40" s="12">
        <f t="shared" si="5"/>
        <v>17.644293212865751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30</v>
      </c>
      <c r="K41" s="4">
        <v>40</v>
      </c>
      <c r="L41" s="4">
        <v>40</v>
      </c>
      <c r="M41" s="3">
        <f t="shared" si="0"/>
        <v>147</v>
      </c>
      <c r="O41" s="12">
        <f t="shared" si="1"/>
        <v>1.7851882523439109</v>
      </c>
      <c r="P41" s="12">
        <f t="shared" si="2"/>
        <v>0.56047139807432544</v>
      </c>
      <c r="Q41" s="12">
        <f t="shared" si="3"/>
        <v>2.0625714582683718</v>
      </c>
      <c r="R41" s="12">
        <f t="shared" si="4"/>
        <v>375.40948342328454</v>
      </c>
      <c r="S41" s="28"/>
      <c r="T41" s="12">
        <f t="shared" si="5"/>
        <v>379.81771453197115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A22E-5824-4EC3-B5AB-5E69BEB5B9FD}">
  <dimension ref="A1:T41"/>
  <sheetViews>
    <sheetView tabSelected="1" topLeftCell="A28" workbookViewId="0">
      <selection activeCell="W38" sqref="W38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(1.2737+0.6594+1.2894+0.2091+0.6702+0.1227+0.6433+0.1749+0.1594+0.1365+0.1472)/11</f>
        <v>0.49870909090909082</v>
      </c>
      <c r="F2" s="17">
        <f>(52.71+51.08+60.04+44.39+35.84+40.69+41.7+45.58+148.19+97.39+44.13)/11</f>
        <v>60.158181818181816</v>
      </c>
      <c r="G2" s="21">
        <f>(0.9517+0.8598+0.9794+0.8272+0.6981+0.8076+0.8403+0.876+0.864+0.8005+0.8297)/11</f>
        <v>0.84857272727272737</v>
      </c>
      <c r="H2" s="17">
        <f>(123.49+120.07+133.7+155.7+109.64+141.01+136.54+121.5+127.35+128+130.2)/11</f>
        <v>129.74545454545455</v>
      </c>
      <c r="I2" s="3">
        <v>15</v>
      </c>
      <c r="J2" s="6">
        <v>2</v>
      </c>
      <c r="K2" s="6">
        <v>5</v>
      </c>
      <c r="L2" s="2">
        <v>1</v>
      </c>
      <c r="M2" s="3">
        <f t="shared" ref="M2:M41" si="0">SUM(I2:L2)</f>
        <v>23</v>
      </c>
      <c r="N2" s="26"/>
      <c r="O2" s="12">
        <f t="shared" ref="O2:O41" si="1">(E2-MIN($E$2:$E$41))/MIN($E$2:$E$41)</f>
        <v>0.57547386559448521</v>
      </c>
      <c r="P2" s="12">
        <f t="shared" ref="P2:P41" si="2">(F2-MIN($F$2:$F$41))/MIN($F$2:$F$41)</f>
        <v>9.411657031285655E-3</v>
      </c>
      <c r="Q2" s="12">
        <f t="shared" ref="Q2:Q41" si="3">(G2-MIN($G$2:$G$41))/MIN($G$2:$G$41)</f>
        <v>0.10250068505447388</v>
      </c>
      <c r="R2" s="12">
        <f t="shared" ref="R2:R41" si="4">(H2-MIN($H$2:$H$41))/MIN($H$2:$H$41)</f>
        <v>0</v>
      </c>
      <c r="T2" s="12">
        <f t="shared" ref="T2:T41" si="5">SUM(O2:R2)</f>
        <v>0.68738620768024472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(1.1939+0.5295+1.2054+0.2766+0.5897+0.1592+0.454+0.156+0.1678+0.1614+0.1648)/11</f>
        <v>0.45984545454545445</v>
      </c>
      <c r="F3" s="11">
        <f>(56.51+60.9+62.78+51.52+43.79+52.13+43.82+56.48+131.46+130.18+44.59)/11</f>
        <v>66.741818181818175</v>
      </c>
      <c r="G3" s="8">
        <f>(0.8658+0.8758+0.9096+0.8829+0.7942+0.8075+0.8397+0.8983+0.8791+0.8384+0.861)/11</f>
        <v>0.85930000000000006</v>
      </c>
      <c r="H3" s="11">
        <f>(166.24+128.75+132.73+140.78+125.54+137.9+131.39+133.29+130.47+128.06+129.03)/11</f>
        <v>134.92545454545453</v>
      </c>
      <c r="I3" s="1">
        <v>10</v>
      </c>
      <c r="J3" s="4">
        <v>6</v>
      </c>
      <c r="K3" s="4">
        <v>7</v>
      </c>
      <c r="L3" s="4">
        <v>2</v>
      </c>
      <c r="M3" s="3">
        <f t="shared" si="0"/>
        <v>25</v>
      </c>
      <c r="N3" s="26"/>
      <c r="O3" s="12">
        <f t="shared" si="1"/>
        <v>0.45269959793222214</v>
      </c>
      <c r="P3" s="12">
        <f t="shared" si="2"/>
        <v>0.11988040941470762</v>
      </c>
      <c r="Q3" s="12">
        <f t="shared" si="3"/>
        <v>0.1164380002078788</v>
      </c>
      <c r="R3" s="12">
        <f t="shared" si="4"/>
        <v>3.9924327354259923E-2</v>
      </c>
      <c r="T3" s="12">
        <f t="shared" si="5"/>
        <v>0.72894233490906846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(1.328+0.6387+1.2933+0.2081+0.6567+0.1196+0.5433+0.1897+0.1499+0.1415+0.1597)/11</f>
        <v>0.49349999999999999</v>
      </c>
      <c r="F4" s="11">
        <f>(51.46+51.93+58.53+45.16+36.44+41.24+41.95+45.42+141.84+98.11+43.49)/11</f>
        <v>59.597272727272731</v>
      </c>
      <c r="G4" s="8">
        <f>(0.9996+0.8412+0.962+0.8579+0.7042+0.8103+0.8744+0.871+0.8117+0.8024+0.8381)/11</f>
        <v>0.8520727272727272</v>
      </c>
      <c r="H4" s="11">
        <f>(182.66+116.17+130.65+147.77+174.48+179.36+178.69+209.6+125.71+157.67+257.99)/11</f>
        <v>169.15909090909091</v>
      </c>
      <c r="I4" s="1">
        <v>14</v>
      </c>
      <c r="J4" s="4">
        <v>1</v>
      </c>
      <c r="K4" s="4">
        <v>6</v>
      </c>
      <c r="L4" s="4">
        <v>7</v>
      </c>
      <c r="M4" s="3">
        <f t="shared" si="0"/>
        <v>28</v>
      </c>
      <c r="N4" s="26"/>
      <c r="O4" s="12">
        <f t="shared" si="1"/>
        <v>0.55901780585870142</v>
      </c>
      <c r="P4" s="12">
        <f t="shared" si="2"/>
        <v>0</v>
      </c>
      <c r="Q4" s="12">
        <f t="shared" si="3"/>
        <v>0.10704802940537274</v>
      </c>
      <c r="R4" s="12">
        <f t="shared" si="4"/>
        <v>0.30377662556053808</v>
      </c>
      <c r="T4" s="12">
        <f t="shared" si="5"/>
        <v>0.96984246082461223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(1.2455+0.5+1.2323+0.3004+0.5862+0.1777+0.4921+0.1543+0.1727+0.1889+0.1558)/11</f>
        <v>0.47326363636363633</v>
      </c>
      <c r="F5" s="10">
        <f>(55.47+59.6+62.03+55.14+41.94+49.02+46.46+57.6+149.03+136.38+44.94)/11</f>
        <v>68.873636363636351</v>
      </c>
      <c r="G5" s="8">
        <f>(0.8923+0.9144+0.9164+0.8568+0.7853+0.8317+0.9423+0.902+0.8572+0.8455+0.8169)/11</f>
        <v>0.86916363636363636</v>
      </c>
      <c r="H5" s="11">
        <f>(205.31+122.82+127.03+142.04+171.6+166.16+171.72+202.86+117.32+148.29+197.68)/11</f>
        <v>161.16636363636363</v>
      </c>
      <c r="I5" s="1">
        <v>13</v>
      </c>
      <c r="J5" s="4">
        <v>8</v>
      </c>
      <c r="K5" s="4">
        <v>8</v>
      </c>
      <c r="L5" s="4">
        <v>3</v>
      </c>
      <c r="M5" s="3">
        <f t="shared" si="0"/>
        <v>32</v>
      </c>
      <c r="N5" s="26"/>
      <c r="O5" s="12">
        <f t="shared" si="1"/>
        <v>0.49508902929350895</v>
      </c>
      <c r="P5" s="12">
        <f t="shared" si="2"/>
        <v>0.15565080769406747</v>
      </c>
      <c r="Q5" s="12">
        <f t="shared" si="3"/>
        <v>0.12925324337859428</v>
      </c>
      <c r="R5" s="12">
        <f t="shared" si="4"/>
        <v>0.24217348654708509</v>
      </c>
      <c r="T5" s="12">
        <f t="shared" si="5"/>
        <v>1.0221665669132558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(1.3011+0.4407+1.3109+0.2626+0.4583+0.1998+0.4748+0.2567+0.1864+0.1889+0.1161)/11</f>
        <v>0.47239090909090914</v>
      </c>
      <c r="F6" s="10">
        <f>(56.07+59.15+57.91+70.66+44.24+61.26+54.88+60.19+180.04+117.65+46.91)/11</f>
        <v>73.541818181818172</v>
      </c>
      <c r="G6" s="7">
        <f>(0.8871+0.9177+0.7864+0.8393+0.8878+0.8673+1.0169+0.913+0.8266+0.9153+0.8156)/11</f>
        <v>0.87936363636363635</v>
      </c>
      <c r="H6" s="11">
        <f>(134.99+125.11+131.69+70.66+168.23+100.31+204.7+388.66+153.2+219.52+135.86)/11</f>
        <v>166.63000000000002</v>
      </c>
      <c r="I6" s="1">
        <v>12</v>
      </c>
      <c r="J6" s="4">
        <v>14</v>
      </c>
      <c r="K6" s="4">
        <v>9</v>
      </c>
      <c r="L6" s="4">
        <v>5</v>
      </c>
      <c r="M6" s="3">
        <f t="shared" si="0"/>
        <v>40</v>
      </c>
      <c r="O6" s="12">
        <f t="shared" si="1"/>
        <v>0.49233199310740927</v>
      </c>
      <c r="P6" s="12">
        <f t="shared" si="2"/>
        <v>0.23397959028021392</v>
      </c>
      <c r="Q6" s="12">
        <f t="shared" si="3"/>
        <v>0.1425055040583573</v>
      </c>
      <c r="R6" s="12">
        <f t="shared" si="4"/>
        <v>0.28428391255605395</v>
      </c>
      <c r="T6" s="12">
        <f t="shared" si="5"/>
        <v>1.1531010000020345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(1.3227+0.4749+1.3441+0.442+0.5811+0.2335+0.5447+0.1681+0.2061+0.2694+0.1665)/11</f>
        <v>0.52300909090909098</v>
      </c>
      <c r="F7" s="11">
        <f>(58.29+61.86+60.74+51.39+40.88+45.47+53.57+50.16+158.91+138.12+43.67)/11</f>
        <v>69.3690909090909</v>
      </c>
      <c r="G7" s="8">
        <f>(1.0335+1.1715+1.1142+1.0843+1.1517+1.1855+1.0869+1.2268+1.1976+1.1815+1.1892)/11</f>
        <v>1.1475181818181819</v>
      </c>
      <c r="H7" s="11">
        <f>(160.77+179.11+159.49+181.56+155.86+172.02+177.21+164.4+159.52+156.9+184.6)/11</f>
        <v>168.31272727272727</v>
      </c>
      <c r="I7" s="1">
        <v>21</v>
      </c>
      <c r="J7" s="4">
        <v>9</v>
      </c>
      <c r="K7" s="4">
        <v>29</v>
      </c>
      <c r="L7" s="4">
        <v>6</v>
      </c>
      <c r="M7" s="3">
        <f t="shared" si="0"/>
        <v>65</v>
      </c>
      <c r="O7" s="12">
        <f t="shared" si="1"/>
        <v>0.65224009190120602</v>
      </c>
      <c r="P7" s="12">
        <f t="shared" si="2"/>
        <v>0.16396418384001685</v>
      </c>
      <c r="Q7" s="12">
        <f t="shared" si="3"/>
        <v>0.49090294904139642</v>
      </c>
      <c r="R7" s="12">
        <f t="shared" si="4"/>
        <v>0.2972533632286995</v>
      </c>
      <c r="T7" s="12">
        <f t="shared" si="5"/>
        <v>1.604360588011319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(1.3366+0.5616+1.3558+0.4503+0.6742+0.2342+0.7629+0.1552+0.1869+0.2273+0.0694)/11</f>
        <v>0.54676363636363634</v>
      </c>
      <c r="F8" s="11">
        <f>(49.71+58.68+56.89+43.53+32.71+43.14+51.08+46.9+169.75+106.64+33.66)/11</f>
        <v>62.971818181818179</v>
      </c>
      <c r="G8" s="8">
        <f>(1.1058+1.2028+1.1401+1.2722+1.2954+1.2159+1.3044+1.3014+1.1927+1.1655+1.2953)/11</f>
        <v>1.2264999999999999</v>
      </c>
      <c r="H8" s="10">
        <f>(162.21+173.81+185.48+184.26+178.2+159.46+199.82+164.62+172.47+177.38+181.82)/11</f>
        <v>176.32090909090908</v>
      </c>
      <c r="I8" s="1">
        <v>25</v>
      </c>
      <c r="J8" s="4">
        <v>4</v>
      </c>
      <c r="K8" s="4">
        <v>33</v>
      </c>
      <c r="L8" s="4">
        <v>8</v>
      </c>
      <c r="M8" s="3">
        <f t="shared" si="0"/>
        <v>70</v>
      </c>
      <c r="O8" s="12">
        <f t="shared" si="1"/>
        <v>0.72728317059161351</v>
      </c>
      <c r="P8" s="12">
        <f t="shared" si="2"/>
        <v>5.6622481199566671E-2</v>
      </c>
      <c r="Q8" s="12">
        <f t="shared" si="3"/>
        <v>0.59351938467934728</v>
      </c>
      <c r="R8" s="12">
        <f t="shared" si="4"/>
        <v>0.35897561659192817</v>
      </c>
      <c r="T8" s="12">
        <f t="shared" si="5"/>
        <v>1.7364006530624558</v>
      </c>
    </row>
    <row r="9" spans="1:20" x14ac:dyDescent="0.25">
      <c r="A9" s="5" t="s">
        <v>7</v>
      </c>
      <c r="B9" s="1" t="s">
        <v>2</v>
      </c>
      <c r="C9" s="5" t="s">
        <v>3</v>
      </c>
      <c r="D9" s="5" t="s">
        <v>5</v>
      </c>
      <c r="E9" s="9">
        <f>(1.3621+0.4361+1.3698+0.3612+0.5383+0.1698+0.4519+0.182+0.2266+0.2873+0.181)/11</f>
        <v>0.50600909090909107</v>
      </c>
      <c r="F9" s="11">
        <f>(64.15+70.27+77.24+64.04+57.29+62.22+52.37+65.66+189.65+152.8+56.57)/11</f>
        <v>82.932727272727277</v>
      </c>
      <c r="G9" s="8">
        <f>(1.1016+1.239+1.1211+1.1332+1.1981+1.1556+1.082+1.22+1.2021+1.2049+1.1727)/11</f>
        <v>1.1663909090909093</v>
      </c>
      <c r="H9" s="11">
        <f>(147.49+195.67+187.54+157.07+153.02+167.57+168.76+149.23+136.04+170.86+178.39)/11</f>
        <v>164.69454545454545</v>
      </c>
      <c r="I9" s="1">
        <v>17</v>
      </c>
      <c r="J9" s="4">
        <v>23</v>
      </c>
      <c r="K9" s="5">
        <v>31</v>
      </c>
      <c r="L9" s="4">
        <v>4</v>
      </c>
      <c r="M9" s="3">
        <f t="shared" si="0"/>
        <v>75</v>
      </c>
      <c r="O9" s="12">
        <f t="shared" si="1"/>
        <v>0.59853532452613445</v>
      </c>
      <c r="P9" s="12">
        <f t="shared" si="2"/>
        <v>0.39155238952362065</v>
      </c>
      <c r="Q9" s="12">
        <f t="shared" si="3"/>
        <v>0.51542317468416665</v>
      </c>
      <c r="R9" s="12">
        <f t="shared" si="4"/>
        <v>0.26936659192825102</v>
      </c>
      <c r="T9" s="12">
        <f t="shared" si="5"/>
        <v>1.7748774806621728</v>
      </c>
    </row>
    <row r="10" spans="1:20" x14ac:dyDescent="0.25">
      <c r="A10" s="2" t="s">
        <v>8</v>
      </c>
      <c r="B10" s="3" t="s">
        <v>2</v>
      </c>
      <c r="C10" s="2" t="s">
        <v>3</v>
      </c>
      <c r="D10" s="2" t="s">
        <v>6</v>
      </c>
      <c r="E10" s="18">
        <f>(1.3206+0.4102+1.3062+0.4721+0.5795+0.0721+0.5153+0.3297+0.2079+0.1806+0.0916)/11</f>
        <v>0.49870909090909094</v>
      </c>
      <c r="F10" s="17">
        <f>(61.32+53.13+72.17+53.5+41.15+62.59+50.88+53.4+127.49+73.1+34.61)/11</f>
        <v>62.121818181818185</v>
      </c>
      <c r="G10" s="21">
        <f>(1.4839+1.4948+1.4472+1.4932+1.2562+1.4373+1.6056+1.5654+1.3186+1.4531+1.267)/11</f>
        <v>1.4383909090909091</v>
      </c>
      <c r="H10" s="17">
        <f>(187.02+167.01+144.5+201.65+171.01+263.98+149.22+158.96+184.4+174.34+201.63)/11</f>
        <v>182.15636363636366</v>
      </c>
      <c r="I10" s="3">
        <v>15</v>
      </c>
      <c r="J10" s="6">
        <v>3</v>
      </c>
      <c r="K10" s="6">
        <v>38</v>
      </c>
      <c r="L10" s="6">
        <v>10</v>
      </c>
      <c r="M10" s="3">
        <f t="shared" si="0"/>
        <v>66</v>
      </c>
      <c r="O10" s="12">
        <f t="shared" si="1"/>
        <v>0.57547386559448555</v>
      </c>
      <c r="P10" s="12">
        <f t="shared" si="2"/>
        <v>4.2360083591378474E-2</v>
      </c>
      <c r="Q10" s="12">
        <f t="shared" si="3"/>
        <v>0.86881679281118018</v>
      </c>
      <c r="R10" s="12">
        <f t="shared" si="4"/>
        <v>0.40395179372197326</v>
      </c>
      <c r="T10" s="12">
        <f t="shared" si="5"/>
        <v>1.8906025357190175</v>
      </c>
    </row>
    <row r="11" spans="1:20" x14ac:dyDescent="0.25">
      <c r="A11" s="5" t="s">
        <v>7</v>
      </c>
      <c r="B11" s="1" t="s">
        <v>2</v>
      </c>
      <c r="C11" s="5" t="s">
        <v>4</v>
      </c>
      <c r="D11" s="5" t="s">
        <v>5</v>
      </c>
      <c r="E11" s="9">
        <f>(1.3688+0.5081+1.3543+0.437+0.676+0.1217+0.6813+0.1775+0.1857+0.2337+0.0711)/11</f>
        <v>0.52865454545454549</v>
      </c>
      <c r="F11" s="11">
        <f>(52.41+55.11+57.38+43.03+32.31+40.32+51.99+46.21+171.77+107.94+35.13)/11</f>
        <v>63.054545454545455</v>
      </c>
      <c r="G11" s="8">
        <f>(1.1415+1.2812+1.1688+1.1353+1.3105+1.2336+1.3269+1.2901+1.2402+1.2023+1.2653)/11</f>
        <v>1.2359727272727272</v>
      </c>
      <c r="H11" s="10">
        <f>(209.7+171.09+169.95+173.32+240.72+198.07+215.47+279.44+196.07+207.52+179.48)/11</f>
        <v>203.71181818181819</v>
      </c>
      <c r="I11" s="1">
        <v>22</v>
      </c>
      <c r="J11" s="4">
        <v>5</v>
      </c>
      <c r="K11" s="4">
        <v>35</v>
      </c>
      <c r="L11" s="4">
        <v>11</v>
      </c>
      <c r="M11" s="3">
        <f t="shared" si="0"/>
        <v>73</v>
      </c>
      <c r="O11" s="12">
        <f t="shared" si="1"/>
        <v>0.67007466973003982</v>
      </c>
      <c r="P11" s="12">
        <f t="shared" si="2"/>
        <v>5.8010586207422478E-2</v>
      </c>
      <c r="Q11" s="12">
        <f t="shared" si="3"/>
        <v>0.60582674263684566</v>
      </c>
      <c r="R11" s="12">
        <f t="shared" si="4"/>
        <v>0.57008828475336326</v>
      </c>
      <c r="T11" s="12">
        <f t="shared" si="5"/>
        <v>1.9040002833276712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(1.3218+0.3758+1.311+0.4881+0.5768+0.0879+0.5828+0.3306+0.2112+0.1791+0.1292)/11</f>
        <v>0.50857272727272729</v>
      </c>
      <c r="F12" s="11">
        <f>(62.57+60.53+83.04+61.67+54.67+56.71+56.8+68.83+179.3+95.21+41.21)/11</f>
        <v>74.594545454545468</v>
      </c>
      <c r="G12" s="7">
        <f>(1.4147+1.4571+1.4124+1.4399+1.243+1.4357+1.5688+1.5454+1.3522+1.444+1.2889)/11</f>
        <v>1.4183727272727273</v>
      </c>
      <c r="H12" s="11">
        <f>(177.08+165.33+162.73+164.08+143.14+202.27+204.66+187+195.21+170.78+224.52)/11</f>
        <v>181.52727272727273</v>
      </c>
      <c r="I12" s="1">
        <v>19</v>
      </c>
      <c r="J12" s="4">
        <v>17</v>
      </c>
      <c r="K12" s="4">
        <v>37</v>
      </c>
      <c r="L12" s="4">
        <v>9</v>
      </c>
      <c r="M12" s="3">
        <f t="shared" si="0"/>
        <v>82</v>
      </c>
      <c r="O12" s="12">
        <f t="shared" si="1"/>
        <v>0.60663411832280256</v>
      </c>
      <c r="P12" s="12">
        <f t="shared" si="2"/>
        <v>0.25164360785270845</v>
      </c>
      <c r="Q12" s="12">
        <f t="shared" si="3"/>
        <v>0.84280834538084337</v>
      </c>
      <c r="R12" s="12">
        <f t="shared" si="4"/>
        <v>0.3991031390134529</v>
      </c>
      <c r="T12" s="12">
        <f t="shared" si="5"/>
        <v>2.1001892105698072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(1.3138+0.4286+1.2697+0.5508+0.6187+0.1188+0.7445+0.365+0.2085+0.1802+0.156)/11</f>
        <v>0.54132727272727277</v>
      </c>
      <c r="F13" s="11">
        <f>(59.9+50.56+55.53+71.15+39.11+57.03+46.49+86.97+154.94+116.52+43.6)/11</f>
        <v>71.072727272727278</v>
      </c>
      <c r="G13" s="8">
        <f>(1.1382+1.1499+1.1235+1.089+0.7972+1.0977+1.3131+1.1659+1.3177+1.094+1.2345)/11</f>
        <v>1.1382454545454548</v>
      </c>
      <c r="H13" s="11">
        <f>(161.25+214.04+362.42+282.38+323.34+178.44+366.77+277.84+246.55+163.64+183.87)/11</f>
        <v>250.95818181818183</v>
      </c>
      <c r="I13" s="1">
        <v>24</v>
      </c>
      <c r="J13" s="4">
        <v>12</v>
      </c>
      <c r="K13" s="4">
        <v>27</v>
      </c>
      <c r="L13" s="4">
        <v>14</v>
      </c>
      <c r="M13" s="3">
        <f t="shared" si="0"/>
        <v>77</v>
      </c>
      <c r="O13" s="12">
        <f t="shared" si="1"/>
        <v>0.71010913268236608</v>
      </c>
      <c r="P13" s="12">
        <f t="shared" si="2"/>
        <v>0.19254999466113459</v>
      </c>
      <c r="Q13" s="12">
        <f t="shared" si="3"/>
        <v>0.47885543933252117</v>
      </c>
      <c r="R13" s="12">
        <f t="shared" si="4"/>
        <v>0.93423486547085199</v>
      </c>
      <c r="T13" s="12">
        <f t="shared" si="5"/>
        <v>2.3157494321468737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6</v>
      </c>
      <c r="E14" s="9">
        <f>(1.1858+0.424+1.1808+0.4748+0.6384+0.111+0.6991+0.3544+0.2026+0.1826+0.1475)/11</f>
        <v>0.50918181818181829</v>
      </c>
      <c r="F14" s="11">
        <f>(57.68+61.47+48.12+85.14+42.29+55.22+49+92.42+175.07+106.5+41.89)/11</f>
        <v>74.072727272727278</v>
      </c>
      <c r="G14" s="8">
        <f>(1.1335+1.1527+1.134+1.0992+0.7972+1.0852+1.3157+1.2646+1.3135+1.092+1.2373)/11</f>
        <v>1.1477181818181816</v>
      </c>
      <c r="H14" s="11">
        <f>(216.2+288.53+421.27+195.55+203.58+173.74+361.66+447.23+278.88+263.46+357.48)/11</f>
        <v>291.59818181818184</v>
      </c>
      <c r="I14" s="1">
        <v>20</v>
      </c>
      <c r="J14" s="4">
        <v>16</v>
      </c>
      <c r="K14" s="4">
        <v>30</v>
      </c>
      <c r="L14" s="4">
        <v>15</v>
      </c>
      <c r="M14" s="3">
        <f t="shared" si="0"/>
        <v>81</v>
      </c>
      <c r="O14" s="12">
        <f t="shared" si="1"/>
        <v>0.60855829982768517</v>
      </c>
      <c r="P14" s="12">
        <f t="shared" si="2"/>
        <v>0.24288786857238739</v>
      </c>
      <c r="Q14" s="12">
        <f t="shared" si="3"/>
        <v>0.49116279729001894</v>
      </c>
      <c r="R14" s="12">
        <f t="shared" si="4"/>
        <v>1.2474635650224217</v>
      </c>
      <c r="T14" s="12">
        <f t="shared" si="5"/>
        <v>2.5900725307125132</v>
      </c>
    </row>
    <row r="15" spans="1:20" x14ac:dyDescent="0.25">
      <c r="A15" s="5" t="s">
        <v>0</v>
      </c>
      <c r="B15" s="1" t="s">
        <v>2</v>
      </c>
      <c r="C15" s="5" t="s">
        <v>3</v>
      </c>
      <c r="D15" s="5" t="s">
        <v>5</v>
      </c>
      <c r="E15" s="9">
        <f>(0.4375+0.4583+0.3841+0.2492+0.5344+0.2099+0.392+0.2467+0.209+0.26+0.1009)/11</f>
        <v>0.31654545454545463</v>
      </c>
      <c r="F15" s="10">
        <f>(82.48+84.17+82.35+73.08+98.84+69.11+93.9+77.32+137.41+90.95+52.3)/11</f>
        <v>85.628181818181815</v>
      </c>
      <c r="G15" s="8">
        <f>(0.8819+0.8774+0.8784+0.8833+0.8811+0.8776+0.8808+0.8809+0.948+0.8773+0.8807)/11</f>
        <v>0.88612727272727265</v>
      </c>
      <c r="H15" s="11">
        <f>(459.56+372.58+364.47+414.66+362.69+321.07+353.8+375.64+429.41+362.17+479.02)/11</f>
        <v>390.46090909090907</v>
      </c>
      <c r="I15" s="1">
        <v>1</v>
      </c>
      <c r="J15" s="4">
        <v>26</v>
      </c>
      <c r="K15" s="4">
        <v>11</v>
      </c>
      <c r="L15" s="4">
        <v>20</v>
      </c>
      <c r="M15" s="3">
        <f t="shared" si="0"/>
        <v>58</v>
      </c>
      <c r="O15" s="12">
        <f t="shared" si="1"/>
        <v>0</v>
      </c>
      <c r="P15" s="12">
        <f t="shared" si="2"/>
        <v>0.4367802065378219</v>
      </c>
      <c r="Q15" s="12">
        <f t="shared" si="3"/>
        <v>0.15129309937541932</v>
      </c>
      <c r="R15" s="12">
        <f t="shared" si="4"/>
        <v>2.0094380605381161</v>
      </c>
      <c r="T15" s="12">
        <f t="shared" si="5"/>
        <v>2.5975113664513572</v>
      </c>
    </row>
    <row r="16" spans="1:20" x14ac:dyDescent="0.25">
      <c r="A16" s="5" t="s">
        <v>10</v>
      </c>
      <c r="B16" s="1" t="s">
        <v>2</v>
      </c>
      <c r="C16" s="5" t="s">
        <v>4</v>
      </c>
      <c r="D16" s="5" t="s">
        <v>6</v>
      </c>
      <c r="E16" s="9">
        <f>(0.9669+0.4189+0.879+0.2578+0.4751+0.1496+0.4201+0.1432+0.1848+0.2278+0.1586)/11</f>
        <v>0.38925454545454552</v>
      </c>
      <c r="F16" s="11">
        <f>(79.1+69.5+61.94+61.04+39.92+83.59+59.6+74.28+161.42+63.15+48.42)/11</f>
        <v>72.905454545454532</v>
      </c>
      <c r="G16" s="8">
        <f>(1.001+1.0604+1.1131+1.0208+1.1782+1.0409+1.0226+1.0632+1.0844+1.0954+1.106)/11</f>
        <v>1.0714545454545454</v>
      </c>
      <c r="H16" s="11">
        <f>(381.55+371.65+270.43+324.54+322.43+434.65+293.76+316.81+614.26+314.76+379.66)/11</f>
        <v>365.86363636363637</v>
      </c>
      <c r="I16" s="1">
        <v>6</v>
      </c>
      <c r="J16" s="4">
        <v>13</v>
      </c>
      <c r="K16" s="4">
        <v>24</v>
      </c>
      <c r="L16" s="4">
        <v>17</v>
      </c>
      <c r="M16" s="3">
        <f t="shared" si="0"/>
        <v>60</v>
      </c>
      <c r="O16" s="12">
        <f t="shared" si="1"/>
        <v>0.22969557725445133</v>
      </c>
      <c r="P16" s="12">
        <f t="shared" si="2"/>
        <v>0.22330185945055417</v>
      </c>
      <c r="Q16" s="12">
        <f t="shared" si="3"/>
        <v>0.39207793557653253</v>
      </c>
      <c r="R16" s="12">
        <f t="shared" si="4"/>
        <v>1.819857062780269</v>
      </c>
      <c r="T16" s="12">
        <f t="shared" si="5"/>
        <v>2.6649324350618073</v>
      </c>
    </row>
    <row r="17" spans="1:20" x14ac:dyDescent="0.25">
      <c r="A17" s="5" t="s">
        <v>8</v>
      </c>
      <c r="B17" s="1" t="s">
        <v>2</v>
      </c>
      <c r="C17" s="5" t="s">
        <v>4</v>
      </c>
      <c r="D17" s="5" t="s">
        <v>6</v>
      </c>
      <c r="E17" s="9">
        <f>(1.2886+0.3474+1.2595+0.3722+0.501+0.0892+0.5357+0.2955+0.2022+0.1881)/10</f>
        <v>0.50794000000000006</v>
      </c>
      <c r="F17" s="11">
        <f>(82.8+61.26+68.86+54.2+69.9+71.22+61.67+69.45+187.85+160.38)/10</f>
        <v>88.759</v>
      </c>
      <c r="G17" s="8">
        <f>(1.3666+1.2993+1.2877+1.3841+1.2634+1.3047+1.5021+1.4174+1.2265+1.32)/10</f>
        <v>1.33718</v>
      </c>
      <c r="H17" s="10">
        <f>(209.16+259.31+186.29+371.66+230.34+197.3+269.52+260.8+245.02+230.11)/10</f>
        <v>245.95100000000002</v>
      </c>
      <c r="I17" s="1">
        <v>18</v>
      </c>
      <c r="J17" s="4">
        <v>27</v>
      </c>
      <c r="K17" s="4">
        <v>36</v>
      </c>
      <c r="L17" s="4">
        <v>13</v>
      </c>
      <c r="M17" s="3">
        <f t="shared" si="0"/>
        <v>94</v>
      </c>
      <c r="O17" s="12">
        <f t="shared" si="1"/>
        <v>0.60463526708788029</v>
      </c>
      <c r="P17" s="12">
        <f t="shared" si="2"/>
        <v>0.48931311682962908</v>
      </c>
      <c r="Q17" s="12">
        <f t="shared" si="3"/>
        <v>0.73731940546720742</v>
      </c>
      <c r="R17" s="12">
        <f t="shared" si="4"/>
        <v>0.8956425168161436</v>
      </c>
      <c r="S17" s="28"/>
      <c r="T17" s="12">
        <f t="shared" si="5"/>
        <v>2.7269103062008604</v>
      </c>
    </row>
    <row r="18" spans="1:20" x14ac:dyDescent="0.25">
      <c r="A18" s="2" t="s">
        <v>10</v>
      </c>
      <c r="B18" s="3" t="s">
        <v>1</v>
      </c>
      <c r="C18" s="2" t="s">
        <v>4</v>
      </c>
      <c r="D18" s="2" t="s">
        <v>5</v>
      </c>
      <c r="E18" s="18">
        <f>(0.9867+0.4072+0.9351+0.2553+0.5607+0.1214+0.437+0.1349+0.1839+0.2097+0.115)/11</f>
        <v>0.39517272727272723</v>
      </c>
      <c r="F18" s="17">
        <f>(77.34+74.45+70.7+80.65+47.03+72.56+55.28+69.01+109.29+70.05+49.69)/11</f>
        <v>70.55</v>
      </c>
      <c r="G18" s="21">
        <f>(1.0432+0.9503+0.9656+0.8256+0.9943+0.8028+0.9459+0.9385+0.8114+0.9702+1.0956)/11</f>
        <v>0.94030909090909087</v>
      </c>
      <c r="H18" s="17">
        <f>(734.21+358.03+402.86+342.32+251.03+342.35+289.44+568.11+299.86+328.4+515.44)/11</f>
        <v>402.91363636363639</v>
      </c>
      <c r="I18" s="3">
        <v>7</v>
      </c>
      <c r="J18" s="6">
        <v>10</v>
      </c>
      <c r="K18" s="6">
        <v>15</v>
      </c>
      <c r="L18" s="2">
        <v>23</v>
      </c>
      <c r="M18" s="3">
        <f t="shared" si="0"/>
        <v>55</v>
      </c>
      <c r="O18" s="12">
        <f t="shared" si="1"/>
        <v>0.24839172889144123</v>
      </c>
      <c r="P18" s="12">
        <f t="shared" si="2"/>
        <v>0.18377900147962828</v>
      </c>
      <c r="Q18" s="12">
        <f t="shared" si="3"/>
        <v>0.22168835218414273</v>
      </c>
      <c r="R18" s="12">
        <f t="shared" si="4"/>
        <v>2.1054161995515694</v>
      </c>
      <c r="T18" s="12">
        <f t="shared" si="5"/>
        <v>2.7592752821067816</v>
      </c>
    </row>
    <row r="19" spans="1:20" x14ac:dyDescent="0.25">
      <c r="A19" s="5" t="s">
        <v>0</v>
      </c>
      <c r="B19" s="1" t="s">
        <v>2</v>
      </c>
      <c r="C19" s="5" t="s">
        <v>4</v>
      </c>
      <c r="D19" s="5" t="s">
        <v>5</v>
      </c>
      <c r="E19" s="9">
        <f>(0.5203+0.5221+0.3765+0.4075+0.5786+0.3787+0.5147+0.3045+0.3027+0.4413+0.1007)/11</f>
        <v>0.4043272727272727</v>
      </c>
      <c r="F19" s="10">
        <f>(66.76+122.73+103.44+69.82+98.34+62.5+138.78+67.4+152.34+110+45.72)/11</f>
        <v>94.348181818181814</v>
      </c>
      <c r="G19" s="8">
        <f>(0.8785+0.8819+0.879+0.8906+0.8787+0.8785+0.8839+0.8772+0.8756+0.8745+0.8776)/11</f>
        <v>0.87963636363636366</v>
      </c>
      <c r="H19" s="11">
        <f>(358.23+360.11+353.39+405.4+353.93+347.77+363.66+358.27+355.27+352.94+357.29)/11</f>
        <v>360.5690909090909</v>
      </c>
      <c r="I19" s="1">
        <v>8</v>
      </c>
      <c r="J19" s="4">
        <v>30</v>
      </c>
      <c r="K19" s="4">
        <v>10</v>
      </c>
      <c r="L19" s="4">
        <v>16</v>
      </c>
      <c r="M19" s="3">
        <f t="shared" si="0"/>
        <v>64</v>
      </c>
      <c r="O19" s="12">
        <f t="shared" si="1"/>
        <v>0.27731188971855214</v>
      </c>
      <c r="P19" s="12">
        <f t="shared" si="2"/>
        <v>0.58309562670653003</v>
      </c>
      <c r="Q19" s="12">
        <f t="shared" si="3"/>
        <v>0.14285984257920661</v>
      </c>
      <c r="R19" s="12">
        <f t="shared" si="4"/>
        <v>1.7790498878923766</v>
      </c>
      <c r="T19" s="12">
        <f t="shared" si="5"/>
        <v>2.7823172468966657</v>
      </c>
    </row>
    <row r="20" spans="1:20" x14ac:dyDescent="0.25">
      <c r="A20" s="5" t="s">
        <v>10</v>
      </c>
      <c r="B20" s="1" t="s">
        <v>2</v>
      </c>
      <c r="C20" s="5" t="s">
        <v>4</v>
      </c>
      <c r="D20" s="5" t="s">
        <v>5</v>
      </c>
      <c r="E20" s="9">
        <f>(0.8704+0.3887+0.8123+0.2707+0.5413+0.175+0.4913+0.1482+0.1803+0.1568+0.0801)/11</f>
        <v>0.37409999999999993</v>
      </c>
      <c r="F20" s="11">
        <f>(84.21+72.5+92.47+71.52+54.34+76+59.77+71.97+171.43+72.91+49.86)/11</f>
        <v>79.725454545454554</v>
      </c>
      <c r="G20" s="8">
        <f>(0.9841+0.9076+1.0554+0.9119+0.9755+1.0307+0.8635+0.8978+1.0676+0.9402+1.0097)/11</f>
        <v>0.96763636363636385</v>
      </c>
      <c r="H20" s="11">
        <f>(438.34+294.07+742.05+408.15+249.75+416.51+336.81+265.61+491.36+374+294.51)/11</f>
        <v>391.92363636363638</v>
      </c>
      <c r="I20" s="1">
        <v>4</v>
      </c>
      <c r="J20" s="4">
        <v>20</v>
      </c>
      <c r="K20" s="4">
        <v>17</v>
      </c>
      <c r="L20" s="4">
        <v>21</v>
      </c>
      <c r="M20" s="3">
        <f t="shared" si="0"/>
        <v>62</v>
      </c>
      <c r="O20" s="12">
        <f t="shared" si="1"/>
        <v>0.18182079264790296</v>
      </c>
      <c r="P20" s="12">
        <f t="shared" si="2"/>
        <v>0.3377366261421359</v>
      </c>
      <c r="Q20" s="12">
        <f t="shared" si="3"/>
        <v>0.25719307197324076</v>
      </c>
      <c r="R20" s="12">
        <f t="shared" si="4"/>
        <v>2.020711883408072</v>
      </c>
      <c r="T20" s="12">
        <f t="shared" si="5"/>
        <v>2.7974623741713516</v>
      </c>
    </row>
    <row r="21" spans="1:20" x14ac:dyDescent="0.25">
      <c r="A21" s="5" t="s">
        <v>8</v>
      </c>
      <c r="B21" s="1" t="s">
        <v>2</v>
      </c>
      <c r="C21" s="5" t="s">
        <v>4</v>
      </c>
      <c r="D21" s="5" t="s">
        <v>5</v>
      </c>
      <c r="E21" s="9">
        <f>(1.3315+0.4834+1.3377+0.4167+0.5593+0.1116+0.5245+0.3262)/8</f>
        <v>0.63636249999999994</v>
      </c>
      <c r="F21" s="11">
        <f>(91.15+77.13+76.62+66.02+50.57+69.87+49.91+69.17)/8</f>
        <v>68.804999999999993</v>
      </c>
      <c r="G21" s="8">
        <f>(1.5148+1.4537+1.4612+1.4799+1.2462+1.4433+1.6005+1.6267)/8</f>
        <v>1.4782875</v>
      </c>
      <c r="H21" s="11">
        <f>(212.35+316.11+236.87+192.43+184.35+201.17+316.23+198.87)/8</f>
        <v>232.29750000000001</v>
      </c>
      <c r="I21" s="1">
        <v>30</v>
      </c>
      <c r="J21" s="4">
        <v>7</v>
      </c>
      <c r="K21" s="4">
        <v>39</v>
      </c>
      <c r="L21" s="4">
        <v>12</v>
      </c>
      <c r="M21" s="3">
        <f t="shared" si="0"/>
        <v>88</v>
      </c>
      <c r="O21" s="12">
        <f t="shared" si="1"/>
        <v>1.0103352958070067</v>
      </c>
      <c r="P21" s="12">
        <f t="shared" si="2"/>
        <v>0.15449913815458283</v>
      </c>
      <c r="Q21" s="12">
        <f t="shared" si="3"/>
        <v>0.92065208917991914</v>
      </c>
      <c r="R21" s="12">
        <f t="shared" si="4"/>
        <v>0.79040954316143508</v>
      </c>
      <c r="S21" s="28"/>
      <c r="T21" s="12">
        <f t="shared" si="5"/>
        <v>2.8758960663029436</v>
      </c>
    </row>
    <row r="22" spans="1:20" x14ac:dyDescent="0.25">
      <c r="A22" s="5" t="s">
        <v>0</v>
      </c>
      <c r="B22" s="1" t="s">
        <v>1</v>
      </c>
      <c r="C22" s="5" t="s">
        <v>4</v>
      </c>
      <c r="D22" s="5" t="s">
        <v>5</v>
      </c>
      <c r="E22" s="9">
        <f>(0.5211+0.534+0.3765+0.4066+0.5785+0.3735+0.5147+0.3552+0.2997)/9</f>
        <v>0.4399777777777778</v>
      </c>
      <c r="F22" s="10">
        <f>(74.88+121.56+107.27+73.72+98.69+61.07+144.62+77.65+152.15)/9</f>
        <v>101.28999999999999</v>
      </c>
      <c r="G22" s="8">
        <f>(0.8996+0.9135+0.9034+0.915+0.9029+0.9023+0.9082+0.903+0.9094)/9</f>
        <v>0.90636666666666654</v>
      </c>
      <c r="H22" s="11">
        <f>(366.44+363.68+353.21+456.71+343.22+330.08+349.94+385.28+354.81)/9</f>
        <v>367.04111111111115</v>
      </c>
      <c r="I22" s="1">
        <v>9</v>
      </c>
      <c r="J22" s="4">
        <v>35</v>
      </c>
      <c r="K22" s="4">
        <v>13</v>
      </c>
      <c r="L22" s="4">
        <v>18</v>
      </c>
      <c r="M22" s="3">
        <f t="shared" si="0"/>
        <v>75</v>
      </c>
      <c r="O22" s="12">
        <f t="shared" si="1"/>
        <v>0.38993554151509319</v>
      </c>
      <c r="P22" s="12">
        <f t="shared" si="2"/>
        <v>0.69957441615693194</v>
      </c>
      <c r="Q22" s="12">
        <f t="shared" si="3"/>
        <v>0.17758895471711184</v>
      </c>
      <c r="R22" s="12">
        <f t="shared" si="4"/>
        <v>1.828932330592925</v>
      </c>
      <c r="S22" s="28"/>
      <c r="T22" s="12">
        <f t="shared" si="5"/>
        <v>3.096031242982062</v>
      </c>
    </row>
    <row r="23" spans="1:20" x14ac:dyDescent="0.25">
      <c r="A23" s="5" t="s">
        <v>10</v>
      </c>
      <c r="B23" s="1" t="s">
        <v>2</v>
      </c>
      <c r="C23" s="5" t="s">
        <v>3</v>
      </c>
      <c r="D23" s="5" t="s">
        <v>5</v>
      </c>
      <c r="E23" s="9">
        <f>(0.8749+0.4344+0.7983+0.217+0.4815+0.1446+0.439+0.1604+0.1901+0.1455+0.0673)/11</f>
        <v>0.35936363636363639</v>
      </c>
      <c r="F23" s="11">
        <f>(79.72+76.8+65.46+85.19+48.57+73.3+61.64+70.01+101.76+65.23+50.22)/11</f>
        <v>70.718181818181819</v>
      </c>
      <c r="G23" s="7">
        <f>(0.9516+0.9542+0.9082+0.8571+0.9146+0.9381+0.9389+0.936+0.9552+0.8894+0.9609)/11</f>
        <v>0.92765454545454562</v>
      </c>
      <c r="H23" s="11">
        <f>(514.82+441.33+447.06+429.06+461.99+452.9+666.02+422.03+415.88+466.8+609.57)/11</f>
        <v>484.31454545454545</v>
      </c>
      <c r="I23" s="1">
        <v>3</v>
      </c>
      <c r="J23" s="4">
        <v>11</v>
      </c>
      <c r="K23" s="4">
        <v>14</v>
      </c>
      <c r="L23" s="4">
        <v>27</v>
      </c>
      <c r="M23" s="3">
        <f t="shared" si="0"/>
        <v>55</v>
      </c>
      <c r="O23" s="12">
        <f t="shared" si="1"/>
        <v>0.13526708788052819</v>
      </c>
      <c r="P23" s="12">
        <f t="shared" si="2"/>
        <v>0.18660097319889554</v>
      </c>
      <c r="Q23" s="12">
        <f t="shared" si="3"/>
        <v>0.20524704481673645</v>
      </c>
      <c r="R23" s="12">
        <f t="shared" si="4"/>
        <v>2.7328054932735424</v>
      </c>
      <c r="T23" s="12">
        <f t="shared" si="5"/>
        <v>3.2599205991697024</v>
      </c>
    </row>
    <row r="24" spans="1:20" x14ac:dyDescent="0.25">
      <c r="A24" s="5" t="s">
        <v>9</v>
      </c>
      <c r="B24" s="1" t="s">
        <v>1</v>
      </c>
      <c r="C24" s="5" t="s">
        <v>4</v>
      </c>
      <c r="D24" s="5" t="s">
        <v>6</v>
      </c>
      <c r="E24" s="9">
        <f>(1.3357+0.4939+1.3119+0.464+0.4394+0.2687+0.4005+0.3223+0.1786)/9</f>
        <v>0.57944444444444454</v>
      </c>
      <c r="F24" s="11">
        <f>(75.57+60.91+65.13+85.25+52.7+57.61+65.87+66.61+194.56)/9</f>
        <v>80.467777777777783</v>
      </c>
      <c r="G24" s="8">
        <f>(0.8826+0.8769+0.991+0.926+1.0334+1.0627+1.0199+1.0366+1.049)/9</f>
        <v>0.98645555555555553</v>
      </c>
      <c r="H24" s="11">
        <f>(229.99+440.96+195.15+295.08+260.56+412.66+542.42+341.11+733.88)/9</f>
        <v>383.53444444444449</v>
      </c>
      <c r="I24" s="1">
        <v>28</v>
      </c>
      <c r="J24" s="4">
        <v>21</v>
      </c>
      <c r="K24" s="4">
        <v>20</v>
      </c>
      <c r="L24" s="4">
        <v>19</v>
      </c>
      <c r="M24" s="3">
        <f t="shared" si="0"/>
        <v>88</v>
      </c>
      <c r="O24" s="12">
        <f t="shared" si="1"/>
        <v>0.83052524092156466</v>
      </c>
      <c r="P24" s="12">
        <f t="shared" si="2"/>
        <v>0.35019228389882934</v>
      </c>
      <c r="Q24" s="12">
        <f t="shared" si="3"/>
        <v>0.28164374227673272</v>
      </c>
      <c r="R24" s="12">
        <f t="shared" si="4"/>
        <v>1.9560530331340311</v>
      </c>
      <c r="S24" s="28"/>
      <c r="T24" s="12">
        <f t="shared" si="5"/>
        <v>3.4184143002311576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5</v>
      </c>
      <c r="J25" s="4">
        <v>24</v>
      </c>
      <c r="K25" s="4">
        <v>18</v>
      </c>
      <c r="L25" s="4">
        <v>25</v>
      </c>
      <c r="M25" s="3">
        <f t="shared" si="0"/>
        <v>72</v>
      </c>
      <c r="O25" s="12">
        <f t="shared" si="1"/>
        <v>0.19062115368835608</v>
      </c>
      <c r="P25" s="12">
        <f t="shared" si="2"/>
        <v>0.39215382905606661</v>
      </c>
      <c r="Q25" s="12">
        <f t="shared" si="3"/>
        <v>0.27145604110056892</v>
      </c>
      <c r="R25" s="12">
        <f t="shared" si="4"/>
        <v>2.6307024743753997</v>
      </c>
      <c r="S25" s="28"/>
      <c r="T25" s="12">
        <f t="shared" si="5"/>
        <v>3.484933498220391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(0.8553+0.4544+0.8043+0.2175+0.3953+0.1599+0.3966+0.1542+0.1859+0.1677+0.0679)/11</f>
        <v>0.35081818181818175</v>
      </c>
      <c r="F26" s="17">
        <f>(89.35+70.69+77.61+86.91+52.69+62.16+61.64+71.17+139.16+66.07+50.53)/11</f>
        <v>75.270909090909072</v>
      </c>
      <c r="G26" s="21">
        <f>(0.9135+0.935+0.908+0.8954+0.9335+1.0079+0.9698+0.9267+1.0007+0.9044+0.9545)/11</f>
        <v>0.9408545454545455</v>
      </c>
      <c r="H26" s="17">
        <f>(464.64+418.05+407.33+444.09+390.17+547.1+655.53+850+555.75+510.56+533.87)/11</f>
        <v>525.19000000000005</v>
      </c>
      <c r="I26" s="3">
        <v>2</v>
      </c>
      <c r="J26" s="6">
        <v>18</v>
      </c>
      <c r="K26" s="6">
        <v>16</v>
      </c>
      <c r="L26" s="6">
        <v>30</v>
      </c>
      <c r="M26" s="3">
        <f t="shared" si="0"/>
        <v>66</v>
      </c>
      <c r="O26" s="12">
        <f t="shared" si="1"/>
        <v>0.10827110855829931</v>
      </c>
      <c r="P26" s="12">
        <f t="shared" si="2"/>
        <v>0.26299251033451765</v>
      </c>
      <c r="Q26" s="12">
        <f t="shared" si="3"/>
        <v>0.2223970292258414</v>
      </c>
      <c r="R26" s="12">
        <f t="shared" si="4"/>
        <v>3.0478489349775786</v>
      </c>
      <c r="T26" s="12">
        <f t="shared" si="5"/>
        <v>3.6415095830962372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15</v>
      </c>
      <c r="K27" s="4">
        <v>32</v>
      </c>
      <c r="L27" s="4">
        <v>22</v>
      </c>
      <c r="M27" s="3">
        <f t="shared" si="0"/>
        <v>100</v>
      </c>
      <c r="O27" s="12">
        <f t="shared" si="1"/>
        <v>1.2841585295806999</v>
      </c>
      <c r="P27" s="12">
        <f t="shared" si="2"/>
        <v>0.24029165459066135</v>
      </c>
      <c r="Q27" s="12">
        <f t="shared" si="3"/>
        <v>0.57517409832657751</v>
      </c>
      <c r="R27" s="12">
        <f t="shared" si="4"/>
        <v>2.0253853699551567</v>
      </c>
      <c r="S27" s="28"/>
      <c r="T27" s="12">
        <f t="shared" si="5"/>
        <v>4.1250096524530955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19</v>
      </c>
      <c r="K28" s="4">
        <v>21</v>
      </c>
      <c r="L28" s="4">
        <v>24</v>
      </c>
      <c r="M28" s="3">
        <f t="shared" si="0"/>
        <v>97</v>
      </c>
      <c r="O28" s="12">
        <f t="shared" si="1"/>
        <v>1.6363986214819071</v>
      </c>
      <c r="P28" s="12">
        <f t="shared" si="2"/>
        <v>0.27583019357200572</v>
      </c>
      <c r="Q28" s="12">
        <f t="shared" si="3"/>
        <v>0.30350275439143548</v>
      </c>
      <c r="R28" s="12">
        <f t="shared" si="4"/>
        <v>2.1623920964125563</v>
      </c>
      <c r="S28" s="28"/>
      <c r="T28" s="12">
        <f t="shared" si="5"/>
        <v>4.3781236658579044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11</v>
      </c>
      <c r="J29" s="4">
        <v>28</v>
      </c>
      <c r="K29" s="4">
        <v>12</v>
      </c>
      <c r="L29" s="4">
        <v>32</v>
      </c>
      <c r="M29" s="3">
        <f t="shared" si="0"/>
        <v>83</v>
      </c>
      <c r="O29" s="12">
        <f t="shared" si="1"/>
        <v>0.48161975875933338</v>
      </c>
      <c r="P29" s="12">
        <f t="shared" si="2"/>
        <v>0.49274168535269536</v>
      </c>
      <c r="Q29" s="12">
        <f t="shared" si="3"/>
        <v>0.16463985032740888</v>
      </c>
      <c r="R29" s="12">
        <f t="shared" si="4"/>
        <v>3.515084314275037</v>
      </c>
      <c r="S29" s="28"/>
      <c r="T29" s="12">
        <f t="shared" si="5"/>
        <v>4.6540856087144746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25</v>
      </c>
      <c r="K30" s="4">
        <v>34</v>
      </c>
      <c r="L30" s="4">
        <v>26</v>
      </c>
      <c r="M30" s="3">
        <f t="shared" si="0"/>
        <v>119</v>
      </c>
      <c r="O30" s="12">
        <f t="shared" si="1"/>
        <v>1.7306504882251574</v>
      </c>
      <c r="P30" s="12">
        <f t="shared" si="2"/>
        <v>0.4302248425034701</v>
      </c>
      <c r="Q30" s="12">
        <f t="shared" si="3"/>
        <v>0.59715726016006643</v>
      </c>
      <c r="R30" s="12">
        <f t="shared" si="4"/>
        <v>2.6662556053811657</v>
      </c>
      <c r="S30" s="28"/>
      <c r="T30" s="12">
        <f t="shared" si="5"/>
        <v>5.4242881962698597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29</v>
      </c>
      <c r="J31" s="4">
        <v>33</v>
      </c>
      <c r="K31" s="4">
        <v>23</v>
      </c>
      <c r="L31" s="4">
        <v>31</v>
      </c>
      <c r="M31" s="3">
        <f t="shared" si="0"/>
        <v>116</v>
      </c>
      <c r="O31" s="12">
        <f t="shared" si="1"/>
        <v>0.85739517518667374</v>
      </c>
      <c r="P31" s="12">
        <f t="shared" si="2"/>
        <v>0.68409551992922191</v>
      </c>
      <c r="Q31" s="12">
        <f t="shared" si="3"/>
        <v>0.36966011849080155</v>
      </c>
      <c r="R31" s="12">
        <f t="shared" si="4"/>
        <v>3.5148017096412554</v>
      </c>
      <c r="S31" s="28"/>
      <c r="T31" s="12">
        <f t="shared" si="5"/>
        <v>5.4259525232479522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23</v>
      </c>
      <c r="J32" s="4">
        <v>22</v>
      </c>
      <c r="K32" s="4">
        <v>22</v>
      </c>
      <c r="L32" s="4">
        <v>33</v>
      </c>
      <c r="M32" s="3">
        <f t="shared" si="0"/>
        <v>100</v>
      </c>
      <c r="O32" s="12">
        <f t="shared" si="1"/>
        <v>0.70161975875933325</v>
      </c>
      <c r="P32" s="12">
        <f t="shared" si="2"/>
        <v>0.38506337995942441</v>
      </c>
      <c r="Q32" s="12">
        <f t="shared" si="3"/>
        <v>0.30703669057270566</v>
      </c>
      <c r="R32" s="12">
        <f t="shared" si="4"/>
        <v>4.1366115470852014</v>
      </c>
      <c r="S32" s="28"/>
      <c r="T32" s="12">
        <f t="shared" si="5"/>
        <v>5.5303313763766653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1.8225804135554271</v>
      </c>
      <c r="P33" s="12">
        <f t="shared" si="2"/>
        <v>0.9929603246030172</v>
      </c>
      <c r="Q33" s="12">
        <f t="shared" si="3"/>
        <v>0.42474794719883607</v>
      </c>
      <c r="R33" s="12">
        <f t="shared" si="4"/>
        <v>2.9330279568385644</v>
      </c>
      <c r="S33" s="28"/>
      <c r="T33" s="12">
        <f t="shared" si="5"/>
        <v>6.1733166421958448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26</v>
      </c>
      <c r="J34" s="6">
        <v>34</v>
      </c>
      <c r="K34" s="6">
        <v>1</v>
      </c>
      <c r="L34" s="6">
        <v>37</v>
      </c>
      <c r="M34" s="3">
        <f t="shared" si="0"/>
        <v>98</v>
      </c>
      <c r="O34" s="12">
        <f t="shared" si="1"/>
        <v>0.75526134405514023</v>
      </c>
      <c r="P34" s="12">
        <f t="shared" si="2"/>
        <v>0.68826517381820418</v>
      </c>
      <c r="Q34" s="12">
        <f t="shared" si="3"/>
        <v>0</v>
      </c>
      <c r="R34" s="12">
        <f t="shared" si="4"/>
        <v>4.9591143497757848</v>
      </c>
      <c r="S34" s="28"/>
      <c r="T34" s="12">
        <f t="shared" si="5"/>
        <v>6.4026408676491293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27</v>
      </c>
      <c r="J35" s="4">
        <v>32</v>
      </c>
      <c r="K35" s="4">
        <v>3</v>
      </c>
      <c r="L35" s="4">
        <v>38</v>
      </c>
      <c r="M35" s="3">
        <f t="shared" si="0"/>
        <v>100</v>
      </c>
      <c r="O35" s="12">
        <f t="shared" si="1"/>
        <v>0.78110281447443974</v>
      </c>
      <c r="P35" s="12">
        <f t="shared" si="2"/>
        <v>0.61188583980352951</v>
      </c>
      <c r="Q35" s="12">
        <f t="shared" si="3"/>
        <v>2.5750961438519984E-2</v>
      </c>
      <c r="R35" s="12">
        <f t="shared" si="4"/>
        <v>5.4372813901345287</v>
      </c>
      <c r="S35" s="28"/>
      <c r="T35" s="12">
        <f t="shared" si="5"/>
        <v>6.8560210058510176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2.1576297147233383</v>
      </c>
      <c r="P36" s="12">
        <f t="shared" si="2"/>
        <v>1.4165535335662096</v>
      </c>
      <c r="Q36" s="12">
        <f t="shared" si="3"/>
        <v>0.39252676436960809</v>
      </c>
      <c r="R36" s="12">
        <f t="shared" si="4"/>
        <v>3.0065629671150975</v>
      </c>
      <c r="S36" s="28"/>
      <c r="T36" s="12">
        <f t="shared" si="5"/>
        <v>6.9732729797742534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1.4475947731188965</v>
      </c>
      <c r="P37" s="12">
        <f t="shared" si="2"/>
        <v>1.7129597144469697</v>
      </c>
      <c r="Q37" s="12">
        <f t="shared" si="3"/>
        <v>0.10000259848248622</v>
      </c>
      <c r="R37" s="12">
        <f t="shared" si="4"/>
        <v>4.2694716928251113</v>
      </c>
      <c r="S37" s="28"/>
      <c r="T37" s="12">
        <f t="shared" si="5"/>
        <v>7.5300287788734632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28</v>
      </c>
      <c r="L38" s="4">
        <v>35</v>
      </c>
      <c r="M38" s="3">
        <f t="shared" si="0"/>
        <v>139</v>
      </c>
      <c r="O38" s="12">
        <f t="shared" si="1"/>
        <v>2.2474535707447818</v>
      </c>
      <c r="P38" s="12">
        <f t="shared" si="2"/>
        <v>0.75343594124197255</v>
      </c>
      <c r="Q38" s="12">
        <f t="shared" si="3"/>
        <v>0.48048539652842748</v>
      </c>
      <c r="R38" s="12">
        <f t="shared" si="4"/>
        <v>4.6984912182361738</v>
      </c>
      <c r="S38" s="28"/>
      <c r="T38" s="12">
        <f t="shared" si="5"/>
        <v>8.1798661267513566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2.1493107409534744</v>
      </c>
      <c r="P39" s="12">
        <f t="shared" si="2"/>
        <v>0.92894732827920723</v>
      </c>
      <c r="Q39" s="12">
        <f t="shared" si="3"/>
        <v>0.2795793923015627</v>
      </c>
      <c r="R39" s="12">
        <f t="shared" si="4"/>
        <v>4.9444343236173394</v>
      </c>
      <c r="S39" s="28"/>
      <c r="T39" s="12">
        <f t="shared" si="5"/>
        <v>8.3022717851515839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1.7382323377369322</v>
      </c>
      <c r="P40" s="12">
        <f t="shared" si="2"/>
        <v>0.50002669432707414</v>
      </c>
      <c r="Q40" s="12">
        <f t="shared" si="3"/>
        <v>1.6104095208398499E-2</v>
      </c>
      <c r="R40" s="12">
        <f t="shared" si="4"/>
        <v>15.598230801569507</v>
      </c>
      <c r="S40" s="28"/>
      <c r="T40" s="12">
        <f t="shared" si="5"/>
        <v>17.852593928841912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31</v>
      </c>
      <c r="K41" s="4">
        <v>40</v>
      </c>
      <c r="L41" s="4">
        <v>40</v>
      </c>
      <c r="M41" s="3">
        <f t="shared" si="0"/>
        <v>148</v>
      </c>
      <c r="O41" s="12">
        <f t="shared" si="1"/>
        <v>1.9749282021826526</v>
      </c>
      <c r="P41" s="12">
        <f t="shared" si="2"/>
        <v>0.60264604339226391</v>
      </c>
      <c r="Q41" s="12">
        <f t="shared" si="3"/>
        <v>2.0625714582683718</v>
      </c>
      <c r="R41" s="12">
        <f t="shared" si="4"/>
        <v>375.27761350896861</v>
      </c>
      <c r="S41" s="28"/>
      <c r="T41" s="12">
        <f t="shared" si="5"/>
        <v>379.91775921281192</v>
      </c>
    </row>
  </sheetData>
  <autoFilter ref="A1:T41" xr:uid="{5D8885D3-0657-47F0-BCEA-E14580A842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DB9D-E102-40BD-BB0E-E80EFA8ADF03}">
  <dimension ref="A1:S41"/>
  <sheetViews>
    <sheetView workbookViewId="0">
      <selection activeCell="B31" activeCellId="1" sqref="B3:D3 B31:D31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1.570312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  <col min="18" max="19" width="9.5703125" bestFit="1" customWidth="1"/>
  </cols>
  <sheetData>
    <row r="1" spans="1:19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</row>
    <row r="2" spans="1:19" s="2" customFormat="1" ht="14.25" customHeight="1" x14ac:dyDescent="0.25">
      <c r="A2" s="2" t="s">
        <v>7</v>
      </c>
      <c r="B2" s="3" t="s">
        <v>2</v>
      </c>
      <c r="C2" s="2" t="s">
        <v>3</v>
      </c>
      <c r="D2" s="2" t="s">
        <v>6</v>
      </c>
      <c r="E2" s="18">
        <f>(0.4334+0.6787+0.3379+0.5152+0.3585+0.2993+0.5634)/7</f>
        <v>0.45519999999999999</v>
      </c>
      <c r="F2" s="17">
        <f>(86.72+95.5+72.71+83.5+95.75+93.84+73.54)/7</f>
        <v>85.937142857142845</v>
      </c>
      <c r="G2" s="21">
        <f>(0.7845+0.7295+0.7347+0.7517+0.7697+0.7138+0.7451)/7</f>
        <v>0.747</v>
      </c>
      <c r="H2" s="20">
        <f>(308.06+229.819+273.3+292.88+283.22+230.81+364.82)/7</f>
        <v>283.2727142857143</v>
      </c>
      <c r="I2" s="3">
        <v>15</v>
      </c>
      <c r="J2" s="6">
        <v>3</v>
      </c>
      <c r="K2" s="2">
        <v>7</v>
      </c>
      <c r="L2" s="2">
        <v>1</v>
      </c>
      <c r="M2" s="30">
        <f>SUM(I2:L2)</f>
        <v>26</v>
      </c>
      <c r="O2" s="20">
        <f>(E2-MIN($E$2:$E$41))/MIN($E$2:$E$41)</f>
        <v>9.2804719116537426E-2</v>
      </c>
      <c r="P2" s="20">
        <f>(F2-MIN($F$2:$F$41))/MIN($F$2:$F$41)</f>
        <v>1.1297155537623321E-2</v>
      </c>
      <c r="Q2" s="20">
        <f>(G2-MIN($G$2:$G$41))/MIN($G$2:$G$41)</f>
        <v>0.10751048417842173</v>
      </c>
      <c r="R2" s="20">
        <f>(H2-MIN($H$2:$H$41))/MIN($H$2:$H$41)</f>
        <v>0</v>
      </c>
      <c r="S2" s="31">
        <f>SUM(O2:R2)</f>
        <v>0.21161235883258248</v>
      </c>
    </row>
    <row r="3" spans="1:19" x14ac:dyDescent="0.25">
      <c r="A3" s="5" t="s">
        <v>7</v>
      </c>
      <c r="B3" s="1" t="s">
        <v>2</v>
      </c>
      <c r="C3" s="5" t="s">
        <v>4</v>
      </c>
      <c r="D3" s="5" t="s">
        <v>6</v>
      </c>
      <c r="E3" s="9">
        <f>(0.4041+0.7011+0.2919+0.4253+0.2606+0.3086+0.5328)/7</f>
        <v>0.41777142857142863</v>
      </c>
      <c r="F3" s="11">
        <f>(82.78+88.25+101.7+94.54+90.33+98.23+76.34)/7</f>
        <v>90.310000000000016</v>
      </c>
      <c r="G3" s="8">
        <f>(0.7903+0.7728+0.7567+0.7712+0.7956+0.7617+0.7657)/7</f>
        <v>0.77342857142857135</v>
      </c>
      <c r="H3" s="10">
        <f>(363+253.43+231.81+244.37+518.51+254.57+382.3)/7</f>
        <v>321.14142857142861</v>
      </c>
      <c r="I3" s="1">
        <v>2</v>
      </c>
      <c r="J3" s="4">
        <v>4</v>
      </c>
      <c r="K3" s="5">
        <v>14</v>
      </c>
      <c r="L3" s="5">
        <v>3</v>
      </c>
      <c r="M3" s="30">
        <f>SUM(I3:L3)</f>
        <v>23</v>
      </c>
      <c r="N3" s="5"/>
      <c r="O3" s="20">
        <f>(E3-MIN($E$2:$E$41))/MIN($E$2:$E$41)</f>
        <v>2.949447835928484E-3</v>
      </c>
      <c r="P3" s="20">
        <f>(F3-MIN($F$2:$F$41))/MIN($F$2:$F$41)</f>
        <v>6.2756371461233362E-2</v>
      </c>
      <c r="Q3" s="20">
        <f>(G3-MIN($G$2:$G$41))/MIN($G$2:$G$41)</f>
        <v>0.14669377726945393</v>
      </c>
      <c r="R3" s="20">
        <f>(H3-MIN($H$2:$H$41))/MIN($H$2:$H$41)</f>
        <v>0.13368288711181406</v>
      </c>
      <c r="S3" s="31">
        <f>SUM(O3:R3)</f>
        <v>0.34608248367842986</v>
      </c>
    </row>
    <row r="4" spans="1:19" x14ac:dyDescent="0.25">
      <c r="A4" s="5" t="s">
        <v>7</v>
      </c>
      <c r="B4" s="1" t="s">
        <v>2</v>
      </c>
      <c r="C4" s="5" t="s">
        <v>3</v>
      </c>
      <c r="D4" s="5" t="s">
        <v>5</v>
      </c>
      <c r="E4" s="9">
        <f>(0.4369+0.6905+0.3481+0.5204+0.3987+0.2854+0.5855)/7</f>
        <v>0.46650000000000003</v>
      </c>
      <c r="F4" s="11">
        <f>(88.18+96.91+74.32+82.68+109.99+91.24+111.14)/7</f>
        <v>93.494285714285709</v>
      </c>
      <c r="G4" s="8">
        <f>(0.7939+0.722+0.7545+0.7266+0.771+0.7421+0.7431)/7</f>
        <v>0.75045714285714282</v>
      </c>
      <c r="H4" s="10">
        <f>(291.58+237.2+282.53+300.29+284.24+239.83+402.6)/7</f>
        <v>291.18142857142857</v>
      </c>
      <c r="I4" s="1">
        <v>21</v>
      </c>
      <c r="J4" s="4">
        <v>6</v>
      </c>
      <c r="K4" s="5">
        <v>8</v>
      </c>
      <c r="L4" s="5">
        <v>2</v>
      </c>
      <c r="M4" s="3">
        <f>SUM(I4:L4)</f>
        <v>37</v>
      </c>
      <c r="N4" s="5"/>
      <c r="O4" s="20">
        <f>(E4-MIN($E$2:$E$41))/MIN($E$2:$E$41)</f>
        <v>0.1199327800260649</v>
      </c>
      <c r="P4" s="20">
        <f>(F4-MIN($F$2:$F$41))/MIN($F$2:$F$41)</f>
        <v>0.10022863290968984</v>
      </c>
      <c r="Q4" s="20">
        <f>(G4-MIN($G$2:$G$41))/MIN($G$2:$G$41)</f>
        <v>0.11263608251789725</v>
      </c>
      <c r="R4" s="20">
        <f>(H4-MIN($H$2:$H$41))/MIN($H$2:$H$41)</f>
        <v>2.7919082519671793E-2</v>
      </c>
      <c r="S4" s="31">
        <f>SUM(O4:R4)</f>
        <v>0.36071657797332379</v>
      </c>
    </row>
    <row r="5" spans="1:19" x14ac:dyDescent="0.25">
      <c r="A5" s="5" t="s">
        <v>7</v>
      </c>
      <c r="B5" s="1" t="s">
        <v>2</v>
      </c>
      <c r="C5" s="5" t="s">
        <v>4</v>
      </c>
      <c r="D5" s="5" t="s">
        <v>5</v>
      </c>
      <c r="E5" s="9">
        <f>(0.4315+0.6752+0.2932+0.4156+0.2554+0.3175+0.5274)/7</f>
        <v>0.41654285714285716</v>
      </c>
      <c r="F5" s="11">
        <f>(85.09+91.67+106.39+90.04+90.92+100.39+73.3)/7</f>
        <v>91.114285714285714</v>
      </c>
      <c r="G5" s="8">
        <f>(0.7849+0.761+0.7627+0.7817+0.83+0.7568+0.7701)/7</f>
        <v>0.77817142857142862</v>
      </c>
      <c r="H5" s="10">
        <f>(467.83+223.31+255.42+273.82+584.75+285.47+371.49)/7</f>
        <v>351.72714285714289</v>
      </c>
      <c r="I5" s="1">
        <v>1</v>
      </c>
      <c r="J5" s="4">
        <v>5</v>
      </c>
      <c r="K5" s="4">
        <v>16</v>
      </c>
      <c r="L5" s="4">
        <v>4</v>
      </c>
      <c r="M5" s="30">
        <f>SUM(I5:L5)</f>
        <v>26</v>
      </c>
      <c r="N5" s="5"/>
      <c r="O5" s="20">
        <f>(E5-MIN($E$2:$E$41))/MIN($E$2:$E$41)</f>
        <v>0</v>
      </c>
      <c r="P5" s="20">
        <f>(F5-MIN($F$2:$F$41))/MIN($F$2:$F$41)</f>
        <v>7.2221101472664806E-2</v>
      </c>
      <c r="Q5" s="20">
        <f>(G5-MIN($G$2:$G$41))/MIN($G$2:$G$41)</f>
        <v>0.15372558986741236</v>
      </c>
      <c r="R5" s="20">
        <f>(H5-MIN($H$2:$H$41))/MIN($H$2:$H$41)</f>
        <v>0.24165556765338203</v>
      </c>
      <c r="S5" s="31">
        <f>SUM(O5:R5)</f>
        <v>0.4676022589934592</v>
      </c>
    </row>
    <row r="6" spans="1:19" x14ac:dyDescent="0.25">
      <c r="A6" s="5" t="s">
        <v>0</v>
      </c>
      <c r="B6" s="1" t="s">
        <v>1</v>
      </c>
      <c r="C6" s="5" t="s">
        <v>3</v>
      </c>
      <c r="D6" s="5" t="s">
        <v>6</v>
      </c>
      <c r="E6" s="9">
        <f>(0.4805+0.9973+0.4019+0.4852+0.3957+0.3586+0.3955+0.6004)/7</f>
        <v>0.5878714285714286</v>
      </c>
      <c r="F6" s="10">
        <f>(109.2+72.44+86.28+64.71+82.39+85.67+99.01)/7</f>
        <v>85.671428571428564</v>
      </c>
      <c r="G6" s="8">
        <f>(0.6685+0.6831+0.6801+0.6845+0.6768+0.6641+0.6643)/7</f>
        <v>0.67448571428571424</v>
      </c>
      <c r="H6" s="11">
        <f>(351.82+403.1+427.71+303.67+405.29+419.43+396.7)/7</f>
        <v>386.81714285714281</v>
      </c>
      <c r="I6" s="1">
        <v>38</v>
      </c>
      <c r="J6" s="4">
        <v>2</v>
      </c>
      <c r="K6" s="4">
        <v>1</v>
      </c>
      <c r="L6" s="4">
        <v>6</v>
      </c>
      <c r="M6" s="5">
        <f>SUM(I6:L6)</f>
        <v>47</v>
      </c>
      <c r="N6" s="5"/>
      <c r="O6" s="20">
        <f>(E6-MIN($E$2:$E$41))/MIN($E$2:$E$41)</f>
        <v>0.41131078949173472</v>
      </c>
      <c r="P6" s="20">
        <f>(F6-MIN($F$2:$F$41))/MIN($F$2:$F$41)</f>
        <v>8.17026427274542E-3</v>
      </c>
      <c r="Q6" s="20">
        <f>(G6-MIN($G$2:$G$41))/MIN($G$2:$G$41)</f>
        <v>0</v>
      </c>
      <c r="R6" s="20">
        <f>(H6-MIN($H$2:$H$41))/MIN($H$2:$H$41)</f>
        <v>0.36552912917335062</v>
      </c>
      <c r="S6" s="20">
        <f>SUM(O6:R6)</f>
        <v>0.78501018293783076</v>
      </c>
    </row>
    <row r="7" spans="1:19" x14ac:dyDescent="0.25">
      <c r="A7" s="5" t="s">
        <v>8</v>
      </c>
      <c r="B7" s="1" t="s">
        <v>2</v>
      </c>
      <c r="C7" s="5" t="s">
        <v>4</v>
      </c>
      <c r="D7" s="5" t="s">
        <v>6</v>
      </c>
      <c r="E7" s="9">
        <f>(0.4044+0.6568+0.3286+0.4369+0.7652+0.3449+0.5378)/7</f>
        <v>0.49637142857142852</v>
      </c>
      <c r="F7" s="11">
        <f>(81.77+111.56+102.8+99.21+133.45+117.41+159.56)/7</f>
        <v>115.10857142857142</v>
      </c>
      <c r="G7" s="8">
        <f>(0.7635+0.7363+0.7451+0.7865+0.7916+0.7572+0.7634)/7</f>
        <v>0.76337142857142848</v>
      </c>
      <c r="H7" s="10">
        <f>(442.18+284.03+438.51+306.21+254.42+539.7+285.34)/7</f>
        <v>364.34142857142859</v>
      </c>
      <c r="I7" s="1">
        <v>28</v>
      </c>
      <c r="J7" s="4">
        <v>14</v>
      </c>
      <c r="K7" s="4">
        <v>13</v>
      </c>
      <c r="L7" s="4">
        <v>5</v>
      </c>
      <c r="M7" s="5">
        <f>SUM(I7:L7)</f>
        <v>60</v>
      </c>
      <c r="N7" s="5"/>
      <c r="O7" s="20">
        <f>(E7-MIN($E$2:$E$41))/MIN($E$2:$E$41)</f>
        <v>0.19164551752520731</v>
      </c>
      <c r="P7" s="20">
        <f>(F7-MIN($F$2:$F$41))/MIN($F$2:$F$41)</f>
        <v>0.35458274493981556</v>
      </c>
      <c r="Q7" s="20">
        <f>(G7-MIN($G$2:$G$41))/MIN($G$2:$G$41)</f>
        <v>0.13178294573643404</v>
      </c>
      <c r="R7" s="20">
        <f>(H7-MIN($H$2:$H$41))/MIN($H$2:$H$41)</f>
        <v>0.28618610334614447</v>
      </c>
      <c r="S7" s="20">
        <f>SUM(O7:R7)</f>
        <v>0.96419731154760135</v>
      </c>
    </row>
    <row r="8" spans="1:19" x14ac:dyDescent="0.25">
      <c r="A8" s="5" t="s">
        <v>10</v>
      </c>
      <c r="B8" s="1" t="s">
        <v>2</v>
      </c>
      <c r="C8" s="5" t="s">
        <v>3</v>
      </c>
      <c r="D8" s="5" t="s">
        <v>5</v>
      </c>
      <c r="E8" s="9">
        <f>(0.4362+0.597+0.2781+0.4204+0.3113+0.3404+0.6)/7</f>
        <v>0.42620000000000002</v>
      </c>
      <c r="F8" s="11">
        <f>(115.61+114.86+120.33+113.94+120.78+129.41+127.74)/7</f>
        <v>120.38142857142857</v>
      </c>
      <c r="G8" s="7">
        <f>(0.7257+0.7203+0.7515+0.7677+0.7276+0.7564+0.7079)/7</f>
        <v>0.7367285714285714</v>
      </c>
      <c r="H8" s="11">
        <f>(490.98+465.05+400.89+475.58+445.69+597.92+564.97)/7</f>
        <v>491.58285714285711</v>
      </c>
      <c r="I8" s="1">
        <v>4</v>
      </c>
      <c r="J8" s="4">
        <v>17</v>
      </c>
      <c r="K8" s="4">
        <v>6</v>
      </c>
      <c r="L8" s="4">
        <v>7</v>
      </c>
      <c r="M8" s="3">
        <f>SUM(I8:L8)</f>
        <v>34</v>
      </c>
      <c r="N8" s="5"/>
      <c r="O8" s="20">
        <f>(E8-MIN($E$2:$E$41))/MIN($E$2:$E$41)</f>
        <v>2.3184031826599921E-2</v>
      </c>
      <c r="P8" s="20">
        <f>(F8-MIN($F$2:$F$41))/MIN($F$2:$F$41)</f>
        <v>0.4166330441799474</v>
      </c>
      <c r="Q8" s="20">
        <f>(G8-MIN($G$2:$G$41))/MIN($G$2:$G$41)</f>
        <v>9.2281950268988042E-2</v>
      </c>
      <c r="R8" s="20">
        <f>(H8-MIN($H$2:$H$41))/MIN($H$2:$H$41)</f>
        <v>0.73536960092470183</v>
      </c>
      <c r="S8" s="20">
        <f>SUM(O8:R8)</f>
        <v>1.2674686272002371</v>
      </c>
    </row>
    <row r="9" spans="1:19" x14ac:dyDescent="0.25">
      <c r="A9" s="5" t="s">
        <v>10</v>
      </c>
      <c r="B9" s="1" t="s">
        <v>2</v>
      </c>
      <c r="C9" s="5" t="s">
        <v>4</v>
      </c>
      <c r="D9" s="5" t="s">
        <v>5</v>
      </c>
      <c r="E9" s="9">
        <f>(0.4031+0.5672+0.3093+0.3997+0.3952+0.3711+0.5385)/7</f>
        <v>0.42629999999999996</v>
      </c>
      <c r="F9" s="11">
        <f>(125.69+119.66+123.56+109.77+134.26+135.62+119.91)/7</f>
        <v>124.06714285714284</v>
      </c>
      <c r="G9" s="8">
        <f>(0.7294+0.7742+0.7463+0.7538+0.7545+0.7961+0.7293)/7</f>
        <v>0.75480000000000014</v>
      </c>
      <c r="H9" s="11">
        <f>(455.7+688.25+647.62+417.75+474.9+558.53+440.6)/7</f>
        <v>526.19285714285718</v>
      </c>
      <c r="I9" s="1">
        <v>5</v>
      </c>
      <c r="J9" s="4">
        <v>20</v>
      </c>
      <c r="K9" s="4">
        <v>10</v>
      </c>
      <c r="L9" s="4">
        <v>9</v>
      </c>
      <c r="M9" s="5">
        <f>SUM(I9:L9)</f>
        <v>44</v>
      </c>
      <c r="N9" s="32"/>
      <c r="O9" s="20">
        <f>(E9-MIN($E$2:$E$41))/MIN($E$2:$E$41)</f>
        <v>2.3424103162082304E-2</v>
      </c>
      <c r="P9" s="20">
        <f>(F9-MIN($F$2:$F$41))/MIN($F$2:$F$41)</f>
        <v>0.46000605204760908</v>
      </c>
      <c r="Q9" s="20">
        <f>(G9-MIN($G$2:$G$41))/MIN($G$2:$G$41)</f>
        <v>0.11907485067988335</v>
      </c>
      <c r="R9" s="20">
        <f>(H9-MIN($H$2:$H$41))/MIN($H$2:$H$41)</f>
        <v>0.85754868226428949</v>
      </c>
      <c r="S9" s="20">
        <f>SUM(O9:R9)</f>
        <v>1.4600536881538644</v>
      </c>
    </row>
    <row r="10" spans="1:19" s="2" customFormat="1" x14ac:dyDescent="0.25">
      <c r="A10" s="2" t="s">
        <v>10</v>
      </c>
      <c r="B10" s="3" t="s">
        <v>2</v>
      </c>
      <c r="C10" s="2" t="s">
        <v>4</v>
      </c>
      <c r="D10" s="2" t="s">
        <v>6</v>
      </c>
      <c r="E10" s="18">
        <f>(0.4566+0.5839+0.3163+0.4106+0.4379+0.3545+0.5298)/7</f>
        <v>0.44137142857142858</v>
      </c>
      <c r="F10" s="17">
        <f>(109.83+116.68+121.85+134.35+143.86+136.9+127.79)/7</f>
        <v>127.32285714285715</v>
      </c>
      <c r="G10" s="21">
        <f>(0.7943+0.7687+0.7575+0.8646+0.7435+0.7785+0.8152)/7</f>
        <v>0.78890000000000005</v>
      </c>
      <c r="H10" s="20">
        <f>(476.21+462.15+426.27+475.52+574.07+594.98+503.2)/7</f>
        <v>501.77142857142854</v>
      </c>
      <c r="I10" s="3">
        <v>9</v>
      </c>
      <c r="J10" s="6">
        <v>22</v>
      </c>
      <c r="K10" s="6">
        <v>19</v>
      </c>
      <c r="L10" s="6">
        <v>8</v>
      </c>
      <c r="M10" s="34">
        <f>SUM(I10:L10)</f>
        <v>58</v>
      </c>
      <c r="O10" s="20">
        <f>(E10-MIN($E$2:$E$41))/MIN($E$2:$E$41)</f>
        <v>5.9606283009808608E-2</v>
      </c>
      <c r="P10" s="20">
        <f>(F10-MIN($F$2:$F$41))/MIN($F$2:$F$41)</f>
        <v>0.49831887566404398</v>
      </c>
      <c r="Q10" s="20">
        <f>(G10-MIN($G$2:$G$41))/MIN($G$2:$G$41)</f>
        <v>0.16963188884652872</v>
      </c>
      <c r="R10" s="20">
        <f>(H10-MIN($H$2:$H$41))/MIN($H$2:$H$41)</f>
        <v>0.77133695999160812</v>
      </c>
      <c r="S10" s="10">
        <f>SUM(O10:R10)</f>
        <v>1.4988940075119894</v>
      </c>
    </row>
    <row r="11" spans="1:19" x14ac:dyDescent="0.25">
      <c r="A11" s="5" t="s">
        <v>0</v>
      </c>
      <c r="B11" s="1" t="s">
        <v>1</v>
      </c>
      <c r="C11" s="5" t="s">
        <v>4</v>
      </c>
      <c r="D11" s="5" t="s">
        <v>6</v>
      </c>
      <c r="E11" s="9">
        <f>(0.3909+1.0661+0.3206+0.3749+0.2955+0.2817+0.5296)/7</f>
        <v>0.46561428571428565</v>
      </c>
      <c r="F11" s="10">
        <f>(91.47+68.22+99.75+68.74+64.87+81.86+119.93)/7</f>
        <v>84.977142857142866</v>
      </c>
      <c r="G11" s="8">
        <f>(0.7111+0.7091+0.7081+0.6993+0.7054+0.7035+0.7194)/7</f>
        <v>0.70798571428571422</v>
      </c>
      <c r="H11" s="11">
        <f>(839.29+802.36+777.81+763.63+788.26+803.03+749.29)/7</f>
        <v>789.09571428571428</v>
      </c>
      <c r="I11" s="1">
        <v>19</v>
      </c>
      <c r="J11" s="4">
        <v>1</v>
      </c>
      <c r="K11" s="5">
        <v>3</v>
      </c>
      <c r="L11" s="5">
        <v>14</v>
      </c>
      <c r="M11" s="3">
        <f>SUM(I11:L11)</f>
        <v>37</v>
      </c>
      <c r="N11" s="32"/>
      <c r="O11" s="20">
        <f>(E11-MIN($E$2:$E$41))/MIN($E$2:$E$41)</f>
        <v>0.11780643391179073</v>
      </c>
      <c r="P11" s="20">
        <f>(F11-MIN($F$2:$F$41))/MIN($F$2:$F$41)</f>
        <v>0</v>
      </c>
      <c r="Q11" s="20">
        <f>(G11-MIN($G$2:$G$41))/MIN($G$2:$G$41)</f>
        <v>4.9667471512686877E-2</v>
      </c>
      <c r="R11" s="20">
        <f>(H11-MIN($H$2:$H$41))/MIN($H$2:$H$41)</f>
        <v>1.785639683918929</v>
      </c>
      <c r="S11" s="10">
        <f>SUM(O11:R11)</f>
        <v>1.9531135893434066</v>
      </c>
    </row>
    <row r="12" spans="1:19" x14ac:dyDescent="0.25">
      <c r="A12" s="5" t="s">
        <v>8</v>
      </c>
      <c r="B12" s="1" t="s">
        <v>2</v>
      </c>
      <c r="C12" s="5" t="s">
        <v>4</v>
      </c>
      <c r="D12" s="5" t="s">
        <v>5</v>
      </c>
      <c r="E12" s="9">
        <f>(0.3676+0.6455+0.3625+0.4486+0.743+0.3326+0.5458)/7</f>
        <v>0.4922285714285714</v>
      </c>
      <c r="F12" s="11">
        <f>(115.46+127.68+208.66+145.32+146.78+134.31+182.24)/7</f>
        <v>151.4928571428571</v>
      </c>
      <c r="G12" s="8">
        <f>(0.8259+0.7122+0.7885+0.7693+0.7705+0.7491+0.7272)/7</f>
        <v>0.76324285714285711</v>
      </c>
      <c r="H12" s="11">
        <f>(822.66+477.57+623.11+576.75+501.91+501.4+391.56)/7</f>
        <v>556.4228571428572</v>
      </c>
      <c r="I12" s="1">
        <v>26</v>
      </c>
      <c r="J12" s="4">
        <v>27</v>
      </c>
      <c r="K12" s="4">
        <v>12</v>
      </c>
      <c r="L12" s="4">
        <v>10</v>
      </c>
      <c r="M12" s="3">
        <f>SUM(I12:L12)</f>
        <v>75</v>
      </c>
      <c r="N12" s="32"/>
      <c r="O12" s="20">
        <f>(E12-MIN($E$2:$E$41))/MIN($E$2:$E$41)</f>
        <v>0.18169970505521629</v>
      </c>
      <c r="P12" s="20">
        <f>(F12-MIN($F$2:$F$41))/MIN($F$2:$F$41)</f>
        <v>0.78274830206442003</v>
      </c>
      <c r="Q12" s="20">
        <f>(G12-MIN($G$2:$G$41))/MIN($G$2:$G$41)</f>
        <v>0.13159232431058587</v>
      </c>
      <c r="R12" s="20">
        <f>(H12-MIN($H$2:$H$41))/MIN($H$2:$H$41)</f>
        <v>0.96426563195789627</v>
      </c>
      <c r="S12" s="10">
        <f>SUM(O12:R12)</f>
        <v>2.0603059633881187</v>
      </c>
    </row>
    <row r="13" spans="1:19" x14ac:dyDescent="0.25">
      <c r="A13" s="5" t="s">
        <v>10</v>
      </c>
      <c r="B13" s="1" t="s">
        <v>2</v>
      </c>
      <c r="C13" s="5" t="s">
        <v>3</v>
      </c>
      <c r="D13" s="5" t="s">
        <v>6</v>
      </c>
      <c r="E13" s="9">
        <f>(0.3927+0.5924+0.2854+0.4194+0.334+0.3892+0.5391)/7</f>
        <v>0.42174285714285714</v>
      </c>
      <c r="F13" s="11">
        <f>(80.96+122.55+146.29+111.31+143.44+137.94+121.12)/7</f>
        <v>123.37285714285714</v>
      </c>
      <c r="G13" s="8">
        <f>(0.757+0.7398+0.731+0.8662+0.726+0.7806+0.7182)/7</f>
        <v>0.75982857142857141</v>
      </c>
      <c r="H13" s="11">
        <f>(679.29+555.673+572.52+1526.31+661.71+543.1+527.08)/7</f>
        <v>723.66899999999998</v>
      </c>
      <c r="I13" s="1">
        <v>3</v>
      </c>
      <c r="J13" s="4">
        <v>19</v>
      </c>
      <c r="K13" s="4">
        <v>11</v>
      </c>
      <c r="L13" s="4">
        <v>13</v>
      </c>
      <c r="M13" s="3">
        <f>SUM(I13:L13)</f>
        <v>46</v>
      </c>
      <c r="N13" s="32"/>
      <c r="O13" s="20">
        <f>(E13-MIN($E$2:$E$41))/MIN($E$2:$E$41)</f>
        <v>1.2483709445092214E-2</v>
      </c>
      <c r="P13" s="20">
        <f>(F13-MIN($F$2:$F$41))/MIN($F$2:$F$41)</f>
        <v>0.45183578777486366</v>
      </c>
      <c r="Q13" s="20">
        <f>(G13-MIN($G$2:$G$41))/MIN($G$2:$G$41)</f>
        <v>0.12653026644639306</v>
      </c>
      <c r="R13" s="20">
        <f>(H13-MIN($H$2:$H$41))/MIN($H$2:$H$41)</f>
        <v>1.5546724534509651</v>
      </c>
      <c r="S13" s="10">
        <f>SUM(O13:R13)</f>
        <v>2.1455222171173141</v>
      </c>
    </row>
    <row r="14" spans="1:19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(0.3839+0.689+0.3561+0.4287+0.973+0.3242+0.5789)/7</f>
        <v>0.53339999999999999</v>
      </c>
      <c r="F14" s="11">
        <f>(118.25+200.09+111.42+161.53+113.42+112.86+126.3)/7</f>
        <v>134.83857142857144</v>
      </c>
      <c r="G14" s="8">
        <f>(0.8467+0.6715+0.6371+0.6861+0.6738+0.6441+0.6347)/7</f>
        <v>0.68485714285714294</v>
      </c>
      <c r="H14" s="11">
        <f>(563.89+551.77+654.87+838.04+1187.98+483.96+370.99)/7</f>
        <v>664.49999999999989</v>
      </c>
      <c r="I14" s="1">
        <v>35</v>
      </c>
      <c r="J14" s="4">
        <v>23</v>
      </c>
      <c r="K14" s="5">
        <v>2</v>
      </c>
      <c r="L14" s="5">
        <v>12</v>
      </c>
      <c r="M14" s="3">
        <f>SUM(I14:L14)</f>
        <v>72</v>
      </c>
      <c r="N14" s="32"/>
      <c r="O14" s="20">
        <f>(E14-MIN($E$2:$E$41))/MIN($E$2:$E$41)</f>
        <v>0.28054050346388631</v>
      </c>
      <c r="P14" s="20">
        <f>(F14-MIN($F$2:$F$41))/MIN($F$2:$F$41)</f>
        <v>0.58676282697868332</v>
      </c>
      <c r="Q14" s="20">
        <f>(G14-MIN($G$2:$G$41))/MIN($G$2:$G$41)</f>
        <v>1.5376795018426927E-2</v>
      </c>
      <c r="R14" s="20">
        <f>(H14-MIN($H$2:$H$41))/MIN($H$2:$H$41)</f>
        <v>1.3457959997155688</v>
      </c>
      <c r="S14" s="10">
        <f>SUM(O14:R14)</f>
        <v>2.2284761251765657</v>
      </c>
    </row>
    <row r="15" spans="1:19" x14ac:dyDescent="0.25">
      <c r="A15" s="5" t="s">
        <v>8</v>
      </c>
      <c r="B15" s="1" t="s">
        <v>2</v>
      </c>
      <c r="C15" s="5" t="s">
        <v>3</v>
      </c>
      <c r="D15" s="5" t="s">
        <v>5</v>
      </c>
      <c r="E15" s="9">
        <f>(0.4053+0.6524+0.3207+0.4361+0.6804+0.2767+0.5546)/7</f>
        <v>0.47517142857142858</v>
      </c>
      <c r="F15" s="11">
        <f>(150.98+165.29+115.31+209.24+158.41+143.14+175.06)/7</f>
        <v>159.63285714285712</v>
      </c>
      <c r="G15" s="7">
        <f>(0.7056+0.7494+0.7177+0.7032+0.7424+0.7352+0.7461)/7</f>
        <v>0.72851428571428567</v>
      </c>
      <c r="H15" s="11">
        <f>(576.95+679.14+430.19+736.16+482.25+673.06+738.78)/7</f>
        <v>616.64714285714285</v>
      </c>
      <c r="I15" s="1">
        <v>23</v>
      </c>
      <c r="J15" s="4">
        <v>31</v>
      </c>
      <c r="K15" s="4">
        <v>5</v>
      </c>
      <c r="L15" s="4">
        <v>11</v>
      </c>
      <c r="M15" s="3">
        <f>SUM(I15:L15)</f>
        <v>70</v>
      </c>
      <c r="N15" s="32"/>
      <c r="O15" s="20">
        <f>(E15-MIN($E$2:$E$41))/MIN($E$2:$E$41)</f>
        <v>0.14075039440290826</v>
      </c>
      <c r="P15" s="20">
        <f>(F15-MIN($F$2:$F$41))/MIN($F$2:$F$41)</f>
        <v>0.87853876672718667</v>
      </c>
      <c r="Q15" s="20">
        <f>(G15-MIN($G$2:$G$41))/MIN($G$2:$G$41)</f>
        <v>8.0103359173126609E-2</v>
      </c>
      <c r="R15" s="20">
        <f>(H15-MIN($H$2:$H$41))/MIN($H$2:$H$41)</f>
        <v>1.1768674205422436</v>
      </c>
      <c r="S15" s="10">
        <f>SUM(O15:R15)</f>
        <v>2.2762599408454651</v>
      </c>
    </row>
    <row r="16" spans="1:19" x14ac:dyDescent="0.25">
      <c r="A16" s="5" t="s">
        <v>9</v>
      </c>
      <c r="B16" s="1" t="s">
        <v>1</v>
      </c>
      <c r="C16" s="5" t="s">
        <v>4</v>
      </c>
      <c r="D16" s="5" t="s">
        <v>5</v>
      </c>
      <c r="E16" s="9">
        <f>(0.4056+0.7919+0.3347+0.3022+0.5558+0.3477+0.4568)/7</f>
        <v>0.45638571428571428</v>
      </c>
      <c r="F16" s="11">
        <f>(114.87+210.56+147.75+197.75+128.69+137.43+145.17)/7</f>
        <v>154.60285714285718</v>
      </c>
      <c r="G16" s="7">
        <f>(0.6993+0.6702+0.6715+0.7228+0.7836+0.6927+0.7868)/7</f>
        <v>0.71812857142857145</v>
      </c>
      <c r="H16" s="11">
        <f>(503.69+918.51+585.19+810.72+1115.99+909.04+868.68)/7</f>
        <v>815.97428571428577</v>
      </c>
      <c r="I16" s="1">
        <v>16</v>
      </c>
      <c r="J16" s="4">
        <v>29</v>
      </c>
      <c r="K16" s="4">
        <v>4</v>
      </c>
      <c r="L16" s="4">
        <v>16</v>
      </c>
      <c r="M16" s="3">
        <f>SUM(I16:L16)</f>
        <v>65</v>
      </c>
      <c r="N16" s="32"/>
      <c r="O16" s="20">
        <f>(E16-MIN($E$2:$E$41))/MIN($E$2:$E$41)</f>
        <v>9.5651279237259024E-2</v>
      </c>
      <c r="P16" s="20">
        <f>(F16-MIN($F$2:$F$41))/MIN($F$2:$F$41)</f>
        <v>0.81934637885818051</v>
      </c>
      <c r="Q16" s="20">
        <f>(G16-MIN($G$2:$G$41))/MIN($G$2:$G$41)</f>
        <v>6.4705383996272389E-2</v>
      </c>
      <c r="R16" s="20">
        <f>(H16-MIN($H$2:$H$41))/MIN($H$2:$H$41)</f>
        <v>1.8805255309245155</v>
      </c>
      <c r="S16" s="10">
        <f>SUM(O16:R16)</f>
        <v>2.8602285730162276</v>
      </c>
    </row>
    <row r="17" spans="1:19" x14ac:dyDescent="0.25">
      <c r="A17" s="5" t="s">
        <v>9</v>
      </c>
      <c r="B17" s="1" t="s">
        <v>2</v>
      </c>
      <c r="C17" s="5" t="s">
        <v>4</v>
      </c>
      <c r="D17" s="5" t="s">
        <v>5</v>
      </c>
      <c r="E17" s="9">
        <f>(0.391+0.6702+0.3229+0.2692+0.7709+0.3563+0.4581)/7</f>
        <v>0.46265714285714282</v>
      </c>
      <c r="F17" s="11">
        <f>(155.98+152.03+270.44+201.92+156.37+148.71+168.62)/7</f>
        <v>179.15285714285716</v>
      </c>
      <c r="G17" s="8">
        <f>(0.8271+0.7115+0.7696+0.7638+0.8081+0.763+0.7747)/7</f>
        <v>0.77397142857142864</v>
      </c>
      <c r="H17" s="10">
        <f>(740.57+697.219+428.73+906.89+1126.41+799.65+909.11)/7</f>
        <v>801.22557142857136</v>
      </c>
      <c r="I17" s="1">
        <v>17</v>
      </c>
      <c r="J17" s="4">
        <v>36</v>
      </c>
      <c r="K17" s="4">
        <v>15</v>
      </c>
      <c r="L17" s="5">
        <v>15</v>
      </c>
      <c r="M17" s="3">
        <f>SUM(I17:L17)</f>
        <v>83</v>
      </c>
      <c r="N17" s="32"/>
      <c r="O17" s="20">
        <f>(E17-MIN($E$2:$E$41))/MIN($E$2:$E$41)</f>
        <v>0.11070718156252131</v>
      </c>
      <c r="P17" s="20">
        <f>(F17-MIN($F$2:$F$41))/MIN($F$2:$F$41)</f>
        <v>1.1082475959921996</v>
      </c>
      <c r="Q17" s="20">
        <f>(G17-MIN($G$2:$G$41))/MIN($G$2:$G$41)</f>
        <v>0.1474986232897024</v>
      </c>
      <c r="R17" s="20">
        <f>(H17-MIN($H$2:$H$41))/MIN($H$2:$H$41)</f>
        <v>1.8284601058344074</v>
      </c>
      <c r="S17" s="10">
        <f>SUM(O17:R17)</f>
        <v>3.194913506678831</v>
      </c>
    </row>
    <row r="18" spans="1:19" s="2" customFormat="1" x14ac:dyDescent="0.25">
      <c r="A18" s="2" t="s">
        <v>8</v>
      </c>
      <c r="B18" s="3" t="s">
        <v>1</v>
      </c>
      <c r="C18" s="2" t="s">
        <v>4</v>
      </c>
      <c r="D18" s="2" t="s">
        <v>6</v>
      </c>
      <c r="E18" s="18">
        <f>(0.6596+0.924+0.3526+0.3822+0.5586+0.3595+0.596)/7</f>
        <v>0.54749999999999999</v>
      </c>
      <c r="F18" s="17">
        <f>(130.93+211.52+111.87+208.77+135.97+141.84+168.89)/7</f>
        <v>158.54142857142855</v>
      </c>
      <c r="G18" s="21">
        <f>(0.9048+0.6725+0.7459+0.8234+0.7441+0.707+0.6667)/7</f>
        <v>0.75205714285714276</v>
      </c>
      <c r="H18" s="17">
        <f>(899.93+947.62+1061.71+819.79+821.32+613.48+1127.17)/7</f>
        <v>898.7171428571429</v>
      </c>
      <c r="I18" s="3">
        <v>36</v>
      </c>
      <c r="J18" s="6">
        <v>30</v>
      </c>
      <c r="K18" s="2">
        <v>9</v>
      </c>
      <c r="L18" s="2">
        <v>18</v>
      </c>
      <c r="M18" s="3">
        <f>SUM(I18:L18)</f>
        <v>93</v>
      </c>
      <c r="N18" s="33"/>
      <c r="O18" s="20">
        <f>(E18-MIN($E$2:$E$41))/MIN($E$2:$E$41)</f>
        <v>0.31439056176692493</v>
      </c>
      <c r="P18" s="20">
        <f>(F18-MIN($F$2:$F$41))/MIN($F$2:$F$41)</f>
        <v>0.8656949768004838</v>
      </c>
      <c r="Q18" s="20">
        <f>(G18-MIN($G$2:$G$41))/MIN($G$2:$G$41)</f>
        <v>0.11500826026178668</v>
      </c>
      <c r="R18" s="20">
        <f>(H18-MIN($H$2:$H$41))/MIN($H$2:$H$41)</f>
        <v>2.1726216382093178</v>
      </c>
      <c r="S18" s="10">
        <f>SUM(O18:R18)</f>
        <v>3.467715437038513</v>
      </c>
    </row>
    <row r="19" spans="1:19" x14ac:dyDescent="0.25">
      <c r="A19" s="5" t="s">
        <v>9</v>
      </c>
      <c r="B19" s="1" t="s">
        <v>2</v>
      </c>
      <c r="C19" s="5" t="s">
        <v>4</v>
      </c>
      <c r="D19" s="5" t="s">
        <v>6</v>
      </c>
      <c r="E19" s="9">
        <f>(0.3586+0.6143+0.3317+0.2986+0.7134+0.3387+0.4897)/7</f>
        <v>0.44928571428571423</v>
      </c>
      <c r="F19" s="11">
        <f>(137.21+171.09+174.18+179.74+219.05+163.55+194.79)/7</f>
        <v>177.08714285714285</v>
      </c>
      <c r="G19" s="8">
        <f>(0.94+0.7612+0.8665+0.7859+0.8409+0.8554+0.8134)/7</f>
        <v>0.83761428571428564</v>
      </c>
      <c r="H19" s="10">
        <f>(1155.39+779.21+801.67+835.21+1189.28+635.99+773.43)/7</f>
        <v>881.45428571428579</v>
      </c>
      <c r="I19" s="1">
        <v>13</v>
      </c>
      <c r="J19" s="4">
        <v>35</v>
      </c>
      <c r="K19" s="4">
        <v>22</v>
      </c>
      <c r="L19" s="4">
        <v>17</v>
      </c>
      <c r="M19" s="3">
        <f>SUM(I19:L19)</f>
        <v>87</v>
      </c>
      <c r="N19" s="32"/>
      <c r="O19" s="20">
        <f>(E19-MIN($E$2:$E$41))/MIN($E$2:$E$41)</f>
        <v>7.8606214417998324E-2</v>
      </c>
      <c r="P19" s="20">
        <f>(F19-MIN($F$2:$F$41))/MIN($F$2:$F$41)</f>
        <v>1.0839385380942772</v>
      </c>
      <c r="Q19" s="20">
        <f>(G19-MIN($G$2:$G$41))/MIN($G$2:$G$41)</f>
        <v>0.24185622908459353</v>
      </c>
      <c r="R19" s="20">
        <f>(H19-MIN($H$2:$H$41))/MIN($H$2:$H$41)</f>
        <v>2.1116808688648852</v>
      </c>
      <c r="S19" s="10">
        <f>SUM(O19:R19)</f>
        <v>3.5160818504617541</v>
      </c>
    </row>
    <row r="20" spans="1:19" x14ac:dyDescent="0.25">
      <c r="A20" s="5" t="s">
        <v>8</v>
      </c>
      <c r="B20" s="1" t="s">
        <v>1</v>
      </c>
      <c r="C20" s="5" t="s">
        <v>3</v>
      </c>
      <c r="D20" s="5" t="s">
        <v>6</v>
      </c>
      <c r="E20" s="9">
        <f>(0.3887+0.9241+0.3132+0.4433+0.3422+0.2821+0.5669)/7</f>
        <v>0.4657857142857143</v>
      </c>
      <c r="F20" s="11">
        <f>(115.81+179.18+121.03+172.25+145.32+142.47+134.65)/7</f>
        <v>144.38714285714283</v>
      </c>
      <c r="G20" s="8">
        <f>(0.6481+0.6742+0.6988+0.8716+0.9611+0.819+0.7909)/7</f>
        <v>0.78052857142857146</v>
      </c>
      <c r="H20" s="11">
        <f>(1632.2+947.26+819.79+1474.97+1908+1007.58+2002.96)/7</f>
        <v>1398.9657142857143</v>
      </c>
      <c r="I20" s="1">
        <v>20</v>
      </c>
      <c r="J20" s="4">
        <v>25</v>
      </c>
      <c r="K20" s="4">
        <v>18</v>
      </c>
      <c r="L20" s="4">
        <v>24</v>
      </c>
      <c r="M20" s="3">
        <f>SUM(I20:L20)</f>
        <v>87</v>
      </c>
      <c r="N20" s="32"/>
      <c r="O20" s="20">
        <f>(E20-MIN($E$2:$E$41))/MIN($E$2:$E$41)</f>
        <v>0.11821798477261815</v>
      </c>
      <c r="P20" s="20">
        <f>(F20-MIN($F$2:$F$41))/MIN($F$2:$F$41)</f>
        <v>0.69912917759397442</v>
      </c>
      <c r="Q20" s="20">
        <f>(G20-MIN($G$2:$G$41))/MIN($G$2:$G$41)</f>
        <v>0.15722031600796385</v>
      </c>
      <c r="R20" s="20">
        <f>(H20-MIN($H$2:$H$41))/MIN($H$2:$H$41)</f>
        <v>3.9385826581048344</v>
      </c>
      <c r="S20" s="10">
        <f>SUM(O20:R20)</f>
        <v>4.9131501364793913</v>
      </c>
    </row>
    <row r="21" spans="1:19" x14ac:dyDescent="0.25">
      <c r="A21" s="5" t="s">
        <v>8</v>
      </c>
      <c r="B21" s="1" t="s">
        <v>1</v>
      </c>
      <c r="C21" s="5" t="s">
        <v>3</v>
      </c>
      <c r="D21" s="5" t="s">
        <v>5</v>
      </c>
      <c r="E21" s="9">
        <f>(0.3702+0.9575+0.3609+0.4359+0.4147+0.3254+0.5397)/7</f>
        <v>0.48632857142857144</v>
      </c>
      <c r="F21" s="10">
        <f>(151.07+227.63+138.05+198.86+156.89+161.85+190.21)/7</f>
        <v>174.93714285714285</v>
      </c>
      <c r="G21" s="7">
        <f>(0.6647+0.7134+0.7776+0.9062+1.0277+0.7497+0.82)/7</f>
        <v>0.80847142857142862</v>
      </c>
      <c r="H21" s="11">
        <f>(603.1+1469.94+891.65+1074.77+2141.73+1098.38+1729.91)/7</f>
        <v>1287.0685714285717</v>
      </c>
      <c r="I21" s="1">
        <v>24</v>
      </c>
      <c r="J21" s="4">
        <v>33</v>
      </c>
      <c r="K21" s="4">
        <v>20</v>
      </c>
      <c r="L21" s="4">
        <v>23</v>
      </c>
      <c r="M21" s="3">
        <f>SUM(I21:L21)</f>
        <v>100</v>
      </c>
      <c r="N21" s="32"/>
      <c r="O21" s="20">
        <f>(E21-MIN($E$2:$E$41))/MIN($E$2:$E$41)</f>
        <v>0.16753549626174633</v>
      </c>
      <c r="P21" s="20">
        <f>(F21-MIN($F$2:$F$41))/MIN($F$2:$F$41)</f>
        <v>1.0586376168381411</v>
      </c>
      <c r="Q21" s="20">
        <f>(G21-MIN($G$2:$G$41))/MIN($G$2:$G$41)</f>
        <v>0.19864870589232023</v>
      </c>
      <c r="R21" s="20">
        <f>(H21-MIN($H$2:$H$41))/MIN($H$2:$H$41)</f>
        <v>3.5435670522449598</v>
      </c>
      <c r="S21" s="10">
        <f>SUM(O21:R21)</f>
        <v>4.9683888712371678</v>
      </c>
    </row>
    <row r="22" spans="1:19" x14ac:dyDescent="0.25">
      <c r="A22" s="5" t="s">
        <v>9</v>
      </c>
      <c r="B22" s="1" t="s">
        <v>2</v>
      </c>
      <c r="C22" s="5" t="s">
        <v>3</v>
      </c>
      <c r="D22" s="5" t="s">
        <v>6</v>
      </c>
      <c r="E22" s="9">
        <f>(0.3982+0.6499+0.3359+0.3037+0.5929+0.3263+0.4746)/7</f>
        <v>0.44021428571428567</v>
      </c>
      <c r="F22" s="11">
        <f>(158.03+147.76+170.41+173.56+172.2+161.39+194.28)/7</f>
        <v>168.23285714285717</v>
      </c>
      <c r="G22" s="8">
        <f>(0.9818+0.8928+0.9496+0.93+0.9614+0.9645+1.0973)/7</f>
        <v>0.96820000000000006</v>
      </c>
      <c r="H22" s="11">
        <f>(1454.31+853.82+1587.18+1168.49+1270.67+1082.82+1567.22)/7</f>
        <v>1283.5014285714285</v>
      </c>
      <c r="I22" s="1">
        <v>8</v>
      </c>
      <c r="J22" s="4">
        <v>32</v>
      </c>
      <c r="K22" s="4">
        <v>26</v>
      </c>
      <c r="L22" s="4">
        <v>22</v>
      </c>
      <c r="M22" s="3">
        <f>SUM(I22:L22)</f>
        <v>88</v>
      </c>
      <c r="N22" s="32"/>
      <c r="O22" s="20">
        <f>(E22-MIN($E$2:$E$41))/MIN($E$2:$E$41)</f>
        <v>5.6828314699224766E-2</v>
      </c>
      <c r="P22" s="20">
        <f>(F22-MIN($F$2:$F$41))/MIN($F$2:$F$41)</f>
        <v>0.97974245175173169</v>
      </c>
      <c r="Q22" s="20">
        <f>(G22-MIN($G$2:$G$41))/MIN($G$2:$G$41)</f>
        <v>0.43546405727114856</v>
      </c>
      <c r="R22" s="20">
        <f>(H22-MIN($H$2:$H$41))/MIN($H$2:$H$41)</f>
        <v>3.5309744420949216</v>
      </c>
      <c r="S22" s="20">
        <f>SUM(O22:R22)</f>
        <v>5.0030092658170267</v>
      </c>
    </row>
    <row r="23" spans="1:19" x14ac:dyDescent="0.25">
      <c r="A23" s="5" t="s">
        <v>8</v>
      </c>
      <c r="B23" s="1" t="s">
        <v>2</v>
      </c>
      <c r="C23" s="5" t="s">
        <v>3</v>
      </c>
      <c r="D23" s="5" t="s">
        <v>6</v>
      </c>
      <c r="E23" s="9">
        <f>(0.36+0.8073+0.353+0.4468+0.4358+0.2807+0.564)/7</f>
        <v>0.4639428571428571</v>
      </c>
      <c r="F23" s="11">
        <f>(276.61+259.54+182.69+267.68+262.73+222.49+259.98)/7</f>
        <v>247.38857142857145</v>
      </c>
      <c r="G23" s="8">
        <f>(0.9469+0.728+0.9691+1.0565+0.7577+0.9085+1.0331)/7</f>
        <v>0.91425714285714288</v>
      </c>
      <c r="H23" s="11">
        <f>(1416.97+1179.04+960.48+792.4+757.9+753.59+1359.89)/7</f>
        <v>1031.467142857143</v>
      </c>
      <c r="I23" s="1">
        <v>18</v>
      </c>
      <c r="J23" s="4">
        <v>40</v>
      </c>
      <c r="K23" s="4">
        <v>24</v>
      </c>
      <c r="L23" s="4">
        <v>19</v>
      </c>
      <c r="M23" s="3">
        <f>SUM(I23:L23)</f>
        <v>101</v>
      </c>
      <c r="N23" s="32"/>
      <c r="O23" s="20">
        <f>(E23-MIN($E$2:$E$41))/MIN($E$2:$E$41)</f>
        <v>0.11379381301872542</v>
      </c>
      <c r="P23" s="20">
        <f>(F23-MIN($F$2:$F$41))/MIN($F$2:$F$41)</f>
        <v>1.9112366350615291</v>
      </c>
      <c r="Q23" s="20">
        <f>(G23-MIN($G$2:$G$41))/MIN($G$2:$G$41)</f>
        <v>0.35548777904858742</v>
      </c>
      <c r="R23" s="20">
        <f>(H23-MIN($H$2:$H$41))/MIN($H$2:$H$41)</f>
        <v>2.6412513130960629</v>
      </c>
      <c r="S23" s="10">
        <f>SUM(O23:R23)</f>
        <v>5.0217695402249047</v>
      </c>
    </row>
    <row r="24" spans="1:19" x14ac:dyDescent="0.25">
      <c r="A24" s="5" t="s">
        <v>10</v>
      </c>
      <c r="B24" s="1" t="s">
        <v>1</v>
      </c>
      <c r="C24" s="5" t="s">
        <v>3</v>
      </c>
      <c r="D24" s="5" t="s">
        <v>5</v>
      </c>
      <c r="E24" s="9">
        <f>(0.4466+0.6509+0.266+0.3952+0.3144+0.3569+0.575)/7</f>
        <v>0.42928571428571427</v>
      </c>
      <c r="F24" s="10">
        <f>(93.98+114.2+176.71+99.84+106.94+123.15+231.05)/7</f>
        <v>135.12428571428572</v>
      </c>
      <c r="G24" s="8">
        <f>(0.9899+0.8536+0.9934+0.8867+0.9127+1.1865+0.9913)/7</f>
        <v>0.97344285714285728</v>
      </c>
      <c r="H24" s="11">
        <f>(1627.22+928.15+1497.2+1255.45+1519.13+1661.09+1578.46)/7</f>
        <v>1438.1000000000001</v>
      </c>
      <c r="I24" s="1">
        <v>6</v>
      </c>
      <c r="J24" s="4">
        <v>24</v>
      </c>
      <c r="K24" s="5">
        <v>27</v>
      </c>
      <c r="L24" s="5">
        <v>25</v>
      </c>
      <c r="M24" s="3">
        <f>SUM(I24:L24)</f>
        <v>82</v>
      </c>
      <c r="N24" s="32"/>
      <c r="O24" s="20">
        <f>(E24-MIN($E$2:$E$41))/MIN($E$2:$E$41)</f>
        <v>3.0591947321489739E-2</v>
      </c>
      <c r="P24" s="20">
        <f>(F24-MIN($F$2:$F$41))/MIN($F$2:$F$41)</f>
        <v>0.59012507565059502</v>
      </c>
      <c r="Q24" s="20">
        <f>(G24-MIN($G$2:$G$41))/MIN($G$2:$G$41)</f>
        <v>0.44323717541407237</v>
      </c>
      <c r="R24" s="20">
        <f>(H24-MIN($H$2:$H$41))/MIN($H$2:$H$41)</f>
        <v>4.0767332237636724</v>
      </c>
      <c r="S24" s="10">
        <f>SUM(O24:R24)</f>
        <v>5.1406874221498295</v>
      </c>
    </row>
    <row r="25" spans="1:19" x14ac:dyDescent="0.25">
      <c r="A25" s="5" t="s">
        <v>10</v>
      </c>
      <c r="B25" s="1" t="s">
        <v>1</v>
      </c>
      <c r="C25" s="5" t="s">
        <v>3</v>
      </c>
      <c r="D25" s="5" t="s">
        <v>6</v>
      </c>
      <c r="E25" s="9">
        <f>(0.4654+0.7114+0.2499+0.4103+0.3166+0.3329+0.5761)/7</f>
        <v>0.43751428571428569</v>
      </c>
      <c r="F25" s="11">
        <f>(125.11+131.02+153.47+94.56+137.01+133.83+101.78)/7</f>
        <v>125.25428571428573</v>
      </c>
      <c r="G25" s="7">
        <f>(0.9992+1.4359+1.0022+1.0864+0.904+0.846+0.9793)/7</f>
        <v>1.0361428571428573</v>
      </c>
      <c r="H25" s="11">
        <f>(1593.14+2194.38+1448.68+1378.18+1318.55+1112.87+1181.03)/7</f>
        <v>1460.9757142857145</v>
      </c>
      <c r="I25" s="1">
        <v>7</v>
      </c>
      <c r="J25" s="4">
        <v>21</v>
      </c>
      <c r="K25" s="4">
        <v>28</v>
      </c>
      <c r="L25" s="4">
        <v>26</v>
      </c>
      <c r="M25" s="3">
        <f>SUM(I25:L25)</f>
        <v>82</v>
      </c>
      <c r="N25" s="32"/>
      <c r="O25" s="20">
        <f>(E25-MIN($E$2:$E$41))/MIN($E$2:$E$41)</f>
        <v>5.0346388641196137E-2</v>
      </c>
      <c r="P25" s="20">
        <f>(F25-MIN($F$2:$F$41))/MIN($F$2:$F$41)</f>
        <v>0.47397619527940288</v>
      </c>
      <c r="Q25" s="20">
        <f>(G25-MIN($G$2:$G$41))/MIN($G$2:$G$41)</f>
        <v>0.53619689075274313</v>
      </c>
      <c r="R25" s="20">
        <f>(H25-MIN($H$2:$H$41))/MIN($H$2:$H$41)</f>
        <v>4.1574883164078642</v>
      </c>
      <c r="S25" s="10">
        <f>SUM(O25:R25)</f>
        <v>5.2180077910812059</v>
      </c>
    </row>
    <row r="26" spans="1:19" s="2" customFormat="1" x14ac:dyDescent="0.25">
      <c r="A26" s="2" t="s">
        <v>9</v>
      </c>
      <c r="B26" s="3" t="s">
        <v>1</v>
      </c>
      <c r="C26" s="2" t="s">
        <v>4</v>
      </c>
      <c r="D26" s="2" t="s">
        <v>6</v>
      </c>
      <c r="E26" s="18">
        <f>(0.3912+0.7406+0.3377+0.3485+0.5467+0.339+0.4717)/7</f>
        <v>0.45362857142857138</v>
      </c>
      <c r="F26" s="17">
        <f>(120.59+182.76+146.6+195.27+121.58+140.92+167.27)/7</f>
        <v>153.57</v>
      </c>
      <c r="G26" s="21">
        <f>(0.7003+0.6944+0.7234+1.4605+0.8076+0.7791+0.7834)/7</f>
        <v>0.84981428571428563</v>
      </c>
      <c r="H26" s="17">
        <f>(856.86+1322.32+1068.88+2974.98+1469.1+1397.98+1287.44)/7</f>
        <v>1482.5085714285713</v>
      </c>
      <c r="I26" s="3">
        <v>14</v>
      </c>
      <c r="J26" s="6">
        <v>28</v>
      </c>
      <c r="K26" s="6">
        <v>23</v>
      </c>
      <c r="L26" s="2">
        <v>28</v>
      </c>
      <c r="M26" s="3">
        <f>SUM(I26:L26)</f>
        <v>93</v>
      </c>
      <c r="N26" s="33"/>
      <c r="O26" s="20">
        <f>(E26-MIN($E$2:$E$41))/MIN($E$2:$E$41)</f>
        <v>8.9032169558954502E-2</v>
      </c>
      <c r="P26" s="20">
        <f>(F26-MIN($F$2:$F$41))/MIN($F$2:$F$41)</f>
        <v>0.80719184990921899</v>
      </c>
      <c r="Q26" s="20">
        <f>(G26-MIN($G$2:$G$41))/MIN($G$2:$G$41)</f>
        <v>0.25994408438175115</v>
      </c>
      <c r="R26" s="20">
        <f>(H26-MIN($H$2:$H$41))/MIN($H$2:$H$41)</f>
        <v>4.2335028990236054</v>
      </c>
      <c r="S26" s="10">
        <f>SUM(O26:R26)</f>
        <v>5.3896710028735306</v>
      </c>
    </row>
    <row r="27" spans="1:19" x14ac:dyDescent="0.25">
      <c r="A27" s="5" t="s">
        <v>9</v>
      </c>
      <c r="B27" s="1" t="s">
        <v>2</v>
      </c>
      <c r="C27" s="5" t="s">
        <v>3</v>
      </c>
      <c r="D27" s="5" t="s">
        <v>5</v>
      </c>
      <c r="E27" s="9">
        <f>(0.4111+0.6605+0.338+0.3152+0.589+0.3326+0.4809)/7</f>
        <v>0.44675714285714285</v>
      </c>
      <c r="F27" s="11">
        <f>(146.74+151.27+227.95+205.68+176.93+179.92+150.48)/7</f>
        <v>176.99571428571431</v>
      </c>
      <c r="G27" s="7">
        <f>(1.0822+0.8433+0.9514+0.952+0.9224+0.9436+1.0655)/7</f>
        <v>0.9657714285714285</v>
      </c>
      <c r="H27" s="11">
        <f>(1526.18+1065.17+1878.37+1366.99+1456.62+1387.02+1584.5)/7</f>
        <v>1466.4071428571428</v>
      </c>
      <c r="I27" s="1">
        <v>11</v>
      </c>
      <c r="J27" s="4">
        <v>34</v>
      </c>
      <c r="K27" s="4">
        <v>25</v>
      </c>
      <c r="L27" s="4">
        <v>27</v>
      </c>
      <c r="M27" s="3">
        <f>SUM(I27:L27)</f>
        <v>97</v>
      </c>
      <c r="N27" s="32"/>
      <c r="O27" s="20">
        <f>(E27-MIN($E$2:$E$41))/MIN($E$2:$E$41)</f>
        <v>7.2535839220796983E-2</v>
      </c>
      <c r="P27" s="20">
        <f>(F27-MIN($F$2:$F$41))/MIN($F$2:$F$41)</f>
        <v>1.0828626185192658</v>
      </c>
      <c r="Q27" s="20">
        <f>(G27-MIN($G$2:$G$41))/MIN($G$2:$G$41)</f>
        <v>0.43186343033845892</v>
      </c>
      <c r="R27" s="20">
        <f>(H27-MIN($H$2:$H$41))/MIN($H$2:$H$41)</f>
        <v>4.1766621665442027</v>
      </c>
      <c r="S27" s="10">
        <f>SUM(O27:R27)</f>
        <v>5.7639240546227244</v>
      </c>
    </row>
    <row r="28" spans="1:19" x14ac:dyDescent="0.25">
      <c r="A28" s="5" t="s">
        <v>10</v>
      </c>
      <c r="B28" s="1" t="s">
        <v>1</v>
      </c>
      <c r="C28" s="5" t="s">
        <v>4</v>
      </c>
      <c r="D28" s="5" t="s">
        <v>6</v>
      </c>
      <c r="E28" s="9">
        <f>(0.4995+0.6938+0.3112+0.3764+0.3581+0.3444+0.5525)/7</f>
        <v>0.44798571428571421</v>
      </c>
      <c r="F28" s="11">
        <f>(156.24+121.8+166.98+109.25+105.94+122.27+236.22)/7</f>
        <v>145.52857142857144</v>
      </c>
      <c r="G28" s="8">
        <f>(1.055+1.1807+1.1415+1.0619+1.3268+1.1061+1.2206)/7</f>
        <v>1.1560857142857142</v>
      </c>
      <c r="H28" s="11">
        <f>(1340.22+1683.71+1606.34+1261.06+1946.09+1700.99+1969.55)/7</f>
        <v>1643.9942857142855</v>
      </c>
      <c r="I28" s="1">
        <v>12</v>
      </c>
      <c r="J28" s="4">
        <v>26</v>
      </c>
      <c r="K28" s="5">
        <v>30</v>
      </c>
      <c r="L28" s="5">
        <v>29</v>
      </c>
      <c r="M28" s="3">
        <f>SUM(I28:L28)</f>
        <v>97</v>
      </c>
      <c r="N28" s="32"/>
      <c r="O28" s="20">
        <f>(E28-MIN($E$2:$E$41))/MIN($E$2:$E$41)</f>
        <v>7.5485287056725206E-2</v>
      </c>
      <c r="P28" s="20">
        <f>(F28-MIN($F$2:$F$41))/MIN($F$2:$F$41)</f>
        <v>0.71256136103826229</v>
      </c>
      <c r="Q28" s="20">
        <f>(G28-MIN($G$2:$G$41))/MIN($G$2:$G$41)</f>
        <v>0.71402550091074668</v>
      </c>
      <c r="R28" s="20">
        <f>(H28-MIN($H$2:$H$41))/MIN($H$2:$H$41)</f>
        <v>4.8035744454233642</v>
      </c>
      <c r="S28" s="10">
        <f>SUM(O28:R28)</f>
        <v>6.3056465944290983</v>
      </c>
    </row>
    <row r="29" spans="1:19" x14ac:dyDescent="0.25">
      <c r="A29" s="5" t="s">
        <v>9</v>
      </c>
      <c r="B29" s="1" t="s">
        <v>1</v>
      </c>
      <c r="C29" s="5" t="s">
        <v>3</v>
      </c>
      <c r="D29" s="5" t="s">
        <v>6</v>
      </c>
      <c r="E29" s="9">
        <f>(0.363+0.6904+0.359+0.4109+0.6449+0.3424+0.4721)/7</f>
        <v>0.46895714285714291</v>
      </c>
      <c r="F29" s="11">
        <f>(218.46+213.37+296.73+239.49+197.37+206.22+209.28)/7</f>
        <v>225.84571428571431</v>
      </c>
      <c r="G29" s="7">
        <f>(0.7202+0.7512+0.7082+1.1718+0.7454+0.7645+0.8614)/7</f>
        <v>0.81752857142857138</v>
      </c>
      <c r="H29" s="11">
        <f>(1270+1920.17+1230.35+2610.62+1729.57+1395.08+2403.48)/7</f>
        <v>1794.1814285714286</v>
      </c>
      <c r="I29" s="1">
        <v>22</v>
      </c>
      <c r="J29" s="4">
        <v>38</v>
      </c>
      <c r="K29" s="4">
        <v>21</v>
      </c>
      <c r="L29" s="4">
        <v>31</v>
      </c>
      <c r="M29" s="3">
        <f>SUM(I29:L29)</f>
        <v>112</v>
      </c>
      <c r="N29" s="32"/>
      <c r="O29" s="20">
        <f>(E29-MIN($E$2:$E$41))/MIN($E$2:$E$41)</f>
        <v>0.12583167569792175</v>
      </c>
      <c r="P29" s="20">
        <f>(F29-MIN($F$2:$F$41))/MIN($F$2:$F$41)</f>
        <v>1.6577230851993814</v>
      </c>
      <c r="Q29" s="20">
        <f>(G29-MIN($G$2:$G$41))/MIN($G$2:$G$41)</f>
        <v>0.21207692633540901</v>
      </c>
      <c r="R29" s="20">
        <f>(H29-MIN($H$2:$H$41))/MIN($H$2:$H$41)</f>
        <v>5.3337601473390857</v>
      </c>
      <c r="S29" s="10">
        <f>SUM(O29:R29)</f>
        <v>7.3293918345717977</v>
      </c>
    </row>
    <row r="30" spans="1:19" x14ac:dyDescent="0.25">
      <c r="A30" s="5" t="s">
        <v>10</v>
      </c>
      <c r="B30" s="1" t="s">
        <v>1</v>
      </c>
      <c r="C30" s="5" t="s">
        <v>4</v>
      </c>
      <c r="D30" s="5" t="s">
        <v>5</v>
      </c>
      <c r="E30" s="9">
        <f>(0.4084+0.7225+0.3114+0.3835+0.3608+0.3664+0.5413)/7</f>
        <v>0.44204285714285713</v>
      </c>
      <c r="F30" s="11">
        <f>(151.7+166.72+383.61+119.78+158.97+134.39+302.95)/7</f>
        <v>202.58857142857144</v>
      </c>
      <c r="G30" s="8">
        <f>(1.5915+1.1383+1.0242+0.9996+1.0999+1.1382+0.9109)/7</f>
        <v>1.1289428571428572</v>
      </c>
      <c r="H30" s="10">
        <f>(2536.66+2019.38+1714.99+1497.03+1402.35+1888.95+1305.69)/7</f>
        <v>1766.4357142857145</v>
      </c>
      <c r="I30" s="1">
        <v>10</v>
      </c>
      <c r="J30" s="4">
        <v>37</v>
      </c>
      <c r="K30" s="5">
        <v>29</v>
      </c>
      <c r="L30" s="5">
        <v>30</v>
      </c>
      <c r="M30" s="3">
        <f>SUM(I30:L30)</f>
        <v>106</v>
      </c>
      <c r="N30" s="32"/>
      <c r="O30" s="20">
        <f>(E30-MIN($E$2:$E$41))/MIN($E$2:$E$41)</f>
        <v>6.121819054804848E-2</v>
      </c>
      <c r="P30" s="20">
        <f>(F30-MIN($F$2:$F$41))/MIN($F$2:$F$41)</f>
        <v>1.3840360433057628</v>
      </c>
      <c r="Q30" s="20">
        <f>(G30-MIN($G$2:$G$41))/MIN($G$2:$G$41)</f>
        <v>0.67378319989833546</v>
      </c>
      <c r="R30" s="20">
        <f>(H30-MIN($H$2:$H$41))/MIN($H$2:$H$41)</f>
        <v>5.2358131411981086</v>
      </c>
      <c r="S30" s="10">
        <f>SUM(O30:R30)</f>
        <v>7.3548505749502553</v>
      </c>
    </row>
    <row r="31" spans="1:19" x14ac:dyDescent="0.25">
      <c r="A31" s="5" t="s">
        <v>7</v>
      </c>
      <c r="B31" s="1" t="s">
        <v>1</v>
      </c>
      <c r="C31" s="5" t="s">
        <v>4</v>
      </c>
      <c r="D31" s="5" t="s">
        <v>6</v>
      </c>
      <c r="E31" s="9">
        <f>(0.4983+0.806+0.3424+0.4484+0.431+0.3441+0.574)/7</f>
        <v>0.49202857142857143</v>
      </c>
      <c r="F31" s="11">
        <f>(113.95+135.08+87.2+141.47+84.32+105.42+94.75)/7</f>
        <v>108.88428571428571</v>
      </c>
      <c r="G31" s="8">
        <f>(1.1941+0.9332+1.2991+1.6335+1.1455+1.3101+1.4942)/7</f>
        <v>1.2871000000000001</v>
      </c>
      <c r="H31" s="11">
        <f>(1755.86+1238.55+2075.19+2669.81+1837.03+2254.8+2474.2)/7</f>
        <v>2043.6342857142861</v>
      </c>
      <c r="I31" s="1">
        <v>25</v>
      </c>
      <c r="J31" s="4">
        <v>9</v>
      </c>
      <c r="K31" s="5">
        <v>31</v>
      </c>
      <c r="L31" s="5">
        <v>32</v>
      </c>
      <c r="M31" s="3">
        <f>SUM(I31:L31)</f>
        <v>97</v>
      </c>
      <c r="N31" s="32"/>
      <c r="O31" s="20">
        <f>(E31-MIN($E$2:$E$41))/MIN($E$2:$E$41)</f>
        <v>0.18121956238425127</v>
      </c>
      <c r="P31" s="20">
        <f>(F31-MIN($F$2:$F$41))/MIN($F$2:$F$41)</f>
        <v>0.28133615762221753</v>
      </c>
      <c r="Q31" s="20">
        <f>(G31-MIN($G$2:$G$41))/MIN($G$2:$G$41)</f>
        <v>0.90826873385012952</v>
      </c>
      <c r="R31" s="20">
        <f>(H31-MIN($H$2:$H$41))/MIN($H$2:$H$41)</f>
        <v>6.2143704022726212</v>
      </c>
      <c r="S31" s="10">
        <f>SUM(O31:R31)</f>
        <v>7.5851948561292195</v>
      </c>
    </row>
    <row r="32" spans="1:19" x14ac:dyDescent="0.25">
      <c r="A32" s="5" t="s">
        <v>0</v>
      </c>
      <c r="B32" s="1" t="s">
        <v>2</v>
      </c>
      <c r="C32" s="5" t="s">
        <v>4</v>
      </c>
      <c r="D32" s="5" t="s">
        <v>5</v>
      </c>
      <c r="E32" s="9">
        <f>(0.58234+0.5873+0.4076+0.561+0.3437+0.4443+0.6736)/7</f>
        <v>0.51426285714285724</v>
      </c>
      <c r="F32" s="10">
        <f>(132.52+94.75+137.89+98.51+105.22+122.02+106.91)/7</f>
        <v>113.9742857142857</v>
      </c>
      <c r="G32" s="8">
        <f>(3.2578+3.0703+3.7084+3.2278+3.5274+3.8217+3.5254)/7</f>
        <v>3.4483999999999999</v>
      </c>
      <c r="H32" s="11">
        <f>(1088.75+863.23+1152.55+881.74+976.47+2182.2+907.93)/7</f>
        <v>1150.4100000000001</v>
      </c>
      <c r="I32" s="1">
        <v>31</v>
      </c>
      <c r="J32" s="4">
        <v>12</v>
      </c>
      <c r="K32" s="4">
        <v>35</v>
      </c>
      <c r="L32" s="4">
        <v>20</v>
      </c>
      <c r="M32" s="3">
        <f>SUM(I32:L32)</f>
        <v>98</v>
      </c>
      <c r="N32" s="32"/>
      <c r="O32" s="20">
        <f>(E32-MIN($E$2:$E$41))/MIN($E$2:$E$41)</f>
        <v>0.2345977090335416</v>
      </c>
      <c r="P32" s="20">
        <f>(F32-MIN($F$2:$F$41))/MIN($F$2:$F$41)</f>
        <v>0.34123461771232572</v>
      </c>
      <c r="Q32" s="20">
        <f>(G32-MIN($G$2:$G$41))/MIN($G$2:$G$41)</f>
        <v>4.1126360825178976</v>
      </c>
      <c r="R32" s="20">
        <f>(H32-MIN($H$2:$H$41))/MIN($H$2:$H$41)</f>
        <v>3.0611394673179659</v>
      </c>
      <c r="S32" s="10">
        <f>SUM(O32:R32)</f>
        <v>7.7496078765817309</v>
      </c>
    </row>
    <row r="33" spans="1:19" x14ac:dyDescent="0.25">
      <c r="A33" s="5" t="s">
        <v>0</v>
      </c>
      <c r="B33" s="1" t="s">
        <v>2</v>
      </c>
      <c r="C33" s="5" t="s">
        <v>3</v>
      </c>
      <c r="D33" s="5" t="s">
        <v>5</v>
      </c>
      <c r="E33" s="9">
        <f>(0.533+0.8656+0.421+0.5808+0.378+0.4365+0.6869)/7</f>
        <v>0.55740000000000012</v>
      </c>
      <c r="F33" s="10">
        <f>(142.81+107.83+153.36+98.34+112.91+121.72+114.94)/7</f>
        <v>121.70142857142858</v>
      </c>
      <c r="G33" s="8">
        <f>(3.2302+3.2313+3.6772+3.2305+3.6788+3.9858+3.6772)/7</f>
        <v>3.5301428571428568</v>
      </c>
      <c r="H33" s="11">
        <f>(949.98+953.23+992.15+913.42+1019.03+2280.81+959.49)/7</f>
        <v>1152.5871428571429</v>
      </c>
      <c r="I33" s="1">
        <v>37</v>
      </c>
      <c r="J33" s="4">
        <v>18</v>
      </c>
      <c r="K33" s="5">
        <v>36</v>
      </c>
      <c r="L33" s="4">
        <v>21</v>
      </c>
      <c r="M33" s="3">
        <f>SUM(I33:L33)</f>
        <v>112</v>
      </c>
      <c r="N33" s="32"/>
      <c r="O33" s="20">
        <f>(E33-MIN($E$2:$E$41))/MIN($E$2:$E$41)</f>
        <v>0.33815762397969706</v>
      </c>
      <c r="P33" s="20">
        <f>(F33-MIN($F$2:$F$41))/MIN($F$2:$F$41)</f>
        <v>0.4321666330441799</v>
      </c>
      <c r="Q33" s="20">
        <f>(G33-MIN($G$2:$G$41))/MIN($G$2:$G$41)</f>
        <v>4.2338289490405385</v>
      </c>
      <c r="R33" s="20">
        <f>(H33-MIN($H$2:$H$41))/MIN($H$2:$H$41)</f>
        <v>3.0688251452789816</v>
      </c>
      <c r="S33" s="10">
        <f>SUM(O33:R33)</f>
        <v>8.0729783513433979</v>
      </c>
    </row>
    <row r="34" spans="1:19" s="2" customFormat="1" x14ac:dyDescent="0.25">
      <c r="A34" s="2" t="s">
        <v>7</v>
      </c>
      <c r="B34" s="3" t="s">
        <v>1</v>
      </c>
      <c r="C34" s="2" t="s">
        <v>4</v>
      </c>
      <c r="D34" s="2" t="s">
        <v>5</v>
      </c>
      <c r="E34" s="18">
        <f>(0.4953+0.8392+0.3528+0.4654+0.4563+0.3597+0.5917)/7</f>
        <v>0.50862857142857143</v>
      </c>
      <c r="F34" s="17">
        <f>(108.35+144.79+78.67+145.55+87.58+106.83+99.16)/7</f>
        <v>110.13285714285715</v>
      </c>
      <c r="G34" s="21">
        <f>(1.4262+0.9378+1.5031+1.5005+1.3491+1.5423+1.487)/7</f>
        <v>1.3922857142857143</v>
      </c>
      <c r="H34" s="17">
        <f>(2123.85+1514.33+2488.73+2367.2+2160.59+2670.02+2450.05)/7</f>
        <v>2253.5385714285717</v>
      </c>
      <c r="I34" s="3">
        <v>29</v>
      </c>
      <c r="J34" s="6">
        <v>10</v>
      </c>
      <c r="K34" s="2">
        <v>33</v>
      </c>
      <c r="L34" s="2">
        <v>34</v>
      </c>
      <c r="M34" s="5">
        <f>SUM(I34:L34)</f>
        <v>106</v>
      </c>
      <c r="N34" s="33"/>
      <c r="O34" s="20">
        <f>(E34-MIN($E$2:$E$41))/MIN($E$2:$E$41)</f>
        <v>0.22107140407435347</v>
      </c>
      <c r="P34" s="20">
        <f>(F34-MIN($F$2:$F$41))/MIN($F$2:$F$41)</f>
        <v>0.29602918431847214</v>
      </c>
      <c r="Q34" s="20">
        <f>(G34-MIN($G$2:$G$41))/MIN($G$2:$G$41)</f>
        <v>1.0642182403524381</v>
      </c>
      <c r="R34" s="20">
        <f>(H34-MIN($H$2:$H$41))/MIN($H$2:$H$41)</f>
        <v>6.9553675937725838</v>
      </c>
      <c r="S34" s="10">
        <f>SUM(O34:R34)</f>
        <v>8.5366864225178478</v>
      </c>
    </row>
    <row r="35" spans="1:19" x14ac:dyDescent="0.25">
      <c r="A35" s="5" t="s">
        <v>9</v>
      </c>
      <c r="B35" s="1" t="s">
        <v>1</v>
      </c>
      <c r="C35" s="5" t="s">
        <v>3</v>
      </c>
      <c r="D35" s="5" t="s">
        <v>5</v>
      </c>
      <c r="E35" s="9">
        <f>(0.3901+0.7652+0.3862+0.3894+0.6428+0.3971+0.4969)/7</f>
        <v>0.49538571428571432</v>
      </c>
      <c r="F35" s="11">
        <f>(181.98+270.33+320.22+208.17+251.66+186.79+290.23)/7</f>
        <v>244.19714285714284</v>
      </c>
      <c r="G35" s="7">
        <f>(0.7141+0.6842+0.7045+1.1296+0.764+0.7001+0.7576)/7</f>
        <v>0.77915714285714277</v>
      </c>
      <c r="H35" s="11">
        <f>(1638.74+1836.64+2359.86+3033.36+2678.2+1246.02+2389.95)/7</f>
        <v>2168.9671428571428</v>
      </c>
      <c r="I35" s="1">
        <v>27</v>
      </c>
      <c r="J35" s="4">
        <v>39</v>
      </c>
      <c r="K35" s="4">
        <v>17</v>
      </c>
      <c r="L35" s="4">
        <v>33</v>
      </c>
      <c r="M35" s="5">
        <f>SUM(I35:L35)</f>
        <v>116</v>
      </c>
      <c r="N35" s="32"/>
      <c r="O35" s="20">
        <f>(E35-MIN($E$2:$E$41))/MIN($E$2:$E$41)</f>
        <v>0.18927910007545101</v>
      </c>
      <c r="P35" s="20">
        <f>(F35-MIN($F$2:$F$41))/MIN($F$2:$F$41)</f>
        <v>1.8736803173962742</v>
      </c>
      <c r="Q35" s="20">
        <f>(G35-MIN($G$2:$G$41))/MIN($G$2:$G$41)</f>
        <v>0.15518702079891553</v>
      </c>
      <c r="R35" s="20">
        <f>(H35-MIN($H$2:$H$41))/MIN($H$2:$H$41)</f>
        <v>6.6568163238958515</v>
      </c>
      <c r="S35" s="10">
        <f>SUM(O35:R35)</f>
        <v>8.8749627621664917</v>
      </c>
    </row>
    <row r="36" spans="1:19" x14ac:dyDescent="0.25">
      <c r="A36" s="5" t="s">
        <v>7</v>
      </c>
      <c r="B36" s="1" t="s">
        <v>1</v>
      </c>
      <c r="C36" s="5" t="s">
        <v>3</v>
      </c>
      <c r="D36" s="5" t="s">
        <v>6</v>
      </c>
      <c r="E36" s="9">
        <f>(0.4857+0.7453+0.4554+0.4678+0.5602+0.3758+0.5634)/7</f>
        <v>0.52194285714285715</v>
      </c>
      <c r="F36" s="11">
        <f>(95.04+122.06+151.03+92.03+90.7+97.53+125.69)/7</f>
        <v>110.58285714285714</v>
      </c>
      <c r="G36" s="8">
        <f>(1.3095+1.3471+1.4333+1.3673+1.5655+1.5634+1.3359)/7</f>
        <v>1.4174285714285715</v>
      </c>
      <c r="H36" s="11">
        <f>(2057.55+2197.31+2289.13+2372.46+2646.78+2634.87+2247.84)/7</f>
        <v>2349.4200000000005</v>
      </c>
      <c r="I36" s="1">
        <v>32</v>
      </c>
      <c r="J36" s="4">
        <v>11</v>
      </c>
      <c r="K36" s="4">
        <v>34</v>
      </c>
      <c r="L36" s="4">
        <v>35</v>
      </c>
      <c r="M36" s="5">
        <f>SUM(I36:L36)</f>
        <v>112</v>
      </c>
      <c r="N36" s="32"/>
      <c r="O36" s="20">
        <f>(E36-MIN($E$2:$E$41))/MIN($E$2:$E$41)</f>
        <v>0.25303518759860072</v>
      </c>
      <c r="P36" s="20">
        <f>(F36-MIN($F$2:$F$41))/MIN($F$2:$F$41)</f>
        <v>0.30132472597673304</v>
      </c>
      <c r="Q36" s="20">
        <f>(G36-MIN($G$2:$G$41))/MIN($G$2:$G$41)</f>
        <v>1.1014953191849877</v>
      </c>
      <c r="R36" s="20">
        <f>(H36-MIN($H$2:$H$41))/MIN($H$2:$H$41)</f>
        <v>7.2938450528995542</v>
      </c>
      <c r="S36" s="10">
        <f>SUM(O36:R36)</f>
        <v>8.9497002856598762</v>
      </c>
    </row>
    <row r="37" spans="1:19" x14ac:dyDescent="0.25">
      <c r="A37" s="5" t="s">
        <v>7</v>
      </c>
      <c r="B37" s="1" t="s">
        <v>1</v>
      </c>
      <c r="C37" s="5" t="s">
        <v>3</v>
      </c>
      <c r="D37" s="5" t="s">
        <v>5</v>
      </c>
      <c r="E37" s="9">
        <f>(0.4618+0.7787+0.4414+0.4692+0.5756+0.3882+0.5402)/7</f>
        <v>0.52215714285714288</v>
      </c>
      <c r="F37" s="10">
        <f>(93.06+133.98+137.39+84.44+88.28+102.69+122.27)/7</f>
        <v>108.87285714285713</v>
      </c>
      <c r="G37" s="8">
        <f>(1.0652+1.3687+1.2784+1.4426+1.2816+1.464+1.5818)/7</f>
        <v>1.3546142857142855</v>
      </c>
      <c r="H37" s="11">
        <f>(2810.66+2172.47+2017.52+2476.05+2125.63+2498.63+2719.07)/7</f>
        <v>2402.8614285714289</v>
      </c>
      <c r="I37" s="1">
        <v>33</v>
      </c>
      <c r="J37" s="5">
        <v>8</v>
      </c>
      <c r="K37" s="4">
        <v>32</v>
      </c>
      <c r="L37" s="4">
        <v>36</v>
      </c>
      <c r="M37" s="5">
        <f>SUM(I37:L37)</f>
        <v>109</v>
      </c>
      <c r="N37" s="32"/>
      <c r="O37" s="20">
        <f>(E37-MIN($E$2:$E$41))/MIN($E$2:$E$41)</f>
        <v>0.25354962617463472</v>
      </c>
      <c r="P37" s="20">
        <f>(F37-MIN($F$2:$F$41))/MIN($F$2:$F$41)</f>
        <v>0.28120166767534099</v>
      </c>
      <c r="Q37" s="20">
        <f>(G37-MIN($G$2:$G$41))/MIN($G$2:$G$41)</f>
        <v>1.008366162578896</v>
      </c>
      <c r="R37" s="20">
        <f>(H37-MIN($H$2:$H$41))/MIN($H$2:$H$41)</f>
        <v>7.4825022227444631</v>
      </c>
      <c r="S37" s="10">
        <f>SUM(O37:R37)</f>
        <v>9.0256196791733352</v>
      </c>
    </row>
    <row r="38" spans="1:19" x14ac:dyDescent="0.25">
      <c r="A38" s="5" t="s">
        <v>0</v>
      </c>
      <c r="B38" s="1" t="s">
        <v>1</v>
      </c>
      <c r="C38" s="5" t="s">
        <v>4</v>
      </c>
      <c r="D38" s="5" t="s">
        <v>5</v>
      </c>
      <c r="E38" s="9">
        <f>(0.5362+0.5944+0.4144+0.5898+0.3431+0.4484+0.6731)/7</f>
        <v>0.51419999999999999</v>
      </c>
      <c r="F38" s="10">
        <f>(126.66+96.15+148.1+102.28+100.4+127.13+107.01)/7</f>
        <v>115.38999999999999</v>
      </c>
      <c r="G38" s="8">
        <f>(4.846+4.5022+5.5165+5.0049+4.0771+5.0767+5.2926)/7</f>
        <v>4.902285714285715</v>
      </c>
      <c r="H38" s="11">
        <f>(5446.18+4637.98+6138.8+5662.64+5518.57+5587.84+5871.93)/7</f>
        <v>5551.9914285714276</v>
      </c>
      <c r="I38" s="1">
        <v>30</v>
      </c>
      <c r="J38" s="4">
        <v>15</v>
      </c>
      <c r="K38" s="4">
        <v>38</v>
      </c>
      <c r="L38" s="4">
        <v>37</v>
      </c>
      <c r="M38" s="5">
        <f>SUM(I38:L38)</f>
        <v>120</v>
      </c>
      <c r="N38" s="32"/>
      <c r="O38" s="20">
        <f>(E38-MIN($E$2:$E$41))/MIN($E$2:$E$41)</f>
        <v>0.23444680705123802</v>
      </c>
      <c r="P38" s="20">
        <f>(F38-MIN($F$2:$F$41))/MIN($F$2:$F$41)</f>
        <v>0.35789455988164853</v>
      </c>
      <c r="Q38" s="20">
        <f>(G38-MIN($G$2:$G$41))/MIN($G$2:$G$41)</f>
        <v>6.2681831660100835</v>
      </c>
      <c r="R38" s="20">
        <f>(H38-MIN($H$2:$H$41))/MIN($H$2:$H$41)</f>
        <v>18.599457161170779</v>
      </c>
      <c r="S38" s="10">
        <f>SUM(O38:R38)</f>
        <v>25.45998169411375</v>
      </c>
    </row>
    <row r="39" spans="1:19" x14ac:dyDescent="0.25">
      <c r="A39" s="5" t="s">
        <v>0</v>
      </c>
      <c r="B39" s="1" t="s">
        <v>1</v>
      </c>
      <c r="C39" s="5" t="s">
        <v>3</v>
      </c>
      <c r="D39" s="5" t="s">
        <v>5</v>
      </c>
      <c r="E39" s="9">
        <f>(0.5455+0.6214+0.4223+0.5947+0.3777+0.4404+0.6857)/7</f>
        <v>0.52681428571428568</v>
      </c>
      <c r="F39" s="10">
        <f>(132.52+109.22+152.62+99.06+109.7+127.15+111.05)/7</f>
        <v>120.18857142857142</v>
      </c>
      <c r="G39" s="8">
        <f>(4.8469+4.8477+5.5174+4.9715+5.5179+5.7278+5.5165)/7</f>
        <v>5.2779571428571428</v>
      </c>
      <c r="H39" s="11">
        <f>(5483.7+5496.37+6182.94+5651.41+6190.91+7481.7+6130.1)/7</f>
        <v>6088.1614285714286</v>
      </c>
      <c r="I39" s="1">
        <v>34</v>
      </c>
      <c r="J39" s="4">
        <v>16</v>
      </c>
      <c r="K39" s="4">
        <v>39</v>
      </c>
      <c r="L39" s="4">
        <v>38</v>
      </c>
      <c r="M39" s="5">
        <f>SUM(I39:L39)</f>
        <v>127</v>
      </c>
      <c r="N39" s="32"/>
      <c r="O39" s="20">
        <f>(E39-MIN($E$2:$E$41))/MIN($E$2:$E$41)</f>
        <v>0.26473009122710733</v>
      </c>
      <c r="P39" s="20">
        <f>(F39-MIN($F$2:$F$41))/MIN($F$2:$F$41)</f>
        <v>0.41436352632640688</v>
      </c>
      <c r="Q39" s="20">
        <f>(G39-MIN($G$2:$G$41))/MIN($G$2:$G$41)</f>
        <v>6.8251577921802866</v>
      </c>
      <c r="R39" s="20">
        <f>(H39-MIN($H$2:$H$41))/MIN($H$2:$H$41)</f>
        <v>20.49222682432729</v>
      </c>
      <c r="S39" s="10">
        <f>SUM(O39:R39)</f>
        <v>27.99647823406109</v>
      </c>
    </row>
    <row r="40" spans="1:19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(0.7586+0.6836+0.5386+0.8138+0.4533+0.3791+0.8594)/7</f>
        <v>0.64091428571428566</v>
      </c>
      <c r="F40" s="10">
        <f>(96.35+72.53+152.02+81.86+70.29+83.65+115.54)/7</f>
        <v>96.034285714285716</v>
      </c>
      <c r="G40" s="8">
        <f>(3.7257+3.5164+3.4988+3.4321+3.794+3.4885+3.5187)/7</f>
        <v>3.5677428571428571</v>
      </c>
      <c r="H40" s="11">
        <f>(74293.26+68156.86+70142.97+69944.03+73904.19+71026.62+70042.18)/7</f>
        <v>71072.872857142851</v>
      </c>
      <c r="I40" s="1">
        <v>39</v>
      </c>
      <c r="J40" s="4">
        <v>7</v>
      </c>
      <c r="K40" s="4">
        <v>37</v>
      </c>
      <c r="L40" s="4">
        <v>39</v>
      </c>
      <c r="M40" s="5">
        <f>SUM(I40:L40)</f>
        <v>122</v>
      </c>
      <c r="N40" s="32"/>
      <c r="O40" s="20">
        <f>(E40-MIN($E$2:$E$41))/MIN($E$2:$E$41)</f>
        <v>0.53865148501268934</v>
      </c>
      <c r="P40" s="20">
        <f>(F40-MIN($F$2:$F$41))/MIN($F$2:$F$41)</f>
        <v>0.13011902360298558</v>
      </c>
      <c r="Q40" s="20">
        <f>(G40-MIN($G$2:$G$41))/MIN($G$2:$G$41)</f>
        <v>4.2895751260219424</v>
      </c>
      <c r="R40" s="20">
        <f>(H40-MIN($H$2:$H$41))/MIN($H$2:$H$41)</f>
        <v>249.89911337333174</v>
      </c>
      <c r="S40" s="10">
        <f>SUM(O40:R40)</f>
        <v>254.85745900796937</v>
      </c>
    </row>
    <row r="41" spans="1:19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(0.7642+0.7031+0.5254+0.6507+0.7016+0.4558+0.7817)/7</f>
        <v>0.65464285714285708</v>
      </c>
      <c r="F41" s="10">
        <f>(95.91+67.92+124.09+86.24+79.03+218.99+127.43)/7</f>
        <v>114.22999999999999</v>
      </c>
      <c r="G41" s="8">
        <f>(5.2277+5.2658+5.312+5.3466+5.3053+5.3081+5.3058)/7</f>
        <v>5.2958999999999987</v>
      </c>
      <c r="H41" s="4">
        <f>(110648.92+109921.07+110791.97+111364.37+110761.03+110764.11+110756.58)/7</f>
        <v>110715.4357142857</v>
      </c>
      <c r="I41" s="1">
        <v>40</v>
      </c>
      <c r="J41" s="4">
        <v>13</v>
      </c>
      <c r="K41" s="4">
        <v>40</v>
      </c>
      <c r="L41" s="4">
        <v>40</v>
      </c>
      <c r="M41" s="5">
        <f>SUM(I41:L41)</f>
        <v>133</v>
      </c>
      <c r="N41" s="32"/>
      <c r="O41" s="20">
        <f>(E41-MIN($E$2:$E$41))/MIN($E$2:$E$41)</f>
        <v>0.57160984978393559</v>
      </c>
      <c r="P41" s="20">
        <f>(F41-MIN($F$2:$F$41))/MIN($F$2:$F$41)</f>
        <v>0.34424383027368677</v>
      </c>
      <c r="Q41" s="20">
        <f>(G41-MIN($G$2:$G$41))/MIN($G$2:$G$41)</f>
        <v>6.851760071165331</v>
      </c>
      <c r="R41" s="20">
        <f>(H41-MIN($H$2:$H$41))/MIN($H$2:$H$41)</f>
        <v>389.84398225032004</v>
      </c>
      <c r="S41" s="10">
        <f>SUM(O41:R41)</f>
        <v>397.61159600154298</v>
      </c>
    </row>
  </sheetData>
  <autoFilter ref="A1:S41" xr:uid="{1F04DB9D-E102-40BD-BB0E-E80EFA8ADF03}">
    <sortState xmlns:xlrd2="http://schemas.microsoft.com/office/spreadsheetml/2017/richdata2" ref="A2:S41">
      <sortCondition ref="S1:S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DF5E-BDEE-478A-81FD-0ACAABD4B5F4}">
  <dimension ref="A1:Q41"/>
  <sheetViews>
    <sheetView workbookViewId="0">
      <selection activeCell="V44" sqref="V44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7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22</v>
      </c>
    </row>
    <row r="2" spans="1:17" s="2" customFormat="1" ht="14.25" customHeight="1" x14ac:dyDescent="0.25">
      <c r="A2" s="2" t="s">
        <v>9</v>
      </c>
      <c r="B2" s="3" t="s">
        <v>1</v>
      </c>
      <c r="C2" s="2" t="s">
        <v>3</v>
      </c>
      <c r="D2" s="2" t="s">
        <v>5</v>
      </c>
      <c r="E2" s="18">
        <v>0.26250000000000001</v>
      </c>
      <c r="F2" s="2">
        <v>18.68</v>
      </c>
      <c r="G2" s="2">
        <v>0.97519999999999996</v>
      </c>
      <c r="H2" s="17">
        <v>76.78</v>
      </c>
      <c r="I2" s="3">
        <v>2</v>
      </c>
      <c r="J2" s="6">
        <v>2</v>
      </c>
      <c r="K2" s="2">
        <v>26</v>
      </c>
      <c r="L2" s="6">
        <v>1</v>
      </c>
      <c r="M2" s="3">
        <f t="shared" ref="M2:M41" si="0">SUM(I2:L2)</f>
        <v>31</v>
      </c>
      <c r="O2" s="2">
        <v>41</v>
      </c>
      <c r="Q2" s="2">
        <f>M2-O2</f>
        <v>-10</v>
      </c>
    </row>
    <row r="3" spans="1:17" x14ac:dyDescent="0.25">
      <c r="A3" s="5" t="s">
        <v>8</v>
      </c>
      <c r="B3" s="1" t="s">
        <v>1</v>
      </c>
      <c r="C3" s="5" t="s">
        <v>3</v>
      </c>
      <c r="D3" s="5" t="s">
        <v>5</v>
      </c>
      <c r="E3" s="9">
        <v>0.27610000000000001</v>
      </c>
      <c r="F3" s="5">
        <v>19.71</v>
      </c>
      <c r="G3" s="4">
        <v>0.88670000000000004</v>
      </c>
      <c r="H3" s="4">
        <v>81.239999999999995</v>
      </c>
      <c r="I3" s="1">
        <v>7</v>
      </c>
      <c r="J3" s="4">
        <v>9</v>
      </c>
      <c r="K3" s="5">
        <v>15</v>
      </c>
      <c r="L3" s="4">
        <v>2</v>
      </c>
      <c r="M3" s="3">
        <f t="shared" si="0"/>
        <v>33</v>
      </c>
      <c r="N3" s="5"/>
      <c r="O3" s="5">
        <v>31</v>
      </c>
      <c r="Q3" s="2">
        <f t="shared" ref="Q3:Q41" si="1">M3-O3</f>
        <v>2</v>
      </c>
    </row>
    <row r="4" spans="1:17" x14ac:dyDescent="0.25">
      <c r="A4" s="5" t="s">
        <v>8</v>
      </c>
      <c r="B4" s="1" t="s">
        <v>2</v>
      </c>
      <c r="C4" s="5" t="s">
        <v>4</v>
      </c>
      <c r="D4" s="5" t="s">
        <v>6</v>
      </c>
      <c r="E4" s="1">
        <v>0.29659999999999997</v>
      </c>
      <c r="F4" s="4">
        <v>20.55</v>
      </c>
      <c r="G4" s="8">
        <v>0.76400000000000001</v>
      </c>
      <c r="H4" s="4">
        <v>82.59</v>
      </c>
      <c r="I4" s="3">
        <v>19</v>
      </c>
      <c r="J4" s="6">
        <v>17</v>
      </c>
      <c r="K4" s="2">
        <v>3</v>
      </c>
      <c r="L4" s="6">
        <v>3</v>
      </c>
      <c r="M4" s="3">
        <f t="shared" si="0"/>
        <v>42</v>
      </c>
      <c r="N4" s="5"/>
      <c r="O4" s="5">
        <v>43</v>
      </c>
      <c r="Q4" s="2">
        <f t="shared" si="1"/>
        <v>-1</v>
      </c>
    </row>
    <row r="5" spans="1:17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v>0.29289999999999999</v>
      </c>
      <c r="F5" s="5">
        <v>20.71</v>
      </c>
      <c r="G5" s="8">
        <v>0.88739999999999997</v>
      </c>
      <c r="H5" s="4">
        <v>84.05</v>
      </c>
      <c r="I5" s="3">
        <v>17</v>
      </c>
      <c r="J5" s="6">
        <v>20</v>
      </c>
      <c r="K5" s="6">
        <v>16</v>
      </c>
      <c r="L5" s="6">
        <v>4</v>
      </c>
      <c r="M5" s="3">
        <f t="shared" si="0"/>
        <v>57</v>
      </c>
      <c r="N5" s="5"/>
      <c r="O5" s="5">
        <v>67</v>
      </c>
      <c r="Q5" s="2">
        <f t="shared" si="1"/>
        <v>-10</v>
      </c>
    </row>
    <row r="6" spans="1:17" x14ac:dyDescent="0.25">
      <c r="A6" s="5" t="s">
        <v>7</v>
      </c>
      <c r="B6" s="1" t="s">
        <v>1</v>
      </c>
      <c r="C6" s="5" t="s">
        <v>3</v>
      </c>
      <c r="D6" s="5" t="s">
        <v>6</v>
      </c>
      <c r="E6" s="1">
        <v>0.29770000000000002</v>
      </c>
      <c r="F6" s="4">
        <v>20.71</v>
      </c>
      <c r="G6" s="5">
        <v>0.83950000000000002</v>
      </c>
      <c r="H6" s="4">
        <v>84.11</v>
      </c>
      <c r="I6" s="1">
        <v>20</v>
      </c>
      <c r="J6" s="4">
        <v>21</v>
      </c>
      <c r="K6" s="5">
        <v>12</v>
      </c>
      <c r="L6" s="4">
        <v>5</v>
      </c>
      <c r="M6" s="3">
        <f t="shared" si="0"/>
        <v>58</v>
      </c>
      <c r="O6">
        <v>49</v>
      </c>
      <c r="Q6" s="2">
        <f t="shared" si="1"/>
        <v>9</v>
      </c>
    </row>
    <row r="7" spans="1:17" x14ac:dyDescent="0.25">
      <c r="A7" s="5" t="s">
        <v>10</v>
      </c>
      <c r="B7" s="1" t="s">
        <v>2</v>
      </c>
      <c r="C7" s="5" t="s">
        <v>4</v>
      </c>
      <c r="D7" s="5" t="s">
        <v>5</v>
      </c>
      <c r="E7" s="1">
        <v>0.30280000000000001</v>
      </c>
      <c r="F7" s="4">
        <v>21.03</v>
      </c>
      <c r="G7" s="5">
        <v>0.74260000000000004</v>
      </c>
      <c r="H7" s="5">
        <v>85.37</v>
      </c>
      <c r="I7" s="3">
        <v>24</v>
      </c>
      <c r="J7" s="6">
        <v>23</v>
      </c>
      <c r="K7" s="2">
        <v>1</v>
      </c>
      <c r="L7" s="6">
        <v>6</v>
      </c>
      <c r="M7" s="3">
        <f t="shared" si="0"/>
        <v>54</v>
      </c>
      <c r="N7" s="5"/>
      <c r="O7" s="5">
        <v>55</v>
      </c>
      <c r="Q7" s="2">
        <f t="shared" si="1"/>
        <v>-1</v>
      </c>
    </row>
    <row r="8" spans="1:17" x14ac:dyDescent="0.25">
      <c r="A8" s="5" t="s">
        <v>9</v>
      </c>
      <c r="B8" s="1" t="s">
        <v>2</v>
      </c>
      <c r="C8" s="5" t="s">
        <v>3</v>
      </c>
      <c r="D8" s="5" t="s">
        <v>5</v>
      </c>
      <c r="E8" s="9">
        <v>0.27760000000000001</v>
      </c>
      <c r="F8" s="11">
        <v>20.100000000000001</v>
      </c>
      <c r="G8" s="5">
        <v>0.77600000000000002</v>
      </c>
      <c r="H8" s="5">
        <v>86.03</v>
      </c>
      <c r="I8" s="3">
        <v>8</v>
      </c>
      <c r="J8" s="6">
        <v>13</v>
      </c>
      <c r="K8" s="2">
        <v>7</v>
      </c>
      <c r="L8" s="6">
        <v>7</v>
      </c>
      <c r="M8" s="3">
        <f t="shared" si="0"/>
        <v>35</v>
      </c>
      <c r="O8">
        <v>30</v>
      </c>
      <c r="Q8" s="2">
        <f t="shared" si="1"/>
        <v>5</v>
      </c>
    </row>
    <row r="9" spans="1:17" x14ac:dyDescent="0.25">
      <c r="A9" s="5" t="s">
        <v>10</v>
      </c>
      <c r="B9" s="1" t="s">
        <v>2</v>
      </c>
      <c r="C9" s="5" t="s">
        <v>4</v>
      </c>
      <c r="D9" s="5" t="s">
        <v>6</v>
      </c>
      <c r="E9" s="1">
        <v>0.30080000000000001</v>
      </c>
      <c r="F9" s="4">
        <v>20.67</v>
      </c>
      <c r="G9" s="5">
        <v>0.95340000000000003</v>
      </c>
      <c r="H9" s="5">
        <v>86.66</v>
      </c>
      <c r="I9" s="1">
        <v>23</v>
      </c>
      <c r="J9" s="4">
        <v>19</v>
      </c>
      <c r="K9" s="4">
        <v>24</v>
      </c>
      <c r="L9" s="4">
        <v>8</v>
      </c>
      <c r="M9" s="3">
        <f t="shared" si="0"/>
        <v>74</v>
      </c>
      <c r="O9">
        <v>75</v>
      </c>
      <c r="Q9" s="2">
        <f t="shared" si="1"/>
        <v>-1</v>
      </c>
    </row>
    <row r="10" spans="1:17" s="2" customFormat="1" x14ac:dyDescent="0.25">
      <c r="A10" s="2" t="s">
        <v>9</v>
      </c>
      <c r="B10" s="3" t="s">
        <v>2</v>
      </c>
      <c r="C10" s="2" t="s">
        <v>3</v>
      </c>
      <c r="D10" s="2" t="s">
        <v>6</v>
      </c>
      <c r="E10" s="3">
        <v>0.28410000000000002</v>
      </c>
      <c r="F10" s="6">
        <v>20.56</v>
      </c>
      <c r="G10" s="2">
        <v>0.80669999999999997</v>
      </c>
      <c r="H10" s="6">
        <v>92.19</v>
      </c>
      <c r="I10" s="3">
        <v>13</v>
      </c>
      <c r="J10" s="6">
        <v>18</v>
      </c>
      <c r="K10" s="2">
        <v>9</v>
      </c>
      <c r="L10" s="6">
        <v>9</v>
      </c>
      <c r="M10" s="3">
        <f t="shared" si="0"/>
        <v>49</v>
      </c>
      <c r="O10" s="2">
        <v>56</v>
      </c>
      <c r="Q10" s="2">
        <f t="shared" si="1"/>
        <v>-7</v>
      </c>
    </row>
    <row r="11" spans="1:17" x14ac:dyDescent="0.25">
      <c r="A11" s="5" t="s">
        <v>7</v>
      </c>
      <c r="B11" s="1" t="s">
        <v>1</v>
      </c>
      <c r="C11" s="5" t="s">
        <v>4</v>
      </c>
      <c r="D11" s="5" t="s">
        <v>6</v>
      </c>
      <c r="E11" s="9">
        <v>0.3</v>
      </c>
      <c r="F11" s="4">
        <v>20.54</v>
      </c>
      <c r="G11" s="5">
        <v>0.99009999999999998</v>
      </c>
      <c r="H11" s="5">
        <v>92.31</v>
      </c>
      <c r="I11" s="3">
        <v>22</v>
      </c>
      <c r="J11" s="6">
        <v>16</v>
      </c>
      <c r="K11" s="2">
        <v>28</v>
      </c>
      <c r="L11" s="6">
        <v>10</v>
      </c>
      <c r="M11" s="3">
        <f t="shared" si="0"/>
        <v>76</v>
      </c>
      <c r="N11" s="5"/>
      <c r="O11" s="5">
        <v>87</v>
      </c>
      <c r="Q11" s="2">
        <f t="shared" si="1"/>
        <v>-11</v>
      </c>
    </row>
    <row r="12" spans="1:17" x14ac:dyDescent="0.25">
      <c r="A12" s="5" t="s">
        <v>9</v>
      </c>
      <c r="B12" s="1" t="s">
        <v>1</v>
      </c>
      <c r="C12" s="5" t="s">
        <v>3</v>
      </c>
      <c r="D12" s="5" t="s">
        <v>6</v>
      </c>
      <c r="E12" s="1">
        <v>0.2631</v>
      </c>
      <c r="F12" s="4">
        <v>18.86</v>
      </c>
      <c r="G12" s="7">
        <v>0.91400000000000003</v>
      </c>
      <c r="H12" s="4">
        <v>92.87</v>
      </c>
      <c r="I12" s="1">
        <v>3</v>
      </c>
      <c r="J12" s="4">
        <v>4</v>
      </c>
      <c r="K12" s="5">
        <v>20</v>
      </c>
      <c r="L12" s="4">
        <v>11</v>
      </c>
      <c r="M12" s="3">
        <f t="shared" si="0"/>
        <v>38</v>
      </c>
      <c r="O12">
        <v>44</v>
      </c>
      <c r="Q12" s="2">
        <f t="shared" si="1"/>
        <v>-6</v>
      </c>
    </row>
    <row r="13" spans="1:17" x14ac:dyDescent="0.25">
      <c r="A13" s="5" t="s">
        <v>9</v>
      </c>
      <c r="B13" s="1" t="s">
        <v>2</v>
      </c>
      <c r="C13" s="5" t="s">
        <v>4</v>
      </c>
      <c r="D13" s="5" t="s">
        <v>6</v>
      </c>
      <c r="E13" s="1">
        <v>0.30620000000000003</v>
      </c>
      <c r="F13" s="4">
        <v>21.61</v>
      </c>
      <c r="G13" s="5">
        <v>0.76590000000000003</v>
      </c>
      <c r="H13" s="11">
        <v>93</v>
      </c>
      <c r="I13" s="3">
        <v>27</v>
      </c>
      <c r="J13" s="6">
        <v>30</v>
      </c>
      <c r="K13" s="6">
        <v>4</v>
      </c>
      <c r="L13" s="6">
        <v>12</v>
      </c>
      <c r="M13" s="3">
        <f t="shared" si="0"/>
        <v>73</v>
      </c>
      <c r="O13">
        <v>79</v>
      </c>
      <c r="Q13" s="2">
        <f t="shared" si="1"/>
        <v>-6</v>
      </c>
    </row>
    <row r="14" spans="1:17" x14ac:dyDescent="0.25">
      <c r="A14" s="5" t="s">
        <v>10</v>
      </c>
      <c r="B14" s="1" t="s">
        <v>2</v>
      </c>
      <c r="C14" s="5" t="s">
        <v>3</v>
      </c>
      <c r="D14" s="5" t="s">
        <v>5</v>
      </c>
      <c r="E14" s="9">
        <v>0.27810000000000001</v>
      </c>
      <c r="F14" s="4">
        <v>19.45</v>
      </c>
      <c r="G14" s="7">
        <v>0.77559999999999996</v>
      </c>
      <c r="H14" s="11">
        <v>93.6</v>
      </c>
      <c r="I14" s="3">
        <v>10</v>
      </c>
      <c r="J14" s="6">
        <v>7</v>
      </c>
      <c r="K14" s="6">
        <v>6</v>
      </c>
      <c r="L14" s="6">
        <v>13</v>
      </c>
      <c r="M14" s="3">
        <f t="shared" si="0"/>
        <v>36</v>
      </c>
      <c r="N14" s="5"/>
      <c r="O14" s="5">
        <v>43</v>
      </c>
      <c r="Q14" s="2">
        <f t="shared" si="1"/>
        <v>-7</v>
      </c>
    </row>
    <row r="15" spans="1:17" x14ac:dyDescent="0.25">
      <c r="A15" s="5" t="s">
        <v>10</v>
      </c>
      <c r="B15" s="1" t="s">
        <v>1</v>
      </c>
      <c r="C15" s="5" t="s">
        <v>3</v>
      </c>
      <c r="D15" s="5" t="s">
        <v>5</v>
      </c>
      <c r="E15" s="1">
        <v>0.2787</v>
      </c>
      <c r="F15" s="5">
        <v>20.75</v>
      </c>
      <c r="G15" s="5">
        <v>0.91279999999999994</v>
      </c>
      <c r="H15" s="4">
        <v>93.62</v>
      </c>
      <c r="I15" s="1">
        <v>11</v>
      </c>
      <c r="J15" s="4">
        <v>22</v>
      </c>
      <c r="K15" s="4">
        <v>19</v>
      </c>
      <c r="L15" s="4">
        <v>14</v>
      </c>
      <c r="M15" s="3">
        <f t="shared" si="0"/>
        <v>66</v>
      </c>
      <c r="N15" s="5"/>
      <c r="O15" s="5">
        <v>63</v>
      </c>
      <c r="Q15" s="2">
        <f t="shared" si="1"/>
        <v>3</v>
      </c>
    </row>
    <row r="16" spans="1:17" x14ac:dyDescent="0.25">
      <c r="A16" s="5" t="s">
        <v>8</v>
      </c>
      <c r="B16" s="1" t="s">
        <v>1</v>
      </c>
      <c r="C16" s="5" t="s">
        <v>3</v>
      </c>
      <c r="D16" s="5" t="s">
        <v>6</v>
      </c>
      <c r="E16" s="1">
        <v>0.26619999999999999</v>
      </c>
      <c r="F16" s="4">
        <v>18.43</v>
      </c>
      <c r="G16" s="8">
        <v>0.75</v>
      </c>
      <c r="H16" s="5">
        <v>95.72</v>
      </c>
      <c r="I16" s="3">
        <v>4</v>
      </c>
      <c r="J16" s="6">
        <v>1</v>
      </c>
      <c r="K16" s="6">
        <v>2</v>
      </c>
      <c r="L16" s="6">
        <v>15</v>
      </c>
      <c r="M16" s="3">
        <f t="shared" si="0"/>
        <v>22</v>
      </c>
      <c r="N16" s="5"/>
      <c r="O16" s="5">
        <v>24</v>
      </c>
      <c r="Q16" s="2">
        <f t="shared" si="1"/>
        <v>-2</v>
      </c>
    </row>
    <row r="17" spans="1:17" x14ac:dyDescent="0.25">
      <c r="A17" s="5" t="s">
        <v>8</v>
      </c>
      <c r="B17" s="1" t="s">
        <v>2</v>
      </c>
      <c r="C17" s="5" t="s">
        <v>3</v>
      </c>
      <c r="D17" s="5" t="s">
        <v>5</v>
      </c>
      <c r="E17" s="1">
        <v>0.27779999999999999</v>
      </c>
      <c r="F17" s="11">
        <v>19.899999999999999</v>
      </c>
      <c r="G17" s="7">
        <v>0.86939999999999995</v>
      </c>
      <c r="H17" s="11">
        <v>96.75</v>
      </c>
      <c r="I17" s="3">
        <v>9</v>
      </c>
      <c r="J17" s="6">
        <v>10</v>
      </c>
      <c r="K17" s="2">
        <v>13</v>
      </c>
      <c r="L17" s="6">
        <v>16</v>
      </c>
      <c r="M17" s="3">
        <f t="shared" si="0"/>
        <v>48</v>
      </c>
      <c r="N17" s="5"/>
      <c r="O17" s="5">
        <v>33</v>
      </c>
      <c r="Q17" s="2">
        <f t="shared" si="1"/>
        <v>15</v>
      </c>
    </row>
    <row r="18" spans="1:17" s="2" customFormat="1" x14ac:dyDescent="0.25">
      <c r="A18" s="2" t="s">
        <v>10</v>
      </c>
      <c r="B18" s="3" t="s">
        <v>1</v>
      </c>
      <c r="C18" s="2" t="s">
        <v>3</v>
      </c>
      <c r="D18" s="2" t="s">
        <v>6</v>
      </c>
      <c r="E18" s="3">
        <v>0.26169999999999999</v>
      </c>
      <c r="F18" s="6">
        <v>18.96</v>
      </c>
      <c r="G18" s="2">
        <v>0.88560000000000005</v>
      </c>
      <c r="H18" s="2">
        <v>99.81</v>
      </c>
      <c r="I18" s="1">
        <v>1</v>
      </c>
      <c r="J18" s="4">
        <v>5</v>
      </c>
      <c r="K18" s="5">
        <v>14</v>
      </c>
      <c r="L18" s="4">
        <v>17</v>
      </c>
      <c r="M18" s="3">
        <f t="shared" si="0"/>
        <v>37</v>
      </c>
      <c r="O18" s="2">
        <v>39</v>
      </c>
      <c r="Q18" s="2">
        <f t="shared" si="1"/>
        <v>-2</v>
      </c>
    </row>
    <row r="19" spans="1:17" x14ac:dyDescent="0.25">
      <c r="A19" s="5" t="s">
        <v>10</v>
      </c>
      <c r="B19" s="1" t="s">
        <v>2</v>
      </c>
      <c r="C19" s="5" t="s">
        <v>3</v>
      </c>
      <c r="D19" s="5" t="s">
        <v>6</v>
      </c>
      <c r="E19" s="9">
        <v>0.26910000000000001</v>
      </c>
      <c r="F19" s="4">
        <v>18.72</v>
      </c>
      <c r="G19" s="5">
        <v>0.76780000000000004</v>
      </c>
      <c r="H19" s="5">
        <v>101.53</v>
      </c>
      <c r="I19" s="3">
        <v>5</v>
      </c>
      <c r="J19" s="6">
        <v>3</v>
      </c>
      <c r="K19" s="2">
        <v>5</v>
      </c>
      <c r="L19" s="6">
        <v>18</v>
      </c>
      <c r="M19" s="3">
        <f t="shared" si="0"/>
        <v>31</v>
      </c>
      <c r="N19" s="5"/>
      <c r="O19" s="5">
        <v>15</v>
      </c>
      <c r="Q19" s="2">
        <f t="shared" si="1"/>
        <v>16</v>
      </c>
    </row>
    <row r="20" spans="1:17" x14ac:dyDescent="0.25">
      <c r="A20" s="5" t="s">
        <v>8</v>
      </c>
      <c r="B20" s="1" t="s">
        <v>2</v>
      </c>
      <c r="C20" s="5" t="s">
        <v>3</v>
      </c>
      <c r="D20" s="5" t="s">
        <v>6</v>
      </c>
      <c r="E20" s="1">
        <v>0.27539999999999998</v>
      </c>
      <c r="F20" s="4">
        <v>20.04</v>
      </c>
      <c r="G20" s="5">
        <v>0.92020000000000002</v>
      </c>
      <c r="H20" s="4">
        <v>101.84</v>
      </c>
      <c r="I20" s="3">
        <v>6</v>
      </c>
      <c r="J20" s="6">
        <v>12</v>
      </c>
      <c r="K20" s="2">
        <v>21</v>
      </c>
      <c r="L20" s="6">
        <v>19</v>
      </c>
      <c r="M20" s="3">
        <f t="shared" si="0"/>
        <v>58</v>
      </c>
      <c r="O20">
        <v>63</v>
      </c>
      <c r="Q20" s="2">
        <f t="shared" si="1"/>
        <v>-5</v>
      </c>
    </row>
    <row r="21" spans="1:17" x14ac:dyDescent="0.25">
      <c r="A21" s="5" t="s">
        <v>9</v>
      </c>
      <c r="B21" s="1" t="s">
        <v>2</v>
      </c>
      <c r="C21" s="5" t="s">
        <v>4</v>
      </c>
      <c r="D21" s="5" t="s">
        <v>5</v>
      </c>
      <c r="E21" s="1">
        <v>0.30409999999999998</v>
      </c>
      <c r="F21" s="4">
        <v>21.46</v>
      </c>
      <c r="G21" s="5">
        <v>0.80230000000000001</v>
      </c>
      <c r="H21" s="4">
        <v>103.62</v>
      </c>
      <c r="I21" s="1">
        <v>26</v>
      </c>
      <c r="J21" s="4">
        <v>28</v>
      </c>
      <c r="K21" s="5">
        <v>8</v>
      </c>
      <c r="L21" s="4">
        <v>20</v>
      </c>
      <c r="M21" s="3">
        <f t="shared" si="0"/>
        <v>82</v>
      </c>
      <c r="O21">
        <v>74</v>
      </c>
      <c r="Q21" s="2">
        <f t="shared" si="1"/>
        <v>8</v>
      </c>
    </row>
    <row r="22" spans="1:17" x14ac:dyDescent="0.25">
      <c r="A22" s="5" t="s">
        <v>8</v>
      </c>
      <c r="B22" s="1" t="s">
        <v>1</v>
      </c>
      <c r="C22" s="5" t="s">
        <v>4</v>
      </c>
      <c r="D22" s="5" t="s">
        <v>5</v>
      </c>
      <c r="E22" s="1">
        <v>0.29909999999999998</v>
      </c>
      <c r="F22" s="4">
        <v>21.07</v>
      </c>
      <c r="G22" s="5">
        <v>0.83420000000000005</v>
      </c>
      <c r="H22" s="4">
        <v>104.21</v>
      </c>
      <c r="I22" s="3">
        <v>21</v>
      </c>
      <c r="J22" s="6">
        <v>25</v>
      </c>
      <c r="K22" s="2">
        <v>11</v>
      </c>
      <c r="L22" s="6">
        <v>21</v>
      </c>
      <c r="M22" s="3">
        <f t="shared" si="0"/>
        <v>78</v>
      </c>
      <c r="N22" s="5"/>
      <c r="O22" s="5">
        <v>82</v>
      </c>
      <c r="Q22" s="2">
        <f t="shared" si="1"/>
        <v>-4</v>
      </c>
    </row>
    <row r="23" spans="1:17" x14ac:dyDescent="0.25">
      <c r="A23" t="s">
        <v>10</v>
      </c>
      <c r="B23" s="1" t="s">
        <v>1</v>
      </c>
      <c r="C23" t="s">
        <v>4</v>
      </c>
      <c r="D23" t="s">
        <v>6</v>
      </c>
      <c r="E23" s="1">
        <v>0.2792</v>
      </c>
      <c r="F23" s="4">
        <v>19.28</v>
      </c>
      <c r="G23">
        <v>0.93840000000000001</v>
      </c>
      <c r="H23">
        <v>104.32</v>
      </c>
      <c r="I23" s="3">
        <v>12</v>
      </c>
      <c r="J23" s="6">
        <v>6</v>
      </c>
      <c r="K23" s="2">
        <v>23</v>
      </c>
      <c r="L23" s="6">
        <v>22</v>
      </c>
      <c r="M23" s="3">
        <f t="shared" si="0"/>
        <v>63</v>
      </c>
      <c r="O23">
        <v>64</v>
      </c>
      <c r="Q23" s="2">
        <f t="shared" si="1"/>
        <v>-1</v>
      </c>
    </row>
    <row r="24" spans="1:17" x14ac:dyDescent="0.25">
      <c r="A24" s="5" t="s">
        <v>7</v>
      </c>
      <c r="B24" s="1" t="s">
        <v>1</v>
      </c>
      <c r="C24" s="5" t="s">
        <v>4</v>
      </c>
      <c r="D24" s="5" t="s">
        <v>5</v>
      </c>
      <c r="E24" s="9">
        <v>0.30320000000000003</v>
      </c>
      <c r="F24" s="4">
        <v>21.03</v>
      </c>
      <c r="G24" s="5">
        <v>1.0335000000000001</v>
      </c>
      <c r="H24" s="4">
        <v>105.03</v>
      </c>
      <c r="I24" s="1">
        <v>25</v>
      </c>
      <c r="J24" s="4">
        <v>24</v>
      </c>
      <c r="K24" s="5">
        <v>33</v>
      </c>
      <c r="L24" s="4">
        <v>23</v>
      </c>
      <c r="M24" s="3">
        <f t="shared" si="0"/>
        <v>105</v>
      </c>
      <c r="N24" s="5"/>
      <c r="O24" s="5">
        <v>94</v>
      </c>
      <c r="Q24" s="2">
        <f t="shared" si="1"/>
        <v>11</v>
      </c>
    </row>
    <row r="25" spans="1:17" x14ac:dyDescent="0.25">
      <c r="A25" s="5" t="s">
        <v>9</v>
      </c>
      <c r="B25" s="1" t="s">
        <v>1</v>
      </c>
      <c r="C25" s="5" t="s">
        <v>4</v>
      </c>
      <c r="D25" s="5" t="s">
        <v>6</v>
      </c>
      <c r="E25" s="1">
        <v>0.28449999999999998</v>
      </c>
      <c r="F25" s="4">
        <v>19.54</v>
      </c>
      <c r="G25" s="5">
        <v>0.96350000000000002</v>
      </c>
      <c r="H25" s="4">
        <v>107.68</v>
      </c>
      <c r="I25" s="3">
        <v>14</v>
      </c>
      <c r="J25" s="6">
        <v>8</v>
      </c>
      <c r="K25" s="6">
        <v>25</v>
      </c>
      <c r="L25" s="6">
        <v>24</v>
      </c>
      <c r="M25" s="3">
        <f t="shared" si="0"/>
        <v>71</v>
      </c>
      <c r="N25" s="5"/>
      <c r="O25" s="5">
        <v>79</v>
      </c>
      <c r="Q25" s="2">
        <f t="shared" si="1"/>
        <v>-8</v>
      </c>
    </row>
    <row r="26" spans="1:17" s="2" customFormat="1" x14ac:dyDescent="0.25">
      <c r="A26" s="2" t="s">
        <v>8</v>
      </c>
      <c r="B26" s="3" t="s">
        <v>2</v>
      </c>
      <c r="C26" s="2" t="s">
        <v>4</v>
      </c>
      <c r="D26" s="2" t="s">
        <v>5</v>
      </c>
      <c r="E26" s="3">
        <v>0.30659999999999998</v>
      </c>
      <c r="F26" s="17">
        <v>21.5</v>
      </c>
      <c r="G26" s="2">
        <v>0.92369999999999997</v>
      </c>
      <c r="H26" s="20">
        <v>108.1</v>
      </c>
      <c r="I26" s="3">
        <v>28</v>
      </c>
      <c r="J26" s="6">
        <v>29</v>
      </c>
      <c r="K26" s="2">
        <v>22</v>
      </c>
      <c r="L26" s="6">
        <v>25</v>
      </c>
      <c r="M26" s="3">
        <f t="shared" si="0"/>
        <v>104</v>
      </c>
      <c r="O26" s="2">
        <v>94</v>
      </c>
      <c r="Q26" s="2">
        <f t="shared" si="1"/>
        <v>10</v>
      </c>
    </row>
    <row r="27" spans="1:17" x14ac:dyDescent="0.25">
      <c r="A27" s="5" t="s">
        <v>10</v>
      </c>
      <c r="B27" s="1" t="s">
        <v>1</v>
      </c>
      <c r="C27" s="5" t="s">
        <v>4</v>
      </c>
      <c r="D27" s="5" t="s">
        <v>5</v>
      </c>
      <c r="E27" s="1">
        <v>0.2913</v>
      </c>
      <c r="F27" s="4">
        <v>19.989999999999998</v>
      </c>
      <c r="G27" s="5">
        <v>1.0334000000000001</v>
      </c>
      <c r="H27" s="4">
        <v>109.62</v>
      </c>
      <c r="I27" s="1">
        <v>16</v>
      </c>
      <c r="J27" s="4">
        <v>11</v>
      </c>
      <c r="K27" s="4">
        <v>32</v>
      </c>
      <c r="L27" s="4">
        <v>26</v>
      </c>
      <c r="M27" s="3">
        <f t="shared" si="0"/>
        <v>85</v>
      </c>
      <c r="N27" s="5"/>
      <c r="O27" s="5">
        <v>86</v>
      </c>
      <c r="Q27" s="2">
        <f t="shared" si="1"/>
        <v>-1</v>
      </c>
    </row>
    <row r="28" spans="1:17" x14ac:dyDescent="0.25">
      <c r="A28" s="5" t="s">
        <v>8</v>
      </c>
      <c r="B28" s="1" t="s">
        <v>1</v>
      </c>
      <c r="C28" s="5" t="s">
        <v>4</v>
      </c>
      <c r="D28" s="5" t="s">
        <v>6</v>
      </c>
      <c r="E28" s="1">
        <v>0.28710000000000002</v>
      </c>
      <c r="F28" s="4">
        <v>20.11</v>
      </c>
      <c r="G28" s="5">
        <v>0.82730000000000004</v>
      </c>
      <c r="H28" s="11">
        <v>110.96</v>
      </c>
      <c r="I28" s="3">
        <v>15</v>
      </c>
      <c r="J28" s="6">
        <v>14</v>
      </c>
      <c r="K28" s="6">
        <v>10</v>
      </c>
      <c r="L28" s="6">
        <v>27</v>
      </c>
      <c r="M28" s="3">
        <f t="shared" si="0"/>
        <v>66</v>
      </c>
      <c r="O28">
        <v>68</v>
      </c>
      <c r="Q28" s="2">
        <f t="shared" si="1"/>
        <v>-2</v>
      </c>
    </row>
    <row r="29" spans="1:17" x14ac:dyDescent="0.25">
      <c r="A29" s="5" t="s">
        <v>0</v>
      </c>
      <c r="B29" s="1" t="s">
        <v>1</v>
      </c>
      <c r="C29" s="5" t="s">
        <v>3</v>
      </c>
      <c r="D29" s="5" t="s">
        <v>6</v>
      </c>
      <c r="E29" s="1">
        <v>0.37130000000000002</v>
      </c>
      <c r="F29" s="5">
        <v>26.48</v>
      </c>
      <c r="G29" s="5">
        <v>0.99650000000000005</v>
      </c>
      <c r="H29" s="4">
        <v>113.83</v>
      </c>
      <c r="I29" s="3">
        <v>33</v>
      </c>
      <c r="J29" s="6">
        <v>33</v>
      </c>
      <c r="K29" s="2">
        <v>29</v>
      </c>
      <c r="L29" s="6">
        <v>28</v>
      </c>
      <c r="M29" s="3">
        <f t="shared" si="0"/>
        <v>123</v>
      </c>
      <c r="N29" s="5"/>
      <c r="O29" s="5">
        <v>122</v>
      </c>
      <c r="Q29" s="2">
        <f t="shared" si="1"/>
        <v>1</v>
      </c>
    </row>
    <row r="30" spans="1:17" x14ac:dyDescent="0.25">
      <c r="A30" s="5" t="s">
        <v>0</v>
      </c>
      <c r="B30" s="1" t="s">
        <v>1</v>
      </c>
      <c r="C30" s="5" t="s">
        <v>3</v>
      </c>
      <c r="D30" s="5" t="s">
        <v>5</v>
      </c>
      <c r="E30" s="1">
        <v>0.46910000000000002</v>
      </c>
      <c r="F30" s="5">
        <v>36.24</v>
      </c>
      <c r="G30" s="7">
        <v>1.0634999999999999</v>
      </c>
      <c r="H30" s="11">
        <v>116.26</v>
      </c>
      <c r="I30" s="1">
        <v>37</v>
      </c>
      <c r="J30" s="4">
        <v>37</v>
      </c>
      <c r="K30" s="5">
        <v>34</v>
      </c>
      <c r="L30" s="4">
        <v>29</v>
      </c>
      <c r="M30" s="3">
        <f t="shared" si="0"/>
        <v>137</v>
      </c>
      <c r="O30">
        <v>138</v>
      </c>
      <c r="Q30" s="2">
        <f t="shared" si="1"/>
        <v>-1</v>
      </c>
    </row>
    <row r="31" spans="1:17" x14ac:dyDescent="0.25">
      <c r="A31" s="5" t="s">
        <v>7</v>
      </c>
      <c r="B31" s="1" t="s">
        <v>2</v>
      </c>
      <c r="C31" s="5" t="s">
        <v>4</v>
      </c>
      <c r="D31" s="5" t="s">
        <v>6</v>
      </c>
      <c r="E31" s="1">
        <v>0.31109999999999999</v>
      </c>
      <c r="F31" s="4">
        <v>21.28</v>
      </c>
      <c r="G31" s="4">
        <v>0.98119999999999996</v>
      </c>
      <c r="H31" s="11">
        <v>116.7</v>
      </c>
      <c r="I31" s="3">
        <v>31</v>
      </c>
      <c r="J31" s="6">
        <v>27</v>
      </c>
      <c r="K31" s="6">
        <v>27</v>
      </c>
      <c r="L31" s="6">
        <v>30</v>
      </c>
      <c r="M31" s="3">
        <f t="shared" si="0"/>
        <v>115</v>
      </c>
      <c r="O31">
        <v>112</v>
      </c>
      <c r="Q31" s="2">
        <f t="shared" si="1"/>
        <v>3</v>
      </c>
    </row>
    <row r="32" spans="1:17" x14ac:dyDescent="0.25">
      <c r="A32" s="5" t="s">
        <v>7</v>
      </c>
      <c r="B32" s="1" t="s">
        <v>2</v>
      </c>
      <c r="C32" s="5" t="s">
        <v>4</v>
      </c>
      <c r="D32" s="5" t="s">
        <v>5</v>
      </c>
      <c r="E32" s="9">
        <v>0.311</v>
      </c>
      <c r="F32" s="11">
        <v>21.22</v>
      </c>
      <c r="G32" s="8">
        <v>0.99750000000000005</v>
      </c>
      <c r="H32" s="11">
        <v>117.5</v>
      </c>
      <c r="I32" s="3">
        <v>30</v>
      </c>
      <c r="J32" s="6">
        <v>26</v>
      </c>
      <c r="K32" s="2">
        <v>30</v>
      </c>
      <c r="L32" s="6">
        <v>31</v>
      </c>
      <c r="M32" s="3">
        <f t="shared" si="0"/>
        <v>117</v>
      </c>
      <c r="O32">
        <v>116</v>
      </c>
      <c r="Q32" s="2">
        <f t="shared" si="1"/>
        <v>1</v>
      </c>
    </row>
    <row r="33" spans="1:17" x14ac:dyDescent="0.25">
      <c r="A33" s="5" t="s">
        <v>0</v>
      </c>
      <c r="B33" s="1" t="s">
        <v>1</v>
      </c>
      <c r="C33" s="5" t="s">
        <v>4</v>
      </c>
      <c r="D33" s="5" t="s">
        <v>6</v>
      </c>
      <c r="E33" s="1">
        <v>0.4047</v>
      </c>
      <c r="F33" s="10">
        <v>31.2</v>
      </c>
      <c r="G33" s="8">
        <v>1.0827</v>
      </c>
      <c r="H33" s="5">
        <v>124.13</v>
      </c>
      <c r="I33" s="1">
        <v>34</v>
      </c>
      <c r="J33" s="4">
        <v>34</v>
      </c>
      <c r="K33" s="5">
        <v>35</v>
      </c>
      <c r="L33" s="4">
        <v>32</v>
      </c>
      <c r="M33" s="3">
        <f t="shared" si="0"/>
        <v>135</v>
      </c>
      <c r="O33">
        <v>135</v>
      </c>
      <c r="Q33" s="2">
        <f t="shared" si="1"/>
        <v>0</v>
      </c>
    </row>
    <row r="34" spans="1:17" s="2" customFormat="1" x14ac:dyDescent="0.25">
      <c r="A34" s="2" t="s">
        <v>9</v>
      </c>
      <c r="B34" s="3" t="s">
        <v>1</v>
      </c>
      <c r="C34" s="2" t="s">
        <v>4</v>
      </c>
      <c r="D34" s="2" t="s">
        <v>5</v>
      </c>
      <c r="E34" s="3">
        <v>0.29349999999999998</v>
      </c>
      <c r="F34" s="6">
        <v>20.149999999999999</v>
      </c>
      <c r="G34" s="19">
        <v>1.0172000000000001</v>
      </c>
      <c r="H34" s="6">
        <v>129.84</v>
      </c>
      <c r="I34" s="3">
        <v>18</v>
      </c>
      <c r="J34" s="6">
        <v>15</v>
      </c>
      <c r="K34" s="2">
        <v>31</v>
      </c>
      <c r="L34" s="6">
        <v>33</v>
      </c>
      <c r="M34" s="3">
        <f t="shared" si="0"/>
        <v>97</v>
      </c>
      <c r="O34" s="2">
        <v>93</v>
      </c>
      <c r="Q34" s="2">
        <f t="shared" si="1"/>
        <v>4</v>
      </c>
    </row>
    <row r="35" spans="1:17" x14ac:dyDescent="0.25">
      <c r="A35" s="5" t="s">
        <v>7</v>
      </c>
      <c r="B35" s="1" t="s">
        <v>2</v>
      </c>
      <c r="C35" s="5" t="s">
        <v>3</v>
      </c>
      <c r="D35" s="5" t="s">
        <v>6</v>
      </c>
      <c r="E35" s="1">
        <v>0.30790000000000001</v>
      </c>
      <c r="F35" s="4">
        <v>21.81</v>
      </c>
      <c r="G35" s="5">
        <v>0.90080000000000005</v>
      </c>
      <c r="H35" s="5">
        <v>131.38</v>
      </c>
      <c r="I35" s="3">
        <v>29</v>
      </c>
      <c r="J35" s="6">
        <v>31</v>
      </c>
      <c r="K35" s="6">
        <v>17</v>
      </c>
      <c r="L35" s="6">
        <v>34</v>
      </c>
      <c r="M35" s="3">
        <f t="shared" si="0"/>
        <v>111</v>
      </c>
      <c r="N35" s="5"/>
      <c r="O35" s="5">
        <v>113</v>
      </c>
      <c r="Q35" s="2">
        <f t="shared" si="1"/>
        <v>-2</v>
      </c>
    </row>
    <row r="36" spans="1:17" x14ac:dyDescent="0.25">
      <c r="A36" t="s">
        <v>7</v>
      </c>
      <c r="B36" s="1" t="s">
        <v>2</v>
      </c>
      <c r="C36" t="s">
        <v>3</v>
      </c>
      <c r="D36" t="s">
        <v>5</v>
      </c>
      <c r="E36" s="1">
        <v>0.31559999999999999</v>
      </c>
      <c r="F36" s="11">
        <v>22.69</v>
      </c>
      <c r="G36" s="4">
        <v>0.90569999999999995</v>
      </c>
      <c r="H36" s="4">
        <v>140.88</v>
      </c>
      <c r="I36" s="1">
        <v>32</v>
      </c>
      <c r="J36" s="4">
        <v>32</v>
      </c>
      <c r="K36" s="5">
        <v>18</v>
      </c>
      <c r="L36" s="4">
        <v>35</v>
      </c>
      <c r="M36" s="3">
        <f t="shared" si="0"/>
        <v>117</v>
      </c>
      <c r="O36">
        <v>117</v>
      </c>
      <c r="Q36" s="2">
        <f t="shared" si="1"/>
        <v>0</v>
      </c>
    </row>
    <row r="37" spans="1:17" x14ac:dyDescent="0.25">
      <c r="A37" s="5" t="s">
        <v>0</v>
      </c>
      <c r="B37" s="1" t="s">
        <v>1</v>
      </c>
      <c r="C37" s="5" t="s">
        <v>4</v>
      </c>
      <c r="D37" s="5" t="s">
        <v>5</v>
      </c>
      <c r="E37" s="1">
        <v>0.52110000000000001</v>
      </c>
      <c r="F37" s="5">
        <v>41.33</v>
      </c>
      <c r="G37" s="5">
        <v>1.1313</v>
      </c>
      <c r="H37" s="5">
        <v>141.55000000000001</v>
      </c>
      <c r="I37" s="3">
        <v>39</v>
      </c>
      <c r="J37" s="6">
        <v>39</v>
      </c>
      <c r="K37" s="2">
        <v>37</v>
      </c>
      <c r="L37" s="6">
        <v>36</v>
      </c>
      <c r="M37" s="3">
        <f t="shared" si="0"/>
        <v>151</v>
      </c>
      <c r="O37">
        <v>151</v>
      </c>
      <c r="Q37" s="2">
        <f t="shared" si="1"/>
        <v>0</v>
      </c>
    </row>
    <row r="38" spans="1:17" x14ac:dyDescent="0.25">
      <c r="A38" t="s">
        <v>0</v>
      </c>
      <c r="B38" s="1" t="s">
        <v>2</v>
      </c>
      <c r="C38" t="s">
        <v>3</v>
      </c>
      <c r="D38" t="s">
        <v>5</v>
      </c>
      <c r="E38" s="1">
        <v>0.48159999999999997</v>
      </c>
      <c r="F38" s="12">
        <v>39.200000000000003</v>
      </c>
      <c r="G38" s="4">
        <v>1.0842000000000001</v>
      </c>
      <c r="H38" s="4">
        <v>149.51</v>
      </c>
      <c r="I38" s="3">
        <v>38</v>
      </c>
      <c r="J38" s="6">
        <v>38</v>
      </c>
      <c r="K38" s="6">
        <v>36</v>
      </c>
      <c r="L38" s="6">
        <v>37</v>
      </c>
      <c r="M38" s="3">
        <f t="shared" si="0"/>
        <v>149</v>
      </c>
      <c r="O38">
        <v>149</v>
      </c>
      <c r="Q38" s="2">
        <f t="shared" si="1"/>
        <v>0</v>
      </c>
    </row>
    <row r="39" spans="1:17" x14ac:dyDescent="0.25">
      <c r="A39" t="s">
        <v>0</v>
      </c>
      <c r="B39" s="1" t="s">
        <v>2</v>
      </c>
      <c r="C39" t="s">
        <v>4</v>
      </c>
      <c r="D39" t="s">
        <v>5</v>
      </c>
      <c r="E39" s="1">
        <v>0.52329999999999999</v>
      </c>
      <c r="F39">
        <v>41.93</v>
      </c>
      <c r="G39">
        <v>1.1511</v>
      </c>
      <c r="H39" s="4">
        <v>166.77</v>
      </c>
      <c r="I39" s="1">
        <v>40</v>
      </c>
      <c r="J39" s="4">
        <v>40</v>
      </c>
      <c r="K39" s="5">
        <v>38</v>
      </c>
      <c r="L39" s="4">
        <v>38</v>
      </c>
      <c r="M39" s="3">
        <f t="shared" si="0"/>
        <v>156</v>
      </c>
      <c r="O39">
        <v>156</v>
      </c>
      <c r="Q39" s="2">
        <f t="shared" si="1"/>
        <v>0</v>
      </c>
    </row>
    <row r="40" spans="1:17" x14ac:dyDescent="0.25">
      <c r="A40" s="5" t="s">
        <v>0</v>
      </c>
      <c r="B40" s="1" t="s">
        <v>2</v>
      </c>
      <c r="C40" s="5" t="s">
        <v>3</v>
      </c>
      <c r="D40" s="5" t="s">
        <v>6</v>
      </c>
      <c r="E40" s="9">
        <v>0.46</v>
      </c>
      <c r="F40" s="5">
        <v>31.65</v>
      </c>
      <c r="G40" s="5">
        <v>1.1665000000000001</v>
      </c>
      <c r="H40" s="5">
        <v>189.84</v>
      </c>
      <c r="I40" s="3">
        <v>36</v>
      </c>
      <c r="J40" s="6">
        <v>35</v>
      </c>
      <c r="K40" s="6">
        <v>39</v>
      </c>
      <c r="L40" s="6">
        <v>39</v>
      </c>
      <c r="M40" s="3">
        <f t="shared" si="0"/>
        <v>149</v>
      </c>
      <c r="O40">
        <v>149</v>
      </c>
      <c r="Q40" s="2">
        <f t="shared" si="1"/>
        <v>0</v>
      </c>
    </row>
    <row r="41" spans="1:17" x14ac:dyDescent="0.25">
      <c r="A41" s="5" t="s">
        <v>0</v>
      </c>
      <c r="B41" s="1" t="s">
        <v>2</v>
      </c>
      <c r="C41" s="5" t="s">
        <v>4</v>
      </c>
      <c r="D41" s="5" t="s">
        <v>6</v>
      </c>
      <c r="E41" s="1">
        <v>0.44390000000000002</v>
      </c>
      <c r="F41" s="5">
        <v>32.54</v>
      </c>
      <c r="G41" s="5">
        <v>1.4568000000000001</v>
      </c>
      <c r="H41" s="5">
        <v>424.19</v>
      </c>
      <c r="I41" s="3">
        <v>35</v>
      </c>
      <c r="J41" s="6">
        <v>36</v>
      </c>
      <c r="K41" s="2">
        <v>40</v>
      </c>
      <c r="L41" s="6">
        <v>40</v>
      </c>
      <c r="M41" s="3">
        <f t="shared" si="0"/>
        <v>151</v>
      </c>
      <c r="O41">
        <v>151</v>
      </c>
      <c r="Q41" s="2">
        <f t="shared" si="1"/>
        <v>0</v>
      </c>
    </row>
  </sheetData>
  <autoFilter ref="A1:O41" xr:uid="{3F56DF5E-BDEE-478A-81FD-0ACAABD4B5F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7A45-0BD5-4F4C-A18A-32AC7AAA2406}">
  <dimension ref="A1:O40"/>
  <sheetViews>
    <sheetView workbookViewId="0">
      <selection activeCell="G17" sqref="G17"/>
    </sheetView>
  </sheetViews>
  <sheetFormatPr defaultRowHeight="15" x14ac:dyDescent="0.25"/>
  <cols>
    <col min="1" max="1" width="23.5703125" bestFit="1" customWidth="1"/>
    <col min="2" max="2" width="30.28515625" bestFit="1" customWidth="1"/>
    <col min="3" max="4" width="31.7109375" bestFit="1" customWidth="1"/>
    <col min="5" max="6" width="31.7109375" customWidth="1"/>
    <col min="7" max="7" width="12.28515625" bestFit="1" customWidth="1"/>
    <col min="8" max="8" width="11.28515625" bestFit="1" customWidth="1"/>
    <col min="9" max="9" width="13" bestFit="1" customWidth="1"/>
    <col min="10" max="10" width="12" bestFit="1" customWidth="1"/>
    <col min="11" max="11" width="17.140625" bestFit="1" customWidth="1"/>
    <col min="12" max="12" width="16.140625" bestFit="1" customWidth="1"/>
    <col min="13" max="13" width="17.85546875" bestFit="1" customWidth="1"/>
    <col min="14" max="14" width="16.85546875" bestFit="1" customWidth="1"/>
  </cols>
  <sheetData>
    <row r="1" spans="1:15" x14ac:dyDescent="0.25">
      <c r="B1" s="1"/>
      <c r="G1" s="1" t="s">
        <v>11</v>
      </c>
      <c r="H1" t="s">
        <v>12</v>
      </c>
      <c r="I1" t="s">
        <v>13</v>
      </c>
      <c r="J1" t="s">
        <v>14</v>
      </c>
      <c r="K1" s="1" t="s">
        <v>15</v>
      </c>
      <c r="L1" s="4" t="s">
        <v>16</v>
      </c>
      <c r="M1" s="4" t="s">
        <v>17</v>
      </c>
      <c r="N1" s="4" t="s">
        <v>22</v>
      </c>
      <c r="O1" s="1"/>
    </row>
    <row r="2" spans="1:15" x14ac:dyDescent="0.25">
      <c r="A2" t="s">
        <v>29</v>
      </c>
      <c r="B2" t="s">
        <v>30</v>
      </c>
      <c r="C2" t="s">
        <v>31</v>
      </c>
      <c r="G2">
        <v>0.26040000000000002</v>
      </c>
      <c r="H2">
        <v>18.25</v>
      </c>
      <c r="I2">
        <v>0.83020000000000005</v>
      </c>
      <c r="J2" s="12">
        <v>75.400000000000006</v>
      </c>
      <c r="K2">
        <v>14</v>
      </c>
      <c r="L2">
        <v>24</v>
      </c>
      <c r="M2">
        <v>38</v>
      </c>
      <c r="N2">
        <v>1</v>
      </c>
      <c r="O2">
        <f t="shared" ref="O2:O40" si="0">SUM(K2:N2)</f>
        <v>77</v>
      </c>
    </row>
    <row r="3" spans="1:15" x14ac:dyDescent="0.25">
      <c r="A3" t="s">
        <v>29</v>
      </c>
      <c r="B3" t="s">
        <v>30</v>
      </c>
      <c r="C3" t="s">
        <v>31</v>
      </c>
      <c r="D3" t="s">
        <v>26</v>
      </c>
      <c r="G3">
        <v>0.2606</v>
      </c>
      <c r="H3" s="12">
        <v>18.399999999999999</v>
      </c>
      <c r="I3">
        <v>0.8014</v>
      </c>
      <c r="J3">
        <v>75.89</v>
      </c>
      <c r="K3">
        <v>19</v>
      </c>
      <c r="L3">
        <v>38</v>
      </c>
      <c r="M3">
        <v>37</v>
      </c>
      <c r="N3">
        <v>2</v>
      </c>
      <c r="O3">
        <f t="shared" si="0"/>
        <v>96</v>
      </c>
    </row>
    <row r="4" spans="1:15" x14ac:dyDescent="0.25">
      <c r="A4" t="s">
        <v>29</v>
      </c>
      <c r="B4" t="s">
        <v>30</v>
      </c>
      <c r="C4" t="s">
        <v>31</v>
      </c>
      <c r="D4" t="s">
        <v>25</v>
      </c>
      <c r="G4">
        <v>0.26069999999999999</v>
      </c>
      <c r="H4">
        <v>18.309999999999999</v>
      </c>
      <c r="I4">
        <v>0.83730000000000004</v>
      </c>
      <c r="J4" s="12">
        <v>75.900000000000006</v>
      </c>
      <c r="K4">
        <v>21</v>
      </c>
      <c r="L4">
        <v>28</v>
      </c>
      <c r="M4">
        <v>39</v>
      </c>
      <c r="N4">
        <v>3</v>
      </c>
      <c r="O4">
        <f t="shared" si="0"/>
        <v>91</v>
      </c>
    </row>
    <row r="5" spans="1:15" x14ac:dyDescent="0.25">
      <c r="A5" t="s">
        <v>23</v>
      </c>
      <c r="B5" t="s">
        <v>24</v>
      </c>
      <c r="C5" t="s">
        <v>26</v>
      </c>
      <c r="D5" t="s">
        <v>31</v>
      </c>
      <c r="E5" t="s">
        <v>29</v>
      </c>
      <c r="F5" t="s">
        <v>33</v>
      </c>
      <c r="G5">
        <v>0.2611</v>
      </c>
      <c r="H5">
        <v>18.22</v>
      </c>
      <c r="I5">
        <v>0.74150000000000005</v>
      </c>
      <c r="J5">
        <v>79.83</v>
      </c>
      <c r="K5">
        <v>23</v>
      </c>
      <c r="L5">
        <v>18</v>
      </c>
      <c r="M5">
        <v>30</v>
      </c>
      <c r="N5">
        <v>4</v>
      </c>
      <c r="O5">
        <f t="shared" si="0"/>
        <v>75</v>
      </c>
    </row>
    <row r="6" spans="1:15" x14ac:dyDescent="0.25">
      <c r="A6" t="s">
        <v>23</v>
      </c>
      <c r="B6" t="s">
        <v>24</v>
      </c>
      <c r="C6" t="s">
        <v>26</v>
      </c>
      <c r="D6" t="s">
        <v>31</v>
      </c>
      <c r="E6" t="s">
        <v>29</v>
      </c>
      <c r="G6">
        <v>0.25990000000000002</v>
      </c>
      <c r="H6">
        <v>18.11</v>
      </c>
      <c r="I6">
        <v>0.72860000000000003</v>
      </c>
      <c r="J6">
        <v>81.180000000000007</v>
      </c>
      <c r="K6">
        <v>11</v>
      </c>
      <c r="L6">
        <v>7</v>
      </c>
      <c r="M6">
        <v>9</v>
      </c>
      <c r="N6">
        <v>5</v>
      </c>
      <c r="O6">
        <f t="shared" si="0"/>
        <v>32</v>
      </c>
    </row>
    <row r="7" spans="1:15" x14ac:dyDescent="0.25">
      <c r="A7" t="s">
        <v>23</v>
      </c>
      <c r="B7" t="s">
        <v>24</v>
      </c>
      <c r="C7" t="s">
        <v>26</v>
      </c>
      <c r="D7" t="s">
        <v>31</v>
      </c>
      <c r="E7" t="s">
        <v>29</v>
      </c>
      <c r="F7" t="s">
        <v>36</v>
      </c>
      <c r="G7">
        <v>0.2611</v>
      </c>
      <c r="H7" s="12">
        <v>18.2</v>
      </c>
      <c r="I7">
        <v>0.74560000000000004</v>
      </c>
      <c r="J7" s="12">
        <v>81.5</v>
      </c>
      <c r="K7">
        <v>23</v>
      </c>
      <c r="L7">
        <v>14</v>
      </c>
      <c r="M7">
        <v>35</v>
      </c>
      <c r="N7">
        <v>6</v>
      </c>
      <c r="O7">
        <f t="shared" si="0"/>
        <v>78</v>
      </c>
    </row>
    <row r="8" spans="1:15" x14ac:dyDescent="0.25">
      <c r="A8" t="s">
        <v>23</v>
      </c>
      <c r="B8" t="s">
        <v>24</v>
      </c>
      <c r="C8" t="s">
        <v>27</v>
      </c>
      <c r="D8" t="s">
        <v>29</v>
      </c>
      <c r="E8" t="s">
        <v>26</v>
      </c>
      <c r="F8" t="s">
        <v>25</v>
      </c>
      <c r="G8">
        <v>0.26129999999999998</v>
      </c>
      <c r="H8">
        <v>18.27</v>
      </c>
      <c r="I8">
        <v>0.73970000000000002</v>
      </c>
      <c r="J8">
        <v>82.05</v>
      </c>
      <c r="K8">
        <v>28</v>
      </c>
      <c r="L8">
        <v>25</v>
      </c>
      <c r="M8">
        <v>22</v>
      </c>
      <c r="N8">
        <v>7</v>
      </c>
      <c r="O8">
        <f t="shared" si="0"/>
        <v>82</v>
      </c>
    </row>
    <row r="9" spans="1:15" x14ac:dyDescent="0.25">
      <c r="A9" t="s">
        <v>23</v>
      </c>
      <c r="B9" t="s">
        <v>24</v>
      </c>
      <c r="C9" t="s">
        <v>26</v>
      </c>
      <c r="D9" t="s">
        <v>31</v>
      </c>
      <c r="E9" t="s">
        <v>29</v>
      </c>
      <c r="F9" t="s">
        <v>32</v>
      </c>
      <c r="G9">
        <v>0.2606</v>
      </c>
      <c r="H9" s="12">
        <v>18.100000000000001</v>
      </c>
      <c r="I9">
        <v>0.72960000000000003</v>
      </c>
      <c r="J9">
        <v>82.32</v>
      </c>
      <c r="K9">
        <v>19</v>
      </c>
      <c r="L9">
        <v>5</v>
      </c>
      <c r="M9">
        <v>10</v>
      </c>
      <c r="N9">
        <v>8</v>
      </c>
      <c r="O9">
        <f t="shared" si="0"/>
        <v>42</v>
      </c>
    </row>
    <row r="10" spans="1:15" x14ac:dyDescent="0.25">
      <c r="A10" t="s">
        <v>23</v>
      </c>
      <c r="B10" t="s">
        <v>24</v>
      </c>
      <c r="C10" t="s">
        <v>27</v>
      </c>
      <c r="D10" t="s">
        <v>29</v>
      </c>
      <c r="E10" t="s">
        <v>25</v>
      </c>
      <c r="G10">
        <v>0.26140000000000002</v>
      </c>
      <c r="H10">
        <v>18.23</v>
      </c>
      <c r="I10">
        <v>0.74160000000000004</v>
      </c>
      <c r="J10">
        <v>82.49</v>
      </c>
      <c r="K10">
        <v>32</v>
      </c>
      <c r="L10">
        <v>20</v>
      </c>
      <c r="M10">
        <v>31</v>
      </c>
      <c r="N10">
        <v>9</v>
      </c>
      <c r="O10">
        <f t="shared" si="0"/>
        <v>92</v>
      </c>
    </row>
    <row r="11" spans="1:15" x14ac:dyDescent="0.25">
      <c r="A11" t="s">
        <v>23</v>
      </c>
      <c r="B11" t="s">
        <v>24</v>
      </c>
      <c r="C11" t="s">
        <v>26</v>
      </c>
      <c r="D11" t="s">
        <v>31</v>
      </c>
      <c r="E11" t="s">
        <v>35</v>
      </c>
      <c r="G11">
        <v>0.2616</v>
      </c>
      <c r="H11">
        <v>18.32</v>
      </c>
      <c r="I11">
        <v>0.71809999999999996</v>
      </c>
      <c r="J11">
        <v>82.95</v>
      </c>
      <c r="K11">
        <v>35</v>
      </c>
      <c r="L11">
        <v>30</v>
      </c>
      <c r="M11">
        <v>4</v>
      </c>
      <c r="N11">
        <v>10</v>
      </c>
      <c r="O11">
        <f t="shared" si="0"/>
        <v>79</v>
      </c>
    </row>
    <row r="12" spans="1:15" x14ac:dyDescent="0.25">
      <c r="A12" t="s">
        <v>23</v>
      </c>
      <c r="B12" t="s">
        <v>24</v>
      </c>
      <c r="C12" t="s">
        <v>27</v>
      </c>
      <c r="D12" t="s">
        <v>29</v>
      </c>
      <c r="E12" t="s">
        <v>26</v>
      </c>
      <c r="F12" t="s">
        <v>36</v>
      </c>
      <c r="G12">
        <v>0.2611</v>
      </c>
      <c r="H12">
        <v>18.23</v>
      </c>
      <c r="I12">
        <v>0.74139999999999995</v>
      </c>
      <c r="J12">
        <v>83.04</v>
      </c>
      <c r="K12">
        <v>23</v>
      </c>
      <c r="L12">
        <v>20</v>
      </c>
      <c r="M12">
        <v>29</v>
      </c>
      <c r="N12">
        <v>11</v>
      </c>
      <c r="O12">
        <f t="shared" si="0"/>
        <v>83</v>
      </c>
    </row>
    <row r="13" spans="1:15" x14ac:dyDescent="0.25">
      <c r="A13" t="s">
        <v>23</v>
      </c>
      <c r="B13" t="s">
        <v>24</v>
      </c>
      <c r="C13" t="s">
        <v>26</v>
      </c>
      <c r="D13" t="s">
        <v>31</v>
      </c>
      <c r="E13" t="s">
        <v>29</v>
      </c>
      <c r="F13" t="s">
        <v>27</v>
      </c>
      <c r="G13">
        <v>0.25790000000000002</v>
      </c>
      <c r="H13">
        <v>18.03</v>
      </c>
      <c r="I13">
        <v>0.7409</v>
      </c>
      <c r="J13">
        <v>83.36</v>
      </c>
      <c r="K13">
        <v>4</v>
      </c>
      <c r="L13">
        <v>3</v>
      </c>
      <c r="M13">
        <v>26</v>
      </c>
      <c r="N13">
        <v>12</v>
      </c>
      <c r="O13">
        <f t="shared" si="0"/>
        <v>45</v>
      </c>
    </row>
    <row r="14" spans="1:15" x14ac:dyDescent="0.25">
      <c r="A14" t="s">
        <v>23</v>
      </c>
      <c r="B14" t="s">
        <v>24</v>
      </c>
      <c r="C14" t="s">
        <v>26</v>
      </c>
      <c r="D14" t="s">
        <v>33</v>
      </c>
      <c r="G14">
        <v>0.26240000000000002</v>
      </c>
      <c r="H14">
        <v>18.41</v>
      </c>
      <c r="I14">
        <v>0.72209999999999996</v>
      </c>
      <c r="J14">
        <v>83.42</v>
      </c>
      <c r="K14">
        <v>39</v>
      </c>
      <c r="L14">
        <v>39</v>
      </c>
      <c r="M14">
        <v>5</v>
      </c>
      <c r="N14">
        <v>13</v>
      </c>
      <c r="O14">
        <f t="shared" si="0"/>
        <v>96</v>
      </c>
    </row>
    <row r="15" spans="1:15" x14ac:dyDescent="0.25">
      <c r="A15" t="s">
        <v>23</v>
      </c>
      <c r="B15" t="s">
        <v>24</v>
      </c>
      <c r="C15" t="s">
        <v>27</v>
      </c>
      <c r="D15" t="s">
        <v>29</v>
      </c>
      <c r="E15" t="s">
        <v>26</v>
      </c>
      <c r="G15">
        <v>0.2611</v>
      </c>
      <c r="H15">
        <v>18.18</v>
      </c>
      <c r="I15">
        <v>0.7248</v>
      </c>
      <c r="J15">
        <v>83.45</v>
      </c>
      <c r="K15">
        <v>23</v>
      </c>
      <c r="L15">
        <v>12</v>
      </c>
      <c r="M15">
        <v>7</v>
      </c>
      <c r="N15">
        <v>14</v>
      </c>
      <c r="O15">
        <f t="shared" si="0"/>
        <v>56</v>
      </c>
    </row>
    <row r="16" spans="1:15" x14ac:dyDescent="0.25">
      <c r="A16" t="s">
        <v>23</v>
      </c>
      <c r="B16" t="s">
        <v>24</v>
      </c>
      <c r="C16" t="s">
        <v>25</v>
      </c>
      <c r="D16" t="s">
        <v>26</v>
      </c>
      <c r="G16">
        <v>0.26129999999999998</v>
      </c>
      <c r="H16">
        <v>18.350000000000001</v>
      </c>
      <c r="I16">
        <v>0.73619999999999997</v>
      </c>
      <c r="J16">
        <v>83.72</v>
      </c>
      <c r="K16">
        <v>28</v>
      </c>
      <c r="L16">
        <v>33</v>
      </c>
      <c r="M16">
        <v>16</v>
      </c>
      <c r="N16">
        <v>15</v>
      </c>
      <c r="O16">
        <f t="shared" si="0"/>
        <v>92</v>
      </c>
    </row>
    <row r="17" spans="1:15" x14ac:dyDescent="0.25">
      <c r="A17" t="s">
        <v>23</v>
      </c>
      <c r="B17" t="s">
        <v>24</v>
      </c>
      <c r="C17" t="s">
        <v>26</v>
      </c>
      <c r="D17" t="s">
        <v>31</v>
      </c>
      <c r="E17" t="s">
        <v>35</v>
      </c>
      <c r="F17" t="s">
        <v>28</v>
      </c>
      <c r="G17" s="13">
        <v>0.26168999999999998</v>
      </c>
      <c r="H17" s="12">
        <v>18.329999999999998</v>
      </c>
      <c r="I17">
        <v>0.73509999999999998</v>
      </c>
      <c r="J17" s="12">
        <v>84.12</v>
      </c>
      <c r="K17">
        <v>36</v>
      </c>
      <c r="L17">
        <v>32</v>
      </c>
      <c r="M17">
        <v>14</v>
      </c>
      <c r="N17">
        <v>16</v>
      </c>
      <c r="O17">
        <f t="shared" si="0"/>
        <v>98</v>
      </c>
    </row>
    <row r="18" spans="1:15" x14ac:dyDescent="0.25">
      <c r="A18" t="s">
        <v>23</v>
      </c>
      <c r="B18" t="s">
        <v>24</v>
      </c>
      <c r="C18" t="s">
        <v>27</v>
      </c>
      <c r="D18" t="s">
        <v>29</v>
      </c>
      <c r="G18" s="13">
        <v>0.26100000000000001</v>
      </c>
      <c r="H18">
        <v>18.11</v>
      </c>
      <c r="I18">
        <v>0.72309999999999997</v>
      </c>
      <c r="J18">
        <v>84.34</v>
      </c>
      <c r="K18">
        <v>22</v>
      </c>
      <c r="L18">
        <v>7</v>
      </c>
      <c r="M18">
        <v>6</v>
      </c>
      <c r="N18">
        <v>17</v>
      </c>
      <c r="O18">
        <f t="shared" si="0"/>
        <v>52</v>
      </c>
    </row>
    <row r="19" spans="1:15" x14ac:dyDescent="0.25">
      <c r="A19" t="s">
        <v>23</v>
      </c>
      <c r="B19" t="s">
        <v>24</v>
      </c>
      <c r="C19" t="s">
        <v>27</v>
      </c>
      <c r="D19" t="s">
        <v>29</v>
      </c>
      <c r="E19" t="s">
        <v>26</v>
      </c>
      <c r="F19" t="s">
        <v>32</v>
      </c>
      <c r="G19" s="13">
        <v>0.26169700000000001</v>
      </c>
      <c r="H19" s="12">
        <v>18.2</v>
      </c>
      <c r="I19">
        <v>0.72789999999999999</v>
      </c>
      <c r="J19" s="12">
        <v>84.51</v>
      </c>
      <c r="K19">
        <v>36</v>
      </c>
      <c r="L19">
        <v>14</v>
      </c>
      <c r="M19">
        <v>8</v>
      </c>
      <c r="N19">
        <v>18</v>
      </c>
      <c r="O19">
        <f t="shared" si="0"/>
        <v>76</v>
      </c>
    </row>
    <row r="20" spans="1:15" x14ac:dyDescent="0.25">
      <c r="A20" t="s">
        <v>23</v>
      </c>
      <c r="B20" t="s">
        <v>24</v>
      </c>
      <c r="C20" t="s">
        <v>26</v>
      </c>
      <c r="D20" t="s">
        <v>31</v>
      </c>
      <c r="E20" t="s">
        <v>35</v>
      </c>
      <c r="F20" t="s">
        <v>38</v>
      </c>
      <c r="G20">
        <v>0.26129999999999998</v>
      </c>
      <c r="H20" s="12">
        <v>18.16</v>
      </c>
      <c r="I20">
        <v>0.7379</v>
      </c>
      <c r="J20" s="12">
        <v>84.62</v>
      </c>
      <c r="K20">
        <v>28</v>
      </c>
      <c r="L20">
        <v>10</v>
      </c>
      <c r="M20">
        <v>20</v>
      </c>
      <c r="N20">
        <v>19</v>
      </c>
      <c r="O20">
        <f t="shared" si="0"/>
        <v>77</v>
      </c>
    </row>
    <row r="21" spans="1:15" x14ac:dyDescent="0.25">
      <c r="A21" t="s">
        <v>23</v>
      </c>
      <c r="B21" t="s">
        <v>24</v>
      </c>
      <c r="C21" t="s">
        <v>26</v>
      </c>
      <c r="D21" t="s">
        <v>31</v>
      </c>
      <c r="E21" t="s">
        <v>35</v>
      </c>
      <c r="F21" t="s">
        <v>37</v>
      </c>
      <c r="G21">
        <v>0.2611</v>
      </c>
      <c r="H21" s="12">
        <v>18.32</v>
      </c>
      <c r="I21">
        <v>0.74080000000000001</v>
      </c>
      <c r="J21" s="12">
        <v>84.7</v>
      </c>
      <c r="K21">
        <v>23</v>
      </c>
      <c r="L21">
        <v>30</v>
      </c>
      <c r="M21">
        <v>25</v>
      </c>
      <c r="N21">
        <v>20</v>
      </c>
      <c r="O21">
        <f t="shared" si="0"/>
        <v>98</v>
      </c>
    </row>
    <row r="22" spans="1:15" x14ac:dyDescent="0.25">
      <c r="A22" t="s">
        <v>23</v>
      </c>
      <c r="B22" t="s">
        <v>24</v>
      </c>
      <c r="C22" t="s">
        <v>26</v>
      </c>
      <c r="D22" t="s">
        <v>31</v>
      </c>
      <c r="E22" t="s">
        <v>35</v>
      </c>
      <c r="F22" t="s">
        <v>27</v>
      </c>
      <c r="G22">
        <v>0.25929999999999997</v>
      </c>
      <c r="H22" s="12">
        <v>18.2</v>
      </c>
      <c r="I22">
        <v>0.73409999999999997</v>
      </c>
      <c r="J22">
        <v>85.02</v>
      </c>
      <c r="K22">
        <v>8</v>
      </c>
      <c r="L22">
        <v>14</v>
      </c>
      <c r="M22">
        <v>12</v>
      </c>
      <c r="N22">
        <v>21</v>
      </c>
      <c r="O22">
        <f t="shared" si="0"/>
        <v>55</v>
      </c>
    </row>
    <row r="23" spans="1:15" x14ac:dyDescent="0.25">
      <c r="A23" t="s">
        <v>23</v>
      </c>
      <c r="B23" t="s">
        <v>24</v>
      </c>
      <c r="C23" t="s">
        <v>26</v>
      </c>
      <c r="G23">
        <v>0.26029999999999998</v>
      </c>
      <c r="H23">
        <v>18.239999999999998</v>
      </c>
      <c r="I23">
        <v>0.71020000000000005</v>
      </c>
      <c r="J23">
        <v>85.25</v>
      </c>
      <c r="K23">
        <v>13</v>
      </c>
      <c r="L23">
        <v>22</v>
      </c>
      <c r="M23">
        <v>2</v>
      </c>
      <c r="N23">
        <v>22</v>
      </c>
      <c r="O23">
        <f t="shared" si="0"/>
        <v>59</v>
      </c>
    </row>
    <row r="24" spans="1:15" x14ac:dyDescent="0.25">
      <c r="A24" t="s">
        <v>23</v>
      </c>
      <c r="B24" t="s">
        <v>24</v>
      </c>
      <c r="C24" t="s">
        <v>26</v>
      </c>
      <c r="D24" t="s">
        <v>31</v>
      </c>
      <c r="E24" t="s">
        <v>34</v>
      </c>
      <c r="G24">
        <v>0.25990000000000002</v>
      </c>
      <c r="H24">
        <v>18.350000000000001</v>
      </c>
      <c r="I24">
        <v>0.74229999999999996</v>
      </c>
      <c r="J24">
        <v>85.75</v>
      </c>
      <c r="K24">
        <v>11</v>
      </c>
      <c r="L24">
        <v>33</v>
      </c>
      <c r="M24">
        <v>33</v>
      </c>
      <c r="N24">
        <v>23</v>
      </c>
      <c r="O24">
        <f t="shared" si="0"/>
        <v>100</v>
      </c>
    </row>
    <row r="25" spans="1:15" x14ac:dyDescent="0.25">
      <c r="A25" t="s">
        <v>23</v>
      </c>
      <c r="B25" t="s">
        <v>24</v>
      </c>
      <c r="C25" t="s">
        <v>26</v>
      </c>
      <c r="D25" t="s">
        <v>31</v>
      </c>
      <c r="G25">
        <v>0.25659999999999999</v>
      </c>
      <c r="H25">
        <v>18.079999999999998</v>
      </c>
      <c r="I25">
        <v>0.74029999999999996</v>
      </c>
      <c r="J25">
        <v>85.88</v>
      </c>
      <c r="K25">
        <v>2</v>
      </c>
      <c r="L25">
        <v>4</v>
      </c>
      <c r="M25">
        <v>23</v>
      </c>
      <c r="N25">
        <v>24</v>
      </c>
      <c r="O25">
        <f t="shared" si="0"/>
        <v>53</v>
      </c>
    </row>
    <row r="26" spans="1:15" x14ac:dyDescent="0.25">
      <c r="A26" t="s">
        <v>23</v>
      </c>
      <c r="B26" t="s">
        <v>24</v>
      </c>
      <c r="C26" t="s">
        <v>26</v>
      </c>
      <c r="D26" t="s">
        <v>27</v>
      </c>
      <c r="E26" t="s">
        <v>33</v>
      </c>
      <c r="G26">
        <v>0.25919999999999999</v>
      </c>
      <c r="H26">
        <v>18.239999999999998</v>
      </c>
      <c r="I26">
        <v>0.74580000000000002</v>
      </c>
      <c r="J26">
        <v>85.99</v>
      </c>
      <c r="K26">
        <v>7</v>
      </c>
      <c r="L26">
        <v>22</v>
      </c>
      <c r="M26">
        <v>36</v>
      </c>
      <c r="N26">
        <v>25</v>
      </c>
      <c r="O26">
        <f t="shared" si="0"/>
        <v>90</v>
      </c>
    </row>
    <row r="27" spans="1:15" x14ac:dyDescent="0.25">
      <c r="A27" t="s">
        <v>23</v>
      </c>
      <c r="B27" t="s">
        <v>24</v>
      </c>
      <c r="C27" t="s">
        <v>25</v>
      </c>
      <c r="G27">
        <v>0.26140000000000002</v>
      </c>
      <c r="H27">
        <v>18.27</v>
      </c>
      <c r="I27" s="13">
        <v>0.73899999999999999</v>
      </c>
      <c r="J27">
        <v>86.04</v>
      </c>
      <c r="K27">
        <v>32</v>
      </c>
      <c r="L27">
        <v>25</v>
      </c>
      <c r="M27">
        <v>21</v>
      </c>
      <c r="N27">
        <v>26</v>
      </c>
      <c r="O27">
        <f t="shared" si="0"/>
        <v>104</v>
      </c>
    </row>
    <row r="28" spans="1:15" x14ac:dyDescent="0.25">
      <c r="A28" t="s">
        <v>23</v>
      </c>
      <c r="B28" t="s">
        <v>24</v>
      </c>
      <c r="C28" t="s">
        <v>26</v>
      </c>
      <c r="D28" t="s">
        <v>31</v>
      </c>
      <c r="E28" t="s">
        <v>32</v>
      </c>
      <c r="G28">
        <v>0.25819999999999999</v>
      </c>
      <c r="H28" s="12">
        <v>18.100000000000001</v>
      </c>
      <c r="I28">
        <v>0.73780000000000001</v>
      </c>
      <c r="J28" s="12">
        <v>86.3</v>
      </c>
      <c r="K28">
        <v>5</v>
      </c>
      <c r="L28">
        <v>5</v>
      </c>
      <c r="M28">
        <v>19</v>
      </c>
      <c r="N28">
        <v>27</v>
      </c>
      <c r="O28">
        <f t="shared" si="0"/>
        <v>56</v>
      </c>
    </row>
    <row r="29" spans="1:15" x14ac:dyDescent="0.25">
      <c r="A29" t="s">
        <v>23</v>
      </c>
      <c r="B29" t="s">
        <v>24</v>
      </c>
      <c r="C29" t="s">
        <v>26</v>
      </c>
      <c r="D29" t="s">
        <v>31</v>
      </c>
      <c r="E29" t="s">
        <v>32</v>
      </c>
      <c r="F29" t="s">
        <v>34</v>
      </c>
      <c r="G29">
        <v>0.26050000000000001</v>
      </c>
      <c r="H29" s="12">
        <v>18.309999999999999</v>
      </c>
      <c r="I29">
        <v>0.74109999999999998</v>
      </c>
      <c r="J29" s="12">
        <v>86.3</v>
      </c>
      <c r="K29">
        <v>15</v>
      </c>
      <c r="L29">
        <v>28</v>
      </c>
      <c r="M29">
        <v>28</v>
      </c>
      <c r="N29">
        <v>28</v>
      </c>
      <c r="O29">
        <f t="shared" si="0"/>
        <v>99</v>
      </c>
    </row>
    <row r="30" spans="1:15" x14ac:dyDescent="0.25">
      <c r="A30" t="s">
        <v>23</v>
      </c>
      <c r="B30" t="s">
        <v>24</v>
      </c>
      <c r="C30" t="s">
        <v>26</v>
      </c>
      <c r="D30" t="s">
        <v>32</v>
      </c>
      <c r="G30">
        <v>0.26169999999999999</v>
      </c>
      <c r="H30">
        <v>18.29</v>
      </c>
      <c r="I30">
        <v>0.71719999999999995</v>
      </c>
      <c r="J30">
        <v>86.35</v>
      </c>
      <c r="K30">
        <v>38</v>
      </c>
      <c r="L30">
        <v>27</v>
      </c>
      <c r="M30">
        <v>3</v>
      </c>
      <c r="N30">
        <v>29</v>
      </c>
      <c r="O30">
        <f t="shared" si="0"/>
        <v>97</v>
      </c>
    </row>
    <row r="31" spans="1:15" x14ac:dyDescent="0.25">
      <c r="A31" t="s">
        <v>23</v>
      </c>
      <c r="B31" t="s">
        <v>24</v>
      </c>
      <c r="C31" t="s">
        <v>26</v>
      </c>
      <c r="D31" t="s">
        <v>28</v>
      </c>
      <c r="G31">
        <v>0.26150000000000001</v>
      </c>
      <c r="H31">
        <v>18.38</v>
      </c>
      <c r="I31">
        <v>0.73760000000000003</v>
      </c>
      <c r="J31">
        <v>86.85</v>
      </c>
      <c r="K31">
        <v>34</v>
      </c>
      <c r="L31">
        <v>36</v>
      </c>
      <c r="M31">
        <v>18</v>
      </c>
      <c r="N31">
        <v>30</v>
      </c>
      <c r="O31">
        <f t="shared" si="0"/>
        <v>118</v>
      </c>
    </row>
    <row r="32" spans="1:15" x14ac:dyDescent="0.25">
      <c r="A32" t="s">
        <v>23</v>
      </c>
      <c r="B32" t="s">
        <v>24</v>
      </c>
      <c r="C32" t="s">
        <v>26</v>
      </c>
      <c r="D32" t="s">
        <v>27</v>
      </c>
      <c r="E32" t="s">
        <v>34</v>
      </c>
      <c r="G32">
        <v>0.26050000000000001</v>
      </c>
      <c r="H32">
        <v>18.38</v>
      </c>
      <c r="I32">
        <v>0.74060000000000004</v>
      </c>
      <c r="J32">
        <v>87.92</v>
      </c>
      <c r="K32">
        <v>15</v>
      </c>
      <c r="L32">
        <v>36</v>
      </c>
      <c r="M32">
        <v>24</v>
      </c>
      <c r="N32">
        <v>31</v>
      </c>
      <c r="O32">
        <f t="shared" si="0"/>
        <v>106</v>
      </c>
    </row>
    <row r="33" spans="1:15" x14ac:dyDescent="0.25">
      <c r="A33" t="s">
        <v>23</v>
      </c>
      <c r="B33" t="s">
        <v>24</v>
      </c>
      <c r="C33" t="s">
        <v>26</v>
      </c>
      <c r="D33" t="s">
        <v>27</v>
      </c>
      <c r="G33">
        <v>0.2576</v>
      </c>
      <c r="H33">
        <v>18.14</v>
      </c>
      <c r="I33">
        <v>0.73329999999999995</v>
      </c>
      <c r="J33">
        <v>88.03</v>
      </c>
      <c r="K33">
        <v>3</v>
      </c>
      <c r="L33">
        <v>9</v>
      </c>
      <c r="M33">
        <v>11</v>
      </c>
      <c r="N33">
        <v>32</v>
      </c>
      <c r="O33">
        <f t="shared" si="0"/>
        <v>55</v>
      </c>
    </row>
    <row r="34" spans="1:15" x14ac:dyDescent="0.25">
      <c r="A34" t="s">
        <v>23</v>
      </c>
      <c r="B34" t="s">
        <v>24</v>
      </c>
      <c r="C34" t="s">
        <v>26</v>
      </c>
      <c r="D34" t="s">
        <v>27</v>
      </c>
      <c r="E34" t="s">
        <v>32</v>
      </c>
      <c r="F34" t="s">
        <v>34</v>
      </c>
      <c r="G34">
        <v>0.26129999999999998</v>
      </c>
      <c r="H34" s="12">
        <v>18.37</v>
      </c>
      <c r="I34">
        <v>0.7409</v>
      </c>
      <c r="J34" s="12">
        <v>88.34</v>
      </c>
      <c r="K34">
        <v>28</v>
      </c>
      <c r="L34">
        <v>35</v>
      </c>
      <c r="M34">
        <v>26</v>
      </c>
      <c r="N34">
        <v>33</v>
      </c>
      <c r="O34">
        <f t="shared" si="0"/>
        <v>122</v>
      </c>
    </row>
    <row r="35" spans="1:15" x14ac:dyDescent="0.25">
      <c r="A35" t="s">
        <v>23</v>
      </c>
      <c r="B35" t="s">
        <v>24</v>
      </c>
      <c r="C35" t="s">
        <v>26</v>
      </c>
      <c r="D35" t="s">
        <v>27</v>
      </c>
      <c r="E35" t="s">
        <v>32</v>
      </c>
      <c r="G35">
        <v>0.25929999999999997</v>
      </c>
      <c r="H35" s="12">
        <v>18.2</v>
      </c>
      <c r="I35">
        <v>0.73460000000000003</v>
      </c>
      <c r="J35">
        <v>88.42</v>
      </c>
      <c r="K35">
        <v>8</v>
      </c>
      <c r="L35">
        <v>14</v>
      </c>
      <c r="M35">
        <v>13</v>
      </c>
      <c r="N35">
        <v>34</v>
      </c>
      <c r="O35">
        <f t="shared" si="0"/>
        <v>69</v>
      </c>
    </row>
    <row r="36" spans="1:15" x14ac:dyDescent="0.25">
      <c r="A36" t="s">
        <v>23</v>
      </c>
      <c r="B36" t="s">
        <v>24</v>
      </c>
      <c r="G36">
        <v>0.25940000000000002</v>
      </c>
      <c r="H36">
        <v>17.97</v>
      </c>
      <c r="I36">
        <v>0.70030000000000003</v>
      </c>
      <c r="J36">
        <v>88.92</v>
      </c>
      <c r="K36">
        <v>10</v>
      </c>
      <c r="L36">
        <v>1</v>
      </c>
      <c r="M36">
        <v>1</v>
      </c>
      <c r="N36">
        <v>35</v>
      </c>
      <c r="O36">
        <f t="shared" si="0"/>
        <v>47</v>
      </c>
    </row>
    <row r="37" spans="1:15" x14ac:dyDescent="0.25">
      <c r="A37" t="s">
        <v>23</v>
      </c>
      <c r="B37" t="s">
        <v>24</v>
      </c>
      <c r="C37" t="s">
        <v>28</v>
      </c>
      <c r="G37">
        <v>0.2606</v>
      </c>
      <c r="H37">
        <v>18.18</v>
      </c>
      <c r="I37">
        <v>0.73609999999999998</v>
      </c>
      <c r="J37">
        <v>89.08</v>
      </c>
      <c r="K37">
        <v>19</v>
      </c>
      <c r="L37">
        <v>12</v>
      </c>
      <c r="M37">
        <v>15</v>
      </c>
      <c r="N37">
        <v>36</v>
      </c>
      <c r="O37">
        <f t="shared" si="0"/>
        <v>82</v>
      </c>
    </row>
    <row r="38" spans="1:15" x14ac:dyDescent="0.25">
      <c r="A38" t="s">
        <v>23</v>
      </c>
      <c r="B38" t="s">
        <v>24</v>
      </c>
      <c r="C38" t="s">
        <v>27</v>
      </c>
      <c r="D38" t="s">
        <v>34</v>
      </c>
      <c r="G38">
        <v>0.25890000000000002</v>
      </c>
      <c r="H38">
        <v>18.170000000000002</v>
      </c>
      <c r="I38">
        <v>0.74209999999999998</v>
      </c>
      <c r="J38">
        <v>90.11</v>
      </c>
      <c r="K38">
        <v>6</v>
      </c>
      <c r="L38">
        <v>11</v>
      </c>
      <c r="M38">
        <v>32</v>
      </c>
      <c r="N38">
        <v>37</v>
      </c>
      <c r="O38">
        <f t="shared" si="0"/>
        <v>86</v>
      </c>
    </row>
    <row r="39" spans="1:15" x14ac:dyDescent="0.25">
      <c r="A39" t="s">
        <v>23</v>
      </c>
      <c r="B39" t="s">
        <v>24</v>
      </c>
      <c r="C39" t="s">
        <v>27</v>
      </c>
      <c r="D39" t="s">
        <v>34</v>
      </c>
      <c r="E39" t="s">
        <v>32</v>
      </c>
      <c r="G39">
        <v>0.26050000000000001</v>
      </c>
      <c r="H39">
        <v>18.22</v>
      </c>
      <c r="I39" s="13">
        <v>0.74258999999999997</v>
      </c>
      <c r="J39">
        <v>90.14</v>
      </c>
      <c r="K39">
        <v>15</v>
      </c>
      <c r="L39">
        <v>18</v>
      </c>
      <c r="M39">
        <v>34</v>
      </c>
      <c r="N39">
        <v>38</v>
      </c>
      <c r="O39">
        <f t="shared" si="0"/>
        <v>105</v>
      </c>
    </row>
    <row r="40" spans="1:15" x14ac:dyDescent="0.25">
      <c r="A40" t="s">
        <v>23</v>
      </c>
      <c r="B40" t="s">
        <v>24</v>
      </c>
      <c r="C40" t="s">
        <v>27</v>
      </c>
      <c r="G40">
        <v>0.25650000000000001</v>
      </c>
      <c r="H40" s="12">
        <v>18</v>
      </c>
      <c r="I40">
        <v>0.73640000000000005</v>
      </c>
      <c r="J40">
        <v>91.68</v>
      </c>
      <c r="K40">
        <v>1</v>
      </c>
      <c r="L40">
        <v>2</v>
      </c>
      <c r="M40">
        <v>17</v>
      </c>
      <c r="N40">
        <v>39</v>
      </c>
      <c r="O40">
        <f t="shared" si="0"/>
        <v>59</v>
      </c>
    </row>
  </sheetData>
  <autoFilter ref="A1:O1" xr:uid="{7B667A45-0BD5-4F4C-A18A-32AC7AAA2406}">
    <sortState xmlns:xlrd2="http://schemas.microsoft.com/office/spreadsheetml/2017/richdata2" ref="A2:O40">
      <sortCondition ref="J1"/>
    </sortState>
  </autoFilter>
  <conditionalFormatting sqref="G1:G1048576">
    <cfRule type="cellIs" dxfId="7" priority="4" operator="lessThan">
      <formula>0.2617</formula>
    </cfRule>
  </conditionalFormatting>
  <conditionalFormatting sqref="H1:H1048576">
    <cfRule type="cellIs" dxfId="6" priority="3" operator="lessThan">
      <formula>18.43</formula>
    </cfRule>
  </conditionalFormatting>
  <conditionalFormatting sqref="I1:I1048576">
    <cfRule type="cellIs" dxfId="5" priority="2" operator="lessThan">
      <formula>0.7426</formula>
    </cfRule>
  </conditionalFormatting>
  <conditionalFormatting sqref="J1:J1048576">
    <cfRule type="cellIs" dxfId="4" priority="1" operator="lessThan">
      <formula>76.78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5778-2882-48F2-A8AB-D692570DB2CB}">
  <dimension ref="A1:V101"/>
  <sheetViews>
    <sheetView workbookViewId="0">
      <selection activeCell="A2" sqref="A2:E2"/>
    </sheetView>
  </sheetViews>
  <sheetFormatPr defaultRowHeight="15" x14ac:dyDescent="0.25"/>
  <cols>
    <col min="1" max="1" width="9.140625" customWidth="1"/>
    <col min="2" max="2" width="28.28515625" bestFit="1" customWidth="1"/>
    <col min="3" max="3" width="31.7109375" bestFit="1" customWidth="1"/>
    <col min="4" max="4" width="27.42578125" bestFit="1" customWidth="1"/>
    <col min="5" max="5" width="30.85546875" bestFit="1" customWidth="1"/>
    <col min="6" max="6" width="31.140625" bestFit="1" customWidth="1"/>
    <col min="7" max="7" width="9.140625" style="1"/>
    <col min="10" max="10" width="9.140625" style="5"/>
    <col min="11" max="11" width="9.140625" style="1"/>
    <col min="14" max="15" width="9.140625" style="1"/>
    <col min="18" max="18" width="9.140625" style="1"/>
  </cols>
  <sheetData>
    <row r="1" spans="1:22" s="14" customFormat="1" x14ac:dyDescent="0.25">
      <c r="G1" s="15" t="s">
        <v>11</v>
      </c>
      <c r="H1" s="14" t="s">
        <v>12</v>
      </c>
      <c r="I1" s="14" t="s">
        <v>13</v>
      </c>
      <c r="J1" s="14" t="s">
        <v>14</v>
      </c>
      <c r="K1" s="15" t="s">
        <v>15</v>
      </c>
      <c r="L1" s="16" t="s">
        <v>16</v>
      </c>
      <c r="M1" s="16" t="s">
        <v>17</v>
      </c>
      <c r="N1" s="16" t="s">
        <v>22</v>
      </c>
      <c r="O1" s="15"/>
      <c r="R1" s="15"/>
    </row>
    <row r="2" spans="1:22" x14ac:dyDescent="0.25">
      <c r="A2" t="s">
        <v>23</v>
      </c>
      <c r="B2" t="s">
        <v>24</v>
      </c>
      <c r="C2" t="s">
        <v>26</v>
      </c>
      <c r="D2" t="s">
        <v>31</v>
      </c>
      <c r="E2" t="s">
        <v>29</v>
      </c>
      <c r="G2" s="1">
        <v>0.25990000000000002</v>
      </c>
      <c r="H2">
        <v>18.11</v>
      </c>
      <c r="I2">
        <v>0.72860000000000003</v>
      </c>
      <c r="J2" s="5">
        <v>81.180000000000007</v>
      </c>
      <c r="K2" s="1">
        <v>6</v>
      </c>
      <c r="L2" s="5">
        <v>5</v>
      </c>
      <c r="M2" s="5">
        <v>3</v>
      </c>
      <c r="N2" s="5">
        <v>2</v>
      </c>
      <c r="O2" s="1">
        <f t="shared" ref="O2:O17" si="0">SUM(K2:N2)</f>
        <v>16</v>
      </c>
      <c r="R2" s="29">
        <f t="shared" ref="R2:R17" si="1">(G2-MIN($G$2:$G$17))/MIN($G$2:$G$17)</f>
        <v>1.2860483242400722E-2</v>
      </c>
      <c r="S2" s="12">
        <f t="shared" ref="S2:S17" si="2">(H2-MIN($H$2:$H$17))/MIN($H$2:$H$17)</f>
        <v>7.7907623817473886E-3</v>
      </c>
      <c r="T2" s="12">
        <f t="shared" ref="T2:T17" si="3">(I2-MIN($I$2:$I$17))/MIN($I$2:$I$17)</f>
        <v>4.0411252320434084E-2</v>
      </c>
      <c r="U2" s="12">
        <f t="shared" ref="U2:U17" si="4">(J2-MIN($J$2:$J$17))/MIN($J$2:$J$17)</f>
        <v>5.7306590257879729E-2</v>
      </c>
      <c r="V2" s="12">
        <f t="shared" ref="V2:V17" si="5">SUM(R2:U2)</f>
        <v>0.11836908820246192</v>
      </c>
    </row>
    <row r="3" spans="1:22" x14ac:dyDescent="0.25">
      <c r="A3" t="s">
        <v>23</v>
      </c>
      <c r="B3" t="s">
        <v>24</v>
      </c>
      <c r="C3" t="s">
        <v>26</v>
      </c>
      <c r="D3" t="s">
        <v>31</v>
      </c>
      <c r="E3" t="s">
        <v>29</v>
      </c>
      <c r="F3" t="s">
        <v>27</v>
      </c>
      <c r="G3" s="1">
        <v>0.25790000000000002</v>
      </c>
      <c r="H3">
        <v>18.03</v>
      </c>
      <c r="I3">
        <v>0.7409</v>
      </c>
      <c r="J3" s="5">
        <v>83.36</v>
      </c>
      <c r="K3" s="1">
        <v>3</v>
      </c>
      <c r="L3" s="5">
        <v>2</v>
      </c>
      <c r="M3" s="5">
        <v>8</v>
      </c>
      <c r="N3" s="5">
        <v>5</v>
      </c>
      <c r="O3" s="3">
        <f t="shared" si="0"/>
        <v>18</v>
      </c>
      <c r="R3" s="29">
        <f t="shared" si="1"/>
        <v>5.0662509742791248E-3</v>
      </c>
      <c r="S3" s="12">
        <f t="shared" si="2"/>
        <v>3.3388981636061368E-3</v>
      </c>
      <c r="T3" s="12">
        <f t="shared" si="3"/>
        <v>5.7975153505640392E-2</v>
      </c>
      <c r="U3" s="12">
        <f t="shared" si="4"/>
        <v>8.5699400885647287E-2</v>
      </c>
      <c r="V3" s="12">
        <f t="shared" si="5"/>
        <v>0.15207970352917294</v>
      </c>
    </row>
    <row r="4" spans="1:22" x14ac:dyDescent="0.25">
      <c r="A4" t="s">
        <v>23</v>
      </c>
      <c r="B4" t="s">
        <v>24</v>
      </c>
      <c r="G4" s="1">
        <v>0.25940000000000002</v>
      </c>
      <c r="H4">
        <v>17.97</v>
      </c>
      <c r="I4">
        <v>0.70030000000000003</v>
      </c>
      <c r="J4" s="5">
        <v>88.92</v>
      </c>
      <c r="K4" s="1">
        <v>5</v>
      </c>
      <c r="L4" s="5">
        <v>1</v>
      </c>
      <c r="M4" s="5">
        <v>1</v>
      </c>
      <c r="N4" s="5">
        <v>11</v>
      </c>
      <c r="O4" s="3">
        <f t="shared" si="0"/>
        <v>18</v>
      </c>
      <c r="R4" s="29">
        <f t="shared" si="1"/>
        <v>1.0911925175370322E-2</v>
      </c>
      <c r="S4" s="12">
        <f t="shared" si="2"/>
        <v>0</v>
      </c>
      <c r="T4" s="12">
        <f t="shared" si="3"/>
        <v>0</v>
      </c>
      <c r="U4" s="12">
        <f t="shared" si="4"/>
        <v>0.15811409221151343</v>
      </c>
      <c r="V4" s="12">
        <f t="shared" si="5"/>
        <v>0.16902601738688375</v>
      </c>
    </row>
    <row r="5" spans="1:22" x14ac:dyDescent="0.25">
      <c r="A5" t="s">
        <v>23</v>
      </c>
      <c r="B5" t="s">
        <v>24</v>
      </c>
      <c r="C5" t="s">
        <v>26</v>
      </c>
      <c r="D5" t="s">
        <v>31</v>
      </c>
      <c r="E5" t="s">
        <v>29</v>
      </c>
      <c r="F5" t="s">
        <v>32</v>
      </c>
      <c r="G5" s="1">
        <v>0.2606</v>
      </c>
      <c r="H5" s="12">
        <v>18.100000000000001</v>
      </c>
      <c r="I5">
        <v>0.72960000000000003</v>
      </c>
      <c r="J5" s="5">
        <v>82.32</v>
      </c>
      <c r="K5" s="1">
        <v>7</v>
      </c>
      <c r="L5" s="5">
        <v>4</v>
      </c>
      <c r="M5" s="5">
        <v>4</v>
      </c>
      <c r="N5" s="5">
        <v>4</v>
      </c>
      <c r="O5" s="3">
        <f t="shared" si="0"/>
        <v>19</v>
      </c>
      <c r="R5" s="29">
        <f t="shared" si="1"/>
        <v>1.5588464536243194E-2</v>
      </c>
      <c r="S5" s="12">
        <f t="shared" si="2"/>
        <v>7.2342793544798315E-3</v>
      </c>
      <c r="T5" s="12">
        <f t="shared" si="3"/>
        <v>4.1839211766385824E-2</v>
      </c>
      <c r="U5" s="12">
        <f t="shared" si="4"/>
        <v>7.2154206824693826E-2</v>
      </c>
      <c r="V5" s="12">
        <f t="shared" si="5"/>
        <v>0.13681616248180267</v>
      </c>
    </row>
    <row r="6" spans="1:22" x14ac:dyDescent="0.25">
      <c r="A6" t="s">
        <v>23</v>
      </c>
      <c r="B6" t="s">
        <v>24</v>
      </c>
      <c r="C6" t="s">
        <v>26</v>
      </c>
      <c r="D6" t="s">
        <v>31</v>
      </c>
      <c r="G6" s="1">
        <v>0.25659999999999999</v>
      </c>
      <c r="H6">
        <v>18.079999999999998</v>
      </c>
      <c r="I6">
        <v>0.74029999999999996</v>
      </c>
      <c r="J6" s="5">
        <v>85.88</v>
      </c>
      <c r="K6" s="1">
        <v>1</v>
      </c>
      <c r="L6" s="5">
        <v>3</v>
      </c>
      <c r="M6" s="5">
        <v>7</v>
      </c>
      <c r="N6" s="5">
        <v>8</v>
      </c>
      <c r="O6" s="3">
        <f t="shared" si="0"/>
        <v>19</v>
      </c>
      <c r="R6" s="29">
        <f t="shared" si="1"/>
        <v>0</v>
      </c>
      <c r="S6" s="12">
        <f t="shared" si="2"/>
        <v>6.1213132999443209E-3</v>
      </c>
      <c r="T6" s="12">
        <f t="shared" si="3"/>
        <v>5.7118377838069286E-2</v>
      </c>
      <c r="U6" s="12">
        <f t="shared" si="4"/>
        <v>0.11852044803334194</v>
      </c>
      <c r="V6" s="12">
        <f t="shared" si="5"/>
        <v>0.18176013917135553</v>
      </c>
    </row>
    <row r="7" spans="1:22" x14ac:dyDescent="0.25">
      <c r="A7" t="s">
        <v>23</v>
      </c>
      <c r="B7" t="s">
        <v>24</v>
      </c>
      <c r="C7" t="s">
        <v>27</v>
      </c>
      <c r="D7" t="s">
        <v>29</v>
      </c>
      <c r="G7" s="9">
        <v>0.26100000000000001</v>
      </c>
      <c r="H7">
        <v>18.11</v>
      </c>
      <c r="I7">
        <v>0.72309999999999997</v>
      </c>
      <c r="J7" s="5">
        <v>84.34</v>
      </c>
      <c r="K7" s="1">
        <v>8</v>
      </c>
      <c r="L7" s="5">
        <v>5</v>
      </c>
      <c r="M7" s="5">
        <v>2</v>
      </c>
      <c r="N7" s="5">
        <v>6</v>
      </c>
      <c r="O7" s="3">
        <f t="shared" si="0"/>
        <v>21</v>
      </c>
      <c r="R7" s="29">
        <f t="shared" si="1"/>
        <v>1.7147310989867558E-2</v>
      </c>
      <c r="S7" s="12">
        <f t="shared" si="2"/>
        <v>7.7907623817473886E-3</v>
      </c>
      <c r="T7" s="12">
        <f t="shared" si="3"/>
        <v>3.2557475367699457E-2</v>
      </c>
      <c r="U7" s="12">
        <f t="shared" si="4"/>
        <v>9.8463141443084171E-2</v>
      </c>
      <c r="V7" s="12">
        <f t="shared" si="5"/>
        <v>0.15595869018239858</v>
      </c>
    </row>
    <row r="8" spans="1:22" x14ac:dyDescent="0.25">
      <c r="A8" t="s">
        <v>23</v>
      </c>
      <c r="B8" t="s">
        <v>24</v>
      </c>
      <c r="C8" t="s">
        <v>26</v>
      </c>
      <c r="D8" t="s">
        <v>27</v>
      </c>
      <c r="G8" s="1">
        <v>0.2576</v>
      </c>
      <c r="H8">
        <v>18.14</v>
      </c>
      <c r="I8">
        <v>0.73329999999999995</v>
      </c>
      <c r="J8" s="5">
        <v>88.03</v>
      </c>
      <c r="K8" s="1">
        <v>2</v>
      </c>
      <c r="L8" s="5">
        <v>7</v>
      </c>
      <c r="M8" s="5">
        <v>5</v>
      </c>
      <c r="N8" s="5">
        <v>10</v>
      </c>
      <c r="O8" s="3">
        <f t="shared" si="0"/>
        <v>24</v>
      </c>
      <c r="R8" s="29">
        <f t="shared" si="1"/>
        <v>3.8971161340607984E-3</v>
      </c>
      <c r="S8" s="12">
        <f t="shared" si="2"/>
        <v>9.4602114635504581E-3</v>
      </c>
      <c r="T8" s="12">
        <f t="shared" si="3"/>
        <v>4.7122661716407138E-2</v>
      </c>
      <c r="U8" s="12">
        <f t="shared" si="4"/>
        <v>0.14652253190935138</v>
      </c>
      <c r="V8" s="12">
        <f t="shared" si="5"/>
        <v>0.20700252122336976</v>
      </c>
    </row>
    <row r="9" spans="1:22" x14ac:dyDescent="0.25">
      <c r="A9" t="s">
        <v>23</v>
      </c>
      <c r="B9" t="s">
        <v>24</v>
      </c>
      <c r="C9" t="s">
        <v>26</v>
      </c>
      <c r="D9" t="s">
        <v>31</v>
      </c>
      <c r="E9" t="s">
        <v>35</v>
      </c>
      <c r="F9" t="s">
        <v>27</v>
      </c>
      <c r="G9" s="1">
        <v>0.25929999999999997</v>
      </c>
      <c r="H9" s="12">
        <v>18.2</v>
      </c>
      <c r="I9">
        <v>0.73409999999999997</v>
      </c>
      <c r="J9" s="5">
        <v>85.02</v>
      </c>
      <c r="K9" s="1">
        <v>4</v>
      </c>
      <c r="L9" s="5">
        <v>8</v>
      </c>
      <c r="M9" s="5">
        <v>6</v>
      </c>
      <c r="N9" s="5">
        <v>7</v>
      </c>
      <c r="O9" s="3">
        <f t="shared" si="0"/>
        <v>25</v>
      </c>
      <c r="R9" s="29">
        <f t="shared" si="1"/>
        <v>1.052221356196407E-2</v>
      </c>
      <c r="S9" s="12">
        <f t="shared" si="2"/>
        <v>1.2799109627156396E-2</v>
      </c>
      <c r="T9" s="12">
        <f t="shared" si="3"/>
        <v>4.8265029273168558E-2</v>
      </c>
      <c r="U9" s="12">
        <f t="shared" si="4"/>
        <v>0.1073196144829382</v>
      </c>
      <c r="V9" s="12">
        <f t="shared" si="5"/>
        <v>0.17890596694522723</v>
      </c>
    </row>
    <row r="10" spans="1:22" x14ac:dyDescent="0.25">
      <c r="C10" s="5" t="s">
        <v>9</v>
      </c>
      <c r="D10" s="5" t="s">
        <v>1</v>
      </c>
      <c r="E10" s="5" t="s">
        <v>3</v>
      </c>
      <c r="F10" s="5" t="s">
        <v>5</v>
      </c>
      <c r="G10" s="9">
        <v>0.26250000000000001</v>
      </c>
      <c r="H10" s="5">
        <v>18.68</v>
      </c>
      <c r="I10" s="5">
        <v>0.97519999999999996</v>
      </c>
      <c r="J10" s="11">
        <v>76.78</v>
      </c>
      <c r="K10" s="1">
        <v>10</v>
      </c>
      <c r="L10" s="4">
        <v>10</v>
      </c>
      <c r="M10" s="5">
        <v>16</v>
      </c>
      <c r="N10" s="4">
        <v>1</v>
      </c>
      <c r="O10" s="1">
        <f t="shared" si="0"/>
        <v>37</v>
      </c>
      <c r="R10" s="29">
        <f t="shared" si="1"/>
        <v>2.2992985190958756E-2</v>
      </c>
      <c r="S10" s="12">
        <f t="shared" si="2"/>
        <v>3.9510294936004504E-2</v>
      </c>
      <c r="T10" s="12">
        <f t="shared" si="3"/>
        <v>0.3925460516921318</v>
      </c>
      <c r="U10" s="12">
        <f t="shared" si="4"/>
        <v>0</v>
      </c>
      <c r="V10" s="12">
        <f t="shared" si="5"/>
        <v>0.45504933181909507</v>
      </c>
    </row>
    <row r="11" spans="1:22" x14ac:dyDescent="0.25">
      <c r="C11" s="5" t="s">
        <v>8</v>
      </c>
      <c r="D11" s="5" t="s">
        <v>1</v>
      </c>
      <c r="E11" s="5" t="s">
        <v>3</v>
      </c>
      <c r="F11" s="5" t="s">
        <v>6</v>
      </c>
      <c r="G11" s="1">
        <v>0.26619999999999999</v>
      </c>
      <c r="H11" s="4">
        <v>18.43</v>
      </c>
      <c r="I11" s="8">
        <v>0.75</v>
      </c>
      <c r="J11" s="5">
        <v>95.72</v>
      </c>
      <c r="K11" s="1">
        <v>12</v>
      </c>
      <c r="L11" s="4">
        <v>9</v>
      </c>
      <c r="M11" s="4">
        <v>9</v>
      </c>
      <c r="N11" s="4">
        <v>14</v>
      </c>
      <c r="O11" s="1">
        <f t="shared" si="0"/>
        <v>44</v>
      </c>
      <c r="R11" s="29">
        <f t="shared" si="1"/>
        <v>3.7412314886983621E-2</v>
      </c>
      <c r="S11" s="12">
        <f t="shared" si="2"/>
        <v>2.5598219254312791E-2</v>
      </c>
      <c r="T11" s="12">
        <f t="shared" si="3"/>
        <v>7.096958446380118E-2</v>
      </c>
      <c r="U11" s="12">
        <f t="shared" si="4"/>
        <v>0.24667882261005467</v>
      </c>
      <c r="V11" s="12">
        <f t="shared" si="5"/>
        <v>0.38065894121515226</v>
      </c>
    </row>
    <row r="12" spans="1:22" x14ac:dyDescent="0.25">
      <c r="C12" s="5" t="s">
        <v>8</v>
      </c>
      <c r="D12" s="5" t="s">
        <v>1</v>
      </c>
      <c r="E12" s="5" t="s">
        <v>3</v>
      </c>
      <c r="F12" s="5" t="s">
        <v>5</v>
      </c>
      <c r="G12" s="9">
        <v>0.27610000000000001</v>
      </c>
      <c r="H12" s="5">
        <v>19.71</v>
      </c>
      <c r="I12" s="4">
        <v>0.88670000000000004</v>
      </c>
      <c r="J12" s="4">
        <v>81.239999999999995</v>
      </c>
      <c r="K12" s="1">
        <v>14</v>
      </c>
      <c r="L12" s="4">
        <v>15</v>
      </c>
      <c r="M12" s="5">
        <v>14</v>
      </c>
      <c r="N12" s="4">
        <v>3</v>
      </c>
      <c r="O12" s="1">
        <f t="shared" si="0"/>
        <v>46</v>
      </c>
      <c r="R12" s="29">
        <f t="shared" si="1"/>
        <v>7.5993764614185569E-2</v>
      </c>
      <c r="S12" s="12">
        <f t="shared" si="2"/>
        <v>9.6828046744574403E-2</v>
      </c>
      <c r="T12" s="12">
        <f t="shared" si="3"/>
        <v>0.26617164072540339</v>
      </c>
      <c r="U12" s="12">
        <f t="shared" si="4"/>
        <v>5.8088043761396112E-2</v>
      </c>
      <c r="V12" s="12">
        <f t="shared" si="5"/>
        <v>0.49708149584555944</v>
      </c>
    </row>
    <row r="13" spans="1:22" x14ac:dyDescent="0.25">
      <c r="C13" s="5" t="s">
        <v>10</v>
      </c>
      <c r="D13" s="5" t="s">
        <v>2</v>
      </c>
      <c r="E13" s="5" t="s">
        <v>3</v>
      </c>
      <c r="F13" s="5" t="s">
        <v>6</v>
      </c>
      <c r="G13" s="9">
        <v>0.26910000000000001</v>
      </c>
      <c r="H13" s="4">
        <v>18.72</v>
      </c>
      <c r="I13" s="5">
        <v>0.76780000000000004</v>
      </c>
      <c r="J13" s="5">
        <v>101.53</v>
      </c>
      <c r="K13" s="1">
        <v>13</v>
      </c>
      <c r="L13" s="4">
        <v>11</v>
      </c>
      <c r="M13" s="5">
        <v>10</v>
      </c>
      <c r="N13" s="4">
        <v>16</v>
      </c>
      <c r="O13" s="1">
        <f t="shared" si="0"/>
        <v>50</v>
      </c>
      <c r="R13" s="29">
        <f t="shared" si="1"/>
        <v>4.8713951675759981E-2</v>
      </c>
      <c r="S13" s="12">
        <f t="shared" si="2"/>
        <v>4.1736227045075125E-2</v>
      </c>
      <c r="T13" s="12">
        <f t="shared" si="3"/>
        <v>9.6387262601742116E-2</v>
      </c>
      <c r="U13" s="12">
        <f t="shared" si="4"/>
        <v>0.32234957020057309</v>
      </c>
      <c r="V13" s="12">
        <f t="shared" si="5"/>
        <v>0.50918701152315027</v>
      </c>
    </row>
    <row r="14" spans="1:22" x14ac:dyDescent="0.25">
      <c r="C14" s="5" t="s">
        <v>9</v>
      </c>
      <c r="D14" s="5" t="s">
        <v>1</v>
      </c>
      <c r="E14" s="5" t="s">
        <v>3</v>
      </c>
      <c r="F14" s="5" t="s">
        <v>6</v>
      </c>
      <c r="G14" s="1">
        <v>0.2631</v>
      </c>
      <c r="H14" s="4">
        <v>18.86</v>
      </c>
      <c r="I14" s="7">
        <v>0.91400000000000003</v>
      </c>
      <c r="J14" s="4">
        <v>92.87</v>
      </c>
      <c r="K14" s="1">
        <v>11</v>
      </c>
      <c r="L14" s="4">
        <v>12</v>
      </c>
      <c r="M14" s="5">
        <v>15</v>
      </c>
      <c r="N14" s="4">
        <v>12</v>
      </c>
      <c r="O14" s="1">
        <f t="shared" si="0"/>
        <v>50</v>
      </c>
      <c r="R14" s="29">
        <f t="shared" si="1"/>
        <v>2.533125487139519E-2</v>
      </c>
      <c r="S14" s="12">
        <f t="shared" si="2"/>
        <v>4.9526989426822515E-2</v>
      </c>
      <c r="T14" s="12">
        <f t="shared" si="3"/>
        <v>0.30515493359988577</v>
      </c>
      <c r="U14" s="12">
        <f t="shared" si="4"/>
        <v>0.20955978119301905</v>
      </c>
      <c r="V14" s="12">
        <f t="shared" si="5"/>
        <v>0.58957295909112251</v>
      </c>
    </row>
    <row r="15" spans="1:22" x14ac:dyDescent="0.25">
      <c r="C15" s="5" t="s">
        <v>10</v>
      </c>
      <c r="D15" s="5" t="s">
        <v>1</v>
      </c>
      <c r="E15" s="5" t="s">
        <v>3</v>
      </c>
      <c r="F15" s="5" t="s">
        <v>6</v>
      </c>
      <c r="G15" s="1">
        <v>0.26169999999999999</v>
      </c>
      <c r="H15" s="4">
        <v>18.96</v>
      </c>
      <c r="I15" s="5">
        <v>0.88560000000000005</v>
      </c>
      <c r="J15" s="5">
        <v>99.81</v>
      </c>
      <c r="K15" s="1">
        <v>9</v>
      </c>
      <c r="L15" s="4">
        <v>13</v>
      </c>
      <c r="M15" s="5">
        <v>13</v>
      </c>
      <c r="N15" s="4">
        <v>15</v>
      </c>
      <c r="O15" s="1">
        <f t="shared" si="0"/>
        <v>50</v>
      </c>
      <c r="R15" s="29">
        <f t="shared" si="1"/>
        <v>1.987529228371003E-2</v>
      </c>
      <c r="S15" s="12">
        <f t="shared" si="2"/>
        <v>5.5091819699499278E-2</v>
      </c>
      <c r="T15" s="12">
        <f t="shared" si="3"/>
        <v>0.26460088533485648</v>
      </c>
      <c r="U15" s="12">
        <f t="shared" si="4"/>
        <v>0.2999479030997656</v>
      </c>
      <c r="V15" s="12">
        <f t="shared" si="5"/>
        <v>0.63951590041783146</v>
      </c>
    </row>
    <row r="16" spans="1:22" x14ac:dyDescent="0.25">
      <c r="C16" s="5" t="s">
        <v>9</v>
      </c>
      <c r="D16" s="5" t="s">
        <v>2</v>
      </c>
      <c r="E16" s="5" t="s">
        <v>3</v>
      </c>
      <c r="F16" s="5" t="s">
        <v>5</v>
      </c>
      <c r="G16" s="9">
        <v>0.27760000000000001</v>
      </c>
      <c r="H16" s="11">
        <v>20.100000000000001</v>
      </c>
      <c r="I16" s="8">
        <v>0.77600000000000002</v>
      </c>
      <c r="J16" s="5">
        <v>86.03</v>
      </c>
      <c r="K16" s="1">
        <v>15</v>
      </c>
      <c r="L16" s="4">
        <v>16</v>
      </c>
      <c r="M16" s="5">
        <v>12</v>
      </c>
      <c r="N16" s="4">
        <v>9</v>
      </c>
      <c r="O16" s="1">
        <f t="shared" si="0"/>
        <v>52</v>
      </c>
      <c r="R16" s="29">
        <f t="shared" si="1"/>
        <v>8.1839438815276763E-2</v>
      </c>
      <c r="S16" s="12">
        <f t="shared" si="2"/>
        <v>0.11853088480801351</v>
      </c>
      <c r="T16" s="12">
        <f t="shared" si="3"/>
        <v>0.10809653005854632</v>
      </c>
      <c r="U16" s="12">
        <f t="shared" si="4"/>
        <v>0.12047408179213337</v>
      </c>
      <c r="V16" s="12">
        <f t="shared" si="5"/>
        <v>0.42894093547396994</v>
      </c>
    </row>
    <row r="17" spans="3:22" x14ac:dyDescent="0.25">
      <c r="C17" s="5" t="s">
        <v>10</v>
      </c>
      <c r="D17" s="5" t="s">
        <v>2</v>
      </c>
      <c r="E17" s="5" t="s">
        <v>3</v>
      </c>
      <c r="F17" s="5" t="s">
        <v>5</v>
      </c>
      <c r="G17" s="9">
        <v>0.27810000000000001</v>
      </c>
      <c r="H17" s="4">
        <v>19.45</v>
      </c>
      <c r="I17" s="7">
        <v>0.77559999999999996</v>
      </c>
      <c r="J17" s="11">
        <v>93.6</v>
      </c>
      <c r="K17" s="1">
        <v>16</v>
      </c>
      <c r="L17" s="4">
        <v>14</v>
      </c>
      <c r="M17" s="4">
        <v>11</v>
      </c>
      <c r="N17" s="4">
        <v>13</v>
      </c>
      <c r="O17" s="1">
        <f t="shared" si="0"/>
        <v>54</v>
      </c>
      <c r="R17" s="29">
        <f t="shared" si="1"/>
        <v>8.3787996882307175E-2</v>
      </c>
      <c r="S17" s="12">
        <f t="shared" si="2"/>
        <v>8.2359488035614936E-2</v>
      </c>
      <c r="T17" s="12">
        <f t="shared" si="3"/>
        <v>0.10752534628016552</v>
      </c>
      <c r="U17" s="12">
        <f t="shared" si="4"/>
        <v>0.2190674654858035</v>
      </c>
      <c r="V17" s="12">
        <f t="shared" si="5"/>
        <v>0.49274029668389108</v>
      </c>
    </row>
    <row r="18" spans="3:22" x14ac:dyDescent="0.25">
      <c r="L18" s="5"/>
      <c r="M18" s="5"/>
      <c r="N18" s="5"/>
    </row>
    <row r="19" spans="3:22" x14ac:dyDescent="0.25">
      <c r="L19" s="5"/>
      <c r="M19" s="5"/>
      <c r="N19" s="5"/>
    </row>
    <row r="20" spans="3:22" x14ac:dyDescent="0.25">
      <c r="M20" s="5"/>
      <c r="N20" s="5"/>
    </row>
    <row r="21" spans="3:22" x14ac:dyDescent="0.25">
      <c r="M21" s="5"/>
      <c r="N21" s="5"/>
    </row>
    <row r="22" spans="3:22" x14ac:dyDescent="0.25">
      <c r="M22" s="5"/>
      <c r="N22" s="5"/>
    </row>
    <row r="23" spans="3:22" x14ac:dyDescent="0.25">
      <c r="M23" s="5"/>
      <c r="N23" s="5"/>
    </row>
    <row r="24" spans="3:22" x14ac:dyDescent="0.25">
      <c r="M24" s="5"/>
      <c r="N24" s="5"/>
    </row>
    <row r="25" spans="3:22" x14ac:dyDescent="0.25">
      <c r="M25" s="5"/>
      <c r="N25" s="5"/>
    </row>
    <row r="26" spans="3:22" x14ac:dyDescent="0.25">
      <c r="M26" s="5"/>
      <c r="N26" s="5"/>
    </row>
    <row r="27" spans="3:22" x14ac:dyDescent="0.25">
      <c r="M27" s="5"/>
      <c r="N27" s="5"/>
    </row>
    <row r="28" spans="3:22" x14ac:dyDescent="0.25">
      <c r="M28" s="5"/>
      <c r="N28" s="5"/>
    </row>
    <row r="29" spans="3:22" x14ac:dyDescent="0.25">
      <c r="M29" s="5"/>
      <c r="N29" s="5"/>
    </row>
    <row r="30" spans="3:22" x14ac:dyDescent="0.25">
      <c r="M30" s="5"/>
      <c r="N30" s="5"/>
    </row>
    <row r="31" spans="3:22" x14ac:dyDescent="0.25">
      <c r="M31" s="5"/>
      <c r="N31" s="5"/>
    </row>
    <row r="32" spans="3:22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  <row r="36" spans="13:14" x14ac:dyDescent="0.25">
      <c r="M36" s="5"/>
      <c r="N36" s="5"/>
    </row>
    <row r="37" spans="13:14" x14ac:dyDescent="0.25">
      <c r="M37" s="5"/>
      <c r="N37" s="5"/>
    </row>
    <row r="38" spans="13:14" x14ac:dyDescent="0.25">
      <c r="M38" s="5"/>
      <c r="N38" s="5"/>
    </row>
    <row r="39" spans="13:14" x14ac:dyDescent="0.25">
      <c r="M39" s="5"/>
      <c r="N39" s="5"/>
    </row>
    <row r="40" spans="13:14" x14ac:dyDescent="0.25">
      <c r="M40" s="5"/>
      <c r="N40" s="5"/>
    </row>
    <row r="41" spans="13:14" x14ac:dyDescent="0.25">
      <c r="M41" s="5"/>
      <c r="N41" s="5"/>
    </row>
    <row r="42" spans="13:14" x14ac:dyDescent="0.25">
      <c r="M42" s="5"/>
      <c r="N42" s="5"/>
    </row>
    <row r="43" spans="13:14" x14ac:dyDescent="0.25">
      <c r="M43" s="5"/>
      <c r="N43" s="5"/>
    </row>
    <row r="44" spans="13:14" x14ac:dyDescent="0.25">
      <c r="M44" s="5"/>
      <c r="N44" s="5"/>
    </row>
    <row r="45" spans="13:14" x14ac:dyDescent="0.25">
      <c r="M45" s="5"/>
      <c r="N45" s="5"/>
    </row>
    <row r="46" spans="13:14" x14ac:dyDescent="0.25">
      <c r="M46" s="5"/>
      <c r="N46" s="5"/>
    </row>
    <row r="47" spans="13:14" x14ac:dyDescent="0.25">
      <c r="M47" s="5"/>
      <c r="N47" s="5"/>
    </row>
    <row r="48" spans="13:14" x14ac:dyDescent="0.25">
      <c r="M48" s="5"/>
      <c r="N48" s="5"/>
    </row>
    <row r="49" spans="13:14" x14ac:dyDescent="0.25">
      <c r="M49" s="5"/>
      <c r="N49" s="5"/>
    </row>
    <row r="50" spans="13:14" x14ac:dyDescent="0.25">
      <c r="M50" s="5"/>
      <c r="N50" s="5"/>
    </row>
    <row r="51" spans="13:14" x14ac:dyDescent="0.25">
      <c r="M51" s="5"/>
      <c r="N51" s="5"/>
    </row>
    <row r="52" spans="13:14" x14ac:dyDescent="0.25">
      <c r="M52" s="5"/>
      <c r="N52" s="5"/>
    </row>
    <row r="53" spans="13:14" x14ac:dyDescent="0.25">
      <c r="M53" s="5"/>
      <c r="N53" s="5"/>
    </row>
    <row r="54" spans="13:14" x14ac:dyDescent="0.25">
      <c r="M54" s="5"/>
      <c r="N54" s="5"/>
    </row>
    <row r="55" spans="13:14" x14ac:dyDescent="0.25">
      <c r="M55" s="5"/>
      <c r="N55" s="5"/>
    </row>
    <row r="56" spans="13:14" x14ac:dyDescent="0.25">
      <c r="M56" s="5"/>
      <c r="N56" s="5"/>
    </row>
    <row r="57" spans="13:14" x14ac:dyDescent="0.25">
      <c r="M57" s="5"/>
      <c r="N57" s="5"/>
    </row>
    <row r="58" spans="13:14" x14ac:dyDescent="0.25">
      <c r="M58" s="5"/>
      <c r="N58" s="5"/>
    </row>
    <row r="59" spans="13:14" x14ac:dyDescent="0.25">
      <c r="M59" s="5"/>
      <c r="N59" s="5"/>
    </row>
    <row r="60" spans="13:14" x14ac:dyDescent="0.25">
      <c r="M60" s="5"/>
      <c r="N60" s="5"/>
    </row>
    <row r="61" spans="13:14" x14ac:dyDescent="0.25">
      <c r="M61" s="5"/>
      <c r="N61" s="5"/>
    </row>
    <row r="62" spans="13:14" x14ac:dyDescent="0.25">
      <c r="M62" s="5"/>
      <c r="N62" s="5"/>
    </row>
    <row r="63" spans="13:14" x14ac:dyDescent="0.25">
      <c r="M63" s="5"/>
      <c r="N63" s="5"/>
    </row>
    <row r="64" spans="13:14" x14ac:dyDescent="0.25">
      <c r="M64" s="5"/>
      <c r="N64" s="5"/>
    </row>
    <row r="65" spans="13:14" x14ac:dyDescent="0.25">
      <c r="M65" s="5"/>
      <c r="N65" s="5"/>
    </row>
    <row r="66" spans="13:14" x14ac:dyDescent="0.25">
      <c r="M66" s="5"/>
      <c r="N66" s="5"/>
    </row>
    <row r="67" spans="13:14" x14ac:dyDescent="0.25">
      <c r="M67" s="5"/>
      <c r="N67" s="5"/>
    </row>
    <row r="68" spans="13:14" x14ac:dyDescent="0.25">
      <c r="M68" s="5"/>
      <c r="N68" s="5"/>
    </row>
    <row r="69" spans="13:14" x14ac:dyDescent="0.25">
      <c r="M69" s="5"/>
      <c r="N69" s="5"/>
    </row>
    <row r="70" spans="13:14" x14ac:dyDescent="0.25">
      <c r="M70" s="5"/>
      <c r="N70" s="5"/>
    </row>
    <row r="71" spans="13:14" x14ac:dyDescent="0.25">
      <c r="M71" s="5"/>
      <c r="N71" s="5"/>
    </row>
    <row r="72" spans="13:14" x14ac:dyDescent="0.25">
      <c r="M72" s="5"/>
      <c r="N72" s="5"/>
    </row>
    <row r="73" spans="13:14" x14ac:dyDescent="0.25">
      <c r="M73" s="5"/>
      <c r="N73" s="5"/>
    </row>
    <row r="74" spans="13:14" x14ac:dyDescent="0.25">
      <c r="M74" s="5"/>
      <c r="N74" s="5"/>
    </row>
    <row r="75" spans="13:14" x14ac:dyDescent="0.25">
      <c r="M75" s="5"/>
      <c r="N75" s="5"/>
    </row>
    <row r="76" spans="13:14" x14ac:dyDescent="0.25">
      <c r="M76" s="5"/>
      <c r="N76" s="5"/>
    </row>
    <row r="77" spans="13:14" x14ac:dyDescent="0.25">
      <c r="M77" s="5"/>
      <c r="N77" s="5"/>
    </row>
    <row r="78" spans="13:14" x14ac:dyDescent="0.25">
      <c r="M78" s="5"/>
      <c r="N78" s="5"/>
    </row>
    <row r="79" spans="13:14" x14ac:dyDescent="0.25">
      <c r="M79" s="5"/>
      <c r="N79" s="5"/>
    </row>
    <row r="80" spans="13:14" x14ac:dyDescent="0.25">
      <c r="M80" s="5"/>
      <c r="N80" s="5"/>
    </row>
    <row r="81" spans="13:14" x14ac:dyDescent="0.25">
      <c r="M81" s="5"/>
      <c r="N81" s="5"/>
    </row>
    <row r="82" spans="13:14" x14ac:dyDescent="0.25">
      <c r="M82" s="5"/>
      <c r="N82" s="5"/>
    </row>
    <row r="83" spans="13:14" x14ac:dyDescent="0.25">
      <c r="M83" s="5"/>
      <c r="N83" s="5"/>
    </row>
    <row r="84" spans="13:14" x14ac:dyDescent="0.25">
      <c r="M84" s="5"/>
      <c r="N84" s="5"/>
    </row>
    <row r="85" spans="13:14" x14ac:dyDescent="0.25">
      <c r="M85" s="5"/>
      <c r="N85" s="5"/>
    </row>
    <row r="86" spans="13:14" x14ac:dyDescent="0.25">
      <c r="M86" s="5"/>
      <c r="N86" s="5"/>
    </row>
    <row r="87" spans="13:14" x14ac:dyDescent="0.25">
      <c r="M87" s="5"/>
      <c r="N87" s="5"/>
    </row>
    <row r="88" spans="13:14" x14ac:dyDescent="0.25">
      <c r="M88" s="5"/>
      <c r="N88" s="5"/>
    </row>
    <row r="89" spans="13:14" x14ac:dyDescent="0.25">
      <c r="M89" s="5"/>
      <c r="N89" s="5"/>
    </row>
    <row r="90" spans="13:14" x14ac:dyDescent="0.25">
      <c r="M90" s="5"/>
      <c r="N90" s="5"/>
    </row>
    <row r="91" spans="13:14" x14ac:dyDescent="0.25">
      <c r="M91" s="5"/>
      <c r="N91" s="5"/>
    </row>
    <row r="92" spans="13:14" x14ac:dyDescent="0.25">
      <c r="M92" s="5"/>
      <c r="N92" s="5"/>
    </row>
    <row r="93" spans="13:14" x14ac:dyDescent="0.25">
      <c r="M93" s="5"/>
      <c r="N93" s="5"/>
    </row>
    <row r="94" spans="13:14" x14ac:dyDescent="0.25">
      <c r="M94" s="5"/>
      <c r="N94" s="5"/>
    </row>
    <row r="95" spans="13:14" x14ac:dyDescent="0.25">
      <c r="M95" s="5"/>
      <c r="N95" s="5"/>
    </row>
    <row r="96" spans="13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</sheetData>
  <autoFilter ref="A1:V1" xr:uid="{B88D5778-2882-48F2-A8AB-D692570DB2CB}">
    <sortState xmlns:xlrd2="http://schemas.microsoft.com/office/spreadsheetml/2017/richdata2" ref="A2:V17">
      <sortCondition ref="O1"/>
    </sortState>
  </autoFilter>
  <conditionalFormatting sqref="J10:J17">
    <cfRule type="cellIs" dxfId="3" priority="1" operator="lessThan">
      <formula>76.78</formula>
    </cfRule>
  </conditionalFormatting>
  <conditionalFormatting sqref="G10:G17">
    <cfRule type="cellIs" dxfId="2" priority="4" operator="lessThan">
      <formula>0.2617</formula>
    </cfRule>
  </conditionalFormatting>
  <conditionalFormatting sqref="H10:H17">
    <cfRule type="cellIs" dxfId="1" priority="3" operator="lessThan">
      <formula>18.43</formula>
    </cfRule>
  </conditionalFormatting>
  <conditionalFormatting sqref="I10:I17">
    <cfRule type="cellIs" dxfId="0" priority="2" operator="lessThan">
      <formula>0.7426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85D3-0657-47F0-BCEA-E14580A84273}">
  <dimension ref="A1:T41"/>
  <sheetViews>
    <sheetView workbookViewId="0">
      <selection activeCell="I3" sqref="I3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0</v>
      </c>
      <c r="B2" s="3" t="s">
        <v>2</v>
      </c>
      <c r="C2" s="2" t="s">
        <v>3</v>
      </c>
      <c r="D2" s="2" t="s">
        <v>5</v>
      </c>
      <c r="E2" s="3">
        <v>0.4375</v>
      </c>
      <c r="F2" s="2">
        <v>82.48</v>
      </c>
      <c r="G2" s="2">
        <v>0.88190000000000002</v>
      </c>
      <c r="H2" s="17">
        <v>459.56</v>
      </c>
      <c r="I2" s="3">
        <v>1</v>
      </c>
      <c r="J2" s="6">
        <v>25</v>
      </c>
      <c r="K2" s="6">
        <v>6</v>
      </c>
      <c r="L2" s="6">
        <v>27</v>
      </c>
      <c r="M2" s="3">
        <f>SUM(I2:L2)</f>
        <v>59</v>
      </c>
      <c r="O2" s="12">
        <f>(E2-MIN($E$2:$E$41))/MIN($E$2:$E$41)</f>
        <v>0</v>
      </c>
      <c r="P2" s="12">
        <f>(F2-MIN($F$2:$F$41))/MIN($F$2:$F$41)</f>
        <v>0.65922349627841481</v>
      </c>
      <c r="Q2" s="12">
        <f>(G2-MIN($G$2:$G$41))/MIN($G$2:$G$41)</f>
        <v>0.16222983658408011</v>
      </c>
      <c r="R2" s="23">
        <f>(H2-MIN($H$2:$H$41))/MIN($H$2:$H$41)</f>
        <v>2.7214349340027533</v>
      </c>
      <c r="T2" s="12">
        <f>SUM(O2:R2)</f>
        <v>3.5428882668652482</v>
      </c>
    </row>
    <row r="3" spans="1:20" x14ac:dyDescent="0.25">
      <c r="A3" s="5" t="s">
        <v>0</v>
      </c>
      <c r="B3" s="1" t="s">
        <v>1</v>
      </c>
      <c r="C3" s="5" t="s">
        <v>3</v>
      </c>
      <c r="D3" s="5" t="s">
        <v>5</v>
      </c>
      <c r="E3" s="1">
        <v>0.43790000000000001</v>
      </c>
      <c r="F3" s="5">
        <v>82.47</v>
      </c>
      <c r="G3" s="5">
        <v>1.0033000000000001</v>
      </c>
      <c r="H3" s="4">
        <v>558.59</v>
      </c>
      <c r="I3" s="1">
        <v>2</v>
      </c>
      <c r="J3" s="4">
        <v>24</v>
      </c>
      <c r="K3" s="4">
        <v>22</v>
      </c>
      <c r="L3" s="4">
        <v>32</v>
      </c>
      <c r="M3" s="3">
        <f>SUM(I3:L3)</f>
        <v>80</v>
      </c>
      <c r="O3" s="12">
        <f>(E3-MIN($E$2:$E$41))/MIN($E$2:$E$41)</f>
        <v>9.1428571428574051E-4</v>
      </c>
      <c r="P3" s="12">
        <f>(F3-MIN($F$2:$F$41))/MIN($F$2:$F$41)</f>
        <v>0.65902232951116468</v>
      </c>
      <c r="Q3" s="12">
        <f>(G3-MIN($G$2:$G$41))/MIN($G$2:$G$41)</f>
        <v>0.3222192936215077</v>
      </c>
      <c r="R3" s="23">
        <f>(H3-MIN($H$2:$H$41))/MIN($H$2:$H$41)</f>
        <v>3.5233622155640134</v>
      </c>
      <c r="T3" s="12">
        <f>SUM(O3:R3)</f>
        <v>4.5055181244109717</v>
      </c>
    </row>
    <row r="4" spans="1:20" x14ac:dyDescent="0.25">
      <c r="A4" s="5" t="s">
        <v>0</v>
      </c>
      <c r="B4" s="1" t="s">
        <v>2</v>
      </c>
      <c r="C4" s="5" t="s">
        <v>4</v>
      </c>
      <c r="D4" s="5" t="s">
        <v>5</v>
      </c>
      <c r="E4" s="1">
        <v>0.52029999999999998</v>
      </c>
      <c r="F4" s="5">
        <v>66.760000000000005</v>
      </c>
      <c r="G4" s="5">
        <v>0.87849999999999995</v>
      </c>
      <c r="H4" s="4">
        <v>358.23</v>
      </c>
      <c r="I4" s="1">
        <v>3</v>
      </c>
      <c r="J4" s="4">
        <v>15</v>
      </c>
      <c r="K4" s="4">
        <v>5</v>
      </c>
      <c r="L4" s="4">
        <v>19</v>
      </c>
      <c r="M4" s="3">
        <f>SUM(I4:L4)</f>
        <v>42</v>
      </c>
      <c r="O4" s="12">
        <f>(E4-MIN($E$2:$E$41))/MIN($E$2:$E$41)</f>
        <v>0.18925714285714282</v>
      </c>
      <c r="P4" s="12">
        <f>(F4-MIN($F$2:$F$41))/MIN($F$2:$F$41)</f>
        <v>0.34298933816133581</v>
      </c>
      <c r="Q4" s="12">
        <f>(G4-MIN($G$2:$G$41))/MIN($G$2:$G$41)</f>
        <v>0.1577490774907748</v>
      </c>
      <c r="R4" s="23">
        <f>(H4-MIN($H$2:$H$41))/MIN($H$2:$H$41)</f>
        <v>1.9008826625637705</v>
      </c>
      <c r="T4" s="12">
        <f>SUM(O4:R4)</f>
        <v>2.5908782210730239</v>
      </c>
    </row>
    <row r="5" spans="1:20" x14ac:dyDescent="0.25">
      <c r="A5" s="5" t="s">
        <v>0</v>
      </c>
      <c r="B5" s="1" t="s">
        <v>1</v>
      </c>
      <c r="C5" s="5" t="s">
        <v>4</v>
      </c>
      <c r="D5" s="5" t="s">
        <v>5</v>
      </c>
      <c r="E5" s="9">
        <v>0.52110000000000001</v>
      </c>
      <c r="F5" s="5">
        <v>74.88</v>
      </c>
      <c r="G5" s="5">
        <v>0.89959999999999996</v>
      </c>
      <c r="H5" s="4">
        <v>366.44</v>
      </c>
      <c r="I5" s="1">
        <v>4</v>
      </c>
      <c r="J5" s="4">
        <v>17</v>
      </c>
      <c r="K5" s="4">
        <v>11</v>
      </c>
      <c r="L5" s="4">
        <v>20</v>
      </c>
      <c r="M5" s="3">
        <f>SUM(I5:L5)</f>
        <v>52</v>
      </c>
      <c r="O5" s="12">
        <f>(E5-MIN($E$2:$E$41))/MIN($E$2:$E$41)</f>
        <v>0.1910857142857143</v>
      </c>
      <c r="P5" s="12">
        <f>(F5-MIN($F$2:$F$41))/MIN($F$2:$F$41)</f>
        <v>0.50633675316837645</v>
      </c>
      <c r="Q5" s="12">
        <f>(G5-MIN($G$2:$G$41))/MIN($G$2:$G$41)</f>
        <v>0.18555614127569836</v>
      </c>
      <c r="R5" s="23">
        <f>(H5-MIN($H$2:$H$41))/MIN($H$2:$H$41)</f>
        <v>1.9673657786055552</v>
      </c>
      <c r="T5" s="12">
        <f>SUM(O5:R5)</f>
        <v>2.850344387335344</v>
      </c>
    </row>
    <row r="6" spans="1:20" x14ac:dyDescent="0.25">
      <c r="A6" s="5" t="s">
        <v>10</v>
      </c>
      <c r="B6" s="1" t="s">
        <v>1</v>
      </c>
      <c r="C6" s="5" t="s">
        <v>3</v>
      </c>
      <c r="D6" s="5" t="s">
        <v>5</v>
      </c>
      <c r="E6" s="1">
        <v>0.84360000000000002</v>
      </c>
      <c r="F6" s="10">
        <v>90.6</v>
      </c>
      <c r="G6" s="5">
        <v>0.9254</v>
      </c>
      <c r="H6" s="4">
        <v>652.26</v>
      </c>
      <c r="I6" s="1">
        <v>5</v>
      </c>
      <c r="J6" s="4">
        <v>30</v>
      </c>
      <c r="K6" s="4">
        <v>13</v>
      </c>
      <c r="L6" s="4">
        <v>33</v>
      </c>
      <c r="M6" s="3">
        <f>SUM(I6:L6)</f>
        <v>81</v>
      </c>
      <c r="O6" s="12">
        <f>(E6-MIN($E$2:$E$41))/MIN($E$2:$E$41)</f>
        <v>0.92822857142857151</v>
      </c>
      <c r="P6" s="12">
        <f>(F6-MIN($F$2:$F$41))/MIN($F$2:$F$41)</f>
        <v>0.82257091128545545</v>
      </c>
      <c r="Q6" s="12">
        <f>(G6-MIN($G$2:$G$41))/MIN($G$2:$G$41)</f>
        <v>0.21955719557195566</v>
      </c>
      <c r="R6" s="23">
        <f>(H6-MIN($H$2:$H$41))/MIN($H$2:$H$41)</f>
        <v>4.2818851728884928</v>
      </c>
      <c r="T6" s="12">
        <f>SUM(O6:R6)</f>
        <v>6.2522418511744755</v>
      </c>
    </row>
    <row r="7" spans="1:20" x14ac:dyDescent="0.25">
      <c r="A7" s="5" t="s">
        <v>10</v>
      </c>
      <c r="B7" s="1" t="s">
        <v>2</v>
      </c>
      <c r="C7" s="5" t="s">
        <v>3</v>
      </c>
      <c r="D7" s="5" t="s">
        <v>6</v>
      </c>
      <c r="E7" s="9">
        <v>0.85529999999999995</v>
      </c>
      <c r="F7" s="4">
        <v>89.35</v>
      </c>
      <c r="G7" s="8">
        <v>0.91349999999999998</v>
      </c>
      <c r="H7" s="4">
        <v>464.64</v>
      </c>
      <c r="I7" s="1">
        <v>6</v>
      </c>
      <c r="J7" s="4">
        <v>29</v>
      </c>
      <c r="K7" s="4">
        <v>12</v>
      </c>
      <c r="L7" s="4">
        <v>28</v>
      </c>
      <c r="M7" s="3">
        <f>SUM(I7:L7)</f>
        <v>75</v>
      </c>
      <c r="O7" s="12">
        <f>(E7-MIN($E$2:$E$41))/MIN($E$2:$E$41)</f>
        <v>0.95497142857142847</v>
      </c>
      <c r="P7" s="12">
        <f>(F7-MIN($F$2:$F$41))/MIN($F$2:$F$41)</f>
        <v>0.79742506537919922</v>
      </c>
      <c r="Q7" s="12">
        <f>(G7-MIN($G$2:$G$41))/MIN($G$2:$G$41)</f>
        <v>0.20387453874538738</v>
      </c>
      <c r="R7" s="23">
        <f>(H7-MIN($H$2:$H$41))/MIN($H$2:$H$41)</f>
        <v>2.7625718681674627</v>
      </c>
      <c r="T7" s="12">
        <f>SUM(O7:R7)</f>
        <v>4.7188429008634776</v>
      </c>
    </row>
    <row r="8" spans="1:20" x14ac:dyDescent="0.25">
      <c r="A8" s="5" t="s">
        <v>10</v>
      </c>
      <c r="B8" s="1" t="s">
        <v>2</v>
      </c>
      <c r="C8" s="5" t="s">
        <v>4</v>
      </c>
      <c r="D8" s="5" t="s">
        <v>5</v>
      </c>
      <c r="E8" s="1">
        <v>0.87039999999999995</v>
      </c>
      <c r="F8" s="11">
        <v>84.21</v>
      </c>
      <c r="G8" s="8">
        <v>0.98409999999999997</v>
      </c>
      <c r="H8" s="4">
        <v>438.34</v>
      </c>
      <c r="I8" s="1">
        <v>7</v>
      </c>
      <c r="J8" s="4">
        <v>28</v>
      </c>
      <c r="K8" s="4">
        <v>18</v>
      </c>
      <c r="L8" s="4">
        <v>25</v>
      </c>
      <c r="M8" s="3">
        <f>SUM(I8:L8)</f>
        <v>78</v>
      </c>
      <c r="O8" s="12">
        <f>(E8-MIN($E$2:$E$41))/MIN($E$2:$E$41)</f>
        <v>0.98948571428571419</v>
      </c>
      <c r="P8" s="12">
        <f>(F8-MIN($F$2:$F$41))/MIN($F$2:$F$41)</f>
        <v>0.69402534701267338</v>
      </c>
      <c r="Q8" s="12">
        <f>(G8-MIN($G$2:$G$41))/MIN($G$2:$G$41)</f>
        <v>0.29691618344754866</v>
      </c>
      <c r="R8" s="23">
        <f>(H8-MIN($H$2:$H$41))/MIN($H$2:$H$41)</f>
        <v>2.5495991578265444</v>
      </c>
      <c r="T8" s="12">
        <f>SUM(O8:R8)</f>
        <v>4.5300264025724806</v>
      </c>
    </row>
    <row r="9" spans="1:20" x14ac:dyDescent="0.25">
      <c r="A9" s="5" t="s">
        <v>10</v>
      </c>
      <c r="B9" s="1" t="s">
        <v>2</v>
      </c>
      <c r="C9" s="5" t="s">
        <v>3</v>
      </c>
      <c r="D9" s="5" t="s">
        <v>5</v>
      </c>
      <c r="E9" s="1">
        <v>0.87490000000000001</v>
      </c>
      <c r="F9" s="11">
        <v>79.72</v>
      </c>
      <c r="G9" s="4">
        <v>0.9516</v>
      </c>
      <c r="H9" s="4">
        <v>514.82000000000005</v>
      </c>
      <c r="I9" s="1">
        <v>8</v>
      </c>
      <c r="J9" s="4">
        <v>23</v>
      </c>
      <c r="K9" s="4">
        <v>15</v>
      </c>
      <c r="L9" s="4">
        <v>31</v>
      </c>
      <c r="M9" s="3">
        <f>SUM(I9:L9)</f>
        <v>77</v>
      </c>
      <c r="O9" s="12">
        <f>(E9-MIN($E$2:$E$41))/MIN($E$2:$E$41)</f>
        <v>0.99977142857142864</v>
      </c>
      <c r="P9" s="12">
        <f>(F9-MIN($F$2:$F$41))/MIN($F$2:$F$41)</f>
        <v>0.60370146851740092</v>
      </c>
      <c r="Q9" s="12">
        <f>(G9-MIN($G$2:$G$41))/MIN($G$2:$G$41)</f>
        <v>0.25408539799683705</v>
      </c>
      <c r="R9" s="23">
        <f>(H9-MIN($H$2:$H$41))/MIN($H$2:$H$41)</f>
        <v>3.1689205603692612</v>
      </c>
      <c r="T9" s="12">
        <f>SUM(O9:R9)</f>
        <v>5.0264788554549273</v>
      </c>
    </row>
    <row r="10" spans="1:20" x14ac:dyDescent="0.25">
      <c r="A10" s="2" t="s">
        <v>10</v>
      </c>
      <c r="B10" s="3" t="s">
        <v>1</v>
      </c>
      <c r="C10" s="2" t="s">
        <v>4</v>
      </c>
      <c r="D10" s="2" t="s">
        <v>6</v>
      </c>
      <c r="E10" s="18">
        <v>0.87939999999999996</v>
      </c>
      <c r="F10" s="6">
        <v>96.45</v>
      </c>
      <c r="G10" s="2">
        <v>0.92730000000000001</v>
      </c>
      <c r="H10" s="6">
        <v>383.99</v>
      </c>
      <c r="I10" s="3">
        <v>9</v>
      </c>
      <c r="J10" s="6">
        <v>32</v>
      </c>
      <c r="K10" s="6">
        <v>14</v>
      </c>
      <c r="L10" s="6">
        <v>22</v>
      </c>
      <c r="M10" s="3">
        <f>SUM(I10:L10)</f>
        <v>77</v>
      </c>
      <c r="O10" s="12">
        <f>(E10-MIN($E$2:$E$41))/MIN($E$2:$E$41)</f>
        <v>1.0100571428571428</v>
      </c>
      <c r="P10" s="12">
        <f>(F10-MIN($F$2:$F$41))/MIN($F$2:$F$41)</f>
        <v>0.9402534701267351</v>
      </c>
      <c r="Q10" s="12">
        <f>(G10-MIN($G$2:$G$41))/MIN($G$2:$G$41)</f>
        <v>0.22206114918292036</v>
      </c>
      <c r="R10" s="23">
        <f>(H10-MIN($H$2:$H$41))/MIN($H$2:$H$41)</f>
        <v>2.1094825491942668</v>
      </c>
      <c r="T10" s="12">
        <f>SUM(O10:R10)</f>
        <v>4.281854311361065</v>
      </c>
    </row>
    <row r="11" spans="1:20" x14ac:dyDescent="0.25">
      <c r="A11" s="5" t="s">
        <v>10</v>
      </c>
      <c r="B11" s="1" t="s">
        <v>1</v>
      </c>
      <c r="C11" s="5" t="s">
        <v>3</v>
      </c>
      <c r="D11" s="5" t="s">
        <v>6</v>
      </c>
      <c r="E11" s="1">
        <v>0.93169999999999997</v>
      </c>
      <c r="F11" s="4">
        <v>112.87</v>
      </c>
      <c r="G11" s="4">
        <v>1.0195000000000001</v>
      </c>
      <c r="H11" s="4">
        <v>356.06</v>
      </c>
      <c r="I11" s="1">
        <v>10</v>
      </c>
      <c r="J11" s="4">
        <v>37</v>
      </c>
      <c r="K11" s="4">
        <v>23</v>
      </c>
      <c r="L11" s="4">
        <v>18</v>
      </c>
      <c r="M11" s="3">
        <f>SUM(I11:L11)</f>
        <v>88</v>
      </c>
      <c r="O11" s="12">
        <f>(E11-MIN($E$2:$E$41))/MIN($E$2:$E$41)</f>
        <v>1.1295999999999999</v>
      </c>
      <c r="P11" s="12">
        <f>(F11-MIN($F$2:$F$41))/MIN($F$2:$F$41)</f>
        <v>1.2705693019513178</v>
      </c>
      <c r="Q11" s="12">
        <f>(G11-MIN($G$2:$G$41))/MIN($G$2:$G$41)</f>
        <v>0.34356879283078551</v>
      </c>
      <c r="R11" s="23">
        <f>(H11-MIN($H$2:$H$41))/MIN($H$2:$H$41)</f>
        <v>1.8833103895052232</v>
      </c>
      <c r="T11" s="12">
        <f>SUM(O11:R11)</f>
        <v>4.6270484842873261</v>
      </c>
    </row>
    <row r="12" spans="1:20" x14ac:dyDescent="0.25">
      <c r="A12" s="5" t="s">
        <v>0</v>
      </c>
      <c r="B12" s="1" t="s">
        <v>1</v>
      </c>
      <c r="C12" s="5" t="s">
        <v>4</v>
      </c>
      <c r="D12" s="5" t="s">
        <v>6</v>
      </c>
      <c r="E12" s="1">
        <v>0.94059999999999999</v>
      </c>
      <c r="F12" s="5">
        <v>59.15</v>
      </c>
      <c r="G12" s="8">
        <v>0.78649999999999998</v>
      </c>
      <c r="H12" s="11">
        <v>826.7</v>
      </c>
      <c r="I12" s="1">
        <v>11</v>
      </c>
      <c r="J12" s="4">
        <v>10</v>
      </c>
      <c r="K12" s="4">
        <v>3</v>
      </c>
      <c r="L12" s="4">
        <v>39</v>
      </c>
      <c r="M12" s="3">
        <f>SUM(I12:L12)</f>
        <v>63</v>
      </c>
      <c r="O12" s="12">
        <f>(E12-MIN($E$2:$E$41))/MIN($E$2:$E$41)</f>
        <v>1.1499428571428572</v>
      </c>
      <c r="P12" s="12">
        <f>(F12-MIN($F$2:$F$41))/MIN($F$2:$F$41)</f>
        <v>0.18990142828404744</v>
      </c>
      <c r="Q12" s="12">
        <f>(G12-MIN($G$2:$G$41))/MIN($G$2:$G$41)</f>
        <v>3.6505007907221859E-2</v>
      </c>
      <c r="R12" s="23">
        <f>(H12-MIN($H$2:$H$41))/MIN($H$2:$H$41)</f>
        <v>5.694469187788485</v>
      </c>
      <c r="T12" s="12">
        <f>SUM(O12:R12)</f>
        <v>7.0708184811226111</v>
      </c>
    </row>
    <row r="13" spans="1:20" x14ac:dyDescent="0.25">
      <c r="A13" s="5" t="s">
        <v>0</v>
      </c>
      <c r="B13" s="1" t="s">
        <v>1</v>
      </c>
      <c r="C13" s="5" t="s">
        <v>3</v>
      </c>
      <c r="D13" s="5" t="s">
        <v>6</v>
      </c>
      <c r="E13" s="9">
        <v>0.94299999999999995</v>
      </c>
      <c r="F13" s="5">
        <v>79.36</v>
      </c>
      <c r="G13" s="5">
        <v>0.77010000000000001</v>
      </c>
      <c r="H13" s="4">
        <v>767.54</v>
      </c>
      <c r="I13" s="1">
        <v>12</v>
      </c>
      <c r="J13" s="4">
        <v>22</v>
      </c>
      <c r="K13" s="4">
        <v>2</v>
      </c>
      <c r="L13" s="4">
        <v>36</v>
      </c>
      <c r="M13" s="3">
        <f>SUM(I13:L13)</f>
        <v>72</v>
      </c>
      <c r="O13" s="12">
        <f>(E13-MIN($E$2:$E$41))/MIN($E$2:$E$41)</f>
        <v>1.1554285714285712</v>
      </c>
      <c r="P13" s="12">
        <f>(F13-MIN($F$2:$F$41))/MIN($F$2:$F$41)</f>
        <v>0.59645946489639912</v>
      </c>
      <c r="Q13" s="12">
        <f>(G13-MIN($G$2:$G$41))/MIN($G$2:$G$41)</f>
        <v>1.4891934633632019E-2</v>
      </c>
      <c r="R13" s="23">
        <f>(H13-MIN($H$2:$H$41))/MIN($H$2:$H$41)</f>
        <v>5.2154020568467079</v>
      </c>
      <c r="T13" s="12">
        <f>SUM(O13:R13)</f>
        <v>6.9821820278053099</v>
      </c>
    </row>
    <row r="14" spans="1:20" x14ac:dyDescent="0.25">
      <c r="A14" s="5" t="s">
        <v>10</v>
      </c>
      <c r="B14" s="1" t="s">
        <v>2</v>
      </c>
      <c r="C14" s="5" t="s">
        <v>4</v>
      </c>
      <c r="D14" s="5" t="s">
        <v>6</v>
      </c>
      <c r="E14" s="9">
        <v>0.96689999999999998</v>
      </c>
      <c r="F14" s="11">
        <v>79.099999999999994</v>
      </c>
      <c r="G14" s="8">
        <v>1.0009999999999999</v>
      </c>
      <c r="H14" s="4">
        <v>381.55</v>
      </c>
      <c r="I14" s="1">
        <v>13</v>
      </c>
      <c r="J14" s="4">
        <v>21</v>
      </c>
      <c r="K14" s="4">
        <v>21</v>
      </c>
      <c r="L14" s="4">
        <v>21</v>
      </c>
      <c r="M14" s="3">
        <f>SUM(I14:L14)</f>
        <v>76</v>
      </c>
      <c r="O14" s="12">
        <f>(E14-MIN($E$2:$E$41))/MIN($E$2:$E$41)</f>
        <v>1.2100571428571427</v>
      </c>
      <c r="P14" s="12">
        <f>(F14-MIN($F$2:$F$41))/MIN($F$2:$F$41)</f>
        <v>0.5912291289478977</v>
      </c>
      <c r="Q14" s="12">
        <f>(G14-MIN($G$2:$G$41))/MIN($G$2:$G$41)</f>
        <v>0.3191881918819186</v>
      </c>
      <c r="R14" s="23">
        <f>(H14-MIN($H$2:$H$41))/MIN($H$2:$H$41)</f>
        <v>2.0897238642805087</v>
      </c>
      <c r="T14" s="12">
        <f>SUM(O14:R14)</f>
        <v>4.2101983279674675</v>
      </c>
    </row>
    <row r="15" spans="1:20" x14ac:dyDescent="0.25">
      <c r="A15" s="5" t="s">
        <v>10</v>
      </c>
      <c r="B15" s="1" t="s">
        <v>1</v>
      </c>
      <c r="C15" s="5" t="s">
        <v>4</v>
      </c>
      <c r="D15" s="5" t="s">
        <v>5</v>
      </c>
      <c r="E15" s="1">
        <v>0.98670000000000002</v>
      </c>
      <c r="F15" s="4">
        <v>77.34</v>
      </c>
      <c r="G15" s="5">
        <v>1.0431999999999999</v>
      </c>
      <c r="H15" s="4">
        <v>734.21</v>
      </c>
      <c r="I15" s="1">
        <v>14</v>
      </c>
      <c r="J15" s="4">
        <v>20</v>
      </c>
      <c r="K15" s="4">
        <v>25</v>
      </c>
      <c r="L15" s="5">
        <v>35</v>
      </c>
      <c r="M15" s="3">
        <f>SUM(I15:L15)</f>
        <v>94</v>
      </c>
      <c r="O15" s="12">
        <f>(E15-MIN($E$2:$E$41))/MIN($E$2:$E$41)</f>
        <v>1.2553142857142858</v>
      </c>
      <c r="P15" s="12">
        <f>(F15-MIN($F$2:$F$41))/MIN($F$2:$F$41)</f>
        <v>0.55582377791188897</v>
      </c>
      <c r="Q15" s="12">
        <f>(G15-MIN($G$2:$G$41))/MIN($G$2:$G$41)</f>
        <v>0.37480231945176579</v>
      </c>
      <c r="R15" s="23">
        <f>(H15-MIN($H$2:$H$41))/MIN($H$2:$H$41)</f>
        <v>4.9455016600534458</v>
      </c>
      <c r="T15" s="12">
        <f>SUM(O15:R15)</f>
        <v>7.1314420431313863</v>
      </c>
    </row>
    <row r="16" spans="1:20" x14ac:dyDescent="0.25">
      <c r="A16" s="5" t="s">
        <v>9</v>
      </c>
      <c r="B16" s="1" t="s">
        <v>2</v>
      </c>
      <c r="C16" s="5" t="s">
        <v>4</v>
      </c>
      <c r="D16" s="5" t="s">
        <v>6</v>
      </c>
      <c r="E16" s="1">
        <v>1.0301</v>
      </c>
      <c r="F16" s="4">
        <v>75.66</v>
      </c>
      <c r="G16" s="7">
        <v>1.1787000000000001</v>
      </c>
      <c r="H16" s="11">
        <v>397.8</v>
      </c>
      <c r="I16" s="1">
        <v>15</v>
      </c>
      <c r="J16" s="4">
        <v>19</v>
      </c>
      <c r="K16" s="4">
        <v>35</v>
      </c>
      <c r="L16" s="4">
        <v>24</v>
      </c>
      <c r="M16" s="3">
        <f>SUM(I16:L16)</f>
        <v>93</v>
      </c>
      <c r="O16" s="12">
        <f>(E16-MIN($E$2:$E$41))/MIN($E$2:$E$41)</f>
        <v>1.3545142857142858</v>
      </c>
      <c r="P16" s="12">
        <f>(F16-MIN($F$2:$F$41))/MIN($F$2:$F$41)</f>
        <v>0.52202776101388038</v>
      </c>
      <c r="Q16" s="12">
        <f>(G16-MIN($G$2:$G$41))/MIN($G$2:$G$41)</f>
        <v>0.55337374802319461</v>
      </c>
      <c r="R16" s="23">
        <f>(H16-MIN($H$2:$H$41))/MIN($H$2:$H$41)</f>
        <v>2.2213134666774637</v>
      </c>
      <c r="T16" s="12">
        <f>SUM(O16:R16)</f>
        <v>4.6512292614288242</v>
      </c>
    </row>
    <row r="17" spans="1:20" x14ac:dyDescent="0.25">
      <c r="A17" s="5" t="s">
        <v>0</v>
      </c>
      <c r="B17" s="1" t="s">
        <v>2</v>
      </c>
      <c r="C17" s="5" t="s">
        <v>4</v>
      </c>
      <c r="D17" s="5" t="s">
        <v>6</v>
      </c>
      <c r="E17" s="9">
        <v>1.1399999999999999</v>
      </c>
      <c r="F17" s="5">
        <v>74.38</v>
      </c>
      <c r="G17" s="5">
        <v>0.75880000000000003</v>
      </c>
      <c r="H17" s="4">
        <v>396.73</v>
      </c>
      <c r="I17" s="1">
        <v>16</v>
      </c>
      <c r="J17" s="4">
        <v>16</v>
      </c>
      <c r="K17" s="4">
        <v>1</v>
      </c>
      <c r="L17" s="4">
        <v>23</v>
      </c>
      <c r="M17" s="3">
        <f>SUM(I17:L17)</f>
        <v>56</v>
      </c>
      <c r="O17" s="12">
        <f>(E17-MIN($E$2:$E$41))/MIN($E$2:$E$41)</f>
        <v>1.6057142857142854</v>
      </c>
      <c r="P17" s="12">
        <f>(F17-MIN($F$2:$F$41))/MIN($F$2:$F$41)</f>
        <v>0.49627841480587398</v>
      </c>
      <c r="Q17" s="12">
        <f>(G17-MIN($G$2:$G$41))/MIN($G$2:$G$41)</f>
        <v>0</v>
      </c>
      <c r="R17" s="23">
        <f>(H17-MIN($H$2:$H$41))/MIN($H$2:$H$41)</f>
        <v>2.2126487974734799</v>
      </c>
      <c r="T17" s="12">
        <f>SUM(O17:R17)</f>
        <v>4.3146414979936392</v>
      </c>
    </row>
    <row r="18" spans="1:20" x14ac:dyDescent="0.25">
      <c r="A18" s="2" t="s">
        <v>8</v>
      </c>
      <c r="B18" s="3" t="s">
        <v>1</v>
      </c>
      <c r="C18" s="2" t="s">
        <v>3</v>
      </c>
      <c r="D18" s="2" t="s">
        <v>6</v>
      </c>
      <c r="E18" s="18">
        <v>1.1523000000000001</v>
      </c>
      <c r="F18" s="6">
        <v>150.72</v>
      </c>
      <c r="G18" s="2">
        <v>0.89080000000000004</v>
      </c>
      <c r="H18" s="6">
        <v>778.66</v>
      </c>
      <c r="I18" s="3">
        <v>17</v>
      </c>
      <c r="J18" s="6">
        <v>40</v>
      </c>
      <c r="K18" s="6">
        <v>9</v>
      </c>
      <c r="L18" s="6">
        <v>37</v>
      </c>
      <c r="M18" s="3">
        <f>SUM(I18:L18)</f>
        <v>103</v>
      </c>
      <c r="O18" s="12">
        <f>(E18-MIN($E$2:$E$41))/MIN($E$2:$E$41)</f>
        <v>1.6338285714285716</v>
      </c>
      <c r="P18" s="12">
        <f>(F18-MIN($F$2:$F$41))/MIN($F$2:$F$41)</f>
        <v>2.0319855159927576</v>
      </c>
      <c r="Q18" s="12">
        <f>(G18-MIN($G$2:$G$41))/MIN($G$2:$G$41)</f>
        <v>0.17395888244596733</v>
      </c>
      <c r="R18" s="23">
        <f>(H18-MIN($H$2:$H$41))/MIN($H$2:$H$41)</f>
        <v>5.305449833994655</v>
      </c>
      <c r="T18" s="12">
        <f>SUM(O18:R18)</f>
        <v>9.1452228038619516</v>
      </c>
    </row>
    <row r="19" spans="1:20" x14ac:dyDescent="0.25">
      <c r="A19" s="5" t="s">
        <v>8</v>
      </c>
      <c r="B19" s="1" t="s">
        <v>1</v>
      </c>
      <c r="C19" s="5" t="s">
        <v>4</v>
      </c>
      <c r="D19" s="5" t="s">
        <v>6</v>
      </c>
      <c r="E19" s="9">
        <v>1.1858</v>
      </c>
      <c r="F19" s="4">
        <v>57.68</v>
      </c>
      <c r="G19" s="5">
        <v>1.1335</v>
      </c>
      <c r="H19" s="11">
        <v>216.2</v>
      </c>
      <c r="I19" s="1">
        <v>18</v>
      </c>
      <c r="J19" s="4">
        <v>8</v>
      </c>
      <c r="K19" s="4">
        <v>30</v>
      </c>
      <c r="L19" s="4">
        <v>15</v>
      </c>
      <c r="M19" s="3">
        <f>SUM(I19:L19)</f>
        <v>71</v>
      </c>
      <c r="O19" s="12">
        <f>(E19-MIN($E$2:$E$41))/MIN($E$2:$E$41)</f>
        <v>1.7103999999999999</v>
      </c>
      <c r="P19" s="12">
        <f>(F19-MIN($F$2:$F$41))/MIN($F$2:$F$41)</f>
        <v>0.16032991349829007</v>
      </c>
      <c r="Q19" s="12">
        <f>(G19-MIN($G$2:$G$41))/MIN($G$2:$G$41)</f>
        <v>0.49380600948866621</v>
      </c>
      <c r="R19" s="23">
        <f>(H19-MIN($H$2:$H$41))/MIN($H$2:$H$41)</f>
        <v>0.75074904850595192</v>
      </c>
      <c r="T19" s="12">
        <f>SUM(O19:R19)</f>
        <v>3.1152849714929083</v>
      </c>
    </row>
    <row r="20" spans="1:20" x14ac:dyDescent="0.25">
      <c r="A20" s="5" t="s">
        <v>7</v>
      </c>
      <c r="B20" s="1" t="s">
        <v>1</v>
      </c>
      <c r="C20" s="5" t="s">
        <v>3</v>
      </c>
      <c r="D20" s="5" t="s">
        <v>6</v>
      </c>
      <c r="E20" s="1">
        <v>1.1939</v>
      </c>
      <c r="F20" s="11">
        <v>56.51</v>
      </c>
      <c r="G20" s="5">
        <v>0.86580000000000001</v>
      </c>
      <c r="H20" s="4">
        <v>166.24</v>
      </c>
      <c r="I20" s="1">
        <v>19</v>
      </c>
      <c r="J20" s="4">
        <v>7</v>
      </c>
      <c r="K20" s="4">
        <v>4</v>
      </c>
      <c r="L20" s="4">
        <v>7</v>
      </c>
      <c r="M20" s="3">
        <f>SUM(I20:L20)</f>
        <v>37</v>
      </c>
      <c r="O20" s="12">
        <f>(E20-MIN($E$2:$E$41))/MIN($E$2:$E$41)</f>
        <v>1.7289142857142856</v>
      </c>
      <c r="P20" s="12">
        <f>(F20-MIN($F$2:$F$41))/MIN($F$2:$F$41)</f>
        <v>0.13679340173003413</v>
      </c>
      <c r="Q20" s="12">
        <f>(G20-MIN($G$2:$G$41))/MIN($G$2:$G$41)</f>
        <v>0.14101212440695832</v>
      </c>
      <c r="R20" s="23">
        <f>(H20-MIN($H$2:$H$41))/MIN($H$2:$H$41)</f>
        <v>0.34618187707506692</v>
      </c>
      <c r="T20" s="12">
        <f>SUM(O20:R20)</f>
        <v>2.352901688926345</v>
      </c>
    </row>
    <row r="21" spans="1:20" x14ac:dyDescent="0.25">
      <c r="A21" s="5" t="s">
        <v>0</v>
      </c>
      <c r="B21" s="1" t="s">
        <v>2</v>
      </c>
      <c r="C21" s="5" t="s">
        <v>3</v>
      </c>
      <c r="D21" s="5" t="s">
        <v>6</v>
      </c>
      <c r="E21" s="9">
        <v>1.1990000000000001</v>
      </c>
      <c r="F21" s="5">
        <v>102.59</v>
      </c>
      <c r="G21" s="8">
        <v>2.3477999999999999</v>
      </c>
      <c r="H21">
        <v>48649.33</v>
      </c>
      <c r="I21" s="1">
        <v>20</v>
      </c>
      <c r="J21" s="4">
        <v>34</v>
      </c>
      <c r="K21" s="4">
        <v>40</v>
      </c>
      <c r="L21" s="4">
        <v>40</v>
      </c>
      <c r="M21" s="3">
        <f>SUM(I21:L21)</f>
        <v>134</v>
      </c>
      <c r="O21" s="12">
        <f>(E21-MIN($E$2:$E$41))/MIN($E$2:$E$41)</f>
        <v>1.7405714285714287</v>
      </c>
      <c r="P21" s="12">
        <f>(F21-MIN($F$2:$F$41))/MIN($F$2:$F$41)</f>
        <v>1.0637698652182659</v>
      </c>
      <c r="Q21" s="12">
        <f>(G21-MIN($G$2:$G$41))/MIN($G$2:$G$41)</f>
        <v>2.0940959409594093</v>
      </c>
      <c r="R21" s="23">
        <f>(H21-MIN($H$2:$H$41))/MIN($H$2:$H$41)</f>
        <v>392.95359948173945</v>
      </c>
      <c r="T21" s="12">
        <f>SUM(O21:R21)</f>
        <v>397.85203671648856</v>
      </c>
    </row>
    <row r="22" spans="1:20" x14ac:dyDescent="0.25">
      <c r="A22" s="5" t="s">
        <v>9</v>
      </c>
      <c r="B22" s="1" t="s">
        <v>2</v>
      </c>
      <c r="C22" s="5" t="s">
        <v>3</v>
      </c>
      <c r="D22" s="5" t="s">
        <v>5</v>
      </c>
      <c r="E22" s="1">
        <v>1.2201</v>
      </c>
      <c r="F22" s="4">
        <v>127.05</v>
      </c>
      <c r="G22" s="4">
        <v>0.98980000000000001</v>
      </c>
      <c r="H22" s="11">
        <v>478.19</v>
      </c>
      <c r="I22" s="1">
        <v>21</v>
      </c>
      <c r="J22" s="4">
        <v>38</v>
      </c>
      <c r="K22" s="4">
        <v>19</v>
      </c>
      <c r="L22" s="4">
        <v>29</v>
      </c>
      <c r="M22" s="3">
        <f>SUM(I22:L22)</f>
        <v>107</v>
      </c>
      <c r="O22" s="12">
        <f>(E22-MIN($E$2:$E$41))/MIN($E$2:$E$41)</f>
        <v>1.7887999999999999</v>
      </c>
      <c r="P22" s="12">
        <f>(F22-MIN($F$2:$F$41))/MIN($F$2:$F$41)</f>
        <v>1.5558237779118891</v>
      </c>
      <c r="Q22" s="12">
        <f>(G22-MIN($G$2:$G$41))/MIN($G$2:$G$41)</f>
        <v>0.30442804428044279</v>
      </c>
      <c r="R22" s="23">
        <f>(H22-MIN($H$2:$H$41))/MIN($H$2:$H$41)</f>
        <v>2.8722973520123087</v>
      </c>
      <c r="T22" s="12">
        <f>SUM(O22:R22)</f>
        <v>6.5213491742046408</v>
      </c>
    </row>
    <row r="23" spans="1:20" x14ac:dyDescent="0.25">
      <c r="A23" s="5" t="s">
        <v>9</v>
      </c>
      <c r="B23" s="1" t="s">
        <v>2</v>
      </c>
      <c r="C23" s="5" t="s">
        <v>4</v>
      </c>
      <c r="D23" s="5" t="s">
        <v>5</v>
      </c>
      <c r="E23" s="1">
        <v>1.2228000000000001</v>
      </c>
      <c r="F23" s="11">
        <v>82.85</v>
      </c>
      <c r="G23" s="8">
        <v>1.1712</v>
      </c>
      <c r="H23" s="11">
        <v>439.8</v>
      </c>
      <c r="I23" s="1">
        <v>22</v>
      </c>
      <c r="J23" s="4">
        <v>27</v>
      </c>
      <c r="K23" s="4">
        <v>33</v>
      </c>
      <c r="L23" s="4">
        <v>26</v>
      </c>
      <c r="M23" s="3">
        <f>SUM(I23:L23)</f>
        <v>108</v>
      </c>
      <c r="O23" s="12">
        <f>(E23-MIN($E$2:$E$41))/MIN($E$2:$E$41)</f>
        <v>1.7949714285714289</v>
      </c>
      <c r="P23" s="12">
        <f>(F23-MIN($F$2:$F$41))/MIN($F$2:$F$41)</f>
        <v>0.66666666666666652</v>
      </c>
      <c r="Q23" s="12">
        <f>(G23-MIN($G$2:$G$41))/MIN($G$2:$G$41)</f>
        <v>0.54348972061149181</v>
      </c>
      <c r="R23" s="23">
        <f>(H23-MIN($H$2:$H$41))/MIN($H$2:$H$41)</f>
        <v>2.561421977488056</v>
      </c>
      <c r="T23" s="12">
        <f>SUM(O23:R23)</f>
        <v>5.5665497933376429</v>
      </c>
    </row>
    <row r="24" spans="1:20" x14ac:dyDescent="0.25">
      <c r="A24" s="5" t="s">
        <v>9</v>
      </c>
      <c r="B24" s="1" t="s">
        <v>2</v>
      </c>
      <c r="C24" s="5" t="s">
        <v>3</v>
      </c>
      <c r="D24" s="5" t="s">
        <v>6</v>
      </c>
      <c r="E24" s="1">
        <v>1.2282</v>
      </c>
      <c r="F24" s="4">
        <v>106.77</v>
      </c>
      <c r="G24" s="8">
        <v>1.0713999999999999</v>
      </c>
      <c r="H24" s="4">
        <v>481.73</v>
      </c>
      <c r="I24" s="1">
        <v>23</v>
      </c>
      <c r="J24" s="4">
        <v>35</v>
      </c>
      <c r="K24" s="4">
        <v>27</v>
      </c>
      <c r="L24" s="4">
        <v>30</v>
      </c>
      <c r="M24" s="3">
        <f>SUM(I24:L24)</f>
        <v>115</v>
      </c>
      <c r="O24" s="12">
        <f>(E24-MIN($E$2:$E$41))/MIN($E$2:$E$41)</f>
        <v>1.8073142857142857</v>
      </c>
      <c r="P24" s="12">
        <f>(F24-MIN($F$2:$F$41))/MIN($F$2:$F$41)</f>
        <v>1.1478575739287868</v>
      </c>
      <c r="Q24" s="12">
        <f>(G24-MIN($G$2:$G$41))/MIN($G$2:$G$41)</f>
        <v>0.41196626251976787</v>
      </c>
      <c r="R24" s="23">
        <f>(H24-MIN($H$2:$H$41))/MIN($H$2:$H$41)</f>
        <v>2.9009636407806303</v>
      </c>
      <c r="T24" s="12">
        <f>SUM(O24:R24)</f>
        <v>6.2681017629434699</v>
      </c>
    </row>
    <row r="25" spans="1:20" x14ac:dyDescent="0.25">
      <c r="A25" s="5" t="s">
        <v>7</v>
      </c>
      <c r="B25" s="1" t="s">
        <v>1</v>
      </c>
      <c r="C25" s="5" t="s">
        <v>3</v>
      </c>
      <c r="D25" s="5" t="s">
        <v>5</v>
      </c>
      <c r="E25" s="9">
        <v>1.2455000000000001</v>
      </c>
      <c r="F25" s="10">
        <v>55.47</v>
      </c>
      <c r="G25" s="8">
        <v>0.89229999999999998</v>
      </c>
      <c r="H25" s="11">
        <v>205.31</v>
      </c>
      <c r="I25" s="1">
        <v>24</v>
      </c>
      <c r="J25" s="4">
        <v>5</v>
      </c>
      <c r="K25" s="4">
        <v>10</v>
      </c>
      <c r="L25" s="4">
        <v>11</v>
      </c>
      <c r="M25" s="3">
        <f>SUM(I25:L25)</f>
        <v>50</v>
      </c>
      <c r="O25" s="12">
        <f>(E25-MIN($E$2:$E$41))/MIN($E$2:$E$41)</f>
        <v>1.846857142857143</v>
      </c>
      <c r="P25" s="12">
        <f>(F25-MIN($F$2:$F$41))/MIN($F$2:$F$41)</f>
        <v>0.11587205793602892</v>
      </c>
      <c r="Q25" s="12">
        <f>(G25-MIN($G$2:$G$41))/MIN($G$2:$G$41)</f>
        <v>0.17593568792830777</v>
      </c>
      <c r="R25" s="23">
        <f>(H25-MIN($H$2:$H$41))/MIN($H$2:$H$41)</f>
        <v>0.66256377034577707</v>
      </c>
      <c r="T25" s="12">
        <f>SUM(O25:R25)</f>
        <v>2.8012286590672564</v>
      </c>
    </row>
    <row r="26" spans="1:20" x14ac:dyDescent="0.25">
      <c r="A26" s="2" t="s">
        <v>7</v>
      </c>
      <c r="B26" s="3" t="s">
        <v>1</v>
      </c>
      <c r="C26" s="2" t="s">
        <v>4</v>
      </c>
      <c r="D26" s="2" t="s">
        <v>6</v>
      </c>
      <c r="E26" s="3">
        <v>1.2737000000000001</v>
      </c>
      <c r="F26" s="6">
        <v>52.71</v>
      </c>
      <c r="G26" s="2">
        <v>0.95169999999999999</v>
      </c>
      <c r="H26" s="6">
        <v>123.49</v>
      </c>
      <c r="I26" s="3">
        <v>25</v>
      </c>
      <c r="J26" s="6">
        <v>4</v>
      </c>
      <c r="K26" s="6">
        <v>16</v>
      </c>
      <c r="L26" s="2">
        <v>1</v>
      </c>
      <c r="M26" s="3">
        <f>SUM(I26:L26)</f>
        <v>46</v>
      </c>
      <c r="O26" s="12">
        <f>(E26-MIN($E$2:$E$41))/MIN($E$2:$E$41)</f>
        <v>1.9113142857142857</v>
      </c>
      <c r="P26" s="12">
        <f>(F26-MIN($F$2:$F$41))/MIN($F$2:$F$41)</f>
        <v>6.0350030175015085E-2</v>
      </c>
      <c r="Q26" s="12">
        <f>(G26-MIN($G$2:$G$41))/MIN($G$2:$G$41)</f>
        <v>0.2542171850289931</v>
      </c>
      <c r="R26" s="23">
        <f>(H26-MIN($H$2:$H$41))/MIN($H$2:$H$41)</f>
        <v>0</v>
      </c>
      <c r="T26" s="12">
        <f>SUM(O26:R26)</f>
        <v>2.2258815009182937</v>
      </c>
    </row>
    <row r="27" spans="1:20" x14ac:dyDescent="0.25">
      <c r="A27" s="5" t="s">
        <v>8</v>
      </c>
      <c r="B27" s="1" t="s">
        <v>2</v>
      </c>
      <c r="C27" s="5" t="s">
        <v>4</v>
      </c>
      <c r="D27" s="5" t="s">
        <v>6</v>
      </c>
      <c r="E27" s="9">
        <v>1.2886</v>
      </c>
      <c r="F27" s="11">
        <v>82.8</v>
      </c>
      <c r="G27" s="5">
        <v>1.3666</v>
      </c>
      <c r="H27" s="5">
        <v>209.16</v>
      </c>
      <c r="I27" s="1">
        <v>26</v>
      </c>
      <c r="J27" s="4">
        <v>26</v>
      </c>
      <c r="K27" s="4">
        <v>36</v>
      </c>
      <c r="L27" s="4">
        <v>12</v>
      </c>
      <c r="M27" s="3">
        <f>SUM(I27:L27)</f>
        <v>100</v>
      </c>
      <c r="O27" s="12">
        <f>(E27-MIN($E$2:$E$41))/MIN($E$2:$E$41)</f>
        <v>1.9453714285714285</v>
      </c>
      <c r="P27" s="12">
        <f>(F27-MIN($F$2:$F$41))/MIN($F$2:$F$41)</f>
        <v>0.66566083283041633</v>
      </c>
      <c r="Q27" s="12">
        <f>(G27-MIN($G$2:$G$41))/MIN($G$2:$G$41)</f>
        <v>0.80100158144438582</v>
      </c>
      <c r="R27" s="23">
        <f>(H27-MIN($H$2:$H$41))/MIN($H$2:$H$41)</f>
        <v>0.69374038383674796</v>
      </c>
      <c r="T27" s="12">
        <f>SUM(O27:R27)</f>
        <v>4.1057742266829784</v>
      </c>
    </row>
    <row r="28" spans="1:20" x14ac:dyDescent="0.25">
      <c r="A28" s="5" t="s">
        <v>9</v>
      </c>
      <c r="B28" s="1" t="s">
        <v>1</v>
      </c>
      <c r="C28" s="5" t="s">
        <v>3</v>
      </c>
      <c r="D28" s="5" t="s">
        <v>6</v>
      </c>
      <c r="E28" s="9">
        <v>1.2899</v>
      </c>
      <c r="F28" s="4">
        <v>127.57</v>
      </c>
      <c r="G28" s="4">
        <v>1.0524</v>
      </c>
      <c r="H28" s="11">
        <v>781.2</v>
      </c>
      <c r="I28" s="1">
        <v>27</v>
      </c>
      <c r="J28" s="4">
        <v>39</v>
      </c>
      <c r="K28" s="4">
        <v>26</v>
      </c>
      <c r="L28" s="4">
        <v>38</v>
      </c>
      <c r="M28" s="3">
        <f>SUM(I28:L28)</f>
        <v>130</v>
      </c>
      <c r="O28" s="12">
        <f>(E28-MIN($E$2:$E$41))/MIN($E$2:$E$41)</f>
        <v>1.9483428571428572</v>
      </c>
      <c r="P28" s="12">
        <f>(F28-MIN($F$2:$F$41))/MIN($F$2:$F$41)</f>
        <v>1.5662844498088913</v>
      </c>
      <c r="Q28" s="12">
        <f>(G28-MIN($G$2:$G$41))/MIN($G$2:$G$41)</f>
        <v>0.38692672641012121</v>
      </c>
      <c r="R28" s="23">
        <f>(H28-MIN($H$2:$H$41))/MIN($H$2:$H$41)</f>
        <v>5.3260183010770108</v>
      </c>
      <c r="T28" s="12">
        <f>SUM(O28:R28)</f>
        <v>9.2275723344388805</v>
      </c>
    </row>
    <row r="29" spans="1:20" x14ac:dyDescent="0.25">
      <c r="A29" s="5" t="s">
        <v>8</v>
      </c>
      <c r="B29" s="1" t="s">
        <v>1</v>
      </c>
      <c r="C29" s="5" t="s">
        <v>3</v>
      </c>
      <c r="D29" s="5" t="s">
        <v>5</v>
      </c>
      <c r="E29" s="1">
        <v>1.3010999999999999</v>
      </c>
      <c r="F29" s="5">
        <v>56.07</v>
      </c>
      <c r="G29" s="4">
        <v>0.8871</v>
      </c>
      <c r="H29" s="4">
        <v>134.99</v>
      </c>
      <c r="I29" s="1">
        <v>28</v>
      </c>
      <c r="J29" s="4">
        <v>6</v>
      </c>
      <c r="K29" s="4">
        <v>8</v>
      </c>
      <c r="L29" s="4">
        <v>2</v>
      </c>
      <c r="M29" s="3">
        <f>SUM(I29:L29)</f>
        <v>44</v>
      </c>
      <c r="O29" s="12">
        <f>(E29-MIN($E$2:$E$41))/MIN($E$2:$E$41)</f>
        <v>1.973942857142857</v>
      </c>
      <c r="P29" s="12">
        <f>(F29-MIN($F$2:$F$41))/MIN($F$2:$F$41)</f>
        <v>0.12794206397103197</v>
      </c>
      <c r="Q29" s="12">
        <f>(G29-MIN($G$2:$G$41))/MIN($G$2:$G$41)</f>
        <v>0.16908276225619395</v>
      </c>
      <c r="R29" s="23">
        <f>(H29-MIN($H$2:$H$41))/MIN($H$2:$H$41)</f>
        <v>9.3124949388614583E-2</v>
      </c>
      <c r="T29" s="12">
        <f>SUM(O29:R29)</f>
        <v>2.3640926327586973</v>
      </c>
    </row>
    <row r="30" spans="1:20" x14ac:dyDescent="0.25">
      <c r="A30" s="5" t="s">
        <v>8</v>
      </c>
      <c r="B30" s="1" t="s">
        <v>1</v>
      </c>
      <c r="C30" s="5" t="s">
        <v>4</v>
      </c>
      <c r="D30" s="5" t="s">
        <v>5</v>
      </c>
      <c r="E30" s="1">
        <v>1.3138000000000001</v>
      </c>
      <c r="F30" s="11">
        <v>59.9</v>
      </c>
      <c r="G30" s="8">
        <v>1.1382000000000001</v>
      </c>
      <c r="H30" s="4">
        <v>161.25</v>
      </c>
      <c r="I30" s="1">
        <v>29</v>
      </c>
      <c r="J30" s="4">
        <v>11</v>
      </c>
      <c r="K30" s="4">
        <v>31</v>
      </c>
      <c r="L30" s="4">
        <v>5</v>
      </c>
      <c r="M30" s="3">
        <f>SUM(I30:L30)</f>
        <v>76</v>
      </c>
      <c r="O30" s="12">
        <f>(E30-MIN($E$2:$E$41))/MIN($E$2:$E$41)</f>
        <v>2.0029714285714286</v>
      </c>
      <c r="P30" s="12">
        <f>(F30-MIN($F$2:$F$41))/MIN($F$2:$F$41)</f>
        <v>0.2049889358278012</v>
      </c>
      <c r="Q30" s="12">
        <f>(G30-MIN($G$2:$G$41))/MIN($G$2:$G$41)</f>
        <v>0.50000000000000011</v>
      </c>
      <c r="R30" s="23">
        <f>(H30-MIN($H$2:$H$41))/MIN($H$2:$H$41)</f>
        <v>0.30577374686209413</v>
      </c>
      <c r="T30" s="12">
        <f>SUM(O30:R30)</f>
        <v>3.0137341112613241</v>
      </c>
    </row>
    <row r="31" spans="1:20" x14ac:dyDescent="0.25">
      <c r="A31" s="5" t="s">
        <v>8</v>
      </c>
      <c r="B31" s="1" t="s">
        <v>2</v>
      </c>
      <c r="C31" s="5" t="s">
        <v>3</v>
      </c>
      <c r="D31" s="5" t="s">
        <v>6</v>
      </c>
      <c r="E31" s="1">
        <v>1.3206</v>
      </c>
      <c r="F31" s="4">
        <v>61.32</v>
      </c>
      <c r="G31" s="8">
        <v>1.4839</v>
      </c>
      <c r="H31" s="4">
        <v>187.02</v>
      </c>
      <c r="I31" s="1">
        <v>30</v>
      </c>
      <c r="J31" s="4">
        <v>12</v>
      </c>
      <c r="K31" s="4">
        <v>38</v>
      </c>
      <c r="L31" s="4">
        <v>10</v>
      </c>
      <c r="M31" s="3">
        <f>SUM(I31:L31)</f>
        <v>90</v>
      </c>
      <c r="O31" s="12">
        <f>(E31-MIN($E$2:$E$41))/MIN($E$2:$E$41)</f>
        <v>2.0185142857142857</v>
      </c>
      <c r="P31" s="12">
        <f>(F31-MIN($F$2:$F$41))/MIN($F$2:$F$41)</f>
        <v>0.23355461677730838</v>
      </c>
      <c r="Q31" s="12">
        <f>(G31-MIN($G$2:$G$41))/MIN($G$2:$G$41)</f>
        <v>0.95558777016341578</v>
      </c>
      <c r="R31" s="23">
        <f>(H31-MIN($H$2:$H$41))/MIN($H$2:$H$41)</f>
        <v>0.51445461170945028</v>
      </c>
      <c r="T31" s="12">
        <f>SUM(O31:R31)</f>
        <v>3.7221112843644599</v>
      </c>
    </row>
    <row r="32" spans="1:20" x14ac:dyDescent="0.25">
      <c r="A32" s="5" t="s">
        <v>8</v>
      </c>
      <c r="B32" s="1" t="s">
        <v>2</v>
      </c>
      <c r="C32" s="5" t="s">
        <v>3</v>
      </c>
      <c r="D32" s="5" t="s">
        <v>5</v>
      </c>
      <c r="E32" s="1">
        <v>1.3218000000000001</v>
      </c>
      <c r="F32" s="4">
        <v>62.57</v>
      </c>
      <c r="G32" s="7">
        <v>1.4147000000000001</v>
      </c>
      <c r="H32" s="4">
        <v>177.08</v>
      </c>
      <c r="I32" s="1">
        <v>31</v>
      </c>
      <c r="J32" s="4">
        <v>13</v>
      </c>
      <c r="K32" s="4">
        <v>37</v>
      </c>
      <c r="L32" s="4">
        <v>8</v>
      </c>
      <c r="M32" s="3">
        <f>SUM(I32:L32)</f>
        <v>89</v>
      </c>
      <c r="O32" s="12">
        <f>(E32-MIN($E$2:$E$41))/MIN($E$2:$E$41)</f>
        <v>2.0212571428571429</v>
      </c>
      <c r="P32" s="12">
        <f>(F32-MIN($F$2:$F$41))/MIN($F$2:$F$41)</f>
        <v>0.25870046268356467</v>
      </c>
      <c r="Q32" s="12">
        <f>(G32-MIN($G$2:$G$41))/MIN($G$2:$G$41)</f>
        <v>0.86439114391143912</v>
      </c>
      <c r="R32" s="23">
        <f>(H32-MIN($H$2:$H$41))/MIN($H$2:$H$41)</f>
        <v>0.43396226415094358</v>
      </c>
      <c r="T32" s="12">
        <f>SUM(O32:R32)</f>
        <v>3.57831101360309</v>
      </c>
    </row>
    <row r="33" spans="1:20" x14ac:dyDescent="0.25">
      <c r="A33" s="5" t="s">
        <v>7</v>
      </c>
      <c r="B33" s="1" t="s">
        <v>2</v>
      </c>
      <c r="C33" s="5" t="s">
        <v>3</v>
      </c>
      <c r="D33" s="5" t="s">
        <v>6</v>
      </c>
      <c r="E33" s="1">
        <v>1.3227</v>
      </c>
      <c r="F33" s="4">
        <v>58.29</v>
      </c>
      <c r="G33" s="5">
        <v>1.0335000000000001</v>
      </c>
      <c r="H33" s="4">
        <v>160.77000000000001</v>
      </c>
      <c r="I33" s="1">
        <v>32</v>
      </c>
      <c r="J33" s="4">
        <v>9</v>
      </c>
      <c r="K33" s="4">
        <v>24</v>
      </c>
      <c r="L33" s="4">
        <v>4</v>
      </c>
      <c r="M33" s="3">
        <f>SUM(I33:L33)</f>
        <v>69</v>
      </c>
      <c r="O33" s="12">
        <f>(E33-MIN($E$2:$E$41))/MIN($E$2:$E$41)</f>
        <v>2.0233142857142856</v>
      </c>
      <c r="P33" s="12">
        <f>(F33-MIN($F$2:$F$41))/MIN($F$2:$F$41)</f>
        <v>0.17260108630054311</v>
      </c>
      <c r="Q33" s="12">
        <f>(G33-MIN($G$2:$G$41))/MIN($G$2:$G$41)</f>
        <v>0.36201897733263055</v>
      </c>
      <c r="R33" s="23">
        <f>(H33-MIN($H$2:$H$41))/MIN($H$2:$H$41)</f>
        <v>0.30188679245283034</v>
      </c>
      <c r="T33" s="12">
        <f>SUM(O33:R33)</f>
        <v>2.859821141800289</v>
      </c>
    </row>
    <row r="34" spans="1:20" x14ac:dyDescent="0.25">
      <c r="A34" s="2" t="s">
        <v>7</v>
      </c>
      <c r="B34" s="3" t="s">
        <v>1</v>
      </c>
      <c r="C34" s="2" t="s">
        <v>4</v>
      </c>
      <c r="D34" s="2" t="s">
        <v>5</v>
      </c>
      <c r="E34" s="18">
        <v>1.3280000000000001</v>
      </c>
      <c r="F34" s="6">
        <v>51.46</v>
      </c>
      <c r="G34" s="21">
        <v>0.99960000000000004</v>
      </c>
      <c r="H34" s="17">
        <v>182.66</v>
      </c>
      <c r="I34" s="3">
        <v>33</v>
      </c>
      <c r="J34" s="6">
        <v>2</v>
      </c>
      <c r="K34" s="6">
        <v>20</v>
      </c>
      <c r="L34" s="6">
        <v>9</v>
      </c>
      <c r="M34" s="3">
        <f>SUM(I34:L34)</f>
        <v>64</v>
      </c>
      <c r="O34" s="12">
        <f>(E34-MIN($E$2:$E$41))/MIN($E$2:$E$41)</f>
        <v>2.0354285714285716</v>
      </c>
      <c r="P34" s="12">
        <f>(F34-MIN($F$2:$F$41))/MIN($F$2:$F$41)</f>
        <v>3.5204184268758799E-2</v>
      </c>
      <c r="Q34" s="12">
        <f>(G34-MIN($G$2:$G$41))/MIN($G$2:$G$41)</f>
        <v>0.31734317343173435</v>
      </c>
      <c r="R34" s="23">
        <f>(H34-MIN($H$2:$H$41))/MIN($H$2:$H$41)</f>
        <v>0.47914810915863637</v>
      </c>
      <c r="T34" s="12">
        <f>SUM(O34:R34)</f>
        <v>2.867124038287701</v>
      </c>
    </row>
    <row r="35" spans="1:20" x14ac:dyDescent="0.25">
      <c r="A35" s="5" t="s">
        <v>8</v>
      </c>
      <c r="B35" s="1" t="s">
        <v>2</v>
      </c>
      <c r="C35" s="5" t="s">
        <v>4</v>
      </c>
      <c r="D35" s="5" t="s">
        <v>5</v>
      </c>
      <c r="E35" s="1">
        <v>1.3314999999999999</v>
      </c>
      <c r="F35" s="4">
        <v>91.15</v>
      </c>
      <c r="G35" s="5">
        <v>1.5147999999999999</v>
      </c>
      <c r="H35" s="11">
        <v>212.35</v>
      </c>
      <c r="I35" s="1">
        <v>34</v>
      </c>
      <c r="J35" s="4">
        <v>31</v>
      </c>
      <c r="K35" s="4">
        <v>39</v>
      </c>
      <c r="L35" s="4">
        <v>14</v>
      </c>
      <c r="M35" s="3">
        <f>SUM(I35:L35)</f>
        <v>118</v>
      </c>
      <c r="O35" s="12">
        <f>(E35-MIN($E$2:$E$41))/MIN($E$2:$E$41)</f>
        <v>2.0434285714285711</v>
      </c>
      <c r="P35" s="12">
        <f>(F35-MIN($F$2:$F$41))/MIN($F$2:$F$41)</f>
        <v>0.83363508348420845</v>
      </c>
      <c r="Q35" s="12">
        <f>(G35-MIN($G$2:$G$41))/MIN($G$2:$G$41)</f>
        <v>0.99630996309963082</v>
      </c>
      <c r="R35" s="23">
        <f>(H35-MIN($H$2:$H$41))/MIN($H$2:$H$41)</f>
        <v>0.71957243501498103</v>
      </c>
      <c r="T35" s="12">
        <f>SUM(O35:R35)</f>
        <v>4.5929460530273918</v>
      </c>
    </row>
    <row r="36" spans="1:20" x14ac:dyDescent="0.25">
      <c r="A36" s="5" t="s">
        <v>9</v>
      </c>
      <c r="B36" s="1" t="s">
        <v>1</v>
      </c>
      <c r="C36" s="5" t="s">
        <v>4</v>
      </c>
      <c r="D36" s="5" t="s">
        <v>6</v>
      </c>
      <c r="E36" s="1">
        <v>1.3357000000000001</v>
      </c>
      <c r="F36" s="4">
        <v>75.569999999999993</v>
      </c>
      <c r="G36" s="5">
        <v>0.88260000000000005</v>
      </c>
      <c r="H36" s="4">
        <v>229.99</v>
      </c>
      <c r="I36" s="1">
        <v>35</v>
      </c>
      <c r="J36" s="4">
        <v>18</v>
      </c>
      <c r="K36" s="4">
        <v>7</v>
      </c>
      <c r="L36" s="4">
        <v>16</v>
      </c>
      <c r="M36" s="3">
        <f>SUM(I36:L36)</f>
        <v>76</v>
      </c>
      <c r="O36" s="12">
        <f>(E36-MIN($E$2:$E$41))/MIN($E$2:$E$41)</f>
        <v>2.0530285714285719</v>
      </c>
      <c r="P36" s="12">
        <f>(F36-MIN($F$2:$F$41))/MIN($F$2:$F$41)</f>
        <v>0.5202172601086299</v>
      </c>
      <c r="Q36" s="12">
        <f>(G36-MIN($G$2:$G$41))/MIN($G$2:$G$41)</f>
        <v>0.1631523458091724</v>
      </c>
      <c r="R36" s="23">
        <f>(H36-MIN($H$2:$H$41))/MIN($H$2:$H$41)</f>
        <v>0.86241800955542969</v>
      </c>
      <c r="T36" s="12">
        <f>SUM(O36:R36)</f>
        <v>3.598816186901804</v>
      </c>
    </row>
    <row r="37" spans="1:20" x14ac:dyDescent="0.25">
      <c r="A37" s="5" t="s">
        <v>7</v>
      </c>
      <c r="B37" s="1" t="s">
        <v>2</v>
      </c>
      <c r="C37" s="5" t="s">
        <v>4</v>
      </c>
      <c r="D37" s="5" t="s">
        <v>6</v>
      </c>
      <c r="E37" s="1">
        <v>1.3366</v>
      </c>
      <c r="F37" s="4">
        <v>49.71</v>
      </c>
      <c r="G37" s="8">
        <v>1.1057999999999999</v>
      </c>
      <c r="H37" s="5">
        <v>162.21</v>
      </c>
      <c r="I37" s="1">
        <v>36</v>
      </c>
      <c r="J37" s="4">
        <v>1</v>
      </c>
      <c r="K37" s="4">
        <v>29</v>
      </c>
      <c r="L37" s="4">
        <v>6</v>
      </c>
      <c r="M37" s="3">
        <f>SUM(I37:L37)</f>
        <v>72</v>
      </c>
      <c r="O37" s="12">
        <f>(E37-MIN($E$2:$E$41))/MIN($E$2:$E$41)</f>
        <v>2.0550857142857142</v>
      </c>
      <c r="P37" s="12">
        <f>(F37-MIN($F$2:$F$41))/MIN($F$2:$F$41)</f>
        <v>0</v>
      </c>
      <c r="Q37" s="12">
        <f>(G37-MIN($G$2:$G$41))/MIN($G$2:$G$41)</f>
        <v>0.45730100158144421</v>
      </c>
      <c r="R37" s="23">
        <f>(H37-MIN($H$2:$H$41))/MIN($H$2:$H$41)</f>
        <v>0.31354765568062204</v>
      </c>
      <c r="T37" s="12">
        <f>SUM(O37:R37)</f>
        <v>2.8259343715477803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1">
        <v>1.3436999999999999</v>
      </c>
      <c r="F38" s="11">
        <v>112.54</v>
      </c>
      <c r="G38" s="4">
        <v>1.1778999999999999</v>
      </c>
      <c r="H38" s="11">
        <v>719.81</v>
      </c>
      <c r="I38" s="1">
        <v>37</v>
      </c>
      <c r="J38" s="22">
        <v>36</v>
      </c>
      <c r="K38" s="4">
        <v>34</v>
      </c>
      <c r="L38" s="4">
        <v>34</v>
      </c>
      <c r="M38" s="3">
        <f>SUM(I38:L38)</f>
        <v>141</v>
      </c>
      <c r="O38" s="12">
        <f>(E38-MIN($E$2:$E$41))/MIN($E$2:$E$41)</f>
        <v>2.0713142857142857</v>
      </c>
      <c r="P38" s="12">
        <f>(F38-MIN($F$2:$F$41))/MIN($F$2:$F$41)</f>
        <v>1.263930798632066</v>
      </c>
      <c r="Q38" s="12">
        <f>(G38-MIN($G$2:$G$41))/MIN($G$2:$G$41)</f>
        <v>0.5523194517659461</v>
      </c>
      <c r="R38" s="23">
        <f>(H38-MIN($H$2:$H$41))/MIN($H$2:$H$41)</f>
        <v>4.8288930277755284</v>
      </c>
      <c r="T38" s="12">
        <f>SUM(O38:R38)</f>
        <v>8.7164575638878254</v>
      </c>
    </row>
    <row r="39" spans="1:20" x14ac:dyDescent="0.25">
      <c r="A39" s="5" t="s">
        <v>7</v>
      </c>
      <c r="B39" s="1" t="s">
        <v>2</v>
      </c>
      <c r="C39" s="5" t="s">
        <v>3</v>
      </c>
      <c r="D39" s="5" t="s">
        <v>5</v>
      </c>
      <c r="E39" s="1">
        <v>1.3621000000000001</v>
      </c>
      <c r="F39" s="4">
        <v>64.150000000000006</v>
      </c>
      <c r="G39" s="8">
        <v>1.1015999999999999</v>
      </c>
      <c r="H39" s="4">
        <v>147.49</v>
      </c>
      <c r="I39" s="1">
        <v>38</v>
      </c>
      <c r="J39" s="4">
        <v>14</v>
      </c>
      <c r="K39" s="5">
        <v>28</v>
      </c>
      <c r="L39" s="4">
        <v>3</v>
      </c>
      <c r="M39" s="3">
        <f>SUM(I39:L39)</f>
        <v>83</v>
      </c>
      <c r="O39" s="12">
        <f>(E39-MIN($E$2:$E$41))/MIN($E$2:$E$41)</f>
        <v>2.1133714285714289</v>
      </c>
      <c r="P39" s="12">
        <f>(F39-MIN($F$2:$F$41))/MIN($F$2:$F$41)</f>
        <v>0.29048481190907272</v>
      </c>
      <c r="Q39" s="12">
        <f>(G39-MIN($G$2:$G$41))/MIN($G$2:$G$41)</f>
        <v>0.45176594623089072</v>
      </c>
      <c r="R39" s="23">
        <f>(H39-MIN($H$2:$H$41))/MIN($H$2:$H$41)</f>
        <v>0.19434772046319551</v>
      </c>
      <c r="T39" s="12">
        <f>SUM(O39:R39)</f>
        <v>3.0499699071745878</v>
      </c>
    </row>
    <row r="40" spans="1:20" x14ac:dyDescent="0.25">
      <c r="A40" s="5" t="s">
        <v>7</v>
      </c>
      <c r="B40" s="1" t="s">
        <v>2</v>
      </c>
      <c r="C40" s="5" t="s">
        <v>4</v>
      </c>
      <c r="D40" s="5" t="s">
        <v>5</v>
      </c>
      <c r="E40" s="1">
        <v>1.3688</v>
      </c>
      <c r="F40" s="4">
        <v>52.41</v>
      </c>
      <c r="G40" s="5">
        <v>1.1415</v>
      </c>
      <c r="H40" s="10">
        <v>209.7</v>
      </c>
      <c r="I40" s="1">
        <v>39</v>
      </c>
      <c r="J40" s="4">
        <v>3</v>
      </c>
      <c r="K40" s="4">
        <v>32</v>
      </c>
      <c r="L40" s="4">
        <v>13</v>
      </c>
      <c r="M40" s="3">
        <f>SUM(I40:L40)</f>
        <v>87</v>
      </c>
      <c r="O40" s="12">
        <f>(E40-MIN($E$2:$E$41))/MIN($E$2:$E$41)</f>
        <v>2.1286857142857145</v>
      </c>
      <c r="P40" s="12">
        <f>(F40-MIN($F$2:$F$41))/MIN($F$2:$F$41)</f>
        <v>5.431502715751349E-2</v>
      </c>
      <c r="Q40" s="12">
        <f>(G40-MIN($G$2:$G$41))/MIN($G$2:$G$41)</f>
        <v>0.50434897206114904</v>
      </c>
      <c r="R40" s="23">
        <f>(H40-MIN($H$2:$H$41))/MIN($H$2:$H$41)</f>
        <v>0.69811320754716977</v>
      </c>
      <c r="T40" s="12">
        <f>SUM(O40:R40)</f>
        <v>3.385462921051547</v>
      </c>
    </row>
    <row r="41" spans="1:20" x14ac:dyDescent="0.25">
      <c r="A41" s="5" t="s">
        <v>9</v>
      </c>
      <c r="B41" s="1" t="s">
        <v>1</v>
      </c>
      <c r="C41" s="5" t="s">
        <v>4</v>
      </c>
      <c r="D41" s="5" t="s">
        <v>5</v>
      </c>
      <c r="E41" s="1">
        <v>1.3738999999999999</v>
      </c>
      <c r="F41" s="11">
        <v>97.02</v>
      </c>
      <c r="G41" s="7">
        <v>0.98080000000000001</v>
      </c>
      <c r="H41" s="4">
        <v>337.32</v>
      </c>
      <c r="I41" s="1">
        <v>40</v>
      </c>
      <c r="J41" s="4">
        <v>33</v>
      </c>
      <c r="K41" s="4">
        <v>17</v>
      </c>
      <c r="L41" s="4">
        <v>17</v>
      </c>
      <c r="M41" s="3">
        <f>SUM(I41:L41)</f>
        <v>107</v>
      </c>
      <c r="O41" s="12">
        <f>(E41-MIN($E$2:$E$41))/MIN($E$2:$E$41)</f>
        <v>2.1403428571428571</v>
      </c>
      <c r="P41" s="12">
        <f>(F41-MIN($F$2:$F$41))/MIN($F$2:$F$41)</f>
        <v>0.9517199758599878</v>
      </c>
      <c r="Q41" s="12">
        <f>(G41-MIN($G$2:$G$41))/MIN($G$2:$G$41)</f>
        <v>0.29256721138639952</v>
      </c>
      <c r="R41" s="23">
        <f>(H41-MIN($H$2:$H$41))/MIN($H$2:$H$41)</f>
        <v>1.7315572111102113</v>
      </c>
      <c r="T41" s="12">
        <f>SUM(O41:R41)</f>
        <v>5.1161872554994554</v>
      </c>
    </row>
  </sheetData>
  <autoFilter ref="A1:T41" xr:uid="{5D8885D3-0657-47F0-BCEA-E14580A84273}">
    <sortState xmlns:xlrd2="http://schemas.microsoft.com/office/spreadsheetml/2017/richdata2" ref="A2:T41">
      <sortCondition ref="E1:E4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8722-9100-4EBF-A42D-8E8A70CE40C3}">
  <dimension ref="A1:T19"/>
  <sheetViews>
    <sheetView workbookViewId="0">
      <selection activeCell="F2" sqref="F2"/>
    </sheetView>
  </sheetViews>
  <sheetFormatPr defaultRowHeight="15" x14ac:dyDescent="0.25"/>
  <cols>
    <col min="6" max="8" width="9.28515625" bestFit="1" customWidth="1"/>
    <col min="9" max="9" width="9.5703125" bestFit="1" customWidth="1"/>
  </cols>
  <sheetData>
    <row r="1" spans="1:20" x14ac:dyDescent="0.25">
      <c r="F1" s="1" t="s">
        <v>11</v>
      </c>
      <c r="G1" t="s">
        <v>12</v>
      </c>
      <c r="H1" t="s">
        <v>13</v>
      </c>
      <c r="I1" t="s">
        <v>14</v>
      </c>
      <c r="J1" s="1" t="s">
        <v>15</v>
      </c>
      <c r="K1" s="4" t="s">
        <v>16</v>
      </c>
      <c r="L1" s="4" t="s">
        <v>17</v>
      </c>
      <c r="M1" s="4" t="s">
        <v>18</v>
      </c>
      <c r="N1" s="1"/>
    </row>
    <row r="2" spans="1:20" x14ac:dyDescent="0.25">
      <c r="A2" s="2" t="s">
        <v>7</v>
      </c>
      <c r="B2" s="2" t="s">
        <v>39</v>
      </c>
      <c r="C2" s="3" t="s">
        <v>1</v>
      </c>
      <c r="D2" s="2" t="s">
        <v>4</v>
      </c>
      <c r="E2" s="2" t="s">
        <v>6</v>
      </c>
      <c r="F2" s="18">
        <v>0.49870909090909082</v>
      </c>
      <c r="G2" s="17">
        <v>60.158181818181816</v>
      </c>
      <c r="H2" s="21">
        <v>0.84857272727272737</v>
      </c>
      <c r="I2" s="17">
        <v>129.74545454545455</v>
      </c>
      <c r="J2" s="4">
        <v>15</v>
      </c>
      <c r="K2" s="4">
        <v>1</v>
      </c>
      <c r="L2" s="4">
        <v>10</v>
      </c>
      <c r="M2" s="4">
        <v>1</v>
      </c>
      <c r="N2">
        <f t="shared" ref="N2:N19" si="0">SUM(J2:M2)</f>
        <v>27</v>
      </c>
      <c r="O2" s="26"/>
      <c r="P2" s="12">
        <f t="shared" ref="P2:P19" si="1">(F2-MIN($F$2:$F$19))/MIN($F$2:$F$19)</f>
        <v>0.57547386559448521</v>
      </c>
      <c r="Q2" s="12">
        <f t="shared" ref="Q2:Q19" si="2">(G2-MIN($G$2:$G$19))/MIN($G$2:$G$19)</f>
        <v>0</v>
      </c>
      <c r="R2" s="12">
        <f t="shared" ref="R2:R19" si="3">(H2-MIN($H$2:$H$19))/MIN($H$2:$H$19)</f>
        <v>0.19084251888140483</v>
      </c>
      <c r="S2" s="12">
        <f t="shared" ref="S2:S19" si="4">(I2-MIN($I$2:$I$19))/MIN($I$2:$I$19)</f>
        <v>0</v>
      </c>
      <c r="T2" s="12">
        <f t="shared" ref="T2:T19" si="5">SUM(P2:S2)</f>
        <v>0.76631638447589001</v>
      </c>
    </row>
    <row r="3" spans="1:20" x14ac:dyDescent="0.25">
      <c r="A3" s="5" t="s">
        <v>7</v>
      </c>
      <c r="B3" s="2" t="s">
        <v>39</v>
      </c>
      <c r="C3" s="1" t="s">
        <v>1</v>
      </c>
      <c r="D3" s="5" t="s">
        <v>3</v>
      </c>
      <c r="E3" s="5" t="s">
        <v>6</v>
      </c>
      <c r="F3" s="9">
        <v>0.45984545454545445</v>
      </c>
      <c r="G3" s="11">
        <v>66.741818181818175</v>
      </c>
      <c r="H3" s="8">
        <v>0.85930000000000006</v>
      </c>
      <c r="I3" s="11">
        <v>134.92545454545453</v>
      </c>
      <c r="J3" s="4">
        <v>12</v>
      </c>
      <c r="K3" s="4">
        <v>3</v>
      </c>
      <c r="L3" s="4">
        <v>11</v>
      </c>
      <c r="M3" s="4">
        <v>2</v>
      </c>
      <c r="N3">
        <f t="shared" si="0"/>
        <v>28</v>
      </c>
      <c r="O3" s="26"/>
      <c r="P3" s="12">
        <f t="shared" si="1"/>
        <v>0.45269959793222214</v>
      </c>
      <c r="Q3" s="12">
        <f t="shared" si="2"/>
        <v>0.10943875238008878</v>
      </c>
      <c r="R3" s="12">
        <f t="shared" si="3"/>
        <v>0.20589661155337866</v>
      </c>
      <c r="S3" s="12">
        <f t="shared" si="4"/>
        <v>3.9924327354259923E-2</v>
      </c>
      <c r="T3" s="12">
        <f t="shared" si="5"/>
        <v>0.80795928921994953</v>
      </c>
    </row>
    <row r="4" spans="1:20" x14ac:dyDescent="0.25">
      <c r="A4" s="5" t="s">
        <v>7</v>
      </c>
      <c r="B4" s="2" t="s">
        <v>39</v>
      </c>
      <c r="C4" s="1" t="s">
        <v>1</v>
      </c>
      <c r="D4" s="5" t="s">
        <v>3</v>
      </c>
      <c r="E4" s="5" t="s">
        <v>5</v>
      </c>
      <c r="F4" s="9">
        <v>0.47326363636363633</v>
      </c>
      <c r="G4" s="10">
        <v>68.873636363636351</v>
      </c>
      <c r="H4" s="8">
        <v>0.86916363636363636</v>
      </c>
      <c r="I4" s="11">
        <v>161.16636363636363</v>
      </c>
      <c r="J4" s="4">
        <v>14</v>
      </c>
      <c r="K4" s="4">
        <v>4</v>
      </c>
      <c r="L4" s="4">
        <v>12</v>
      </c>
      <c r="M4" s="4">
        <v>3</v>
      </c>
      <c r="N4">
        <f t="shared" si="0"/>
        <v>33</v>
      </c>
      <c r="O4" s="26"/>
      <c r="P4" s="12">
        <f t="shared" si="1"/>
        <v>0.49508902929350895</v>
      </c>
      <c r="Q4" s="12">
        <f t="shared" si="2"/>
        <v>0.14487563091244277</v>
      </c>
      <c r="R4" s="12">
        <f t="shared" si="3"/>
        <v>0.21973872218820201</v>
      </c>
      <c r="S4" s="12">
        <f t="shared" si="4"/>
        <v>0.24217348654708509</v>
      </c>
      <c r="T4" s="12">
        <f t="shared" si="5"/>
        <v>1.1018768689412388</v>
      </c>
    </row>
    <row r="5" spans="1:20" x14ac:dyDescent="0.25">
      <c r="A5" s="5" t="s">
        <v>8</v>
      </c>
      <c r="B5" s="2" t="s">
        <v>39</v>
      </c>
      <c r="C5" s="1" t="s">
        <v>1</v>
      </c>
      <c r="D5" s="5" t="s">
        <v>3</v>
      </c>
      <c r="E5" s="5" t="s">
        <v>5</v>
      </c>
      <c r="F5" s="9">
        <v>0.47239090909090914</v>
      </c>
      <c r="G5" s="10">
        <v>73.541818181818172</v>
      </c>
      <c r="H5" s="7">
        <v>0.87936363636363635</v>
      </c>
      <c r="I5" s="11">
        <v>166.63000000000002</v>
      </c>
      <c r="J5" s="4">
        <v>13</v>
      </c>
      <c r="K5" s="4">
        <v>6</v>
      </c>
      <c r="L5" s="4">
        <v>13</v>
      </c>
      <c r="M5" s="4">
        <v>4</v>
      </c>
      <c r="N5">
        <f t="shared" si="0"/>
        <v>36</v>
      </c>
      <c r="O5" s="26"/>
      <c r="P5" s="12">
        <f t="shared" si="1"/>
        <v>0.49233199310740927</v>
      </c>
      <c r="Q5" s="12">
        <f t="shared" si="2"/>
        <v>0.22247408347689412</v>
      </c>
      <c r="R5" s="12">
        <f t="shared" si="3"/>
        <v>0.2340528679322314</v>
      </c>
      <c r="S5" s="12">
        <f t="shared" si="4"/>
        <v>0.28428391255605395</v>
      </c>
      <c r="T5" s="12">
        <f t="shared" si="5"/>
        <v>1.2331428570725886</v>
      </c>
    </row>
    <row r="6" spans="1:20" x14ac:dyDescent="0.25">
      <c r="A6" s="5" t="s">
        <v>7</v>
      </c>
      <c r="B6" s="2" t="s">
        <v>39</v>
      </c>
      <c r="C6" s="1" t="s">
        <v>2</v>
      </c>
      <c r="D6" s="5" t="s">
        <v>3</v>
      </c>
      <c r="E6" s="5" t="s">
        <v>6</v>
      </c>
      <c r="F6" s="9">
        <v>0.52300909090909098</v>
      </c>
      <c r="G6" s="11">
        <v>69.3690909090909</v>
      </c>
      <c r="H6" s="8">
        <v>1.1475181818181819</v>
      </c>
      <c r="I6" s="11">
        <v>168.31272727272727</v>
      </c>
      <c r="J6" s="4">
        <v>16</v>
      </c>
      <c r="K6" s="4">
        <v>5</v>
      </c>
      <c r="L6" s="4">
        <v>17</v>
      </c>
      <c r="M6" s="4">
        <v>5</v>
      </c>
      <c r="N6">
        <f t="shared" si="0"/>
        <v>43</v>
      </c>
      <c r="P6" s="12">
        <f t="shared" si="1"/>
        <v>0.65224009190120602</v>
      </c>
      <c r="Q6" s="12">
        <f t="shared" si="2"/>
        <v>0.15311149394021811</v>
      </c>
      <c r="R6" s="12">
        <f t="shared" si="3"/>
        <v>0.61036691161461576</v>
      </c>
      <c r="S6" s="12">
        <f t="shared" si="4"/>
        <v>0.2972533632286995</v>
      </c>
      <c r="T6" s="12">
        <f t="shared" si="5"/>
        <v>1.7129718606847395</v>
      </c>
    </row>
    <row r="7" spans="1:20" x14ac:dyDescent="0.25">
      <c r="A7" s="5" t="s">
        <v>7</v>
      </c>
      <c r="B7" s="2" t="s">
        <v>39</v>
      </c>
      <c r="C7" s="1" t="s">
        <v>2</v>
      </c>
      <c r="D7" s="5" t="s">
        <v>4</v>
      </c>
      <c r="E7" s="5" t="s">
        <v>6</v>
      </c>
      <c r="F7" s="9">
        <v>0.54676363636363634</v>
      </c>
      <c r="G7" s="11">
        <v>62.971818181818179</v>
      </c>
      <c r="H7" s="8">
        <v>1.2264999999999999</v>
      </c>
      <c r="I7" s="10">
        <v>176.32090909090908</v>
      </c>
      <c r="J7" s="4">
        <v>17</v>
      </c>
      <c r="K7" s="4">
        <v>2</v>
      </c>
      <c r="L7" s="4">
        <v>18</v>
      </c>
      <c r="M7" s="4">
        <v>6</v>
      </c>
      <c r="N7">
        <f t="shared" si="0"/>
        <v>43</v>
      </c>
      <c r="P7" s="12">
        <f t="shared" si="1"/>
        <v>0.72728317059161351</v>
      </c>
      <c r="Q7" s="12">
        <f t="shared" si="2"/>
        <v>4.6770634992595261E-2</v>
      </c>
      <c r="R7" s="12">
        <f t="shared" si="3"/>
        <v>0.72120585833843676</v>
      </c>
      <c r="S7" s="12">
        <f t="shared" si="4"/>
        <v>0.35897561659192817</v>
      </c>
      <c r="T7" s="12">
        <f t="shared" si="5"/>
        <v>1.8542352805145739</v>
      </c>
    </row>
    <row r="8" spans="1:20" x14ac:dyDescent="0.25">
      <c r="A8" s="4" t="s">
        <v>7</v>
      </c>
      <c r="B8" s="6" t="s">
        <v>40</v>
      </c>
      <c r="C8" s="24" t="s">
        <v>2</v>
      </c>
      <c r="D8" s="4" t="s">
        <v>3</v>
      </c>
      <c r="E8" s="4" t="s">
        <v>6</v>
      </c>
      <c r="F8" s="25">
        <f>(0.7639+0.4154+0.7795+0.1599+0.4542+0.2353+0.3638+0.2025+0.2248+0.2709+0.1252)/11</f>
        <v>0.36321818181818188</v>
      </c>
      <c r="G8" s="11">
        <f>(89.31+131.86+108.51+86.29+62.44+92.55+84.89+72.85+100.32+94.67+59.3)/11</f>
        <v>89.36272727272727</v>
      </c>
      <c r="H8" s="7">
        <f>(0.7541+0.7767+0.776+0.7746+0.7889+0.7609+0.7443+0.7579+0.8007+0.7729+0.7902)/11</f>
        <v>0.7724727272727272</v>
      </c>
      <c r="I8" s="11">
        <f>(259.27+290.75+341.62+273.77+412.21+275.04+296.57+341.03+450+353.57+339.13)/11</f>
        <v>330.26909090909095</v>
      </c>
      <c r="J8" s="4">
        <v>7</v>
      </c>
      <c r="K8" s="4">
        <v>11</v>
      </c>
      <c r="L8" s="4">
        <v>3</v>
      </c>
      <c r="M8" s="4">
        <v>7</v>
      </c>
      <c r="N8">
        <f t="shared" si="0"/>
        <v>28</v>
      </c>
      <c r="P8" s="12">
        <f t="shared" si="1"/>
        <v>0.14744399770246974</v>
      </c>
      <c r="Q8" s="12">
        <f t="shared" si="2"/>
        <v>0.48546256838033064</v>
      </c>
      <c r="R8" s="12">
        <f t="shared" si="3"/>
        <v>8.4047764849969578E-2</v>
      </c>
      <c r="S8" s="12">
        <f t="shared" si="4"/>
        <v>1.5455156950672648</v>
      </c>
      <c r="T8" s="12">
        <f t="shared" si="5"/>
        <v>2.2624700260000346</v>
      </c>
    </row>
    <row r="9" spans="1:20" x14ac:dyDescent="0.25">
      <c r="A9" s="4" t="s">
        <v>7</v>
      </c>
      <c r="B9" s="6" t="s">
        <v>40</v>
      </c>
      <c r="C9" s="24" t="s">
        <v>2</v>
      </c>
      <c r="D9" s="4" t="s">
        <v>3</v>
      </c>
      <c r="E9" s="4" t="s">
        <v>5</v>
      </c>
      <c r="F9" s="25">
        <f>(0.7424+0.4382+0.787+0.1973+0.4134+0.2246+0.3626+0.1898+0.2278+0.2869+0.129)/11</f>
        <v>0.36354545454545456</v>
      </c>
      <c r="G9" s="11">
        <f>(89.39+136.12+107.66+87.84+61.06+78.44+87.03+73.15+102.59+89.48+65.12)/11</f>
        <v>88.898181818181811</v>
      </c>
      <c r="H9" s="7">
        <f>(0.7699+0.7636+0.7708+0.8008+0.7695+0.7726+0.7601+0.7663+0.7915+0.7855+0.7833)/11</f>
        <v>0.77580909090909078</v>
      </c>
      <c r="I9" s="11">
        <f>(333.29+329.45+346.06+308.56+497.36+337.77+362.95+412.96+504.49+396.11+372.71)/11</f>
        <v>381.97363636363627</v>
      </c>
      <c r="J9" s="4">
        <v>8</v>
      </c>
      <c r="K9" s="4">
        <v>10</v>
      </c>
      <c r="L9" s="4">
        <v>4</v>
      </c>
      <c r="M9" s="4">
        <v>10</v>
      </c>
      <c r="N9">
        <f t="shared" si="0"/>
        <v>32</v>
      </c>
      <c r="P9" s="12">
        <f t="shared" si="1"/>
        <v>0.14847788627225705</v>
      </c>
      <c r="Q9" s="12">
        <f t="shared" si="2"/>
        <v>0.47774050231208626</v>
      </c>
      <c r="R9" s="12">
        <f t="shared" si="3"/>
        <v>8.8729842825066463E-2</v>
      </c>
      <c r="S9" s="12">
        <f t="shared" si="4"/>
        <v>1.9440232623318379</v>
      </c>
      <c r="T9" s="12">
        <f t="shared" si="5"/>
        <v>2.6589714937412476</v>
      </c>
    </row>
    <row r="10" spans="1:20" x14ac:dyDescent="0.25">
      <c r="A10" s="5" t="s">
        <v>0</v>
      </c>
      <c r="B10" s="4" t="s">
        <v>39</v>
      </c>
      <c r="C10" s="1" t="s">
        <v>2</v>
      </c>
      <c r="D10" s="5" t="s">
        <v>3</v>
      </c>
      <c r="E10" s="5" t="s">
        <v>5</v>
      </c>
      <c r="F10" s="9">
        <v>0.31654545454545463</v>
      </c>
      <c r="G10" s="10">
        <v>85.628181818181815</v>
      </c>
      <c r="H10" s="8">
        <v>0.88612727272727265</v>
      </c>
      <c r="I10" s="11">
        <v>390.46090909090907</v>
      </c>
      <c r="J10" s="4">
        <v>1</v>
      </c>
      <c r="K10" s="4">
        <v>7</v>
      </c>
      <c r="L10" s="4">
        <v>15</v>
      </c>
      <c r="M10" s="4">
        <v>11</v>
      </c>
      <c r="N10">
        <f t="shared" si="0"/>
        <v>34</v>
      </c>
      <c r="P10" s="12">
        <f t="shared" si="1"/>
        <v>0</v>
      </c>
      <c r="Q10" s="12">
        <f t="shared" si="2"/>
        <v>0.4233838063287696</v>
      </c>
      <c r="R10" s="12">
        <f t="shared" si="3"/>
        <v>0.24354460093896738</v>
      </c>
      <c r="S10" s="12">
        <f t="shared" si="4"/>
        <v>2.0094380605381161</v>
      </c>
      <c r="T10" s="12">
        <f t="shared" si="5"/>
        <v>2.676366467805853</v>
      </c>
    </row>
    <row r="11" spans="1:20" x14ac:dyDescent="0.25">
      <c r="A11" s="5" t="s">
        <v>0</v>
      </c>
      <c r="B11" s="5" t="s">
        <v>39</v>
      </c>
      <c r="C11" s="1" t="s">
        <v>2</v>
      </c>
      <c r="D11" s="5" t="s">
        <v>4</v>
      </c>
      <c r="E11" s="5" t="s">
        <v>5</v>
      </c>
      <c r="F11" s="9">
        <v>0.4043272727272727</v>
      </c>
      <c r="G11" s="10">
        <v>94.348181818181814</v>
      </c>
      <c r="H11" s="8">
        <v>0.87963636363636366</v>
      </c>
      <c r="I11" s="11">
        <v>360.5690909090909</v>
      </c>
      <c r="J11" s="4">
        <v>9</v>
      </c>
      <c r="K11" s="4">
        <v>13</v>
      </c>
      <c r="L11" s="4">
        <v>14</v>
      </c>
      <c r="M11" s="4">
        <v>8</v>
      </c>
      <c r="N11">
        <f t="shared" si="0"/>
        <v>44</v>
      </c>
      <c r="P11" s="12">
        <f t="shared" si="1"/>
        <v>0.27731188971855214</v>
      </c>
      <c r="Q11" s="12">
        <f t="shared" si="2"/>
        <v>0.56833499561761414</v>
      </c>
      <c r="R11" s="12">
        <f t="shared" si="3"/>
        <v>0.23443559910185791</v>
      </c>
      <c r="S11" s="12">
        <f t="shared" si="4"/>
        <v>1.7790498878923766</v>
      </c>
      <c r="T11" s="12">
        <f t="shared" si="5"/>
        <v>2.859132372330401</v>
      </c>
    </row>
    <row r="12" spans="1:20" x14ac:dyDescent="0.25">
      <c r="A12" s="4" t="s">
        <v>7</v>
      </c>
      <c r="B12" s="4" t="s">
        <v>40</v>
      </c>
      <c r="C12" s="24" t="s">
        <v>2</v>
      </c>
      <c r="D12" s="4" t="s">
        <v>4</v>
      </c>
      <c r="E12" s="4" t="s">
        <v>6</v>
      </c>
      <c r="F12" s="25">
        <f>(0.8096+0.4521+0.8506+0.1645+0.2927+0.1962+0.3854+0.185+0.2238+0.2026+0.1064)/11</f>
        <v>0.35171818181818187</v>
      </c>
      <c r="G12" s="11">
        <f>(67.18+127.41+106.41+80.72+73.62+80.99+101.57+70.49+130.71+82.64+45.5)/11</f>
        <v>87.930909090909097</v>
      </c>
      <c r="H12" s="7">
        <f>(0.7911+0.8077+0.801+0.8102+0.8161+0.7988+0.7851+0.7858+0.8576+0.8355+0.8054)/11</f>
        <v>0.80857272727272722</v>
      </c>
      <c r="I12" s="11">
        <f>(413.77+398.42+439.59+366.77+414.73+406.07+369.92+308.31+698.9+349.01+341.83)/11</f>
        <v>409.75636363636363</v>
      </c>
      <c r="J12" s="4">
        <v>4</v>
      </c>
      <c r="K12" s="4">
        <v>9</v>
      </c>
      <c r="L12" s="4">
        <v>8</v>
      </c>
      <c r="M12" s="4">
        <v>13</v>
      </c>
      <c r="N12">
        <f t="shared" si="0"/>
        <v>34</v>
      </c>
      <c r="P12" s="12">
        <f t="shared" si="1"/>
        <v>0.11111430212521528</v>
      </c>
      <c r="Q12" s="12">
        <f t="shared" si="2"/>
        <v>0.46166167981382428</v>
      </c>
      <c r="R12" s="12">
        <f t="shared" si="3"/>
        <v>0.13470861400285797</v>
      </c>
      <c r="S12" s="12">
        <f t="shared" si="4"/>
        <v>2.1581558295964123</v>
      </c>
      <c r="T12" s="12">
        <f t="shared" si="5"/>
        <v>2.8656404255383099</v>
      </c>
    </row>
    <row r="13" spans="1:20" x14ac:dyDescent="0.25">
      <c r="A13" s="4" t="s">
        <v>7</v>
      </c>
      <c r="B13" s="4" t="s">
        <v>40</v>
      </c>
      <c r="C13" s="24" t="s">
        <v>2</v>
      </c>
      <c r="D13" s="4" t="s">
        <v>4</v>
      </c>
      <c r="E13" s="4" t="s">
        <v>5</v>
      </c>
      <c r="F13" s="25">
        <f>(0.8138+0.4607+0.8766+0.1645+0.2569+0.1895+0.3815+0.1822+0.2331+0.2103+0.0998)/11</f>
        <v>0.35171818181818176</v>
      </c>
      <c r="G13" s="11">
        <f>(67.46+130.74+113.93+76.61+71.81+75.3+93.54+69.08+139.04+81.03+44.43)/11</f>
        <v>87.542727272727262</v>
      </c>
      <c r="H13" s="7">
        <f>(0.7834+0.8095+0.7926+0.8186+0.8332+0.8087+0.8001+0.7923+0.8705+0.8412+0.7941)/11</f>
        <v>0.81310909090909089</v>
      </c>
      <c r="I13" s="11">
        <f>(450.4+325.17+360.89+362.39+451.48+421.29+430.17+376.79+729.64+287.3+354.9)/11</f>
        <v>413.67454545454535</v>
      </c>
      <c r="J13" s="4">
        <v>4</v>
      </c>
      <c r="K13" s="4">
        <v>8</v>
      </c>
      <c r="L13" s="4">
        <v>9</v>
      </c>
      <c r="M13" s="4">
        <v>14</v>
      </c>
      <c r="N13">
        <f t="shared" si="0"/>
        <v>35</v>
      </c>
      <c r="P13" s="12">
        <f t="shared" si="1"/>
        <v>0.11111430212521492</v>
      </c>
      <c r="Q13" s="12">
        <f t="shared" si="2"/>
        <v>0.45520899446912672</v>
      </c>
      <c r="R13" s="12">
        <f t="shared" si="3"/>
        <v>0.14107470912431139</v>
      </c>
      <c r="S13" s="12">
        <f t="shared" si="4"/>
        <v>2.1883548206278016</v>
      </c>
      <c r="T13" s="12">
        <f t="shared" si="5"/>
        <v>2.8957528263464547</v>
      </c>
    </row>
    <row r="14" spans="1:20" x14ac:dyDescent="0.25">
      <c r="A14" s="5" t="s">
        <v>0</v>
      </c>
      <c r="B14" s="5" t="s">
        <v>39</v>
      </c>
      <c r="C14" s="1" t="s">
        <v>1</v>
      </c>
      <c r="D14" s="5" t="s">
        <v>4</v>
      </c>
      <c r="E14" s="5" t="s">
        <v>5</v>
      </c>
      <c r="F14" s="9">
        <v>0.4399777777777778</v>
      </c>
      <c r="G14" s="5">
        <v>101.28999999999999</v>
      </c>
      <c r="H14" s="8">
        <v>0.90636666666666654</v>
      </c>
      <c r="I14" s="11">
        <v>367.04111111111115</v>
      </c>
      <c r="J14" s="4">
        <v>11</v>
      </c>
      <c r="K14" s="4">
        <v>14</v>
      </c>
      <c r="L14" s="4">
        <v>16</v>
      </c>
      <c r="M14" s="4">
        <v>9</v>
      </c>
      <c r="N14">
        <f t="shared" si="0"/>
        <v>50</v>
      </c>
      <c r="P14" s="12">
        <f t="shared" si="1"/>
        <v>0.38993554151509319</v>
      </c>
      <c r="Q14" s="12">
        <f t="shared" si="2"/>
        <v>0.68372774805814962</v>
      </c>
      <c r="R14" s="12">
        <f t="shared" si="3"/>
        <v>0.27194750629380166</v>
      </c>
      <c r="S14" s="12">
        <f t="shared" si="4"/>
        <v>1.828932330592925</v>
      </c>
      <c r="T14" s="12">
        <f t="shared" si="5"/>
        <v>3.1745431264599695</v>
      </c>
    </row>
    <row r="15" spans="1:20" x14ac:dyDescent="0.25">
      <c r="A15" s="4" t="s">
        <v>0</v>
      </c>
      <c r="B15" s="4" t="s">
        <v>40</v>
      </c>
      <c r="C15" s="24" t="s">
        <v>1</v>
      </c>
      <c r="D15" s="4" t="s">
        <v>3</v>
      </c>
      <c r="E15" s="4" t="s">
        <v>6</v>
      </c>
      <c r="F15" s="25">
        <f>(1.0318+0.2882+1.0399+0.3045+0.8363+0.1127+0.4098+0.1782+0.2565+0.2669+0.0975)/11</f>
        <v>0.43839090909090911</v>
      </c>
      <c r="G15" s="11">
        <f>(77.61+87.54+278.07+70.4+72.71+65.3+91.56+86.09+148.04+94.42+54.67)/11</f>
        <v>102.4009090909091</v>
      </c>
      <c r="H15" s="7">
        <f>(0.7072+0.7136+0.7137+0.718+0.7141+0.7056+0.7126+0.7078+0.7201+0.7159+0.7098)/11</f>
        <v>0.71258181818181798</v>
      </c>
      <c r="I15" s="11">
        <f>(426.38+436.54+432.15+440.58+438.81+417.45+441.49+312.35+437.76+447.31+435.95)/11</f>
        <v>424.25181818181812</v>
      </c>
      <c r="J15" s="4">
        <v>10</v>
      </c>
      <c r="K15" s="4">
        <v>15</v>
      </c>
      <c r="L15" s="4">
        <v>1</v>
      </c>
      <c r="M15" s="4">
        <v>15</v>
      </c>
      <c r="N15">
        <f t="shared" si="0"/>
        <v>41</v>
      </c>
      <c r="P15" s="12">
        <f t="shared" si="1"/>
        <v>0.38492245835726563</v>
      </c>
      <c r="Q15" s="12">
        <f t="shared" si="2"/>
        <v>0.7021942152507028</v>
      </c>
      <c r="R15" s="12">
        <f t="shared" si="3"/>
        <v>0</v>
      </c>
      <c r="S15" s="12">
        <f t="shared" si="4"/>
        <v>2.2698780829596408</v>
      </c>
      <c r="T15" s="12">
        <f t="shared" si="5"/>
        <v>3.3569947565676093</v>
      </c>
    </row>
    <row r="16" spans="1:20" x14ac:dyDescent="0.25">
      <c r="A16" s="4" t="s">
        <v>8</v>
      </c>
      <c r="B16" s="4" t="s">
        <v>40</v>
      </c>
      <c r="C16" s="24" t="s">
        <v>2</v>
      </c>
      <c r="D16" s="4" t="s">
        <v>4</v>
      </c>
      <c r="E16" s="4" t="s">
        <v>6</v>
      </c>
      <c r="F16" s="25">
        <f>(0.7497+0.4598+0.797+0.2002+0.2218+0.1475+0.4559+0.3725+0.2495+0.2232+0.0904)/11</f>
        <v>0.36068181818181816</v>
      </c>
      <c r="G16" s="11">
        <f>(97.15+197.22+131.59+150.51+118.35+113.72+145.55+87.37+228.01+117.37+169.28)/11</f>
        <v>141.46545454545455</v>
      </c>
      <c r="H16" s="7">
        <f>(0.6949+0.8124+0.7236+0.7896+0.7618+0.8402+0.8237+0.8226+0.8458+0.7841+0.7704)/11</f>
        <v>0.78810000000000002</v>
      </c>
      <c r="I16" s="11">
        <f>(394.46+401.66+368.19+588.77+286.1+529.65+364.95+417.63+416.83+402.85+291.32)/11</f>
        <v>405.67363636363638</v>
      </c>
      <c r="J16" s="4">
        <v>6</v>
      </c>
      <c r="K16" s="4">
        <v>18</v>
      </c>
      <c r="L16" s="4">
        <v>7</v>
      </c>
      <c r="M16" s="4">
        <v>12</v>
      </c>
      <c r="N16">
        <f t="shared" si="0"/>
        <v>43</v>
      </c>
      <c r="P16" s="12">
        <f t="shared" si="1"/>
        <v>0.13943136128661651</v>
      </c>
      <c r="Q16" s="12">
        <f t="shared" si="2"/>
        <v>1.3515580137214012</v>
      </c>
      <c r="R16" s="12">
        <f t="shared" si="3"/>
        <v>0.10597826086956556</v>
      </c>
      <c r="S16" s="12">
        <f t="shared" si="4"/>
        <v>2.1266886210762332</v>
      </c>
      <c r="T16" s="12">
        <f t="shared" si="5"/>
        <v>3.7236562569538165</v>
      </c>
    </row>
    <row r="17" spans="1:20" x14ac:dyDescent="0.25">
      <c r="A17" s="4" t="s">
        <v>10</v>
      </c>
      <c r="B17" s="4" t="s">
        <v>40</v>
      </c>
      <c r="C17" s="24" t="s">
        <v>2</v>
      </c>
      <c r="D17" s="4" t="s">
        <v>3</v>
      </c>
      <c r="E17" s="4" t="s">
        <v>5</v>
      </c>
      <c r="F17" s="25">
        <f>(0.6972+0.4365+0.7201+0.1978+0.2243+0.1569+0.4805+0.1913+0.164+0.228+0.0975)/11</f>
        <v>0.32673636363636366</v>
      </c>
      <c r="G17" s="11">
        <f>(109.5+131.52+162.85+153.58+83.93+112.97+121.42+114.94+200.28+102.8+133.76)/11</f>
        <v>129.77727272727273</v>
      </c>
      <c r="H17" s="7">
        <f>(0.7785+0.7489+0.7845+0.7888+0.7037+0.7608+0.7542+0.7735+0.785+0.7758+0.7779)/11</f>
        <v>0.76650909090909103</v>
      </c>
      <c r="I17" s="11">
        <f>(392.93+513.26+399.06+495.46+464.56+441.31+469.48+533.39+515.18+529.34+590.5)/11</f>
        <v>485.8609090909091</v>
      </c>
      <c r="J17" s="4">
        <v>2</v>
      </c>
      <c r="K17" s="4">
        <v>17</v>
      </c>
      <c r="L17" s="4">
        <v>2</v>
      </c>
      <c r="M17" s="4">
        <v>16</v>
      </c>
      <c r="N17">
        <f t="shared" si="0"/>
        <v>37</v>
      </c>
      <c r="P17" s="12">
        <f t="shared" si="1"/>
        <v>3.2194141298104328E-2</v>
      </c>
      <c r="Q17" s="12">
        <f t="shared" si="2"/>
        <v>1.1572672046423067</v>
      </c>
      <c r="R17" s="12">
        <f t="shared" si="3"/>
        <v>7.5678709940804709E-2</v>
      </c>
      <c r="S17" s="12">
        <f t="shared" si="4"/>
        <v>2.7447239349775785</v>
      </c>
      <c r="T17" s="12">
        <f t="shared" si="5"/>
        <v>4.0098639908587943</v>
      </c>
    </row>
    <row r="18" spans="1:20" x14ac:dyDescent="0.25">
      <c r="A18" s="4" t="s">
        <v>10</v>
      </c>
      <c r="B18" s="4" t="s">
        <v>40</v>
      </c>
      <c r="C18" s="24" t="s">
        <v>2</v>
      </c>
      <c r="D18" s="4" t="s">
        <v>4</v>
      </c>
      <c r="E18" s="4" t="s">
        <v>6</v>
      </c>
      <c r="F18" s="25">
        <f>(0.741+0.5055+0.7266+0.1877+0.221+0.198+0.477+0.2223+0.1661+0.2279+0.1326)/11</f>
        <v>0.34597272727272732</v>
      </c>
      <c r="G18" s="11">
        <f>(119.28+151.14+143.47+115.07+102.18+110.72+133.08+132.6+153.6+123.99+104.49)/11</f>
        <v>126.32909090909092</v>
      </c>
      <c r="H18" s="7">
        <f>(0.7235+0.7761+0.7882+0.7649+0.7351+0.8251+0.7586+0.8666+0.8141+0.822+0.7908)/11</f>
        <v>0.78772727272727261</v>
      </c>
      <c r="I18" s="11">
        <f>(447.83+454.08+380.34+410.99+581.65+616.91+462.33+709.85+477.01+609.91+514.01)/11</f>
        <v>514.99181818181819</v>
      </c>
      <c r="J18" s="4">
        <v>3</v>
      </c>
      <c r="K18" s="4">
        <v>16</v>
      </c>
      <c r="L18" s="4">
        <v>6</v>
      </c>
      <c r="M18" s="4">
        <v>17</v>
      </c>
      <c r="N18">
        <f t="shared" si="0"/>
        <v>42</v>
      </c>
      <c r="P18" s="12">
        <f t="shared" si="1"/>
        <v>9.2963813900057299E-2</v>
      </c>
      <c r="Q18" s="12">
        <f t="shared" si="2"/>
        <v>1.0999486203040472</v>
      </c>
      <c r="R18" s="12">
        <f t="shared" si="3"/>
        <v>0.10545519493774254</v>
      </c>
      <c r="S18" s="12">
        <f t="shared" si="4"/>
        <v>2.9692474775784752</v>
      </c>
      <c r="T18" s="12">
        <f t="shared" si="5"/>
        <v>4.2676151067203225</v>
      </c>
    </row>
    <row r="19" spans="1:20" x14ac:dyDescent="0.25">
      <c r="A19" s="5" t="s">
        <v>0</v>
      </c>
      <c r="B19" s="4" t="s">
        <v>39</v>
      </c>
      <c r="C19" s="1" t="s">
        <v>2</v>
      </c>
      <c r="D19" s="5" t="s">
        <v>4</v>
      </c>
      <c r="E19" s="5" t="s">
        <v>6</v>
      </c>
      <c r="F19" s="9">
        <v>0.86677500000000007</v>
      </c>
      <c r="G19" s="10">
        <v>89.397500000000008</v>
      </c>
      <c r="H19" s="8">
        <v>0.78207500000000008</v>
      </c>
      <c r="I19" s="11">
        <v>2153.5450000000001</v>
      </c>
      <c r="J19" s="4">
        <v>18</v>
      </c>
      <c r="K19" s="4">
        <v>12</v>
      </c>
      <c r="L19" s="4">
        <v>5</v>
      </c>
      <c r="M19" s="4">
        <v>18</v>
      </c>
      <c r="N19">
        <f t="shared" si="0"/>
        <v>53</v>
      </c>
      <c r="P19" s="12">
        <f t="shared" si="1"/>
        <v>1.7382323377369322</v>
      </c>
      <c r="Q19" s="12">
        <f t="shared" si="2"/>
        <v>0.48604058995980309</v>
      </c>
      <c r="R19" s="12">
        <f t="shared" si="3"/>
        <v>9.7523091447234547E-2</v>
      </c>
      <c r="S19" s="12">
        <f t="shared" si="4"/>
        <v>15.598230801569507</v>
      </c>
      <c r="T19" s="12">
        <f t="shared" si="5"/>
        <v>17.920026820713478</v>
      </c>
    </row>
  </sheetData>
  <autoFilter ref="A1:T19" xr:uid="{D1408722-9100-4EBF-A42D-8E8A70CE40C3}">
    <sortState xmlns:xlrd2="http://schemas.microsoft.com/office/spreadsheetml/2017/richdata2" ref="A2:T19">
      <sortCondition ref="T1:T1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0731-0E35-401E-8FDF-F9440E8E8977}">
  <dimension ref="A1:T17"/>
  <sheetViews>
    <sheetView workbookViewId="0">
      <selection activeCell="U4" sqref="U4"/>
    </sheetView>
  </sheetViews>
  <sheetFormatPr defaultRowHeight="15" x14ac:dyDescent="0.25"/>
  <cols>
    <col min="6" max="8" width="9.28515625" bestFit="1" customWidth="1"/>
    <col min="9" max="9" width="9.5703125" bestFit="1" customWidth="1"/>
  </cols>
  <sheetData>
    <row r="1" spans="1:20" x14ac:dyDescent="0.25">
      <c r="F1" s="1" t="s">
        <v>11</v>
      </c>
      <c r="G1" t="s">
        <v>12</v>
      </c>
      <c r="H1" t="s">
        <v>13</v>
      </c>
      <c r="I1" t="s">
        <v>14</v>
      </c>
      <c r="J1" s="1" t="s">
        <v>15</v>
      </c>
      <c r="K1" s="4" t="s">
        <v>16</v>
      </c>
      <c r="L1" s="4" t="s">
        <v>17</v>
      </c>
      <c r="M1" s="4" t="s">
        <v>18</v>
      </c>
      <c r="N1" s="1"/>
    </row>
    <row r="2" spans="1:20" x14ac:dyDescent="0.25">
      <c r="A2" s="2" t="s">
        <v>7</v>
      </c>
      <c r="B2" s="2" t="s">
        <v>39</v>
      </c>
      <c r="C2" s="3" t="s">
        <v>1</v>
      </c>
      <c r="D2" s="2" t="s">
        <v>3</v>
      </c>
      <c r="E2" s="2" t="s">
        <v>6</v>
      </c>
      <c r="F2" s="18">
        <v>1.2314000000000001</v>
      </c>
      <c r="G2" s="17">
        <v>61.72</v>
      </c>
      <c r="H2" s="21">
        <v>0.874</v>
      </c>
      <c r="I2" s="17">
        <v>129.03</v>
      </c>
      <c r="J2" s="4">
        <v>11</v>
      </c>
      <c r="K2" s="4">
        <v>2</v>
      </c>
      <c r="L2" s="4">
        <v>11</v>
      </c>
      <c r="M2" s="4">
        <v>1</v>
      </c>
      <c r="N2">
        <f>SUM(J2:M2)</f>
        <v>25</v>
      </c>
      <c r="P2" s="12">
        <f>(F2-MIN($F$2:$F$17))/MIN($F$2:$F$17)</f>
        <v>0.97974276527331194</v>
      </c>
      <c r="Q2" s="12">
        <f>(G2-MIN($G$2:$G$17))/MIN($G$2:$G$17)</f>
        <v>7.1527777777777732E-2</v>
      </c>
      <c r="R2" s="12">
        <f>(H2-MIN($H$2:$H$17))/MIN($H$2:$H$17)</f>
        <v>0.26318832201185149</v>
      </c>
      <c r="S2" s="12">
        <f>(I2-MIN($I$2:$I$17))/MIN($I$2:$I$17)</f>
        <v>0</v>
      </c>
      <c r="T2" s="12">
        <f>SUM(P2:S2)</f>
        <v>1.314458865062941</v>
      </c>
    </row>
    <row r="3" spans="1:20" x14ac:dyDescent="0.25">
      <c r="A3" s="5" t="s">
        <v>7</v>
      </c>
      <c r="B3" s="2" t="s">
        <v>39</v>
      </c>
      <c r="C3" s="1" t="s">
        <v>1</v>
      </c>
      <c r="D3" s="5" t="s">
        <v>4</v>
      </c>
      <c r="E3" s="5" t="s">
        <v>6</v>
      </c>
      <c r="F3" s="9">
        <v>1.2221</v>
      </c>
      <c r="G3" s="11">
        <v>57.6</v>
      </c>
      <c r="H3" s="8">
        <v>0.86980000000000002</v>
      </c>
      <c r="I3" s="11">
        <v>141.59</v>
      </c>
      <c r="J3" s="4">
        <v>10</v>
      </c>
      <c r="K3" s="4">
        <v>1</v>
      </c>
      <c r="L3" s="4">
        <v>10</v>
      </c>
      <c r="M3" s="4">
        <v>3</v>
      </c>
      <c r="N3">
        <f>SUM(J3:M3)</f>
        <v>24</v>
      </c>
      <c r="P3" s="12">
        <f>(F3-MIN($F$2:$F$17))/MIN($F$2:$F$17)</f>
        <v>0.96479099678456581</v>
      </c>
      <c r="Q3" s="12">
        <f>(G3-MIN($G$2:$G$17))/MIN($G$2:$G$17)</f>
        <v>0</v>
      </c>
      <c r="R3" s="12">
        <f>(H3-MIN($H$2:$H$17))/MIN($H$2:$H$17)</f>
        <v>0.25711808064749253</v>
      </c>
      <c r="S3" s="12">
        <f>(I3-MIN($I$2:$I$17))/MIN($I$2:$I$17)</f>
        <v>9.7341703479810915E-2</v>
      </c>
      <c r="T3" s="12">
        <f>SUM(P3:S3)</f>
        <v>1.3192507809118692</v>
      </c>
    </row>
    <row r="4" spans="1:20" x14ac:dyDescent="0.25">
      <c r="A4" s="5" t="s">
        <v>7</v>
      </c>
      <c r="B4" s="2" t="s">
        <v>39</v>
      </c>
      <c r="C4" s="1" t="s">
        <v>1</v>
      </c>
      <c r="D4" s="5" t="s">
        <v>3</v>
      </c>
      <c r="E4" s="5" t="s">
        <v>5</v>
      </c>
      <c r="F4" s="9">
        <v>1.2330000000000001</v>
      </c>
      <c r="G4" s="10">
        <v>64.540000000000006</v>
      </c>
      <c r="H4" s="8">
        <v>0.87890000000000001</v>
      </c>
      <c r="I4" s="11">
        <v>140.97</v>
      </c>
      <c r="J4" s="4">
        <v>12</v>
      </c>
      <c r="K4" s="4">
        <v>3</v>
      </c>
      <c r="L4" s="4">
        <v>12</v>
      </c>
      <c r="M4" s="4">
        <v>2</v>
      </c>
      <c r="N4">
        <f>SUM(J4:M4)</f>
        <v>29</v>
      </c>
      <c r="P4" s="12">
        <f>(F4-MIN($F$2:$F$17))/MIN($F$2:$F$17)</f>
        <v>0.9823151125401931</v>
      </c>
      <c r="Q4" s="12">
        <f>(G4-MIN($G$2:$G$17))/MIN($G$2:$G$17)</f>
        <v>0.1204861111111112</v>
      </c>
      <c r="R4" s="12">
        <f>(H4-MIN($H$2:$H$17))/MIN($H$2:$H$17)</f>
        <v>0.27027027027027034</v>
      </c>
      <c r="S4" s="12">
        <f>(I4-MIN($I$2:$I$17))/MIN($I$2:$I$17)</f>
        <v>9.253661939083932E-2</v>
      </c>
      <c r="T4" s="12">
        <f>SUM(P4:S4)</f>
        <v>1.4656081133124139</v>
      </c>
    </row>
    <row r="5" spans="1:20" x14ac:dyDescent="0.25">
      <c r="A5" s="4" t="s">
        <v>7</v>
      </c>
      <c r="B5" s="6" t="s">
        <v>40</v>
      </c>
      <c r="C5" s="24" t="s">
        <v>2</v>
      </c>
      <c r="D5" s="4" t="s">
        <v>3</v>
      </c>
      <c r="E5" s="4" t="s">
        <v>6</v>
      </c>
      <c r="F5" s="25">
        <v>0.84209999999999996</v>
      </c>
      <c r="G5" s="11">
        <v>98.39</v>
      </c>
      <c r="H5" s="7">
        <v>0.73580000000000001</v>
      </c>
      <c r="I5" s="11">
        <v>210.19</v>
      </c>
      <c r="J5" s="4">
        <v>7</v>
      </c>
      <c r="K5" s="4">
        <v>9</v>
      </c>
      <c r="L5" s="4">
        <v>5</v>
      </c>
      <c r="M5" s="4">
        <v>4</v>
      </c>
      <c r="N5">
        <f>SUM(J5:M5)</f>
        <v>25</v>
      </c>
      <c r="P5" s="12">
        <f>(F5-MIN($F$2:$F$17))/MIN($F$2:$F$17)</f>
        <v>0.35385852090032149</v>
      </c>
      <c r="Q5" s="12">
        <f>(G5-MIN($G$2:$G$17))/MIN($G$2:$G$17)</f>
        <v>0.70815972222222223</v>
      </c>
      <c r="R5" s="12">
        <f>(H5-MIN($H$2:$H$17))/MIN($H$2:$H$17)</f>
        <v>6.3448475213181171E-2</v>
      </c>
      <c r="S5" s="12">
        <f>(I5-MIN($I$2:$I$17))/MIN($I$2:$I$17)</f>
        <v>0.62900100751763155</v>
      </c>
      <c r="T5" s="12">
        <f>SUM(P5:S5)</f>
        <v>1.7544677258533565</v>
      </c>
    </row>
    <row r="6" spans="1:20" x14ac:dyDescent="0.25">
      <c r="A6" s="4" t="s">
        <v>7</v>
      </c>
      <c r="B6" s="6" t="s">
        <v>40</v>
      </c>
      <c r="C6" s="24" t="s">
        <v>2</v>
      </c>
      <c r="D6" s="4" t="s">
        <v>4</v>
      </c>
      <c r="E6" s="4" t="s">
        <v>6</v>
      </c>
      <c r="F6" s="25">
        <v>0.72760000000000002</v>
      </c>
      <c r="G6" s="11">
        <v>89.7</v>
      </c>
      <c r="H6" s="7">
        <v>0.77829999999999999</v>
      </c>
      <c r="I6" s="11">
        <v>258.06</v>
      </c>
      <c r="J6" s="4">
        <v>4</v>
      </c>
      <c r="K6" s="4">
        <v>7</v>
      </c>
      <c r="L6" s="4">
        <v>7</v>
      </c>
      <c r="M6" s="4">
        <v>6</v>
      </c>
      <c r="N6">
        <f>SUM(J6:M6)</f>
        <v>24</v>
      </c>
      <c r="P6" s="12">
        <f>(F6-MIN($F$2:$F$17))/MIN($F$2:$F$17)</f>
        <v>0.16977491961414795</v>
      </c>
      <c r="Q6" s="12">
        <f>(G6-MIN($G$2:$G$17))/MIN($G$2:$G$17)</f>
        <v>0.55729166666666663</v>
      </c>
      <c r="R6" s="12">
        <f>(H6-MIN($H$2:$H$17))/MIN($H$2:$H$17)</f>
        <v>0.12487353663824258</v>
      </c>
      <c r="S6" s="12">
        <f>(I6-MIN($I$2:$I$17))/MIN($I$2:$I$17)</f>
        <v>1</v>
      </c>
      <c r="T6" s="12">
        <f>SUM(P6:S6)</f>
        <v>1.8519401229190571</v>
      </c>
    </row>
    <row r="7" spans="1:20" x14ac:dyDescent="0.25">
      <c r="A7" s="4" t="s">
        <v>7</v>
      </c>
      <c r="B7" s="6" t="s">
        <v>40</v>
      </c>
      <c r="C7" s="24" t="s">
        <v>2</v>
      </c>
      <c r="D7" s="4" t="s">
        <v>3</v>
      </c>
      <c r="E7" s="4" t="s">
        <v>5</v>
      </c>
      <c r="F7" s="25">
        <v>0.83079999999999998</v>
      </c>
      <c r="G7" s="11">
        <v>102.14</v>
      </c>
      <c r="H7" s="7">
        <v>0.72729999999999995</v>
      </c>
      <c r="I7" s="11">
        <v>234.69</v>
      </c>
      <c r="J7" s="4">
        <v>6</v>
      </c>
      <c r="K7" s="4">
        <v>10</v>
      </c>
      <c r="L7" s="4">
        <v>4</v>
      </c>
      <c r="M7" s="4">
        <v>5</v>
      </c>
      <c r="N7">
        <f>SUM(J7:M7)</f>
        <v>25</v>
      </c>
      <c r="P7" s="12">
        <f>(F7-MIN($F$2:$F$17))/MIN($F$2:$F$17)</f>
        <v>0.33569131832797428</v>
      </c>
      <c r="Q7" s="12">
        <f>(G7-MIN($G$2:$G$17))/MIN($G$2:$G$17)</f>
        <v>0.77326388888888886</v>
      </c>
      <c r="R7" s="12">
        <f>(H7-MIN($H$2:$H$17))/MIN($H$2:$H$17)</f>
        <v>5.1163462928168792E-2</v>
      </c>
      <c r="S7" s="12">
        <f>(I7-MIN($I$2:$I$17))/MIN($I$2:$I$17)</f>
        <v>0.81887933038828176</v>
      </c>
      <c r="T7" s="12">
        <f>SUM(P7:S7)</f>
        <v>1.9789980005333137</v>
      </c>
    </row>
    <row r="8" spans="1:20" x14ac:dyDescent="0.25">
      <c r="A8" s="4" t="s">
        <v>8</v>
      </c>
      <c r="B8" s="6" t="s">
        <v>40</v>
      </c>
      <c r="C8" s="24" t="s">
        <v>2</v>
      </c>
      <c r="D8" s="4" t="s">
        <v>4</v>
      </c>
      <c r="E8" s="4" t="s">
        <v>6</v>
      </c>
      <c r="F8" s="25">
        <v>0.67230000000000001</v>
      </c>
      <c r="G8" s="11">
        <v>105.49</v>
      </c>
      <c r="H8" s="7">
        <v>0.70450000000000002</v>
      </c>
      <c r="I8" s="11">
        <v>264.81</v>
      </c>
      <c r="J8" s="4">
        <v>2</v>
      </c>
      <c r="K8" s="4">
        <v>12</v>
      </c>
      <c r="L8" s="4">
        <v>2</v>
      </c>
      <c r="M8" s="4">
        <v>7</v>
      </c>
      <c r="N8">
        <f>SUM(J8:M8)</f>
        <v>23</v>
      </c>
      <c r="P8" s="12">
        <f>(F8-MIN($F$2:$F$17))/MIN($F$2:$F$17)</f>
        <v>8.0868167202572366E-2</v>
      </c>
      <c r="Q8" s="12">
        <f>(G8-MIN($G$2:$G$17))/MIN($G$2:$G$17)</f>
        <v>0.83142361111111096</v>
      </c>
      <c r="R8" s="12">
        <f>(H8-MIN($H$2:$H$17))/MIN($H$2:$H$17)</f>
        <v>1.8210724093077117E-2</v>
      </c>
      <c r="S8" s="12">
        <f>(I8-MIN($I$2:$I$17))/MIN($I$2:$I$17)</f>
        <v>1.0523134154847711</v>
      </c>
      <c r="T8" s="12">
        <f>SUM(P8:S8)</f>
        <v>1.9828159178915317</v>
      </c>
    </row>
    <row r="9" spans="1:20" x14ac:dyDescent="0.25">
      <c r="A9" s="4" t="s">
        <v>7</v>
      </c>
      <c r="B9" s="6" t="s">
        <v>40</v>
      </c>
      <c r="C9" s="24" t="s">
        <v>2</v>
      </c>
      <c r="D9" s="4" t="s">
        <v>4</v>
      </c>
      <c r="E9" s="4" t="s">
        <v>5</v>
      </c>
      <c r="F9" s="25">
        <v>0.74790000000000001</v>
      </c>
      <c r="G9" s="11">
        <v>95.6</v>
      </c>
      <c r="H9" s="7">
        <v>0.76339999999999997</v>
      </c>
      <c r="I9" s="11">
        <v>276.10000000000002</v>
      </c>
      <c r="J9" s="4">
        <v>5</v>
      </c>
      <c r="K9" s="4">
        <v>8</v>
      </c>
      <c r="L9" s="4">
        <v>6</v>
      </c>
      <c r="M9" s="4">
        <v>8</v>
      </c>
      <c r="N9">
        <f>SUM(J9:M9)</f>
        <v>27</v>
      </c>
      <c r="P9" s="12">
        <f>(F9-MIN($F$2:$F$17))/MIN($F$2:$F$17)</f>
        <v>0.20241157556270098</v>
      </c>
      <c r="Q9" s="12">
        <f>(G9-MIN($G$2:$G$17))/MIN($G$2:$G$17)</f>
        <v>0.6597222222222221</v>
      </c>
      <c r="R9" s="12">
        <f>(H9-MIN($H$2:$H$17))/MIN($H$2:$H$17)</f>
        <v>0.10333863275039748</v>
      </c>
      <c r="S9" s="12">
        <f>(I9-MIN($I$2:$I$17))/MIN($I$2:$I$17)</f>
        <v>1.1398124467178177</v>
      </c>
      <c r="T9" s="12">
        <f>SUM(P9:S9)</f>
        <v>2.1052848772531383</v>
      </c>
    </row>
    <row r="10" spans="1:20" x14ac:dyDescent="0.25">
      <c r="A10" s="4" t="s">
        <v>0</v>
      </c>
      <c r="B10" s="4" t="s">
        <v>40</v>
      </c>
      <c r="C10" s="24" t="s">
        <v>1</v>
      </c>
      <c r="D10" s="4" t="s">
        <v>3</v>
      </c>
      <c r="E10" s="4" t="s">
        <v>6</v>
      </c>
      <c r="F10" s="25">
        <v>0.92169999999999996</v>
      </c>
      <c r="G10" s="11">
        <v>70.260000000000005</v>
      </c>
      <c r="H10" s="7">
        <v>0.69189999999999996</v>
      </c>
      <c r="I10" s="11">
        <v>410.06</v>
      </c>
      <c r="J10" s="4">
        <v>8</v>
      </c>
      <c r="K10" s="4">
        <v>5</v>
      </c>
      <c r="L10" s="4">
        <v>1</v>
      </c>
      <c r="M10" s="4">
        <v>11</v>
      </c>
      <c r="N10">
        <f>SUM(J10:M10)</f>
        <v>25</v>
      </c>
      <c r="P10" s="12">
        <f>(F10-MIN($F$2:$F$17))/MIN($F$2:$F$17)</f>
        <v>0.48183279742765267</v>
      </c>
      <c r="Q10" s="12">
        <f>(G10-MIN($G$2:$G$17))/MIN($G$2:$G$17)</f>
        <v>0.21979166666666672</v>
      </c>
      <c r="R10" s="12">
        <f>(H10-MIN($H$2:$H$17))/MIN($H$2:$H$17)</f>
        <v>0</v>
      </c>
      <c r="S10" s="12">
        <f>(I10-MIN($I$2:$I$17))/MIN($I$2:$I$17)</f>
        <v>2.1780206153607686</v>
      </c>
      <c r="T10" s="12">
        <f>SUM(P10:S10)</f>
        <v>2.8796450794550879</v>
      </c>
    </row>
    <row r="11" spans="1:20" x14ac:dyDescent="0.25">
      <c r="A11" s="5" t="s">
        <v>7</v>
      </c>
      <c r="B11" s="5" t="s">
        <v>39</v>
      </c>
      <c r="C11" s="1" t="s">
        <v>2</v>
      </c>
      <c r="D11" s="5" t="s">
        <v>4</v>
      </c>
      <c r="E11" s="5" t="s">
        <v>6</v>
      </c>
      <c r="F11" s="9">
        <v>1.3144</v>
      </c>
      <c r="G11" s="11">
        <v>65.89</v>
      </c>
      <c r="H11" s="8">
        <v>1.2222999999999999</v>
      </c>
      <c r="I11" s="10">
        <v>335.1</v>
      </c>
      <c r="J11" s="4">
        <v>13</v>
      </c>
      <c r="K11" s="4">
        <v>4</v>
      </c>
      <c r="L11" s="4">
        <v>16</v>
      </c>
      <c r="M11" s="4">
        <v>9</v>
      </c>
      <c r="N11">
        <f>SUM(J11:M11)</f>
        <v>42</v>
      </c>
      <c r="P11" s="12">
        <f>(F11-MIN($F$2:$F$17))/MIN($F$2:$F$17)</f>
        <v>1.1131832797427652</v>
      </c>
      <c r="Q11" s="12">
        <f>(G11-MIN($G$2:$G$17))/MIN($G$2:$G$17)</f>
        <v>0.1439236111111111</v>
      </c>
      <c r="R11" s="12">
        <f>(H11-MIN($H$2:$H$17))/MIN($H$2:$H$17)</f>
        <v>0.7665847665847666</v>
      </c>
      <c r="S11" s="12">
        <f>(I11-MIN($I$2:$I$17))/MIN($I$2:$I$17)</f>
        <v>1.5970704487328531</v>
      </c>
      <c r="T11" s="12">
        <f>SUM(P11:S11)</f>
        <v>3.6207621061714961</v>
      </c>
    </row>
    <row r="12" spans="1:20" x14ac:dyDescent="0.25">
      <c r="A12" s="5" t="s">
        <v>7</v>
      </c>
      <c r="B12" s="5" t="s">
        <v>39</v>
      </c>
      <c r="C12" s="1" t="s">
        <v>2</v>
      </c>
      <c r="D12" s="5" t="s">
        <v>3</v>
      </c>
      <c r="E12" s="5" t="s">
        <v>6</v>
      </c>
      <c r="F12" s="9">
        <v>1.3387</v>
      </c>
      <c r="G12" s="11">
        <v>70.790000000000006</v>
      </c>
      <c r="H12" s="8">
        <v>1.1153</v>
      </c>
      <c r="I12" s="11">
        <v>373.45</v>
      </c>
      <c r="J12" s="4">
        <v>14</v>
      </c>
      <c r="K12" s="4">
        <v>6</v>
      </c>
      <c r="L12" s="4">
        <v>15</v>
      </c>
      <c r="M12" s="4">
        <v>10</v>
      </c>
      <c r="N12">
        <f>SUM(J12:M12)</f>
        <v>45</v>
      </c>
      <c r="P12" s="12">
        <f>(F12-MIN($F$2:$F$17))/MIN($F$2:$F$17)</f>
        <v>1.1522508038585209</v>
      </c>
      <c r="Q12" s="12">
        <f>(G12-MIN($G$2:$G$17))/MIN($G$2:$G$17)</f>
        <v>0.22899305555555563</v>
      </c>
      <c r="R12" s="12">
        <f>(H12-MIN($H$2:$H$17))/MIN($H$2:$H$17)</f>
        <v>0.6119381413499061</v>
      </c>
      <c r="S12" s="12">
        <f>(I12-MIN($I$2:$I$17))/MIN($I$2:$I$17)</f>
        <v>1.8942881500426256</v>
      </c>
      <c r="T12" s="12">
        <f>SUM(P12:S12)</f>
        <v>3.8874701508066085</v>
      </c>
    </row>
    <row r="13" spans="1:20" x14ac:dyDescent="0.25">
      <c r="A13" s="4" t="s">
        <v>10</v>
      </c>
      <c r="B13" s="4" t="s">
        <v>40</v>
      </c>
      <c r="C13" s="24" t="s">
        <v>2</v>
      </c>
      <c r="D13" s="4" t="s">
        <v>4</v>
      </c>
      <c r="E13" s="4" t="s">
        <v>6</v>
      </c>
      <c r="F13" s="25">
        <v>0.622</v>
      </c>
      <c r="G13" s="11">
        <v>109.55</v>
      </c>
      <c r="H13" s="7">
        <v>0.72589999999999999</v>
      </c>
      <c r="I13" s="11">
        <v>537.66999999999996</v>
      </c>
      <c r="J13" s="4">
        <v>1</v>
      </c>
      <c r="K13" s="4">
        <v>15</v>
      </c>
      <c r="L13" s="4">
        <v>3</v>
      </c>
      <c r="M13" s="4">
        <v>13</v>
      </c>
      <c r="N13">
        <f>SUM(J13:M13)</f>
        <v>32</v>
      </c>
      <c r="P13" s="12">
        <f>(F13-MIN($F$2:$F$17))/MIN($F$2:$F$17)</f>
        <v>0</v>
      </c>
      <c r="Q13" s="12">
        <f>(G13-MIN($G$2:$G$17))/MIN($G$2:$G$17)</f>
        <v>0.9019097222222221</v>
      </c>
      <c r="R13" s="12">
        <f>(H13-MIN($H$2:$H$17))/MIN($H$2:$H$17)</f>
        <v>4.9140049140049186E-2</v>
      </c>
      <c r="S13" s="12">
        <f>(I13-MIN($I$2:$I$17))/MIN($I$2:$I$17)</f>
        <v>3.1670154227698983</v>
      </c>
      <c r="T13" s="12">
        <f>SUM(P13:S13)</f>
        <v>4.1180651941321695</v>
      </c>
    </row>
    <row r="14" spans="1:20" x14ac:dyDescent="0.25">
      <c r="A14" s="5" t="s">
        <v>0</v>
      </c>
      <c r="B14" s="5" t="s">
        <v>39</v>
      </c>
      <c r="C14" s="1" t="s">
        <v>2</v>
      </c>
      <c r="D14" s="5" t="s">
        <v>4</v>
      </c>
      <c r="E14" s="5" t="s">
        <v>5</v>
      </c>
      <c r="F14" s="9">
        <v>1.6483000000000001</v>
      </c>
      <c r="G14" s="10">
        <v>102.55</v>
      </c>
      <c r="H14" s="8">
        <v>0.85350000000000004</v>
      </c>
      <c r="I14" s="11">
        <v>469.48</v>
      </c>
      <c r="J14" s="4">
        <v>16</v>
      </c>
      <c r="K14" s="4">
        <v>11</v>
      </c>
      <c r="L14" s="4">
        <v>9</v>
      </c>
      <c r="M14" s="4">
        <v>12</v>
      </c>
      <c r="N14">
        <f>SUM(J14:M14)</f>
        <v>48</v>
      </c>
      <c r="P14" s="12">
        <f>(F14-MIN($F$2:$F$17))/MIN($F$2:$F$17)</f>
        <v>1.65</v>
      </c>
      <c r="Q14" s="12">
        <f>(G14-MIN($G$2:$G$17))/MIN($G$2:$G$17)</f>
        <v>0.78038194444444431</v>
      </c>
      <c r="R14" s="12">
        <f>(H14-MIN($H$2:$H$17))/MIN($H$2:$H$17)</f>
        <v>0.23355976297152781</v>
      </c>
      <c r="S14" s="12">
        <f>(I14-MIN($I$2:$I$17))/MIN($I$2:$I$17)</f>
        <v>2.6385336743393011</v>
      </c>
      <c r="T14" s="12">
        <f>SUM(P14:S14)</f>
        <v>5.302475381755273</v>
      </c>
    </row>
    <row r="15" spans="1:20" x14ac:dyDescent="0.25">
      <c r="A15" s="4" t="s">
        <v>10</v>
      </c>
      <c r="B15" s="4" t="s">
        <v>40</v>
      </c>
      <c r="C15" s="24" t="s">
        <v>2</v>
      </c>
      <c r="D15" s="4" t="s">
        <v>3</v>
      </c>
      <c r="E15" s="4" t="s">
        <v>5</v>
      </c>
      <c r="F15" s="25">
        <v>0.7248</v>
      </c>
      <c r="G15" s="11">
        <v>108.81</v>
      </c>
      <c r="H15" s="7">
        <v>0.78739999999999999</v>
      </c>
      <c r="I15" s="11">
        <v>675.43</v>
      </c>
      <c r="J15" s="4">
        <v>3</v>
      </c>
      <c r="K15" s="4">
        <v>14</v>
      </c>
      <c r="L15" s="4">
        <v>8</v>
      </c>
      <c r="M15" s="4">
        <v>15</v>
      </c>
      <c r="N15">
        <f>SUM(J15:M15)</f>
        <v>40</v>
      </c>
      <c r="P15" s="12">
        <f>(F15-MIN($F$2:$F$17))/MIN($F$2:$F$17)</f>
        <v>0.16527331189710612</v>
      </c>
      <c r="Q15" s="12">
        <f>(G15-MIN($G$2:$G$17))/MIN($G$2:$G$17)</f>
        <v>0.88906249999999998</v>
      </c>
      <c r="R15" s="12">
        <f>(H15-MIN($H$2:$H$17))/MIN($H$2:$H$17)</f>
        <v>0.13802572626102044</v>
      </c>
      <c r="S15" s="12">
        <f>(I15-MIN($I$2:$I$17))/MIN($I$2:$I$17)</f>
        <v>4.2346741067968692</v>
      </c>
      <c r="T15" s="12">
        <f>SUM(P15:S15)</f>
        <v>5.4270356449549961</v>
      </c>
    </row>
    <row r="16" spans="1:20" x14ac:dyDescent="0.25">
      <c r="A16" s="5" t="s">
        <v>8</v>
      </c>
      <c r="B16" s="5" t="s">
        <v>39</v>
      </c>
      <c r="C16" s="1" t="s">
        <v>1</v>
      </c>
      <c r="D16" s="5" t="s">
        <v>3</v>
      </c>
      <c r="E16" s="5" t="s">
        <v>5</v>
      </c>
      <c r="F16" s="9">
        <v>1.1577999999999999</v>
      </c>
      <c r="G16" s="10">
        <v>138.16</v>
      </c>
      <c r="H16" s="7">
        <v>0.9173</v>
      </c>
      <c r="I16" s="11">
        <v>653.11</v>
      </c>
      <c r="J16" s="4">
        <v>9</v>
      </c>
      <c r="K16" s="4">
        <v>16</v>
      </c>
      <c r="L16" s="4">
        <v>14</v>
      </c>
      <c r="M16" s="4">
        <v>14</v>
      </c>
      <c r="N16">
        <f>SUM(J16:M16)</f>
        <v>53</v>
      </c>
      <c r="P16" s="12">
        <f>(F16-MIN($F$2:$F$17))/MIN($F$2:$F$17)</f>
        <v>0.86141479099678453</v>
      </c>
      <c r="Q16" s="12">
        <f>(G16-MIN($G$2:$G$17))/MIN($G$2:$G$17)</f>
        <v>1.398611111111111</v>
      </c>
      <c r="R16" s="12">
        <f>(H16-MIN($H$2:$H$17))/MIN($H$2:$H$17)</f>
        <v>0.32576961988726705</v>
      </c>
      <c r="S16" s="12">
        <f>(I16-MIN($I$2:$I$17))/MIN($I$2:$I$17)</f>
        <v>4.061691079593893</v>
      </c>
      <c r="T16" s="12">
        <f>SUM(P16:S16)</f>
        <v>6.6474866015890557</v>
      </c>
    </row>
    <row r="17" spans="1:20" x14ac:dyDescent="0.25">
      <c r="A17" s="5" t="s">
        <v>0</v>
      </c>
      <c r="B17" s="4" t="s">
        <v>39</v>
      </c>
      <c r="C17" s="1" t="s">
        <v>2</v>
      </c>
      <c r="D17" s="5" t="s">
        <v>3</v>
      </c>
      <c r="E17" s="5" t="s">
        <v>5</v>
      </c>
      <c r="F17" s="9">
        <v>1.5472999999999999</v>
      </c>
      <c r="G17" s="10">
        <v>106.57</v>
      </c>
      <c r="H17" s="8">
        <v>0.91180000000000005</v>
      </c>
      <c r="I17" s="11">
        <v>724.41</v>
      </c>
      <c r="J17" s="4">
        <v>15</v>
      </c>
      <c r="K17" s="4">
        <v>13</v>
      </c>
      <c r="L17" s="4">
        <v>13</v>
      </c>
      <c r="M17" s="4">
        <v>16</v>
      </c>
      <c r="N17">
        <f>SUM(J17:M17)</f>
        <v>57</v>
      </c>
      <c r="P17" s="12">
        <f>(F17-MIN($F$2:$F$17))/MIN($F$2:$F$17)</f>
        <v>1.4876205787781349</v>
      </c>
      <c r="Q17" s="12">
        <f>(G17-MIN($G$2:$G$17))/MIN($G$2:$G$17)</f>
        <v>0.85017361111111089</v>
      </c>
      <c r="R17" s="12">
        <f>(H17-MIN($H$2:$H$17))/MIN($H$2:$H$17)</f>
        <v>0.31782049429108267</v>
      </c>
      <c r="S17" s="12">
        <f>(I17-MIN($I$2:$I$17))/MIN($I$2:$I$17)</f>
        <v>4.6142757498256222</v>
      </c>
      <c r="T17" s="12">
        <f>SUM(P17:S17)</f>
        <v>7.2698904340059505</v>
      </c>
    </row>
  </sheetData>
  <autoFilter ref="A1:T17" xr:uid="{D1408722-9100-4EBF-A42D-8E8A70CE40C3}">
    <sortState xmlns:xlrd2="http://schemas.microsoft.com/office/spreadsheetml/2017/richdata2" ref="A2:T17">
      <sortCondition ref="T1:T1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7917-35DD-44D5-8879-16BDCEBB8891}">
  <dimension ref="A1:T41"/>
  <sheetViews>
    <sheetView workbookViewId="0">
      <selection activeCell="E2" sqref="E2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(1.2737+0.6594)/2</f>
        <v>0.96655000000000002</v>
      </c>
      <c r="F2" s="17">
        <f>(52.71+51.08)/2</f>
        <v>51.894999999999996</v>
      </c>
      <c r="G2" s="21">
        <f>(0.9517+0.8598)/2</f>
        <v>0.90575000000000006</v>
      </c>
      <c r="H2" s="6">
        <f>(123.49+120.07)/2</f>
        <v>121.78</v>
      </c>
      <c r="I2" s="3">
        <v>39</v>
      </c>
      <c r="J2" s="6">
        <v>2</v>
      </c>
      <c r="K2" s="6">
        <v>11</v>
      </c>
      <c r="L2" s="2">
        <v>1</v>
      </c>
      <c r="M2" s="3">
        <f>SUM(I2:L2)</f>
        <v>53</v>
      </c>
      <c r="N2" s="26"/>
      <c r="O2" s="12">
        <f>(E2-MIN($E$2:$E$41))/MIN($E$2:$E$41)</f>
        <v>1.1586823003908433</v>
      </c>
      <c r="P2" s="12">
        <f>(F2-MIN($F$2:$F$41))/MIN($F$2:$F$41)</f>
        <v>3.8688461166456281E-3</v>
      </c>
      <c r="Q2" s="12">
        <f>(G2-MIN($G$2:$G$41))/MIN($G$2:$G$41)</f>
        <v>0.19169791461088093</v>
      </c>
      <c r="R2" s="12">
        <f>(H2-MIN($H$2:$H$41))/MIN($H$2:$H$41)</f>
        <v>0</v>
      </c>
      <c r="T2" s="12">
        <f>SUM(O2:R2)</f>
        <v>1.3542490611183697</v>
      </c>
    </row>
    <row r="3" spans="1:20" x14ac:dyDescent="0.25">
      <c r="A3" s="5" t="s">
        <v>8</v>
      </c>
      <c r="B3" s="1" t="s">
        <v>1</v>
      </c>
      <c r="C3" s="5" t="s">
        <v>3</v>
      </c>
      <c r="D3" s="5" t="s">
        <v>5</v>
      </c>
      <c r="E3" s="1">
        <f>(1.3011+0.4407)/2</f>
        <v>0.87090000000000001</v>
      </c>
      <c r="F3" s="5">
        <f>(56.07+59.15)/2</f>
        <v>57.61</v>
      </c>
      <c r="G3" s="4">
        <f>(0.8871+0.9177)/2</f>
        <v>0.90239999999999998</v>
      </c>
      <c r="H3" s="4">
        <f>(134.99+125.11)/2</f>
        <v>130.05000000000001</v>
      </c>
      <c r="I3" s="1">
        <v>26</v>
      </c>
      <c r="J3" s="4">
        <v>8</v>
      </c>
      <c r="K3" s="4">
        <v>9</v>
      </c>
      <c r="L3" s="4">
        <v>2</v>
      </c>
      <c r="M3" s="3">
        <f>SUM(I3:L3)</f>
        <v>45</v>
      </c>
      <c r="N3" s="26"/>
      <c r="O3" s="12">
        <f>(E3-MIN($E$2:$E$41))/MIN($E$2:$E$41)</f>
        <v>0.94505862646566174</v>
      </c>
      <c r="P3" s="12">
        <f>(F3-MIN($F$2:$F$41))/MIN($F$2:$F$41)</f>
        <v>0.11442112389979686</v>
      </c>
      <c r="Q3" s="12">
        <f>(G3-MIN($G$2:$G$41))/MIN($G$2:$G$41)</f>
        <v>0.18729030984803627</v>
      </c>
      <c r="R3" s="12">
        <f>(H3-MIN($H$2:$H$41))/MIN($H$2:$H$41)</f>
        <v>6.7909344719986942E-2</v>
      </c>
      <c r="T3" s="12">
        <f>SUM(O3:R3)</f>
        <v>1.314679404933482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1">
        <f>(1.1939+0.5295)/2</f>
        <v>0.86169999999999991</v>
      </c>
      <c r="F4" s="11">
        <f>(56.51+60.9)/2</f>
        <v>58.704999999999998</v>
      </c>
      <c r="G4" s="5">
        <f>(0.8658+0.8758)/2</f>
        <v>0.87080000000000002</v>
      </c>
      <c r="H4" s="11">
        <f>(166.24+128.75)/2</f>
        <v>147.495</v>
      </c>
      <c r="I4" s="1">
        <v>24</v>
      </c>
      <c r="J4" s="4">
        <v>9</v>
      </c>
      <c r="K4" s="4">
        <v>4</v>
      </c>
      <c r="L4" s="4">
        <v>3</v>
      </c>
      <c r="M4" s="3">
        <f>SUM(I4:L4)</f>
        <v>40</v>
      </c>
      <c r="N4" s="26"/>
      <c r="O4" s="12">
        <f>(E4-MIN($E$2:$E$41))/MIN($E$2:$E$41)</f>
        <v>0.92451144611948621</v>
      </c>
      <c r="P4" s="12">
        <f>(F4-MIN($F$2:$F$41))/MIN($F$2:$F$41)</f>
        <v>0.13560305638843212</v>
      </c>
      <c r="Q4" s="12">
        <f>(G4-MIN($G$2:$G$41))/MIN($G$2:$G$41)</f>
        <v>0.14571409775672656</v>
      </c>
      <c r="R4" s="12">
        <f>(H4-MIN($H$2:$H$41))/MIN($H$2:$H$41)</f>
        <v>0.2111594678929217</v>
      </c>
      <c r="T4" s="12">
        <f>SUM(O4:R4)</f>
        <v>1.4169880681575666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(1.328+0.6387)/2</f>
        <v>0.98335000000000006</v>
      </c>
      <c r="F5" s="11">
        <f>(51.46+51.93)/2</f>
        <v>51.695</v>
      </c>
      <c r="G5" s="8">
        <f>(0.9996+0.8412)/2</f>
        <v>0.9204</v>
      </c>
      <c r="H5" s="11">
        <f>(182.66+116.17)/2</f>
        <v>149.41499999999999</v>
      </c>
      <c r="I5" s="1">
        <v>40</v>
      </c>
      <c r="J5" s="4">
        <v>1</v>
      </c>
      <c r="K5" s="4">
        <v>14</v>
      </c>
      <c r="L5" s="4">
        <v>4</v>
      </c>
      <c r="M5" s="3">
        <f>SUM(I5:L5)</f>
        <v>59</v>
      </c>
      <c r="O5" s="12">
        <f>(E5-MIN($E$2:$E$41))/MIN($E$2:$E$41)</f>
        <v>1.196203238414294</v>
      </c>
      <c r="P5" s="12">
        <f>(F5-MIN($F$2:$F$41))/MIN($F$2:$F$41)</f>
        <v>0</v>
      </c>
      <c r="Q5" s="12">
        <f>(G5-MIN($G$2:$G$41))/MIN($G$2:$G$41)</f>
        <v>0.21097296230511151</v>
      </c>
      <c r="R5" s="12">
        <f>(H5-MIN($H$2:$H$41))/MIN($H$2:$H$41)</f>
        <v>0.22692560354738045</v>
      </c>
      <c r="T5" s="12">
        <f>SUM(O5:R5)</f>
        <v>1.6341018042667859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(1.2455+0.5)/2</f>
        <v>0.87275000000000003</v>
      </c>
      <c r="F6" s="10">
        <f>(55.47+59.6)/2</f>
        <v>57.534999999999997</v>
      </c>
      <c r="G6" s="8">
        <f>(0.8923+0.9144)/2</f>
        <v>0.90334999999999999</v>
      </c>
      <c r="H6" s="11">
        <f>(205.31+122.82)/2</f>
        <v>164.065</v>
      </c>
      <c r="I6" s="1">
        <v>28</v>
      </c>
      <c r="J6" s="4">
        <v>7</v>
      </c>
      <c r="K6" s="4">
        <v>10</v>
      </c>
      <c r="L6" s="4">
        <v>5</v>
      </c>
      <c r="M6" s="3">
        <f>SUM(I6:L6)</f>
        <v>50</v>
      </c>
      <c r="O6" s="12">
        <f>(E6-MIN($E$2:$E$41))/MIN($E$2:$E$41)</f>
        <v>0.94919039642657743</v>
      </c>
      <c r="P6" s="12">
        <f>(F6-MIN($F$2:$F$41))/MIN($F$2:$F$41)</f>
        <v>0.11297030660605467</v>
      </c>
      <c r="Q6" s="12">
        <f>(G6-MIN($G$2:$G$41))/MIN($G$2:$G$41)</f>
        <v>0.18854022761660416</v>
      </c>
      <c r="R6" s="12">
        <f>(H6-MIN($H$2:$H$41))/MIN($H$2:$H$41)</f>
        <v>0.34722450320249626</v>
      </c>
      <c r="T6" s="12">
        <f>SUM(O6:R6)</f>
        <v>1.5979254338517326</v>
      </c>
    </row>
    <row r="7" spans="1:20" x14ac:dyDescent="0.25">
      <c r="A7" s="5" t="s">
        <v>7</v>
      </c>
      <c r="B7" s="1" t="s">
        <v>2</v>
      </c>
      <c r="C7" s="5" t="s">
        <v>4</v>
      </c>
      <c r="D7" s="5" t="s">
        <v>6</v>
      </c>
      <c r="E7" s="1">
        <f>(1.3366+0.5616)/2</f>
        <v>0.94910000000000005</v>
      </c>
      <c r="F7" s="11">
        <f>(49.71+58.68)/2</f>
        <v>54.195</v>
      </c>
      <c r="G7" s="8">
        <f>(1.1058+1.2028)/2</f>
        <v>1.1543000000000001</v>
      </c>
      <c r="H7" s="5">
        <f>(162.21+173.81)/2</f>
        <v>168.01</v>
      </c>
      <c r="I7" s="1">
        <v>38</v>
      </c>
      <c r="J7" s="4">
        <v>4</v>
      </c>
      <c r="K7" s="4">
        <v>31</v>
      </c>
      <c r="L7" s="4">
        <v>6</v>
      </c>
      <c r="M7" s="3">
        <f>SUM(I7:L7)</f>
        <v>79</v>
      </c>
      <c r="O7" s="12">
        <f>(E7-MIN($E$2:$E$41))/MIN($E$2:$E$41)</f>
        <v>1.1197096594081521</v>
      </c>
      <c r="P7" s="12">
        <f>(F7-MIN($F$2:$F$41))/MIN($F$2:$F$41)</f>
        <v>4.8360576458071382E-2</v>
      </c>
      <c r="Q7" s="12">
        <f>(G7-MIN($G$2:$G$41))/MIN($G$2:$G$41)</f>
        <v>0.51871587395566099</v>
      </c>
      <c r="R7" s="12">
        <f>(H7-MIN($H$2:$H$41))/MIN($H$2:$H$41)</f>
        <v>0.37961898505501718</v>
      </c>
      <c r="T7" s="12">
        <f>SUM(O7:R7)</f>
        <v>2.0664050948769019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6</v>
      </c>
      <c r="E8" s="1">
        <f>(1.3227+0.4749)/2</f>
        <v>0.89880000000000004</v>
      </c>
      <c r="F8" s="11">
        <f>(58.29+61.86)/2</f>
        <v>60.075000000000003</v>
      </c>
      <c r="G8" s="5">
        <f>(1.0335+1.1715)/2</f>
        <v>1.1025</v>
      </c>
      <c r="H8" s="4">
        <f>(160.77+179.11)/2</f>
        <v>169.94</v>
      </c>
      <c r="I8" s="1">
        <v>30</v>
      </c>
      <c r="J8" s="4">
        <v>12</v>
      </c>
      <c r="K8" s="4">
        <v>27</v>
      </c>
      <c r="L8" s="4">
        <v>7</v>
      </c>
      <c r="M8" s="3">
        <f>SUM(I8:L8)</f>
        <v>76</v>
      </c>
      <c r="O8" s="12">
        <f>(E8-MIN($E$2:$E$41))/MIN($E$2:$E$41)</f>
        <v>1.0073701842546066</v>
      </c>
      <c r="P8" s="12">
        <f>(F8-MIN($F$2:$F$41))/MIN($F$2:$F$41)</f>
        <v>0.16210465228745533</v>
      </c>
      <c r="Q8" s="12">
        <f>(G8-MIN($G$2:$G$41))/MIN($G$2:$G$41)</f>
        <v>0.45056246299585556</v>
      </c>
      <c r="R8" s="12">
        <f>(H8-MIN($H$2:$H$41))/MIN($H$2:$H$41)</f>
        <v>0.39546723599934303</v>
      </c>
      <c r="T8" s="12">
        <f>SUM(O8:R8)</f>
        <v>2.0155045355372607</v>
      </c>
    </row>
    <row r="9" spans="1:20" x14ac:dyDescent="0.25">
      <c r="A9" s="5" t="s">
        <v>8</v>
      </c>
      <c r="B9" s="1" t="s">
        <v>2</v>
      </c>
      <c r="C9" s="5" t="s">
        <v>3</v>
      </c>
      <c r="D9" s="5" t="s">
        <v>5</v>
      </c>
      <c r="E9" s="1">
        <f>(1.3218+0.3758)/2</f>
        <v>0.8488</v>
      </c>
      <c r="F9" s="4">
        <f>(62.57+60.53)/2</f>
        <v>61.55</v>
      </c>
      <c r="G9" s="7">
        <f>(1.4147+1.4571)/2</f>
        <v>1.4359000000000002</v>
      </c>
      <c r="H9" s="11">
        <f>(177.08+165.33)/2</f>
        <v>171.20500000000001</v>
      </c>
      <c r="I9" s="1">
        <v>23</v>
      </c>
      <c r="J9" s="4">
        <v>13</v>
      </c>
      <c r="K9" s="4">
        <v>37</v>
      </c>
      <c r="L9" s="4">
        <v>8</v>
      </c>
      <c r="M9" s="3">
        <f>SUM(I9:L9)</f>
        <v>81</v>
      </c>
      <c r="O9" s="12">
        <f>(E9-MIN($E$2:$E$41))/MIN($E$2:$E$41)</f>
        <v>0.89570072585147975</v>
      </c>
      <c r="P9" s="12">
        <f>(F9-MIN($F$2:$F$41))/MIN($F$2:$F$41)</f>
        <v>0.19063739239771732</v>
      </c>
      <c r="Q9" s="12">
        <f>(G9-MIN($G$2:$G$41))/MIN($G$2:$G$41)</f>
        <v>0.88921781461745963</v>
      </c>
      <c r="R9" s="12">
        <f>(H9-MIN($H$2:$H$41))/MIN($H$2:$H$41)</f>
        <v>0.40585482016751528</v>
      </c>
      <c r="T9" s="12">
        <f>SUM(O9:R9)</f>
        <v>2.3814107530341722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3">
        <f>(1.3621+0.4361)/2</f>
        <v>0.89910000000000001</v>
      </c>
      <c r="F10" s="6">
        <f>(64.15+70.27)/2</f>
        <v>67.210000000000008</v>
      </c>
      <c r="G10" s="21">
        <f>(1.1016+1.239)/2</f>
        <v>1.1703000000000001</v>
      </c>
      <c r="H10" s="6">
        <f>(147.49+195.67)/2</f>
        <v>171.57999999999998</v>
      </c>
      <c r="I10" s="3">
        <v>31</v>
      </c>
      <c r="J10" s="6">
        <v>14</v>
      </c>
      <c r="K10" s="2">
        <v>32</v>
      </c>
      <c r="L10" s="6">
        <v>9</v>
      </c>
      <c r="M10" s="3">
        <f>SUM(I10:L10)</f>
        <v>86</v>
      </c>
      <c r="O10" s="12">
        <f>(E10-MIN($E$2:$E$41))/MIN($E$2:$E$41)</f>
        <v>1.0080402010050253</v>
      </c>
      <c r="P10" s="12">
        <f>(F10-MIN($F$2:$F$41))/MIN($F$2:$F$41)</f>
        <v>0.30012573749879112</v>
      </c>
      <c r="Q10" s="12">
        <f>(G10-MIN($G$2:$G$41))/MIN($G$2:$G$41)</f>
        <v>0.5397671205841722</v>
      </c>
      <c r="R10" s="12">
        <f>(H10-MIN($H$2:$H$41))/MIN($H$2:$H$41)</f>
        <v>0.40893414353752655</v>
      </c>
      <c r="T10" s="12">
        <f>SUM(O10:R10)</f>
        <v>2.2568672026255152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1">
        <f>(1.3206+0.4102)/2</f>
        <v>0.86539999999999995</v>
      </c>
      <c r="F11" s="11">
        <f>(61.32+53.13)/2</f>
        <v>57.225000000000001</v>
      </c>
      <c r="G11" s="8">
        <f>(1.4839+1.4948)/2</f>
        <v>1.48935</v>
      </c>
      <c r="H11" s="11">
        <f>(187.02+167.01)/2</f>
        <v>177.01499999999999</v>
      </c>
      <c r="I11" s="1">
        <v>25</v>
      </c>
      <c r="J11" s="4">
        <v>6</v>
      </c>
      <c r="K11" s="4">
        <v>39</v>
      </c>
      <c r="L11" s="4">
        <v>10</v>
      </c>
      <c r="M11" s="3">
        <f>SUM(I11:L11)</f>
        <v>80</v>
      </c>
      <c r="O11" s="12">
        <f>(E11-MIN($E$2:$E$41))/MIN($E$2:$E$41)</f>
        <v>0.9327749860413177</v>
      </c>
      <c r="P11" s="12">
        <f>(F11-MIN($F$2:$F$41))/MIN($F$2:$F$41)</f>
        <v>0.10697359512525391</v>
      </c>
      <c r="Q11" s="12">
        <f>(G11-MIN($G$2:$G$41))/MIN($G$2:$G$41)</f>
        <v>0.95954213538582978</v>
      </c>
      <c r="R11" s="12">
        <f>(H11-MIN($H$2:$H$41))/MIN($H$2:$H$41)</f>
        <v>0.45356380358022652</v>
      </c>
      <c r="T11" s="12">
        <f>SUM(O11:R11)</f>
        <v>2.4528545201326279</v>
      </c>
    </row>
    <row r="12" spans="1:20" x14ac:dyDescent="0.25">
      <c r="A12" s="5" t="s">
        <v>8</v>
      </c>
      <c r="B12" s="1" t="s">
        <v>1</v>
      </c>
      <c r="C12" s="5" t="s">
        <v>4</v>
      </c>
      <c r="D12" s="5" t="s">
        <v>5</v>
      </c>
      <c r="E12" s="1">
        <f>(1.3138+0.4286)/2</f>
        <v>0.87119999999999997</v>
      </c>
      <c r="F12" s="11">
        <f>(59.9+50.56)/2</f>
        <v>55.230000000000004</v>
      </c>
      <c r="G12" s="8">
        <f>(1.1382+1.1499)/2</f>
        <v>1.14405</v>
      </c>
      <c r="H12" s="11">
        <f>(161.25+214.04)/2</f>
        <v>187.64499999999998</v>
      </c>
      <c r="I12" s="1">
        <v>27</v>
      </c>
      <c r="J12" s="4">
        <v>5</v>
      </c>
      <c r="K12" s="4">
        <v>29</v>
      </c>
      <c r="L12" s="4">
        <v>11</v>
      </c>
      <c r="M12" s="3">
        <f>SUM(I12:L12)</f>
        <v>72</v>
      </c>
      <c r="O12" s="12">
        <f>(E12-MIN($E$2:$E$41))/MIN($E$2:$E$41)</f>
        <v>0.94572864321608041</v>
      </c>
      <c r="P12" s="12">
        <f>(F12-MIN($F$2:$F$41))/MIN($F$2:$F$41)</f>
        <v>6.8381855111713005E-2</v>
      </c>
      <c r="Q12" s="12">
        <f>(G12-MIN($G$2:$G$41))/MIN($G$2:$G$41)</f>
        <v>0.50522991908427073</v>
      </c>
      <c r="R12" s="12">
        <f>(H12-MIN($H$2:$H$41))/MIN($H$2:$H$41)</f>
        <v>0.54085235670881904</v>
      </c>
      <c r="T12" s="12">
        <f>SUM(O12:R12)</f>
        <v>2.0601927741208832</v>
      </c>
    </row>
    <row r="13" spans="1:20" x14ac:dyDescent="0.25">
      <c r="A13" s="5" t="s">
        <v>7</v>
      </c>
      <c r="B13" s="1" t="s">
        <v>2</v>
      </c>
      <c r="C13" s="5" t="s">
        <v>4</v>
      </c>
      <c r="D13" s="5" t="s">
        <v>5</v>
      </c>
      <c r="E13" s="9">
        <f>(1.3688+0.5081)/2</f>
        <v>0.93845000000000001</v>
      </c>
      <c r="F13" s="4">
        <f>(52.41+55.11)/2</f>
        <v>53.76</v>
      </c>
      <c r="G13" s="8">
        <f>(1.1415+1.2812)/2</f>
        <v>1.2113499999999999</v>
      </c>
      <c r="H13" s="10">
        <f>(209.7+171.09)/2</f>
        <v>190.39499999999998</v>
      </c>
      <c r="I13" s="1">
        <v>37</v>
      </c>
      <c r="J13" s="4">
        <v>3</v>
      </c>
      <c r="K13" s="4">
        <v>35</v>
      </c>
      <c r="L13" s="4">
        <v>12</v>
      </c>
      <c r="M13" s="3">
        <f>SUM(I13:L13)</f>
        <v>87</v>
      </c>
      <c r="O13" s="12">
        <f>(E13-MIN($E$2:$E$41))/MIN($E$2:$E$41)</f>
        <v>1.095924064768286</v>
      </c>
      <c r="P13" s="12">
        <f>(F13-MIN($F$2:$F$41))/MIN($F$2:$F$41)</f>
        <v>3.9945836154366914E-2</v>
      </c>
      <c r="Q13" s="12">
        <f>(G13-MIN($G$2:$G$41))/MIN($G$2:$G$41)</f>
        <v>0.59377672521544622</v>
      </c>
      <c r="R13" s="12">
        <f>(H13-MIN($H$2:$H$41))/MIN($H$2:$H$41)</f>
        <v>0.56343406142223662</v>
      </c>
      <c r="T13" s="12">
        <f>SUM(O13:R13)</f>
        <v>2.2930806875603356</v>
      </c>
    </row>
    <row r="14" spans="1:20" x14ac:dyDescent="0.25">
      <c r="A14" s="5" t="s">
        <v>8</v>
      </c>
      <c r="B14" s="1" t="s">
        <v>2</v>
      </c>
      <c r="C14" s="5" t="s">
        <v>4</v>
      </c>
      <c r="D14" s="5" t="s">
        <v>6</v>
      </c>
      <c r="E14" s="9">
        <f>(1.2886+0.3474)/2</f>
        <v>0.81799999999999995</v>
      </c>
      <c r="F14" s="11">
        <f>(82.8+61.26)/2</f>
        <v>72.03</v>
      </c>
      <c r="G14" s="8">
        <f>(1.3666+1.2993)/2</f>
        <v>1.3329499999999999</v>
      </c>
      <c r="H14" s="10">
        <f>(209.16+259.31)/2</f>
        <v>234.23500000000001</v>
      </c>
      <c r="I14" s="1">
        <v>19</v>
      </c>
      <c r="J14" s="4">
        <v>16</v>
      </c>
      <c r="K14" s="4">
        <v>36</v>
      </c>
      <c r="L14" s="4">
        <v>13</v>
      </c>
      <c r="M14" s="3">
        <f>SUM(I14:L14)</f>
        <v>84</v>
      </c>
      <c r="O14" s="12">
        <f>(E14-MIN($E$2:$E$41))/MIN($E$2:$E$41)</f>
        <v>0.82691233947515352</v>
      </c>
      <c r="P14" s="12">
        <f>(F14-MIN($F$2:$F$41))/MIN($F$2:$F$41)</f>
        <v>0.39336492890995262</v>
      </c>
      <c r="Q14" s="12">
        <f>(G14-MIN($G$2:$G$41))/MIN($G$2:$G$41)</f>
        <v>0.75376619959213187</v>
      </c>
      <c r="R14" s="12">
        <f>(H14-MIN($H$2:$H$41))/MIN($H$2:$H$41)</f>
        <v>0.92342749219904752</v>
      </c>
      <c r="T14" s="12">
        <f>SUM(O14:R14)</f>
        <v>2.8974709601762854</v>
      </c>
    </row>
    <row r="15" spans="1:20" x14ac:dyDescent="0.25">
      <c r="A15" s="5" t="s">
        <v>8</v>
      </c>
      <c r="B15" s="1" t="s">
        <v>1</v>
      </c>
      <c r="C15" s="5" t="s">
        <v>4</v>
      </c>
      <c r="D15" s="5" t="s">
        <v>6</v>
      </c>
      <c r="E15" s="9">
        <f>(1.1858+0.424)/2</f>
        <v>0.80489999999999995</v>
      </c>
      <c r="F15" s="11">
        <f>(57.68+61.47)/2</f>
        <v>59.575000000000003</v>
      </c>
      <c r="G15" s="5">
        <f>(1.1335+1.1527)/2</f>
        <v>1.1431</v>
      </c>
      <c r="H15" s="11">
        <f>(216.2+288.53)/2</f>
        <v>252.36499999999998</v>
      </c>
      <c r="I15" s="1">
        <v>17</v>
      </c>
      <c r="J15" s="4">
        <v>10</v>
      </c>
      <c r="K15" s="4">
        <v>28</v>
      </c>
      <c r="L15" s="4">
        <v>14</v>
      </c>
      <c r="M15" s="3">
        <f>SUM(I15:L15)</f>
        <v>69</v>
      </c>
      <c r="O15" s="12">
        <f>(E15-MIN($E$2:$E$41))/MIN($E$2:$E$41)</f>
        <v>0.79765494137353432</v>
      </c>
      <c r="P15" s="12">
        <f>(F15-MIN($F$2:$F$41))/MIN($F$2:$F$41)</f>
        <v>0.15243253699584103</v>
      </c>
      <c r="Q15" s="12">
        <f>(G15-MIN($G$2:$G$41))/MIN($G$2:$G$41)</f>
        <v>0.50398000131570286</v>
      </c>
      <c r="R15" s="12">
        <f>(H15-MIN($H$2:$H$41))/MIN($H$2:$H$41)</f>
        <v>1.0723025127278698</v>
      </c>
      <c r="T15" s="12">
        <f>SUM(O15:R15)</f>
        <v>2.5263699924129481</v>
      </c>
    </row>
    <row r="16" spans="1:20" x14ac:dyDescent="0.25">
      <c r="A16" s="5" t="s">
        <v>8</v>
      </c>
      <c r="B16" s="1" t="s">
        <v>2</v>
      </c>
      <c r="C16" s="5" t="s">
        <v>4</v>
      </c>
      <c r="D16" s="5" t="s">
        <v>5</v>
      </c>
      <c r="E16" s="9">
        <f>(1.3315+0.4834)/2</f>
        <v>0.90744999999999998</v>
      </c>
      <c r="F16" s="4">
        <f>(91.15+77.13)/2</f>
        <v>84.14</v>
      </c>
      <c r="G16" s="8">
        <f>(1.5148+1.4537)/2</f>
        <v>1.4842499999999998</v>
      </c>
      <c r="H16" s="11">
        <f>(212.35+316.11)/2</f>
        <v>264.23</v>
      </c>
      <c r="I16" s="1">
        <v>32</v>
      </c>
      <c r="J16" s="4">
        <v>28</v>
      </c>
      <c r="K16" s="4">
        <v>38</v>
      </c>
      <c r="L16" s="4">
        <v>15</v>
      </c>
      <c r="M16" s="3">
        <f>SUM(I16:L16)</f>
        <v>113</v>
      </c>
      <c r="O16" s="12">
        <f>(E16-MIN($E$2:$E$41))/MIN($E$2:$E$41)</f>
        <v>1.0266890005583473</v>
      </c>
      <c r="P16" s="12">
        <f>(F16-MIN($F$2:$F$41))/MIN($F$2:$F$41)</f>
        <v>0.62762356127285035</v>
      </c>
      <c r="Q16" s="12">
        <f>(G16-MIN($G$2:$G$41))/MIN($G$2:$G$41)</f>
        <v>0.95283205052299169</v>
      </c>
      <c r="R16" s="12">
        <f>(H16-MIN($H$2:$H$41))/MIN($H$2:$H$41)</f>
        <v>1.1697323041550338</v>
      </c>
      <c r="T16" s="12">
        <f>SUM(O16:R16)</f>
        <v>3.7768769165092233</v>
      </c>
    </row>
    <row r="17" spans="1:20" x14ac:dyDescent="0.25">
      <c r="A17" s="5" t="s">
        <v>9</v>
      </c>
      <c r="B17" s="1" t="s">
        <v>1</v>
      </c>
      <c r="C17" s="5" t="s">
        <v>4</v>
      </c>
      <c r="D17" s="5" t="s">
        <v>6</v>
      </c>
      <c r="E17" s="1">
        <f>(1.3357+0.4939)/2</f>
        <v>0.91480000000000006</v>
      </c>
      <c r="F17" s="4">
        <f>(75.57+60.91)/2</f>
        <v>68.239999999999995</v>
      </c>
      <c r="G17" s="8">
        <f>(0.8826+0.8769)/2</f>
        <v>0.87975000000000003</v>
      </c>
      <c r="H17" s="11">
        <f>(229.99+440.96)/2</f>
        <v>335.47500000000002</v>
      </c>
      <c r="I17" s="1">
        <v>34</v>
      </c>
      <c r="J17" s="4">
        <v>15</v>
      </c>
      <c r="K17" s="4">
        <v>6</v>
      </c>
      <c r="L17" s="4">
        <v>16</v>
      </c>
      <c r="M17" s="3">
        <f>SUM(I17:L17)</f>
        <v>71</v>
      </c>
      <c r="O17" s="12">
        <f>(E17-MIN($E$2:$E$41))/MIN($E$2:$E$41)</f>
        <v>1.0431044109436072</v>
      </c>
      <c r="P17" s="12">
        <f>(F17-MIN($F$2:$F$41))/MIN($F$2:$F$41)</f>
        <v>0.32005029499951626</v>
      </c>
      <c r="Q17" s="12">
        <f>(G17-MIN($G$2:$G$41))/MIN($G$2:$G$41)</f>
        <v>0.15748963883955006</v>
      </c>
      <c r="R17" s="12">
        <f>(H17-MIN($H$2:$H$41))/MIN($H$2:$H$41)</f>
        <v>1.7547626868122845</v>
      </c>
      <c r="T17" s="12">
        <f>SUM(O17:R17)</f>
        <v>3.2754070315949582</v>
      </c>
    </row>
    <row r="18" spans="1:20" x14ac:dyDescent="0.25">
      <c r="A18" s="2" t="s">
        <v>0</v>
      </c>
      <c r="B18" s="3" t="s">
        <v>2</v>
      </c>
      <c r="C18" s="2" t="s">
        <v>4</v>
      </c>
      <c r="D18" s="2" t="s">
        <v>5</v>
      </c>
      <c r="E18" s="3">
        <f>(0.5203+0.5221)/2</f>
        <v>0.5212</v>
      </c>
      <c r="F18" s="20">
        <f>(66.76+122.73)/2</f>
        <v>94.745000000000005</v>
      </c>
      <c r="G18" s="2">
        <f>(0.8785+0.8819)/2</f>
        <v>0.88019999999999998</v>
      </c>
      <c r="H18" s="6">
        <f>(358.23+360.11)/2</f>
        <v>359.17</v>
      </c>
      <c r="I18" s="3">
        <v>3</v>
      </c>
      <c r="J18" s="6">
        <v>31</v>
      </c>
      <c r="K18" s="6">
        <v>7</v>
      </c>
      <c r="L18" s="6">
        <v>17</v>
      </c>
      <c r="M18" s="3">
        <f>SUM(I18:L18)</f>
        <v>58</v>
      </c>
      <c r="O18" s="12">
        <f>(E18-MIN($E$2:$E$41))/MIN($E$2:$E$41)</f>
        <v>0.16404243439419322</v>
      </c>
      <c r="P18" s="12">
        <f>(F18-MIN($F$2:$F$41))/MIN($F$2:$F$41)</f>
        <v>0.8327691266079893</v>
      </c>
      <c r="Q18" s="12">
        <f>(G18-MIN($G$2:$G$41))/MIN($G$2:$G$41)</f>
        <v>0.15808170515097689</v>
      </c>
      <c r="R18" s="12">
        <f>(H18-MIN($H$2:$H$41))/MIN($H$2:$H$41)</f>
        <v>1.9493348661520775</v>
      </c>
      <c r="T18" s="12">
        <f>SUM(O18:R18)</f>
        <v>3.104228132305237</v>
      </c>
    </row>
    <row r="19" spans="1:20" x14ac:dyDescent="0.25">
      <c r="A19" s="5" t="s">
        <v>0</v>
      </c>
      <c r="B19" s="1" t="s">
        <v>1</v>
      </c>
      <c r="C19" s="5" t="s">
        <v>4</v>
      </c>
      <c r="D19" s="5" t="s">
        <v>5</v>
      </c>
      <c r="E19" s="9">
        <f>(0.5211+0.534)/2</f>
        <v>0.52754999999999996</v>
      </c>
      <c r="F19" s="5">
        <f>(74.88+121.56)/2</f>
        <v>98.22</v>
      </c>
      <c r="G19" s="8">
        <f>(0.8996+0.9135)/2</f>
        <v>0.90654999999999997</v>
      </c>
      <c r="H19" s="4">
        <f>(366.44+363.68)/2</f>
        <v>365.06</v>
      </c>
      <c r="I19" s="1">
        <v>4</v>
      </c>
      <c r="J19" s="4">
        <v>33</v>
      </c>
      <c r="K19" s="4">
        <v>12</v>
      </c>
      <c r="L19" s="4">
        <v>18</v>
      </c>
      <c r="M19" s="3">
        <f>SUM(I19:L19)</f>
        <v>67</v>
      </c>
      <c r="O19" s="12">
        <f>(E19-MIN($E$2:$E$41))/MIN($E$2:$E$41)</f>
        <v>0.17822445561139025</v>
      </c>
      <c r="P19" s="12">
        <f>(F19-MIN($F$2:$F$41))/MIN($F$2:$F$41)</f>
        <v>0.89999032788470834</v>
      </c>
      <c r="Q19" s="12">
        <f>(G19-MIN($G$2:$G$41))/MIN($G$2:$G$41)</f>
        <v>0.19275047694230638</v>
      </c>
      <c r="R19" s="12">
        <f>(H19-MIN($H$2:$H$41))/MIN($H$2:$H$41)</f>
        <v>1.9977007718837247</v>
      </c>
      <c r="T19" s="12">
        <f>SUM(O19:R19)</f>
        <v>3.2686660323221295</v>
      </c>
    </row>
    <row r="20" spans="1:20" x14ac:dyDescent="0.25">
      <c r="A20" s="5" t="s">
        <v>10</v>
      </c>
      <c r="B20" s="1" t="s">
        <v>2</v>
      </c>
      <c r="C20" s="5" t="s">
        <v>4</v>
      </c>
      <c r="D20" s="5" t="s">
        <v>5</v>
      </c>
      <c r="E20" s="9">
        <f>(0.8704+0.3887)/2</f>
        <v>0.62954999999999994</v>
      </c>
      <c r="F20" s="11">
        <f>(84.21+72.5)/2</f>
        <v>78.35499999999999</v>
      </c>
      <c r="G20" s="8">
        <f>(0.9841+0.9076)/2</f>
        <v>0.94584999999999997</v>
      </c>
      <c r="H20" s="11">
        <f>(438.34+294.07)/2</f>
        <v>366.20499999999998</v>
      </c>
      <c r="I20" s="1">
        <v>5</v>
      </c>
      <c r="J20" s="4">
        <v>21</v>
      </c>
      <c r="K20" s="4">
        <v>18</v>
      </c>
      <c r="L20" s="4">
        <v>19</v>
      </c>
      <c r="M20" s="3">
        <f>SUM(I20:L20)</f>
        <v>63</v>
      </c>
      <c r="O20" s="12">
        <f>(E20-MIN($E$2:$E$41))/MIN($E$2:$E$41)</f>
        <v>0.40603015075376875</v>
      </c>
      <c r="P20" s="12">
        <f>(F20-MIN($F$2:$F$41))/MIN($F$2:$F$41)</f>
        <v>0.51571718734887295</v>
      </c>
      <c r="Q20" s="12">
        <f>(G20-MIN($G$2:$G$41))/MIN($G$2:$G$41)</f>
        <v>0.24445760147358722</v>
      </c>
      <c r="R20" s="12">
        <f>(H20-MIN($H$2:$H$41))/MIN($H$2:$H$41)</f>
        <v>2.007102972573493</v>
      </c>
      <c r="T20" s="12">
        <f>SUM(O20:R20)</f>
        <v>3.1733079121497223</v>
      </c>
    </row>
    <row r="21" spans="1:20" x14ac:dyDescent="0.25">
      <c r="A21" s="5" t="s">
        <v>10</v>
      </c>
      <c r="B21" s="1" t="s">
        <v>2</v>
      </c>
      <c r="C21" s="5" t="s">
        <v>4</v>
      </c>
      <c r="D21" s="5" t="s">
        <v>6</v>
      </c>
      <c r="E21" s="9">
        <f>(0.9669+0.4189)/2</f>
        <v>0.69289999999999996</v>
      </c>
      <c r="F21" s="11">
        <f>(79.1+69.5)/2</f>
        <v>74.3</v>
      </c>
      <c r="G21" s="8">
        <f>(1.001+1.0604)/2</f>
        <v>1.0306999999999999</v>
      </c>
      <c r="H21" s="4">
        <f>(381.55+371.65)/2</f>
        <v>376.6</v>
      </c>
      <c r="I21" s="1">
        <v>11</v>
      </c>
      <c r="J21" s="4">
        <v>18</v>
      </c>
      <c r="K21" s="4">
        <v>23</v>
      </c>
      <c r="L21" s="4">
        <v>20</v>
      </c>
      <c r="M21" s="3">
        <f>SUM(I21:L21)</f>
        <v>72</v>
      </c>
      <c r="O21" s="12">
        <f>(E21-MIN($E$2:$E$41))/MIN($E$2:$E$41)</f>
        <v>0.54751535455053035</v>
      </c>
      <c r="P21" s="12">
        <f>(F21-MIN($F$2:$F$41))/MIN($F$2:$F$41)</f>
        <v>0.43727633233388136</v>
      </c>
      <c r="Q21" s="12">
        <f>(G21-MIN($G$2:$G$41))/MIN($G$2:$G$41)</f>
        <v>0.35609499375041109</v>
      </c>
      <c r="R21" s="12">
        <f>(H21-MIN($H$2:$H$41))/MIN($H$2:$H$41)</f>
        <v>2.092461816390212</v>
      </c>
      <c r="T21" s="12">
        <f>SUM(O21:R21)</f>
        <v>3.433348497025035</v>
      </c>
    </row>
    <row r="22" spans="1:20" x14ac:dyDescent="0.25">
      <c r="A22" s="5" t="s">
        <v>10</v>
      </c>
      <c r="B22" s="1" t="s">
        <v>1</v>
      </c>
      <c r="C22" s="5" t="s">
        <v>4</v>
      </c>
      <c r="D22" s="5" t="s">
        <v>6</v>
      </c>
      <c r="E22" s="9">
        <f>(0.8794+0.575)/2</f>
        <v>0.72719999999999996</v>
      </c>
      <c r="F22" s="11">
        <f>(96.45+104.02)/2</f>
        <v>100.235</v>
      </c>
      <c r="G22" s="8">
        <f>(0.9273+0.9156)/2</f>
        <v>0.92144999999999999</v>
      </c>
      <c r="H22" s="11">
        <f>(383.99+394.74)/2</f>
        <v>389.36500000000001</v>
      </c>
      <c r="I22" s="1">
        <v>14</v>
      </c>
      <c r="J22" s="4">
        <v>34</v>
      </c>
      <c r="K22" s="4">
        <v>15</v>
      </c>
      <c r="L22" s="4">
        <v>21</v>
      </c>
      <c r="M22" s="3">
        <f>SUM(I22:L22)</f>
        <v>84</v>
      </c>
      <c r="O22" s="12">
        <f>(E22-MIN($E$2:$E$41))/MIN($E$2:$E$41)</f>
        <v>0.62412060301507533</v>
      </c>
      <c r="P22" s="12">
        <f>(F22-MIN($F$2:$F$41))/MIN($F$2:$F$41)</f>
        <v>0.93896895250991386</v>
      </c>
      <c r="Q22" s="12">
        <f>(G22-MIN($G$2:$G$41))/MIN($G$2:$G$41)</f>
        <v>0.21235445036510756</v>
      </c>
      <c r="R22" s="12">
        <f>(H22-MIN($H$2:$H$41))/MIN($H$2:$H$41)</f>
        <v>2.1972819839054036</v>
      </c>
      <c r="T22" s="12">
        <f>SUM(O22:R22)</f>
        <v>3.9727259897955003</v>
      </c>
    </row>
    <row r="23" spans="1:20" x14ac:dyDescent="0.25">
      <c r="A23" s="5" t="s">
        <v>0</v>
      </c>
      <c r="B23" s="1" t="s">
        <v>2</v>
      </c>
      <c r="C23" s="5" t="s">
        <v>4</v>
      </c>
      <c r="D23" s="5" t="s">
        <v>6</v>
      </c>
      <c r="E23" s="9">
        <f>(1.14+0.5351)/2</f>
        <v>0.83755000000000002</v>
      </c>
      <c r="F23" s="10">
        <f>(74.38+93.31)/2</f>
        <v>83.844999999999999</v>
      </c>
      <c r="G23" s="8">
        <f>(0.7588+0.7613)/2</f>
        <v>0.76005</v>
      </c>
      <c r="H23" s="4">
        <f>(396.73+384.65)/2</f>
        <v>390.69</v>
      </c>
      <c r="I23" s="1">
        <v>21</v>
      </c>
      <c r="J23" s="4">
        <v>27</v>
      </c>
      <c r="K23" s="4">
        <v>1</v>
      </c>
      <c r="L23" s="4">
        <v>22</v>
      </c>
      <c r="M23" s="3">
        <f>SUM(I23:L23)</f>
        <v>71</v>
      </c>
      <c r="O23" s="12">
        <f>(E23-MIN($E$2:$E$41))/MIN($E$2:$E$41)</f>
        <v>0.87057509771077624</v>
      </c>
      <c r="P23" s="12">
        <f>(F23-MIN($F$2:$F$41))/MIN($F$2:$F$41)</f>
        <v>0.62191701325079796</v>
      </c>
      <c r="Q23" s="12">
        <f>(G23-MIN($G$2:$G$41))/MIN($G$2:$G$41)</f>
        <v>0</v>
      </c>
      <c r="R23" s="12">
        <f>(H23-MIN($H$2:$H$41))/MIN($H$2:$H$41)</f>
        <v>2.2081622598127768</v>
      </c>
      <c r="T23" s="12">
        <f>SUM(O23:R23)</f>
        <v>3.7006543707743509</v>
      </c>
    </row>
    <row r="24" spans="1:20" x14ac:dyDescent="0.25">
      <c r="A24" s="5" t="s">
        <v>10</v>
      </c>
      <c r="B24" s="1" t="s">
        <v>1</v>
      </c>
      <c r="C24" s="5" t="s">
        <v>3</v>
      </c>
      <c r="D24" s="5" t="s">
        <v>6</v>
      </c>
      <c r="E24" s="1">
        <f>(0.9317+0.4679)/2</f>
        <v>0.69979999999999998</v>
      </c>
      <c r="F24" s="4">
        <f>(112.87+79.77)/2</f>
        <v>96.32</v>
      </c>
      <c r="G24" s="4">
        <f>(1.0195+1.0731)/2</f>
        <v>1.0463</v>
      </c>
      <c r="H24" s="4">
        <f>(356.06+459.68)/2</f>
        <v>407.87</v>
      </c>
      <c r="I24" s="1">
        <v>13</v>
      </c>
      <c r="J24" s="4">
        <v>32</v>
      </c>
      <c r="K24" s="4">
        <v>25</v>
      </c>
      <c r="L24" s="4">
        <v>23</v>
      </c>
      <c r="M24" s="3">
        <f>SUM(I24:L24)</f>
        <v>93</v>
      </c>
      <c r="O24" s="12">
        <f>(E24-MIN($E$2:$E$41))/MIN($E$2:$E$41)</f>
        <v>0.56292573981016192</v>
      </c>
      <c r="P24" s="12">
        <f>(F24-MIN($F$2:$F$41))/MIN($F$2:$F$41)</f>
        <v>0.86323628977657396</v>
      </c>
      <c r="Q24" s="12">
        <f>(G24-MIN($G$2:$G$41))/MIN($G$2:$G$41)</f>
        <v>0.37661995921320968</v>
      </c>
      <c r="R24" s="12">
        <f>(H24-MIN($H$2:$H$41))/MIN($H$2:$H$41)</f>
        <v>2.3492363278042374</v>
      </c>
      <c r="T24" s="12">
        <f>SUM(O24:R24)</f>
        <v>4.1520183166041829</v>
      </c>
    </row>
    <row r="25" spans="1:20" x14ac:dyDescent="0.25">
      <c r="A25" s="5" t="s">
        <v>0</v>
      </c>
      <c r="B25" s="1" t="s">
        <v>2</v>
      </c>
      <c r="C25" s="5" t="s">
        <v>3</v>
      </c>
      <c r="D25" s="5" t="s">
        <v>5</v>
      </c>
      <c r="E25" s="1">
        <f>(0.4375+0.4583)/2</f>
        <v>0.44789999999999996</v>
      </c>
      <c r="F25" s="10">
        <f>(82.48+84.17)/2</f>
        <v>83.325000000000003</v>
      </c>
      <c r="G25" s="8">
        <f>(0.8819+0.8774)/2</f>
        <v>0.87965000000000004</v>
      </c>
      <c r="H25" s="11">
        <f>(459.56+372.58)/2</f>
        <v>416.07</v>
      </c>
      <c r="I25" s="1">
        <v>2</v>
      </c>
      <c r="J25" s="4">
        <v>25</v>
      </c>
      <c r="K25" s="4">
        <v>5</v>
      </c>
      <c r="L25" s="4">
        <v>24</v>
      </c>
      <c r="M25" s="3">
        <f>SUM(I25:L25)</f>
        <v>56</v>
      </c>
      <c r="O25" s="12">
        <f>(E25-MIN($E$2:$E$41))/MIN($E$2:$E$41)</f>
        <v>3.3500837520934333E-4</v>
      </c>
      <c r="P25" s="12">
        <f>(F25-MIN($F$2:$F$41))/MIN($F$2:$F$41)</f>
        <v>0.6118580133475191</v>
      </c>
      <c r="Q25" s="12">
        <f>(G25-MIN($G$2:$G$41))/MIN($G$2:$G$41)</f>
        <v>0.1573580685481219</v>
      </c>
      <c r="R25" s="12">
        <f>(H25-MIN($H$2:$H$41))/MIN($H$2:$H$41)</f>
        <v>2.4165708654951548</v>
      </c>
      <c r="T25" s="12">
        <f>SUM(O25:R25)</f>
        <v>3.186121955766005</v>
      </c>
    </row>
    <row r="26" spans="1:20" x14ac:dyDescent="0.25">
      <c r="A26" s="2" t="s">
        <v>9</v>
      </c>
      <c r="B26" s="3" t="s">
        <v>2</v>
      </c>
      <c r="C26" s="2" t="s">
        <v>3</v>
      </c>
      <c r="D26" s="2" t="s">
        <v>6</v>
      </c>
      <c r="E26" s="18">
        <f>(1.2282+0.5677)/2</f>
        <v>0.89795000000000003</v>
      </c>
      <c r="F26" s="6">
        <f>(106.77+117.53)/2</f>
        <v>112.15</v>
      </c>
      <c r="G26" s="21">
        <f>(1.0714+1)/2</f>
        <v>1.0356999999999998</v>
      </c>
      <c r="H26" s="6">
        <f>(481.73+394.31)/2</f>
        <v>438.02</v>
      </c>
      <c r="I26" s="3">
        <v>29</v>
      </c>
      <c r="J26" s="6">
        <v>36</v>
      </c>
      <c r="K26" s="6">
        <v>24</v>
      </c>
      <c r="L26" s="6">
        <v>25</v>
      </c>
      <c r="M26" s="3">
        <f>SUM(I26:L26)</f>
        <v>114</v>
      </c>
      <c r="O26" s="12">
        <f>(E26-MIN($E$2:$E$41))/MIN($E$2:$E$41)</f>
        <v>1.0054718034617534</v>
      </c>
      <c r="P26" s="12">
        <f>(F26-MIN($F$2:$F$41))/MIN($F$2:$F$41)</f>
        <v>1.1694554599090823</v>
      </c>
      <c r="Q26" s="12">
        <f>(G26-MIN($G$2:$G$41))/MIN($G$2:$G$41)</f>
        <v>0.36267350832182071</v>
      </c>
      <c r="R26" s="12">
        <f>(H26-MIN($H$2:$H$41))/MIN($H$2:$H$41)</f>
        <v>2.5968139267531614</v>
      </c>
      <c r="T26" s="12">
        <f>SUM(O26:R26)</f>
        <v>5.1344146984458181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(1.0301+0.4286)/2</f>
        <v>0.72934999999999994</v>
      </c>
      <c r="F27" s="4">
        <f>(75.66+70.92)/2</f>
        <v>73.289999999999992</v>
      </c>
      <c r="G27" s="7">
        <f>(1.1787+1.1957)/2</f>
        <v>1.1872</v>
      </c>
      <c r="H27" s="11">
        <f>(397.8+484.07)/2</f>
        <v>440.935</v>
      </c>
      <c r="I27" s="1">
        <v>15</v>
      </c>
      <c r="J27" s="4">
        <v>17</v>
      </c>
      <c r="K27" s="4">
        <v>33</v>
      </c>
      <c r="L27" s="4">
        <v>26</v>
      </c>
      <c r="M27" s="3">
        <f>SUM(I27:L27)</f>
        <v>91</v>
      </c>
      <c r="O27" s="12">
        <f>(E27-MIN($E$2:$E$41))/MIN($E$2:$E$41)</f>
        <v>0.62892238972640979</v>
      </c>
      <c r="P27" s="12">
        <f>(F27-MIN($F$2:$F$41))/MIN($F$2:$F$41)</f>
        <v>0.41773865944482041</v>
      </c>
      <c r="Q27" s="12">
        <f>(G27-MIN($G$2:$G$41))/MIN($G$2:$G$41)</f>
        <v>0.56200249983553718</v>
      </c>
      <c r="R27" s="12">
        <f>(H27-MIN($H$2:$H$41))/MIN($H$2:$H$41)</f>
        <v>2.6207505337493839</v>
      </c>
      <c r="T27" s="12">
        <f>SUM(O27:R27)</f>
        <v>4.2294140827561515</v>
      </c>
    </row>
    <row r="28" spans="1:20" x14ac:dyDescent="0.25">
      <c r="A28" s="5" t="s">
        <v>10</v>
      </c>
      <c r="B28" s="1" t="s">
        <v>2</v>
      </c>
      <c r="C28" s="5" t="s">
        <v>3</v>
      </c>
      <c r="D28" s="5" t="s">
        <v>6</v>
      </c>
      <c r="E28" s="9">
        <f>(0.8553+0.4544)/2</f>
        <v>0.65484999999999993</v>
      </c>
      <c r="F28" s="4">
        <f>(89.35+70.69)/2</f>
        <v>80.02</v>
      </c>
      <c r="G28" s="8">
        <f>(0.9135+0.935)/2</f>
        <v>0.92425000000000002</v>
      </c>
      <c r="H28" s="11">
        <f>(464.64+418.05)/2</f>
        <v>441.34500000000003</v>
      </c>
      <c r="I28" s="1">
        <v>10</v>
      </c>
      <c r="J28" s="4">
        <v>23</v>
      </c>
      <c r="K28" s="4">
        <v>16</v>
      </c>
      <c r="L28" s="4">
        <v>27</v>
      </c>
      <c r="M28" s="3">
        <f>SUM(I28:L28)</f>
        <v>76</v>
      </c>
      <c r="O28" s="12">
        <f>(E28-MIN($E$2:$E$41))/MIN($E$2:$E$41)</f>
        <v>0.46253489670575088</v>
      </c>
      <c r="P28" s="12">
        <f>(F28-MIN($F$2:$F$41))/MIN($F$2:$F$41)</f>
        <v>0.54792533126994869</v>
      </c>
      <c r="Q28" s="12">
        <f>(G28-MIN($G$2:$G$41))/MIN($G$2:$G$41)</f>
        <v>0.21603841852509706</v>
      </c>
      <c r="R28" s="12">
        <f>(H28-MIN($H$2:$H$41))/MIN($H$2:$H$41)</f>
        <v>2.6241172606339305</v>
      </c>
      <c r="T28" s="12">
        <f>SUM(O28:R28)</f>
        <v>3.8506159071347268</v>
      </c>
    </row>
    <row r="29" spans="1:20" x14ac:dyDescent="0.25">
      <c r="A29" s="5" t="s">
        <v>10</v>
      </c>
      <c r="B29" s="1" t="s">
        <v>2</v>
      </c>
      <c r="C29" s="5" t="s">
        <v>3</v>
      </c>
      <c r="D29" s="5" t="s">
        <v>5</v>
      </c>
      <c r="E29" s="9">
        <f>(0.8749+0.4344)/2</f>
        <v>0.65464999999999995</v>
      </c>
      <c r="F29" s="11">
        <f>(79.72+76.8)/2</f>
        <v>78.259999999999991</v>
      </c>
      <c r="G29" s="4">
        <f>(0.9516+0.9542)/2</f>
        <v>0.95290000000000008</v>
      </c>
      <c r="H29" s="11">
        <f>(514.82+441.33)/2</f>
        <v>478.07500000000005</v>
      </c>
      <c r="I29" s="1">
        <v>9</v>
      </c>
      <c r="J29" s="4">
        <v>20</v>
      </c>
      <c r="K29" s="4">
        <v>19</v>
      </c>
      <c r="L29" s="4">
        <v>28</v>
      </c>
      <c r="M29" s="3">
        <f>SUM(I29:L29)</f>
        <v>76</v>
      </c>
      <c r="O29" s="12">
        <f>(E29-MIN($E$2:$E$41))/MIN($E$2:$E$41)</f>
        <v>0.46208821887213841</v>
      </c>
      <c r="P29" s="12">
        <f>(F29-MIN($F$2:$F$41))/MIN($F$2:$F$41)</f>
        <v>0.51387948544346629</v>
      </c>
      <c r="Q29" s="12">
        <f>(G29-MIN($G$2:$G$41))/MIN($G$2:$G$41)</f>
        <v>0.25373330701927516</v>
      </c>
      <c r="R29" s="12">
        <f>(H29-MIN($H$2:$H$41))/MIN($H$2:$H$41)</f>
        <v>2.9257267203153234</v>
      </c>
      <c r="T29" s="12">
        <f>SUM(O29:R29)</f>
        <v>4.1554277316502031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(1.2228+0.4512)/2</f>
        <v>0.83700000000000008</v>
      </c>
      <c r="F30" s="11">
        <f>(82.85+91.36)/2</f>
        <v>87.10499999999999</v>
      </c>
      <c r="G30" s="8">
        <f>(1.1712+1.2364)/2</f>
        <v>1.2038</v>
      </c>
      <c r="H30" s="11">
        <f>(439.8+554.33)/2</f>
        <v>497.06500000000005</v>
      </c>
      <c r="I30" s="1">
        <v>20</v>
      </c>
      <c r="J30" s="4">
        <v>29</v>
      </c>
      <c r="K30" s="4">
        <v>34</v>
      </c>
      <c r="L30" s="4">
        <v>29</v>
      </c>
      <c r="M30" s="3">
        <f>SUM(I30:L30)</f>
        <v>112</v>
      </c>
      <c r="O30" s="12">
        <f>(E30-MIN($E$2:$E$41))/MIN($E$2:$E$41)</f>
        <v>0.86934673366834192</v>
      </c>
      <c r="P30" s="12">
        <f>(F30-MIN($F$2:$F$41))/MIN($F$2:$F$41)</f>
        <v>0.68497920495212283</v>
      </c>
      <c r="Q30" s="12">
        <f>(G30-MIN($G$2:$G$41))/MIN($G$2:$G$41)</f>
        <v>0.58384316821261761</v>
      </c>
      <c r="R30" s="12">
        <f>(H30-MIN($H$2:$H$41))/MIN($H$2:$H$41)</f>
        <v>3.0816636557727057</v>
      </c>
      <c r="T30" s="12">
        <f>SUM(O30:R30)</f>
        <v>5.2198327626057885</v>
      </c>
    </row>
    <row r="31" spans="1:20" x14ac:dyDescent="0.25">
      <c r="A31" s="5" t="s">
        <v>0</v>
      </c>
      <c r="B31" s="1" t="s">
        <v>1</v>
      </c>
      <c r="C31" s="5" t="s">
        <v>3</v>
      </c>
      <c r="D31" s="5" t="s">
        <v>5</v>
      </c>
      <c r="E31" s="9">
        <f>(0.4379+0.4576)/2</f>
        <v>0.44774999999999998</v>
      </c>
      <c r="F31" s="10">
        <f>(82.47+84.93)/2</f>
        <v>83.7</v>
      </c>
      <c r="G31" s="5">
        <f>(1.0033+0.9217)/2</f>
        <v>0.96250000000000002</v>
      </c>
      <c r="H31" s="4">
        <f>(558.59+442.05)/2</f>
        <v>500.32000000000005</v>
      </c>
      <c r="I31" s="1">
        <v>1</v>
      </c>
      <c r="J31" s="4">
        <v>26</v>
      </c>
      <c r="K31" s="4">
        <v>20</v>
      </c>
      <c r="L31" s="4">
        <v>30</v>
      </c>
      <c r="M31" s="3">
        <f>SUM(I31:L31)</f>
        <v>77</v>
      </c>
      <c r="O31" s="12">
        <f>(E31-MIN($E$2:$E$41))/MIN($E$2:$E$41)</f>
        <v>0</v>
      </c>
      <c r="P31" s="12">
        <f>(F31-MIN($F$2:$F$41))/MIN($F$2:$F$41)</f>
        <v>0.61911209981622983</v>
      </c>
      <c r="Q31" s="12">
        <f>(G31-MIN($G$2:$G$41))/MIN($G$2:$G$41)</f>
        <v>0.26636405499638183</v>
      </c>
      <c r="R31" s="12">
        <f>(H31-MIN($H$2:$H$41))/MIN($H$2:$H$41)</f>
        <v>3.1083921826244052</v>
      </c>
      <c r="T31" s="12">
        <f>SUM(O31:R31)</f>
        <v>3.993868337437017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5</v>
      </c>
      <c r="E32" s="9">
        <f>(0.9867+0.4072)/2</f>
        <v>0.69694999999999996</v>
      </c>
      <c r="F32" s="11">
        <f>(77.34+74.45)/2</f>
        <v>75.89500000000001</v>
      </c>
      <c r="G32" s="8">
        <f>(1.0432+0.9503)/2</f>
        <v>0.99675000000000002</v>
      </c>
      <c r="H32" s="4">
        <f>(734.21+358.03)/2</f>
        <v>546.12</v>
      </c>
      <c r="I32" s="1">
        <v>12</v>
      </c>
      <c r="J32" s="4">
        <v>19</v>
      </c>
      <c r="K32" s="4">
        <v>22</v>
      </c>
      <c r="L32" s="5">
        <v>31</v>
      </c>
      <c r="M32" s="3">
        <f>SUM(I32:L32)</f>
        <v>84</v>
      </c>
      <c r="O32" s="12">
        <f>(E32-MIN($E$2:$E$41))/MIN($E$2:$E$41)</f>
        <v>0.55656058068118364</v>
      </c>
      <c r="P32" s="12">
        <f>(F32-MIN($F$2:$F$41))/MIN($F$2:$F$41)</f>
        <v>0.46813038011413116</v>
      </c>
      <c r="Q32" s="12">
        <f>(G32-MIN($G$2:$G$41))/MIN($G$2:$G$41)</f>
        <v>0.31142687981053879</v>
      </c>
      <c r="R32" s="12">
        <f>(H32-MIN($H$2:$H$41))/MIN($H$2:$H$41)</f>
        <v>3.4844802102151422</v>
      </c>
      <c r="T32" s="12">
        <f>SUM(O32:R32)</f>
        <v>4.8205980508209958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5</v>
      </c>
      <c r="E33" s="9">
        <f>(1.2201+0.4768)/2</f>
        <v>0.84844999999999993</v>
      </c>
      <c r="F33" s="4">
        <f>(127.05+181.21)/2</f>
        <v>154.13</v>
      </c>
      <c r="G33" s="4">
        <f>(0.9898+1.1398)/2</f>
        <v>1.0648</v>
      </c>
      <c r="H33" s="11">
        <f>(478.19+621.2)/2</f>
        <v>549.69500000000005</v>
      </c>
      <c r="I33" s="1">
        <v>22</v>
      </c>
      <c r="J33" s="4">
        <v>40</v>
      </c>
      <c r="K33" s="4">
        <v>26</v>
      </c>
      <c r="L33" s="4">
        <v>32</v>
      </c>
      <c r="M33" s="3">
        <f>SUM(I33:L33)</f>
        <v>120</v>
      </c>
      <c r="O33" s="12">
        <f>(E33-MIN($E$2:$E$41))/MIN($E$2:$E$41)</f>
        <v>0.89491903964265762</v>
      </c>
      <c r="P33" s="12">
        <f>(F33-MIN($F$2:$F$41))/MIN($F$2:$F$41)</f>
        <v>1.9815262597930168</v>
      </c>
      <c r="Q33" s="12">
        <f>(G33-MIN($G$2:$G$41))/MIN($G$2:$G$41)</f>
        <v>0.40096046312742578</v>
      </c>
      <c r="R33" s="12">
        <f>(H33-MIN($H$2:$H$41))/MIN($H$2:$H$41)</f>
        <v>3.5138364263425856</v>
      </c>
      <c r="T33" s="12">
        <f>SUM(O33:R33)</f>
        <v>6.7912421889056862</v>
      </c>
    </row>
    <row r="34" spans="1:20" x14ac:dyDescent="0.25">
      <c r="A34" s="2" t="s">
        <v>9</v>
      </c>
      <c r="B34" s="3" t="s">
        <v>1</v>
      </c>
      <c r="C34" s="2" t="s">
        <v>4</v>
      </c>
      <c r="D34" s="2" t="s">
        <v>5</v>
      </c>
      <c r="E34" s="3">
        <f>(1.3739+0.4969)/2</f>
        <v>0.93540000000000001</v>
      </c>
      <c r="F34" s="17">
        <f>(97.02+62.5)/2</f>
        <v>79.759999999999991</v>
      </c>
      <c r="G34" s="19">
        <f>(0.9808+0.955)/2</f>
        <v>0.96789999999999998</v>
      </c>
      <c r="H34" s="6">
        <f>(337.32+788.24)/2</f>
        <v>562.78</v>
      </c>
      <c r="I34" s="3">
        <v>36</v>
      </c>
      <c r="J34" s="6">
        <v>22</v>
      </c>
      <c r="K34" s="6">
        <v>21</v>
      </c>
      <c r="L34" s="6">
        <v>33</v>
      </c>
      <c r="M34" s="3">
        <f>SUM(I34:L34)</f>
        <v>112</v>
      </c>
      <c r="O34" s="12">
        <f>(E34-MIN($E$2:$E$41))/MIN($E$2:$E$41)</f>
        <v>1.0891122278056953</v>
      </c>
      <c r="P34" s="12">
        <f>(F34-MIN($F$2:$F$41))/MIN($F$2:$F$41)</f>
        <v>0.5428958313183091</v>
      </c>
      <c r="Q34" s="12">
        <f>(G34-MIN($G$2:$G$41))/MIN($G$2:$G$41)</f>
        <v>0.27346885073350435</v>
      </c>
      <c r="R34" s="12">
        <f>(H34-MIN($H$2:$H$41))/MIN($H$2:$H$41)</f>
        <v>3.6212842831335195</v>
      </c>
      <c r="T34" s="12">
        <f>SUM(O34:R34)</f>
        <v>5.5267611929910281</v>
      </c>
    </row>
    <row r="35" spans="1:20" x14ac:dyDescent="0.25">
      <c r="A35" s="5" t="s">
        <v>10</v>
      </c>
      <c r="B35" s="1" t="s">
        <v>1</v>
      </c>
      <c r="C35" s="5" t="s">
        <v>3</v>
      </c>
      <c r="D35" s="5" t="s">
        <v>5</v>
      </c>
      <c r="E35" s="9">
        <f>(0.8436+0.4389)/2</f>
        <v>0.64124999999999999</v>
      </c>
      <c r="F35" s="10">
        <f>(90.6+89.03)/2</f>
        <v>89.814999999999998</v>
      </c>
      <c r="G35" s="5">
        <f>(0.9254+0.8922)/2</f>
        <v>0.90880000000000005</v>
      </c>
      <c r="H35" s="11">
        <f>(652.26+603.45)/2</f>
        <v>627.85500000000002</v>
      </c>
      <c r="I35" s="1">
        <v>6</v>
      </c>
      <c r="J35" s="4">
        <v>30</v>
      </c>
      <c r="K35" s="4">
        <v>13</v>
      </c>
      <c r="L35" s="4">
        <v>34</v>
      </c>
      <c r="M35" s="3">
        <f>SUM(I35:L35)</f>
        <v>83</v>
      </c>
      <c r="O35" s="12">
        <f>(E35-MIN($E$2:$E$41))/MIN($E$2:$E$41)</f>
        <v>0.43216080402010054</v>
      </c>
      <c r="P35" s="12">
        <f>(F35-MIN($F$2:$F$41))/MIN($F$2:$F$41)</f>
        <v>0.73740206983267231</v>
      </c>
      <c r="Q35" s="12">
        <f>(G35-MIN($G$2:$G$41))/MIN($G$2:$G$41)</f>
        <v>0.19571080849944089</v>
      </c>
      <c r="R35" s="12">
        <f>(H35-MIN($H$2:$H$41))/MIN($H$2:$H$41)</f>
        <v>4.1556495319428484</v>
      </c>
      <c r="T35" s="12">
        <f>SUM(O35:R35)</f>
        <v>5.5209232142950615</v>
      </c>
    </row>
    <row r="36" spans="1:20" x14ac:dyDescent="0.25">
      <c r="A36" s="5" t="s">
        <v>9</v>
      </c>
      <c r="B36" s="1" t="s">
        <v>1</v>
      </c>
      <c r="C36" s="5" t="s">
        <v>3</v>
      </c>
      <c r="D36" s="5" t="s">
        <v>5</v>
      </c>
      <c r="E36" s="1">
        <f>(1.3437+0.5105)/2</f>
        <v>0.92709999999999992</v>
      </c>
      <c r="F36" s="11">
        <f>(112.54+111.9)/2</f>
        <v>112.22</v>
      </c>
      <c r="G36" s="7">
        <f>(1.1779+1.1238)/2</f>
        <v>1.1508499999999999</v>
      </c>
      <c r="H36" s="11">
        <f>(719.81+700.8)/2</f>
        <v>710.30499999999995</v>
      </c>
      <c r="I36" s="1">
        <v>35</v>
      </c>
      <c r="J36" s="22">
        <v>37</v>
      </c>
      <c r="K36" s="4">
        <v>30</v>
      </c>
      <c r="L36" s="4">
        <v>35</v>
      </c>
      <c r="M36" s="3">
        <f>SUM(I36:L36)</f>
        <v>137</v>
      </c>
      <c r="O36" s="12">
        <f>(E36-MIN($E$2:$E$41))/MIN($E$2:$E$41)</f>
        <v>1.070575097710776</v>
      </c>
      <c r="P36" s="12">
        <f>(F36-MIN($F$2:$F$41))/MIN($F$2:$F$41)</f>
        <v>1.1708095560499081</v>
      </c>
      <c r="Q36" s="12">
        <f>(G36-MIN($G$2:$G$41))/MIN($G$2:$G$41)</f>
        <v>0.51417669890138795</v>
      </c>
      <c r="R36" s="12">
        <f>(H36-MIN($H$2:$H$41))/MIN($H$2:$H$41)</f>
        <v>4.8326900968960418</v>
      </c>
      <c r="T36" s="12">
        <f>SUM(O36:R36)</f>
        <v>7.588251449558113</v>
      </c>
    </row>
    <row r="37" spans="1:20" x14ac:dyDescent="0.25">
      <c r="A37" s="5" t="s">
        <v>0</v>
      </c>
      <c r="B37" s="1" t="s">
        <v>1</v>
      </c>
      <c r="C37" s="5" t="s">
        <v>3</v>
      </c>
      <c r="D37" s="5" t="s">
        <v>6</v>
      </c>
      <c r="E37" s="9">
        <f>(0.943+0.3547)/2</f>
        <v>0.64884999999999993</v>
      </c>
      <c r="F37" s="10">
        <f>(79.36+86.13)/2</f>
        <v>82.745000000000005</v>
      </c>
      <c r="G37" s="5">
        <f>(0.7701+0.7723)/2</f>
        <v>0.7712</v>
      </c>
      <c r="H37" s="11">
        <f>(767.54+774.07)/2</f>
        <v>770.80500000000006</v>
      </c>
      <c r="I37" s="1">
        <v>7</v>
      </c>
      <c r="J37" s="4">
        <v>24</v>
      </c>
      <c r="K37" s="4">
        <v>2</v>
      </c>
      <c r="L37" s="4">
        <v>36</v>
      </c>
      <c r="M37" s="3">
        <f>SUM(I37:L37)</f>
        <v>69</v>
      </c>
      <c r="O37" s="12">
        <f>(E37-MIN($E$2:$E$41))/MIN($E$2:$E$41)</f>
        <v>0.44913456169737564</v>
      </c>
      <c r="P37" s="12">
        <f>(F37-MIN($F$2:$F$41))/MIN($F$2:$F$41)</f>
        <v>0.60063835960924661</v>
      </c>
      <c r="Q37" s="12">
        <f>(G37-MIN($G$2:$G$41))/MIN($G$2:$G$41)</f>
        <v>1.467008749424379E-2</v>
      </c>
      <c r="R37" s="12">
        <f>(H37-MIN($H$2:$H$41))/MIN($H$2:$H$41)</f>
        <v>5.3294876005912304</v>
      </c>
      <c r="T37" s="12">
        <f>SUM(O37:R37)</f>
        <v>6.3939306093920969</v>
      </c>
    </row>
    <row r="38" spans="1:20" x14ac:dyDescent="0.25">
      <c r="A38" s="5" t="s">
        <v>8</v>
      </c>
      <c r="B38" s="1" t="s">
        <v>1</v>
      </c>
      <c r="C38" s="5" t="s">
        <v>3</v>
      </c>
      <c r="D38" s="5" t="s">
        <v>6</v>
      </c>
      <c r="E38" s="9">
        <f>(1.1523+0.43)/2</f>
        <v>0.79115000000000002</v>
      </c>
      <c r="F38" s="4">
        <f>(150.72+146.54)/2</f>
        <v>148.63</v>
      </c>
      <c r="G38" s="8">
        <f>(0.8908+0.8852)/2</f>
        <v>0.88800000000000001</v>
      </c>
      <c r="H38" s="11">
        <f>(778.66+767.13)/2</f>
        <v>772.89499999999998</v>
      </c>
      <c r="I38" s="1">
        <v>16</v>
      </c>
      <c r="J38" s="4">
        <v>39</v>
      </c>
      <c r="K38" s="4">
        <v>8</v>
      </c>
      <c r="L38" s="4">
        <v>37</v>
      </c>
      <c r="M38" s="3">
        <f>SUM(I38:L38)</f>
        <v>100</v>
      </c>
      <c r="O38" s="12">
        <f>(E38-MIN($E$2:$E$41))/MIN($E$2:$E$41)</f>
        <v>0.76694584031267465</v>
      </c>
      <c r="P38" s="12">
        <f>(F38-MIN($F$2:$F$41))/MIN($F$2:$F$41)</f>
        <v>1.8751329915852597</v>
      </c>
      <c r="Q38" s="12">
        <f>(G38-MIN($G$2:$G$41))/MIN($G$2:$G$41)</f>
        <v>0.16834418788237618</v>
      </c>
      <c r="R38" s="12">
        <f>(H38-MIN($H$2:$H$41))/MIN($H$2:$H$41)</f>
        <v>5.3466496961734276</v>
      </c>
      <c r="T38" s="12">
        <f>SUM(O38:R38)</f>
        <v>8.1570727159537384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(1.2899+0.5346)/2</f>
        <v>0.91225000000000001</v>
      </c>
      <c r="F39" s="11">
        <f>(127.57+108.68)/2</f>
        <v>118.125</v>
      </c>
      <c r="G39" s="7">
        <f>(1.0524+0.8079)/2</f>
        <v>0.93015000000000003</v>
      </c>
      <c r="H39" s="11">
        <f>(781.2+833.91)/2</f>
        <v>807.55500000000006</v>
      </c>
      <c r="I39" s="1">
        <v>33</v>
      </c>
      <c r="J39" s="4">
        <v>38</v>
      </c>
      <c r="K39" s="4">
        <v>17</v>
      </c>
      <c r="L39" s="4">
        <v>38</v>
      </c>
      <c r="M39" s="3">
        <f>SUM(I39:L39)</f>
        <v>126</v>
      </c>
      <c r="O39" s="12">
        <f>(E39-MIN($E$2:$E$41))/MIN($E$2:$E$41)</f>
        <v>1.0374092685650476</v>
      </c>
      <c r="P39" s="12">
        <f>(F39-MIN($F$2:$F$41))/MIN($F$2:$F$41)</f>
        <v>1.2850372376438728</v>
      </c>
      <c r="Q39" s="12">
        <f>(G39-MIN($G$2:$G$41))/MIN($G$2:$G$41)</f>
        <v>0.22380106571936059</v>
      </c>
      <c r="R39" s="12">
        <f>(H39-MIN($H$2:$H$41))/MIN($H$2:$H$41)</f>
        <v>5.6312612908523576</v>
      </c>
      <c r="T39" s="12">
        <f>SUM(O39:R39)</f>
        <v>8.1775088627806376</v>
      </c>
    </row>
    <row r="40" spans="1:20" x14ac:dyDescent="0.25">
      <c r="A40" s="5" t="s">
        <v>0</v>
      </c>
      <c r="B40" s="1" t="s">
        <v>1</v>
      </c>
      <c r="C40" s="5" t="s">
        <v>4</v>
      </c>
      <c r="D40" s="5" t="s">
        <v>6</v>
      </c>
      <c r="E40" s="9">
        <f>(0.9406+0.3629)/2</f>
        <v>0.65175000000000005</v>
      </c>
      <c r="F40" s="5">
        <f>(59.15+60.55)/2</f>
        <v>59.849999999999994</v>
      </c>
      <c r="G40" s="8">
        <f>(0.7865+0.789)/2</f>
        <v>0.78774999999999995</v>
      </c>
      <c r="H40" s="11">
        <f>(826.7+857.67)/2</f>
        <v>842.18499999999995</v>
      </c>
      <c r="I40" s="1">
        <v>8</v>
      </c>
      <c r="J40" s="4">
        <v>11</v>
      </c>
      <c r="K40" s="4">
        <v>3</v>
      </c>
      <c r="L40" s="4">
        <v>39</v>
      </c>
      <c r="M40" s="3">
        <f>SUM(I40:L40)</f>
        <v>61</v>
      </c>
      <c r="O40" s="12">
        <f>(E40-MIN($E$2:$E$41))/MIN($E$2:$E$41)</f>
        <v>0.45561139028475728</v>
      </c>
      <c r="P40" s="12">
        <f>(F40-MIN($F$2:$F$41))/MIN($F$2:$F$41)</f>
        <v>0.15775220040622873</v>
      </c>
      <c r="Q40" s="12">
        <f>(G40-MIN($G$2:$G$41))/MIN($G$2:$G$41)</f>
        <v>3.6444970725610086E-2</v>
      </c>
      <c r="R40" s="12">
        <f>(H40-MIN($H$2:$H$41))/MIN($H$2:$H$41)</f>
        <v>5.9156265396616847</v>
      </c>
      <c r="T40" s="12">
        <f>SUM(O40:R40)</f>
        <v>6.5654351010782808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(1.199+0.4316)/2</f>
        <v>0.81530000000000002</v>
      </c>
      <c r="F41" s="10">
        <f>(102.59+103.92)/2</f>
        <v>103.255</v>
      </c>
      <c r="G41" s="8">
        <f>(2.3478+2.3713)/2</f>
        <v>2.35955</v>
      </c>
      <c r="H41">
        <f>(48649.33+49181.23)/2</f>
        <v>48915.28</v>
      </c>
      <c r="I41" s="1">
        <v>18</v>
      </c>
      <c r="J41" s="4">
        <v>35</v>
      </c>
      <c r="K41" s="4">
        <v>40</v>
      </c>
      <c r="L41" s="4">
        <v>40</v>
      </c>
      <c r="M41" s="3">
        <f>SUM(I41:L41)</f>
        <v>133</v>
      </c>
      <c r="O41" s="12">
        <f>(E41-MIN($E$2:$E$41))/MIN($E$2:$E$41)</f>
        <v>0.82088218872138485</v>
      </c>
      <c r="P41" s="12">
        <f>(F41-MIN($F$2:$F$41))/MIN($F$2:$F$41)</f>
        <v>0.99738852887126406</v>
      </c>
      <c r="Q41" s="12">
        <f>(G41-MIN($G$2:$G$41))/MIN($G$2:$G$41)</f>
        <v>2.1044668113939871</v>
      </c>
      <c r="R41" s="12">
        <f>(H41-MIN($H$2:$H$41))/MIN($H$2:$H$41)</f>
        <v>400.66923961241582</v>
      </c>
      <c r="T41" s="12">
        <f>SUM(O41:R41)</f>
        <v>404.59197714140248</v>
      </c>
    </row>
  </sheetData>
  <autoFilter ref="A1:T41" xr:uid="{5D8885D3-0657-47F0-BCEA-E14580A84273}">
    <sortState xmlns:xlrd2="http://schemas.microsoft.com/office/spreadsheetml/2017/richdata2" ref="A2:T41">
      <sortCondition ref="H1:H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Width</vt:lpstr>
      <vt:lpstr>Shift</vt:lpstr>
      <vt:lpstr>Width (2)</vt:lpstr>
      <vt:lpstr>Ensembles</vt:lpstr>
      <vt:lpstr>Final selection</vt:lpstr>
      <vt:lpstr>Both</vt:lpstr>
      <vt:lpstr>Both vs. Shift</vt:lpstr>
      <vt:lpstr>Both vs. Shift on Shift Test</vt:lpstr>
      <vt:lpstr>Both (2)</vt:lpstr>
      <vt:lpstr>Both (3)</vt:lpstr>
      <vt:lpstr>Both (4)</vt:lpstr>
      <vt:lpstr>Both (5)</vt:lpstr>
      <vt:lpstr>Both (6)</vt:lpstr>
      <vt:lpstr>Both (7)</vt:lpstr>
      <vt:lpstr>Both (8)</vt:lpstr>
      <vt:lpstr>Both (9)</vt:lpstr>
      <vt:lpstr>Both (10)</vt:lpstr>
      <vt:lpstr>Both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2024-02-29T11:08:07Z</dcterms:created>
  <dcterms:modified xsi:type="dcterms:W3CDTF">2024-09-30T17:03:44Z</dcterms:modified>
</cp:coreProperties>
</file>