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5" activeTab="7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APLOG" sheetId="16" r:id="rId9"/>
  </sheets>
  <definedNames>
    <definedName name="_xlnm._FilterDatabase" localSheetId="7" hidden="1">'Agusuts nGen'!$A$1:$V$38</definedName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7" i="15" l="1"/>
  <c r="P67" i="15"/>
  <c r="O67" i="15"/>
  <c r="N67" i="15"/>
  <c r="Q67" i="15"/>
  <c r="P66" i="15"/>
  <c r="O66" i="15"/>
  <c r="N66" i="15"/>
  <c r="M66" i="15"/>
  <c r="Q66" i="15" s="1"/>
  <c r="M41" i="15"/>
  <c r="P65" i="15"/>
  <c r="P64" i="15"/>
  <c r="M65" i="15"/>
  <c r="M64" i="15"/>
  <c r="M61" i="15"/>
  <c r="M63" i="15"/>
  <c r="M62" i="15"/>
  <c r="M60" i="15"/>
  <c r="M59" i="15"/>
  <c r="M58" i="15"/>
  <c r="M57" i="15"/>
  <c r="M56" i="15"/>
  <c r="M55" i="15"/>
  <c r="P54" i="15"/>
  <c r="M54" i="15"/>
  <c r="M53" i="15"/>
  <c r="M52" i="15"/>
  <c r="M51" i="15"/>
  <c r="M50" i="15"/>
  <c r="M49" i="15"/>
  <c r="M48" i="15"/>
  <c r="M47" i="15"/>
  <c r="M46" i="15"/>
  <c r="M45" i="15"/>
  <c r="P43" i="15"/>
  <c r="M44" i="15"/>
  <c r="M43" i="15"/>
  <c r="M42" i="15"/>
  <c r="P63" i="15"/>
  <c r="P62" i="15"/>
  <c r="P61" i="15"/>
  <c r="P60" i="15"/>
  <c r="P59" i="15"/>
  <c r="P58" i="15"/>
  <c r="P57" i="15"/>
  <c r="P56" i="15"/>
  <c r="P55" i="15"/>
  <c r="P53" i="15"/>
  <c r="P52" i="15"/>
  <c r="P51" i="15"/>
  <c r="P50" i="15"/>
  <c r="P49" i="15"/>
  <c r="P48" i="15"/>
  <c r="P47" i="15"/>
  <c r="P46" i="15"/>
  <c r="P45" i="15"/>
  <c r="P44" i="15"/>
  <c r="P42" i="15"/>
  <c r="P41" i="15"/>
  <c r="O65" i="15"/>
  <c r="N65" i="15"/>
  <c r="Q65" i="15"/>
  <c r="O64" i="15"/>
  <c r="N64" i="15"/>
  <c r="Q64" i="15"/>
  <c r="O63" i="15"/>
  <c r="N63" i="15"/>
  <c r="Q63" i="15"/>
  <c r="O62" i="15"/>
  <c r="N62" i="15"/>
  <c r="Q62" i="15"/>
  <c r="O61" i="15"/>
  <c r="N61" i="15"/>
  <c r="Q61" i="15"/>
  <c r="O60" i="15"/>
  <c r="N60" i="15"/>
  <c r="Q60" i="15"/>
  <c r="O59" i="15"/>
  <c r="N59" i="15"/>
  <c r="Q59" i="15"/>
  <c r="O58" i="15"/>
  <c r="N58" i="15"/>
  <c r="Q58" i="15"/>
  <c r="O57" i="15"/>
  <c r="N57" i="15"/>
  <c r="Q57" i="15"/>
  <c r="O56" i="15"/>
  <c r="N56" i="15"/>
  <c r="Q56" i="15"/>
  <c r="O55" i="15"/>
  <c r="N55" i="15"/>
  <c r="Q55" i="15"/>
  <c r="O54" i="15"/>
  <c r="N54" i="15"/>
  <c r="Q54" i="15"/>
  <c r="O53" i="15"/>
  <c r="N53" i="15"/>
  <c r="Q53" i="15"/>
  <c r="O52" i="15"/>
  <c r="N52" i="15"/>
  <c r="Q52" i="15"/>
  <c r="O51" i="15"/>
  <c r="N51" i="15"/>
  <c r="Q51" i="15"/>
  <c r="O50" i="15"/>
  <c r="N50" i="15"/>
  <c r="Q50" i="15"/>
  <c r="O49" i="15"/>
  <c r="N49" i="15"/>
  <c r="Q49" i="15"/>
  <c r="O48" i="15"/>
  <c r="N48" i="15"/>
  <c r="Q48" i="15"/>
  <c r="O47" i="15"/>
  <c r="N47" i="15"/>
  <c r="Q47" i="15"/>
  <c r="O46" i="15"/>
  <c r="N46" i="15"/>
  <c r="Q46" i="15"/>
  <c r="O45" i="15"/>
  <c r="N45" i="15"/>
  <c r="Q45" i="15"/>
  <c r="O44" i="15"/>
  <c r="N44" i="15"/>
  <c r="Q44" i="15"/>
  <c r="O43" i="15"/>
  <c r="N43" i="15"/>
  <c r="Q43" i="15"/>
  <c r="O42" i="15"/>
  <c r="N42" i="15"/>
  <c r="Q42" i="15"/>
  <c r="O41" i="15"/>
  <c r="N41" i="15"/>
  <c r="Q41" i="15"/>
  <c r="P40" i="15" l="1"/>
  <c r="O40" i="15"/>
  <c r="N40" i="15"/>
  <c r="M40" i="15"/>
  <c r="Q40" i="15"/>
  <c r="Q39" i="15"/>
  <c r="N39" i="15"/>
  <c r="M39" i="15"/>
  <c r="P19" i="15" l="1"/>
  <c r="M14" i="15" l="1"/>
  <c r="M38" i="15"/>
  <c r="M37" i="15"/>
  <c r="P38" i="15"/>
  <c r="O38" i="15"/>
  <c r="N38" i="15"/>
  <c r="P37" i="15"/>
  <c r="O37" i="15"/>
  <c r="N37" i="15"/>
  <c r="P36" i="15"/>
  <c r="M36" i="15"/>
  <c r="O36" i="15"/>
  <c r="N36" i="15"/>
  <c r="Q37" i="15" l="1"/>
  <c r="Q38" i="15"/>
  <c r="Q36" i="15"/>
  <c r="M35" i="15"/>
  <c r="P35" i="15"/>
  <c r="P34" i="15"/>
  <c r="P33" i="15"/>
  <c r="M34" i="15"/>
  <c r="M33" i="15"/>
  <c r="O35" i="15"/>
  <c r="N35" i="15"/>
  <c r="O34" i="15"/>
  <c r="N34" i="15"/>
  <c r="O33" i="15"/>
  <c r="N33" i="15"/>
  <c r="M31" i="15"/>
  <c r="P31" i="15"/>
  <c r="O31" i="15"/>
  <c r="N31" i="15"/>
  <c r="E10" i="16"/>
  <c r="L6" i="16"/>
  <c r="E6" i="16"/>
  <c r="L5" i="16"/>
  <c r="E5" i="16"/>
  <c r="L4" i="16"/>
  <c r="L7" i="16" s="1"/>
  <c r="E4" i="16"/>
  <c r="E7" i="16" s="1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29" i="15"/>
  <c r="O29" i="15"/>
  <c r="N29" i="15"/>
  <c r="M29" i="15"/>
  <c r="M30" i="15"/>
  <c r="P30" i="15"/>
  <c r="O30" i="15"/>
  <c r="N30" i="15"/>
  <c r="M23" i="15"/>
  <c r="M24" i="15"/>
  <c r="M25" i="15"/>
  <c r="P25" i="15"/>
  <c r="O25" i="15"/>
  <c r="N25" i="15"/>
  <c r="P24" i="15"/>
  <c r="O24" i="15"/>
  <c r="N24" i="15"/>
  <c r="P23" i="15"/>
  <c r="O23" i="15"/>
  <c r="N23" i="15"/>
  <c r="Q31" i="15" l="1"/>
  <c r="Q26" i="15"/>
  <c r="Q28" i="15"/>
  <c r="Q29" i="15"/>
  <c r="Q35" i="15"/>
  <c r="Q33" i="15"/>
  <c r="Q34" i="15"/>
  <c r="Q30" i="15"/>
  <c r="Q25" i="15"/>
  <c r="Q24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Q20" i="15" l="1"/>
  <c r="Q18" i="15"/>
  <c r="Q22" i="15"/>
  <c r="Q19" i="15"/>
  <c r="Q21" i="15"/>
  <c r="P17" i="15"/>
  <c r="O17" i="15"/>
  <c r="N17" i="15"/>
  <c r="M17" i="15"/>
  <c r="P16" i="15"/>
  <c r="O16" i="15"/>
  <c r="N16" i="15"/>
  <c r="M16" i="15"/>
  <c r="Q17" i="15" l="1"/>
  <c r="Q16" i="15"/>
  <c r="N7" i="15"/>
  <c r="N11" i="15"/>
  <c r="N13" i="15"/>
  <c r="N14" i="15"/>
  <c r="N15" i="15" l="1"/>
  <c r="N12" i="15"/>
  <c r="N6" i="15"/>
  <c r="N10" i="15"/>
  <c r="N9" i="15"/>
  <c r="N8" i="15"/>
  <c r="M36" i="14"/>
  <c r="O54" i="14"/>
  <c r="O49" i="14"/>
  <c r="O36" i="14"/>
  <c r="O35" i="14"/>
  <c r="O7" i="15"/>
  <c r="O8" i="15"/>
  <c r="O9" i="15"/>
  <c r="O10" i="15"/>
  <c r="O11" i="15"/>
  <c r="O12" i="15"/>
  <c r="O13" i="15"/>
  <c r="O14" i="15"/>
  <c r="O15" i="15"/>
  <c r="O6" i="15"/>
  <c r="M15" i="15" l="1"/>
  <c r="M12" i="15"/>
  <c r="M11" i="15"/>
  <c r="M10" i="15"/>
  <c r="M9" i="15"/>
  <c r="M8" i="15"/>
  <c r="P15" i="15"/>
  <c r="P14" i="15"/>
  <c r="P13" i="15"/>
  <c r="M13" i="15"/>
  <c r="P12" i="15"/>
  <c r="P11" i="15"/>
  <c r="P10" i="15"/>
  <c r="P9" i="15"/>
  <c r="P8" i="15"/>
  <c r="Q9" i="15" l="1"/>
  <c r="Q10" i="15"/>
  <c r="Q8" i="15"/>
  <c r="Q15" i="15"/>
  <c r="Q11" i="15"/>
  <c r="Q14" i="15"/>
  <c r="Q12" i="15"/>
  <c r="Q13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M51" i="14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P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Q5" i="9" s="1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6" i="9" l="1"/>
  <c r="Q3" i="9"/>
  <c r="Q4" i="9"/>
  <c r="Q2" i="9"/>
  <c r="P4" i="8"/>
  <c r="N4" i="8"/>
  <c r="Q4" i="8" s="1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<sst xmlns="http://schemas.openxmlformats.org/spreadsheetml/2006/main" count="3826" uniqueCount="843">
  <si>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</si>
  <si>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</si>
  <si>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</si>
  <si>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</si>
  <si>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</si>
  <si>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</si>
  <si>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</si>
  <si>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</si>
  <si>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</si>
  <si>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</si>
  <si>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</si>
  <si>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</si>
  <si>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</si>
  <si>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</si>
  <si>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</si>
  <si>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</si>
  <si>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</si>
  <si>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</si>
  <si>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</si>
  <si>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</si>
  <si>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</si>
  <si>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</si>
  <si>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</si>
  <si>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</si>
  <si>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</si>
  <si>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</si>
  <si>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</si>
  <si>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</si>
  <si>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</si>
  <si>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</si>
  <si>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</si>
  <si>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</si>
  <si>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</si>
  <si>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</si>
  <si>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</si>
  <si>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</si>
  <si>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</si>
  <si>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</si>
  <si>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</si>
  <si>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</si>
  <si>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</si>
  <si>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</si>
  <si>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</si>
  <si>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</si>
  <si>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</si>
  <si>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</si>
  <si>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</si>
  <si>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</si>
  <si>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</si>
  <si>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</si>
  <si>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</si>
  <si>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</si>
  <si>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</si>
  <si>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</si>
  <si>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</si>
  <si>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</si>
  <si>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</si>
  <si>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</si>
  <si>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</si>
  <si>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</si>
  <si>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</si>
  <si>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</si>
  <si>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</si>
  <si>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</si>
  <si>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</si>
  <si>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</si>
  <si>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</si>
  <si>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</si>
  <si>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</si>
  <si>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</si>
  <si>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</si>
  <si>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</si>
  <si>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</si>
  <si>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</si>
  <si>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</si>
  <si>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</si>
  <si>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</si>
  <si>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</si>
  <si>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</si>
  <si>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</si>
  <si>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</si>
  <si>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</si>
  <si>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</si>
  <si>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</si>
  <si>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</si>
  <si>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</si>
  <si>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</si>
  <si>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</si>
  <si>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</si>
  <si>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</si>
  <si>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</si>
  <si>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</si>
  <si>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</si>
  <si>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</si>
  <si>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</si>
  <si>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</si>
  <si>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</si>
  <si>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</si>
  <si>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</si>
  <si>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</si>
  <si>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</si>
  <si>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</si>
  <si>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</si>
  <si>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</si>
  <si>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</si>
  <si>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</si>
  <si>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</si>
  <si>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</si>
  <si>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</si>
  <si>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</si>
  <si>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</si>
  <si>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</si>
  <si>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</si>
  <si>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</si>
  <si>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</si>
  <si>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</si>
  <si>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</si>
  <si>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</si>
  <si>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</si>
  <si>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</si>
  <si>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</si>
  <si>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</si>
  <si>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</si>
  <si>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</si>
  <si>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</si>
  <si>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</si>
  <si>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</si>
  <si>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</si>
  <si>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</si>
  <si>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</si>
  <si>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</si>
  <si>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</si>
  <si>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</si>
  <si>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</si>
  <si>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</si>
  <si>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</si>
  <si>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</si>
  <si>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</si>
  <si>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</si>
  <si>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</si>
  <si>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</si>
  <si>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</si>
  <si>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</si>
  <si>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</si>
  <si>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</si>
  <si>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</si>
  <si>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</si>
  <si>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</si>
  <si>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</si>
  <si>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</si>
  <si>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</si>
  <si>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</si>
  <si>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</si>
  <si>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</si>
  <si>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</si>
  <si>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</si>
  <si>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</si>
  <si>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</si>
  <si>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</si>
  <si>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</si>
  <si>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</si>
  <si>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</si>
  <si>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</si>
  <si>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</si>
  <si>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</si>
  <si>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</si>
  <si>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</si>
  <si>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</si>
  <si>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</si>
  <si>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</si>
  <si>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</si>
  <si>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</si>
  <si>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</si>
  <si>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</si>
  <si>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</si>
  <si>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</si>
  <si>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</si>
  <si>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</si>
  <si>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</si>
  <si>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</si>
  <si>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</si>
  <si>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</si>
  <si>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</si>
  <si>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</si>
  <si>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</si>
  <si>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</si>
  <si>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</si>
  <si>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</si>
  <si>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</si>
  <si>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</si>
  <si>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</si>
  <si>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</si>
  <si>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</si>
  <si>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</si>
  <si>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</si>
  <si>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</si>
  <si>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</si>
  <si>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</si>
  <si>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</si>
  <si>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</si>
  <si>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</si>
  <si>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</si>
  <si>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</si>
  <si>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</si>
  <si>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</si>
  <si>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</si>
  <si>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</si>
  <si>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</si>
  <si>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</si>
  <si>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</si>
  <si>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</si>
  <si>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</si>
  <si>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</si>
  <si>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</si>
  <si>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</si>
  <si>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</si>
  <si>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</si>
  <si>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</si>
  <si>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</si>
  <si>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</si>
  <si>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</si>
  <si>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</si>
  <si>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</si>
  <si>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</si>
  <si>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</si>
  <si>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</si>
  <si>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</si>
  <si>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</si>
  <si>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</si>
  <si>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</si>
  <si>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</si>
  <si>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</si>
  <si>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</si>
  <si>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</si>
  <si>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</si>
  <si>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</si>
  <si>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</si>
  <si>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</si>
  <si>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</si>
  <si>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</si>
  <si>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</si>
  <si>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</si>
  <si>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</si>
  <si>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</si>
  <si>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</si>
  <si>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</si>
  <si>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</si>
  <si>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</si>
  <si>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</si>
  <si>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</si>
  <si>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</si>
  <si>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</si>
  <si>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</si>
  <si>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</si>
  <si>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</si>
  <si>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</si>
  <si>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</si>
  <si>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</si>
  <si>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</si>
  <si>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</si>
  <si>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</si>
  <si>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</si>
  <si>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</si>
  <si>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</si>
  <si>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</si>
  <si>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</si>
  <si>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</si>
  <si>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</si>
  <si>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</si>
  <si>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</si>
  <si>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</si>
  <si>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</si>
  <si>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</si>
  <si>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</si>
  <si>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</si>
  <si>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</si>
  <si>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</si>
  <si>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</si>
  <si>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</si>
  <si>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</si>
  <si>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</si>
  <si>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</si>
  <si>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</si>
  <si>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</si>
  <si>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</si>
  <si>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</si>
  <si>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</si>
  <si>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</si>
  <si>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</si>
  <si>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</si>
  <si>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</si>
  <si>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</si>
  <si>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</si>
  <si>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</si>
  <si>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</si>
  <si>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</si>
  <si>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</si>
  <si>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</si>
  <si>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</si>
  <si>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</si>
  <si>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</si>
  <si>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</si>
  <si>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</si>
  <si>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</si>
  <si>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</si>
  <si>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</si>
  <si>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</si>
  <si>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</si>
  <si>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</si>
  <si>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</si>
  <si>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</si>
  <si>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</si>
  <si>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</si>
  <si>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</si>
  <si>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</si>
  <si>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</si>
  <si>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</si>
  <si>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</si>
  <si>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</si>
  <si>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</si>
  <si>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</si>
  <si>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</si>
  <si>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</si>
  <si>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</si>
  <si>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</si>
  <si>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</si>
  <si>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</si>
  <si>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</si>
  <si>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</si>
  <si>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</si>
  <si>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</si>
  <si>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</si>
  <si>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</si>
  <si>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</si>
  <si>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</si>
  <si>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</si>
  <si>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</si>
  <si>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</si>
  <si>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</si>
  <si>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</si>
  <si>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</si>
  <si>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</si>
  <si>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</si>
  <si>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</si>
  <si>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</si>
  <si>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</si>
  <si>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</si>
  <si>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</si>
  <si>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</si>
  <si>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</si>
  <si>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</si>
  <si>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</si>
  <si>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</si>
  <si>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</si>
  <si>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</si>
  <si>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</si>
  <si>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</si>
  <si>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</si>
  <si>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</si>
  <si>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</si>
  <si>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</si>
  <si>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</si>
  <si>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</si>
  <si>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</si>
  <si>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</si>
  <si>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</si>
  <si>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</si>
  <si>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</si>
  <si>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</si>
  <si>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</si>
  <si>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</si>
  <si>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</si>
  <si>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</si>
  <si>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</si>
  <si>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</si>
  <si>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</si>
  <si>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</si>
  <si>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</si>
  <si>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</si>
  <si>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</si>
  <si>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</si>
  <si>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</si>
  <si>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</si>
  <si>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</si>
  <si>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</si>
  <si>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</si>
  <si>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</si>
  <si>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</si>
  <si>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</si>
  <si>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</si>
  <si>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</si>
  <si>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</si>
  <si>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</si>
  <si>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</si>
  <si>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</si>
  <si>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</si>
  <si>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</si>
  <si>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</si>
  <si>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</si>
  <si>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</si>
  <si>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</si>
  <si>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</si>
  <si>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</si>
  <si>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</si>
  <si>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</si>
  <si>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</si>
  <si>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</si>
  <si>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</si>
  <si>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</si>
  <si>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</si>
  <si>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</si>
  <si>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</si>
  <si>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</si>
  <si>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</si>
  <si>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</si>
  <si>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</si>
  <si>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</si>
  <si>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</si>
  <si>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</si>
  <si>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</si>
  <si>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</si>
  <si>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</si>
  <si>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</si>
  <si>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</si>
  <si>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</si>
  <si>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</si>
  <si>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</si>
  <si>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</si>
  <si>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</si>
  <si>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</si>
  <si>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</si>
  <si>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</si>
  <si>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</si>
  <si>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</si>
  <si>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</si>
  <si>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</si>
  <si>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</si>
  <si>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</si>
  <si>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</si>
  <si>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</si>
  <si>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</si>
  <si>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</si>
  <si>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</si>
  <si>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</si>
  <si>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</si>
  <si>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</si>
  <si>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</si>
  <si>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</si>
  <si>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</si>
  <si>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</si>
  <si>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</si>
  <si>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</si>
  <si>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</si>
  <si>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</si>
  <si>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</si>
  <si>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</si>
  <si>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</si>
  <si>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</si>
  <si>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</si>
  <si>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</si>
  <si>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</si>
  <si>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</si>
  <si>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</si>
  <si>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</si>
  <si>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</si>
  <si>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</si>
  <si>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</si>
  <si>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</si>
  <si>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</si>
  <si>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</si>
  <si>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</si>
  <si>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</si>
  <si>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</si>
  <si>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</si>
  <si>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</si>
  <si>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</si>
  <si>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</si>
  <si>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</si>
  <si>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</si>
  <si>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</si>
  <si>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</si>
  <si>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</si>
  <si>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</si>
  <si>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</si>
  <si>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</si>
  <si>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</si>
  <si>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</si>
  <si>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</si>
  <si>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</si>
  <si>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</si>
  <si>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</si>
  <si>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</si>
  <si>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</si>
  <si>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</si>
  <si>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</si>
  <si>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</si>
  <si>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</si>
  <si>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</si>
  <si>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</si>
  <si>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</si>
  <si>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</si>
  <si>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</si>
  <si>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</si>
  <si>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</si>
  <si>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</si>
  <si>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</si>
  <si>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</si>
  <si>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</si>
  <si>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</si>
  <si>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</si>
  <si>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</si>
  <si>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</si>
  <si>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</si>
  <si>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</si>
  <si>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</si>
  <si>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</si>
  <si>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</si>
  <si>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</si>
  <si>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</si>
  <si>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</si>
  <si>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</si>
  <si>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</si>
  <si>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</si>
  <si>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</si>
  <si>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</si>
  <si>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</si>
  <si>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</si>
  <si>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</si>
  <si>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</si>
  <si>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</si>
  <si>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</si>
  <si>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</si>
  <si>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</si>
  <si>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</si>
  <si>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</si>
  <si>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</si>
  <si>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</si>
  <si>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</si>
  <si>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</si>
  <si>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</si>
  <si>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</si>
  <si>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</si>
  <si>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</si>
  <si>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</si>
  <si>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</si>
  <si>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</si>
  <si>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</si>
  <si>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</si>
  <si>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</si>
  <si>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</si>
  <si>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</si>
  <si>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</si>
  <si>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</si>
  <si>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</si>
  <si>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</si>
  <si>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</si>
  <si>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</si>
  <si>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</si>
  <si>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</si>
  <si>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</si>
  <si>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</si>
  <si>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</si>
  <si>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</si>
  <si>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</si>
  <si>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</si>
  <si>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</si>
  <si>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</si>
  <si>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</si>
  <si>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</si>
  <si>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</si>
  <si>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</si>
  <si>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</si>
  <si>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</si>
  <si>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</si>
  <si>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</si>
  <si>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</si>
  <si>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</si>
  <si>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</si>
  <si>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</si>
  <si>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</si>
  <si>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</si>
  <si>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</si>
  <si>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</si>
  <si>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</si>
  <si>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</si>
  <si>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</si>
  <si>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</si>
  <si>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</si>
  <si>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</si>
  <si>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</si>
  <si>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</si>
  <si>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</si>
  <si>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</si>
  <si>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</si>
  <si>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</si>
  <si>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</si>
  <si>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</si>
  <si>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</si>
  <si>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</si>
  <si>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</si>
  <si>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</si>
  <si>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</si>
  <si>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</si>
  <si>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</si>
  <si>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</si>
  <si>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</si>
  <si>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</si>
  <si>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</si>
  <si>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</si>
  <si>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</si>
  <si>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</si>
  <si>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</si>
  <si>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</si>
  <si>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</si>
  <si>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</si>
  <si>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</si>
  <si>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</si>
  <si>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</si>
  <si>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</si>
  <si>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</si>
  <si>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</si>
  <si>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</si>
  <si>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</si>
  <si>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</si>
  <si>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</si>
  <si>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</si>
  <si>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</si>
  <si>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</si>
  <si>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</si>
  <si>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</si>
  <si>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</si>
  <si>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</si>
  <si>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</si>
  <si>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</si>
  <si>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</si>
  <si>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</si>
  <si>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</si>
  <si>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</si>
  <si>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</si>
  <si>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</si>
  <si>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</si>
  <si>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</si>
  <si>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</si>
  <si>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</si>
  <si>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</si>
  <si>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</si>
  <si>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</si>
  <si>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</si>
  <si>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</si>
  <si>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</si>
  <si>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</si>
  <si>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</si>
  <si>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</si>
  <si>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</si>
  <si>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</si>
  <si>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</si>
  <si>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</si>
  <si>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</si>
  <si>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</si>
  <si>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</si>
  <si>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</si>
  <si>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</si>
  <si>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</si>
  <si>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</si>
  <si>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</si>
  <si>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</si>
  <si>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</si>
  <si>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</si>
  <si>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</si>
  <si>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</si>
  <si>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</si>
  <si>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</si>
  <si>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</si>
  <si>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</si>
  <si>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</si>
  <si>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</si>
  <si>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</si>
  <si>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</si>
  <si>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</si>
  <si>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</si>
  <si>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</si>
  <si>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</si>
  <si>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</si>
  <si>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</si>
  <si>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</si>
  <si>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</si>
  <si>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</si>
  <si>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</si>
  <si>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</si>
  <si>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</si>
  <si>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</si>
  <si>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</si>
  <si>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</si>
  <si>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</si>
  <si>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</si>
  <si>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</si>
  <si>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</si>
  <si>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</si>
  <si>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</si>
  <si>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</si>
  <si>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</si>
  <si>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</si>
  <si>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</si>
  <si>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</si>
  <si>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</si>
  <si>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</si>
  <si>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</si>
  <si>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</si>
  <si>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</si>
  <si>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</si>
  <si>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</si>
  <si>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</si>
  <si>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</si>
  <si>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</si>
  <si>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</si>
  <si>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</si>
  <si>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</si>
  <si>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</si>
  <si>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</si>
  <si>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</si>
  <si>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</si>
  <si>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</si>
  <si>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</si>
  <si>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</si>
  <si>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</si>
  <si>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</si>
  <si>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</si>
  <si>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</si>
  <si>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</si>
  <si>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</si>
  <si>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</si>
  <si>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</si>
  <si>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</si>
  <si>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</si>
  <si>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</si>
  <si>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</si>
  <si>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</si>
  <si>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</si>
  <si>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</si>
  <si>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</si>
  <si>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</si>
  <si>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</si>
  <si>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</si>
  <si>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</si>
  <si>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</si>
  <si>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</si>
  <si>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</si>
  <si>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</si>
  <si>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</si>
  <si>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</si>
  <si>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</si>
  <si>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</si>
  <si>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</si>
  <si>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</si>
  <si>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</si>
  <si>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</si>
  <si>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</si>
  <si>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</si>
  <si>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</si>
  <si>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</si>
  <si>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</si>
  <si>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</si>
  <si>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</si>
  <si>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</si>
  <si>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</si>
  <si>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</si>
  <si>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</si>
  <si>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</si>
  <si>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</si>
  <si>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</si>
  <si>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</si>
  <si>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</si>
  <si>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</si>
  <si>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</si>
  <si>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</si>
  <si>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</si>
  <si>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</si>
  <si>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</si>
  <si>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</si>
  <si>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</si>
  <si>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</si>
  <si>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</si>
  <si>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</si>
  <si>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</si>
  <si>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</si>
  <si>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</si>
  <si>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</si>
  <si>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</si>
  <si>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</si>
  <si>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</si>
  <si>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</si>
  <si>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</si>
  <si>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</si>
  <si>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</si>
  <si>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</si>
  <si>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</si>
  <si>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</si>
  <si>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</si>
  <si>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</si>
  <si>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</si>
  <si>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</si>
  <si>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</si>
  <si>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</si>
  <si>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</si>
  <si>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</si>
  <si>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</si>
  <si>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</si>
  <si>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</si>
  <si>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</si>
  <si>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</si>
  <si>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</si>
  <si>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</si>
  <si>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</si>
  <si>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</si>
  <si>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</si>
  <si>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</si>
  <si>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</si>
  <si>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</si>
  <si>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</si>
  <si>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</si>
  <si>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</si>
  <si>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</si>
  <si>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</si>
  <si>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</si>
  <si>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</si>
  <si>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</si>
  <si>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</si>
  <si>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</si>
  <si>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</si>
  <si>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</si>
  <si>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</si>
  <si>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</si>
  <si>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</si>
  <si>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</si>
  <si>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</si>
  <si>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</si>
  <si>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PT. GWK</t>
  </si>
  <si>
    <t>PANDU SIWI</t>
  </si>
  <si>
    <t>PT.Trisamaya Link Harana</t>
  </si>
  <si>
    <t>IU-0854</t>
  </si>
  <si>
    <t>ID-6214</t>
  </si>
  <si>
    <t>990-19099006</t>
  </si>
  <si>
    <t>938-12028354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</si>
</sst>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  <numFmt numFmtId="170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0" fontId="5" fillId="0" borderId="5" xfId="0" applyFont="1" applyBorder="1" applyAlignment="1">
      <alignment horizontal="center"/>
    </xf>
    <xf numFmtId="167" fontId="5" fillId="0" borderId="5" xfId="1" quotePrefix="1" applyNumberFormat="1" applyFont="1" applyBorder="1" applyAlignment="1">
      <alignment vertical="center"/>
    </xf>
    <xf numFmtId="164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70" fontId="5" fillId="0" borderId="4" xfId="0" applyNumberFormat="1" applyFont="1" applyBorder="1" applyAlignment="1">
      <alignment wrapText="1"/>
    </xf>
    <xf numFmtId="164" fontId="0" fillId="0" borderId="4" xfId="3" applyFont="1" applyBorder="1"/>
    <xf numFmtId="164" fontId="2" fillId="0" borderId="4" xfId="3" applyFont="1" applyBorder="1"/>
    <xf numFmtId="164" fontId="2" fillId="0" borderId="0" xfId="3" applyFont="1"/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2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4">
    <cellStyle name="Comma" xfId="1" builtinId="3"/>
    <cellStyle name="Comma [0]" xfId="3" builtinId="6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40">
        <v>2872500</v>
      </c>
      <c r="S3" s="143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41"/>
      <c r="S4" s="144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41"/>
      <c r="S5" s="144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41"/>
      <c r="S6" s="144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42"/>
      <c r="S7" s="145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40">
        <v>9644230</v>
      </c>
      <c r="S10" s="143" t="s">
        <v>56</v>
      </c>
      <c r="T10" s="146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41"/>
      <c r="S11" s="141"/>
      <c r="T11" s="147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41"/>
      <c r="S12" s="141"/>
      <c r="T12" s="147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41"/>
      <c r="S13" s="141"/>
      <c r="T13" s="147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41"/>
      <c r="S14" s="141"/>
      <c r="T14" s="147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41"/>
      <c r="S15" s="141"/>
      <c r="T15" s="147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41"/>
      <c r="S16" s="141"/>
      <c r="T16" s="147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42"/>
      <c r="S17" s="142"/>
      <c r="T17" s="148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40">
        <v>4911703</v>
      </c>
      <c r="S18" s="143" t="s">
        <v>74</v>
      </c>
      <c r="T18" s="140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42"/>
      <c r="S19" s="142"/>
      <c r="T19" s="142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40">
        <v>5075801</v>
      </c>
      <c r="S20" s="143" t="s">
        <v>81</v>
      </c>
      <c r="T20" s="140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41"/>
      <c r="S21" s="141"/>
      <c r="T21" s="141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41"/>
      <c r="S22" s="141"/>
      <c r="T22" s="141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41"/>
      <c r="S23" s="141"/>
      <c r="T23" s="141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42"/>
      <c r="S24" s="142"/>
      <c r="T24" s="142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40">
        <v>2325117</v>
      </c>
      <c r="S25" s="143" t="s">
        <v>291</v>
      </c>
      <c r="T25" s="140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42"/>
      <c r="S26" s="142"/>
      <c r="T26" s="142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310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310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310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310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310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310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310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310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310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310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310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310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310</v>
      </c>
      <c r="T40" s="24" t="s">
        <v>27</v>
      </c>
    </row>
    <row r="41" spans="1:20" hidden="1" x14ac:dyDescent="0.25">
      <c r="Q41" s="48"/>
      <c r="R41" s="48">
        <f>R27+865704</f>
        <v>2107786</v>
      </c>
    </row>
    <row r="42" spans="1:20" x14ac:dyDescent="0.25">
      <c r="L42">
        <f>SUBTOTAL(9,L2:L41)</f>
        <v>258</v>
      </c>
      <c r="Q42" s="48"/>
      <c r="R42" s="48"/>
    </row>
  </sheetData>
  <autoFilter ref="A1:T41">
    <filterColumn colId="3">
      <filters>
        <filter val="RMS"/>
      </filters>
    </filterColumn>
  </autoFilter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  <c r="U1" s="68" t="s">
        <v>318</v>
      </c>
      <c r="V1" s="45" t="s">
        <v>317</v>
      </c>
    </row>
    <row r="2" spans="1:22" hidden="1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  <c r="U2" s="26"/>
      <c r="V2" s="39"/>
    </row>
    <row r="3" spans="1:22" hidden="1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  <c r="U3" s="57"/>
      <c r="V3" s="39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49">
        <v>23734250</v>
      </c>
      <c r="S4" s="152" t="s">
        <v>131</v>
      </c>
      <c r="T4" s="155" t="s">
        <v>126</v>
      </c>
      <c r="U4" s="26"/>
      <c r="V4" s="39"/>
    </row>
    <row r="5" spans="1:22" hidden="1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50"/>
      <c r="S5" s="153"/>
      <c r="T5" s="156"/>
      <c r="U5" s="26"/>
      <c r="V5" s="39"/>
    </row>
    <row r="6" spans="1:22" hidden="1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50"/>
      <c r="S6" s="153"/>
      <c r="T6" s="156"/>
      <c r="U6" s="26"/>
      <c r="V6" s="39"/>
    </row>
    <row r="7" spans="1:22" hidden="1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50"/>
      <c r="S7" s="153"/>
      <c r="T7" s="156"/>
      <c r="U7" s="26"/>
      <c r="V7" s="39"/>
    </row>
    <row r="8" spans="1:22" hidden="1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51"/>
      <c r="S8" s="154"/>
      <c r="T8" s="157"/>
      <c r="U8" s="26"/>
      <c r="V8" s="39"/>
    </row>
    <row r="9" spans="1:22" hidden="1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  <c r="U9" s="26"/>
      <c r="V9" s="39"/>
    </row>
    <row r="10" spans="1:22" hidden="1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416</v>
      </c>
      <c r="T10" s="30" t="s">
        <v>27</v>
      </c>
      <c r="U10" s="57" t="s">
        <v>319</v>
      </c>
      <c r="V10" s="39" t="s">
        <v>405</v>
      </c>
    </row>
    <row r="11" spans="1:22" hidden="1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  <c r="U11" s="26"/>
      <c r="V11" s="39"/>
    </row>
    <row r="12" spans="1:22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321</v>
      </c>
      <c r="T12" s="30" t="s">
        <v>27</v>
      </c>
      <c r="U12" s="57" t="s">
        <v>320</v>
      </c>
      <c r="V12" s="39" t="s">
        <v>406</v>
      </c>
    </row>
    <row r="13" spans="1:22" hidden="1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  <c r="U13" s="26"/>
      <c r="V13" s="39"/>
    </row>
    <row r="14" spans="1:22" hidden="1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  <c r="U14" s="26"/>
      <c r="V14" s="39"/>
    </row>
    <row r="15" spans="1:22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321</v>
      </c>
      <c r="T15" s="30" t="s">
        <v>27</v>
      </c>
      <c r="U15" s="57" t="s">
        <v>321</v>
      </c>
      <c r="V15" s="39" t="s">
        <v>407</v>
      </c>
    </row>
    <row r="16" spans="1:22" hidden="1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  <c r="U16" s="26"/>
      <c r="V16" s="39"/>
    </row>
    <row r="17" spans="1:22" hidden="1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  <c r="U17" s="26"/>
      <c r="V17" s="39"/>
    </row>
    <row r="18" spans="1:22" hidden="1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  <c r="U18" s="26"/>
      <c r="V18" s="39"/>
    </row>
    <row r="19" spans="1:22" hidden="1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  <c r="U19" s="26"/>
      <c r="V19" s="39"/>
    </row>
    <row r="20" spans="1:22" hidden="1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  <c r="U20" s="26"/>
      <c r="V20" s="39"/>
    </row>
    <row r="21" spans="1:22" hidden="1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416</v>
      </c>
      <c r="T21" s="30" t="s">
        <v>27</v>
      </c>
      <c r="U21" s="57" t="s">
        <v>305</v>
      </c>
      <c r="V21" s="39" t="s">
        <v>408</v>
      </c>
    </row>
    <row r="22" spans="1:22" hidden="1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416</v>
      </c>
      <c r="T22" s="30" t="s">
        <v>27</v>
      </c>
      <c r="U22" s="57" t="s">
        <v>305</v>
      </c>
      <c r="V22" s="39" t="s">
        <v>408</v>
      </c>
    </row>
    <row r="23" spans="1:22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417</v>
      </c>
      <c r="T23" s="30" t="s">
        <v>94</v>
      </c>
      <c r="U23" s="57" t="s">
        <v>313</v>
      </c>
      <c r="V23" s="39" t="s">
        <v>409</v>
      </c>
    </row>
    <row r="24" spans="1:22" hidden="1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369</v>
      </c>
      <c r="T24" s="30" t="s">
        <v>27</v>
      </c>
      <c r="U24" s="57" t="s">
        <v>313</v>
      </c>
      <c r="V24" s="39" t="s">
        <v>409</v>
      </c>
    </row>
    <row r="25" spans="1:22" hidden="1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416</v>
      </c>
      <c r="T25" s="30" t="s">
        <v>27</v>
      </c>
      <c r="U25" s="57" t="s">
        <v>309</v>
      </c>
      <c r="V25" s="39" t="s">
        <v>410</v>
      </c>
    </row>
    <row r="26" spans="1:22" hidden="1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310</v>
      </c>
      <c r="T26" s="30" t="s">
        <v>27</v>
      </c>
      <c r="U26" s="26"/>
      <c r="V26" s="39"/>
    </row>
    <row r="27" spans="1:22" hidden="1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  <c r="U27" s="26"/>
      <c r="V27" s="39"/>
    </row>
    <row r="28" spans="1:22" hidden="1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369</v>
      </c>
      <c r="T28" s="30" t="s">
        <v>27</v>
      </c>
      <c r="U28" s="57" t="s">
        <v>309</v>
      </c>
      <c r="V28" s="39" t="s">
        <v>410</v>
      </c>
    </row>
    <row r="29" spans="1:22" hidden="1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310</v>
      </c>
      <c r="T29" s="30" t="s">
        <v>27</v>
      </c>
      <c r="U29" s="26"/>
      <c r="V29" s="39"/>
    </row>
    <row r="30" spans="1:22" hidden="1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416</v>
      </c>
      <c r="T30" s="30" t="s">
        <v>27</v>
      </c>
      <c r="U30" s="57" t="s">
        <v>311</v>
      </c>
      <c r="V30" s="39" t="s">
        <v>411</v>
      </c>
    </row>
    <row r="31" spans="1:22" hidden="1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416</v>
      </c>
      <c r="T31" s="30" t="s">
        <v>27</v>
      </c>
      <c r="U31" s="57" t="s">
        <v>311</v>
      </c>
      <c r="V31" s="39" t="s">
        <v>411</v>
      </c>
    </row>
    <row r="32" spans="1:22" hidden="1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416</v>
      </c>
      <c r="T32" s="30" t="s">
        <v>27</v>
      </c>
      <c r="U32" s="57" t="s">
        <v>311</v>
      </c>
      <c r="V32" s="39" t="s">
        <v>411</v>
      </c>
    </row>
    <row r="33" spans="1:22" hidden="1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  <c r="U33" s="26"/>
      <c r="V33" s="39"/>
    </row>
    <row r="34" spans="1:22" hidden="1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  <c r="U34" s="26"/>
      <c r="V34" s="39"/>
    </row>
    <row r="35" spans="1:22" hidden="1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  <c r="U35" s="26"/>
      <c r="V35" s="39"/>
    </row>
    <row r="36" spans="1:22" hidden="1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  <c r="U36" s="26"/>
      <c r="V36" s="39"/>
    </row>
    <row r="37" spans="1:22" hidden="1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  <c r="U37" s="26"/>
      <c r="V37" s="39"/>
    </row>
    <row r="38" spans="1:22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417</v>
      </c>
      <c r="T38" s="30" t="s">
        <v>94</v>
      </c>
      <c r="U38" s="57" t="s">
        <v>310</v>
      </c>
      <c r="V38" s="39" t="s">
        <v>316</v>
      </c>
    </row>
    <row r="39" spans="1:22" hidden="1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58">
        <v>622391</v>
      </c>
      <c r="S39" s="160" t="s">
        <v>215</v>
      </c>
      <c r="T39" s="162" t="s">
        <v>126</v>
      </c>
      <c r="U39" s="26"/>
      <c r="V39" s="39"/>
    </row>
    <row r="40" spans="1:22" hidden="1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59"/>
      <c r="S40" s="161"/>
      <c r="T40" s="163"/>
      <c r="U40" s="26"/>
      <c r="V40" s="39"/>
    </row>
    <row r="41" spans="1:22" hidden="1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  <c r="U41" s="26"/>
      <c r="V41" s="39"/>
    </row>
    <row r="42" spans="1:22" hidden="1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429</v>
      </c>
      <c r="T42" s="30" t="s">
        <v>27</v>
      </c>
      <c r="U42" s="57" t="s">
        <v>310</v>
      </c>
      <c r="V42" s="39" t="s">
        <v>316</v>
      </c>
    </row>
    <row r="43" spans="1:22" hidden="1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  <c r="U43" s="26"/>
      <c r="V43" s="39"/>
    </row>
    <row r="44" spans="1:22" hidden="1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  <c r="U44" s="26"/>
      <c r="V44" s="39"/>
    </row>
    <row r="45" spans="1:22" hidden="1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  <c r="U45" s="26"/>
      <c r="V45" s="39"/>
    </row>
    <row r="46" spans="1:22" hidden="1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310</v>
      </c>
      <c r="T46" s="30" t="s">
        <v>27</v>
      </c>
      <c r="U46" s="26"/>
      <c r="V46" s="39"/>
    </row>
    <row r="47" spans="1:22" hidden="1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310</v>
      </c>
      <c r="T47" s="30" t="s">
        <v>27</v>
      </c>
      <c r="U47" s="26"/>
      <c r="V47" s="39"/>
    </row>
    <row r="48" spans="1:22" hidden="1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310</v>
      </c>
      <c r="T48" s="30" t="s">
        <v>27</v>
      </c>
      <c r="U48" s="26"/>
      <c r="V48" s="39"/>
    </row>
    <row r="49" spans="1:22" hidden="1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310</v>
      </c>
      <c r="T49" s="30" t="s">
        <v>27</v>
      </c>
      <c r="U49" s="26"/>
      <c r="V49" s="39"/>
    </row>
    <row r="50" spans="1:22" hidden="1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310</v>
      </c>
      <c r="T50" s="30" t="s">
        <v>27</v>
      </c>
      <c r="U50" s="26"/>
      <c r="V50" s="39"/>
    </row>
    <row r="51" spans="1:22" hidden="1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310</v>
      </c>
      <c r="T51" s="30" t="s">
        <v>27</v>
      </c>
      <c r="U51" s="26"/>
      <c r="V51" s="39"/>
    </row>
    <row r="52" spans="1:22" hidden="1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310</v>
      </c>
      <c r="T52" s="30" t="s">
        <v>27</v>
      </c>
      <c r="U52" s="26"/>
      <c r="V52" s="39"/>
    </row>
    <row r="53" spans="1:22" hidden="1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310</v>
      </c>
      <c r="T53" s="30" t="s">
        <v>27</v>
      </c>
      <c r="U53" s="26"/>
      <c r="V53" s="39"/>
    </row>
    <row r="54" spans="1:22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421</v>
      </c>
      <c r="T54" s="30" t="s">
        <v>27</v>
      </c>
      <c r="U54" s="57" t="s">
        <v>322</v>
      </c>
      <c r="V54" s="39" t="s">
        <v>371</v>
      </c>
    </row>
    <row r="55" spans="1:22" hidden="1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452</v>
      </c>
      <c r="T55" s="30" t="s">
        <v>27</v>
      </c>
      <c r="U55" s="57" t="s">
        <v>436</v>
      </c>
      <c r="V55" s="42" t="s">
        <v>446</v>
      </c>
    </row>
    <row r="56" spans="1:22" hidden="1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452</v>
      </c>
      <c r="T56" s="30" t="s">
        <v>27</v>
      </c>
      <c r="U56" s="57" t="s">
        <v>436</v>
      </c>
      <c r="V56" s="42" t="s">
        <v>446</v>
      </c>
    </row>
    <row r="57" spans="1:22" hidden="1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  <c r="U57" s="8"/>
      <c r="V57" s="39"/>
    </row>
    <row r="58" spans="1:22" hidden="1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  <c r="U58" s="39"/>
      <c r="V58" s="39"/>
    </row>
    <row r="59" spans="1:22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421</v>
      </c>
      <c r="T59" s="30" t="s">
        <v>27</v>
      </c>
      <c r="U59" s="57" t="s">
        <v>306</v>
      </c>
      <c r="V59" s="39" t="s">
        <v>412</v>
      </c>
    </row>
    <row r="60" spans="1:22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421</v>
      </c>
      <c r="T60" s="30" t="s">
        <v>27</v>
      </c>
      <c r="U60" s="57" t="s">
        <v>306</v>
      </c>
      <c r="V60" s="39" t="s">
        <v>412</v>
      </c>
    </row>
    <row r="61" spans="1:22" hidden="1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  <c r="U61" s="39"/>
      <c r="V61" s="39"/>
    </row>
    <row r="62" spans="1:22" hidden="1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453</v>
      </c>
      <c r="T62" s="30" t="s">
        <v>126</v>
      </c>
      <c r="U62" s="58" t="s">
        <v>323</v>
      </c>
      <c r="V62" s="39" t="s">
        <v>406</v>
      </c>
    </row>
    <row r="63" spans="1:22" hidden="1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453</v>
      </c>
      <c r="T63" s="30" t="s">
        <v>126</v>
      </c>
      <c r="U63" s="58" t="s">
        <v>323</v>
      </c>
      <c r="V63" s="39" t="s">
        <v>406</v>
      </c>
    </row>
    <row r="64" spans="1:22" hidden="1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436</v>
      </c>
      <c r="T64" s="30" t="s">
        <v>27</v>
      </c>
      <c r="U64" s="58" t="s">
        <v>307</v>
      </c>
      <c r="V64" s="39" t="s">
        <v>348</v>
      </c>
    </row>
    <row r="65" spans="1:22" hidden="1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  <c r="U65" s="67"/>
      <c r="V65" s="39"/>
    </row>
    <row r="66" spans="1:22" hidden="1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  <c r="U66" s="67"/>
      <c r="V66" s="39"/>
    </row>
    <row r="67" spans="1:22" hidden="1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453</v>
      </c>
      <c r="T67" s="30" t="s">
        <v>126</v>
      </c>
      <c r="U67" s="58" t="s">
        <v>307</v>
      </c>
      <c r="V67" s="39" t="s">
        <v>445</v>
      </c>
    </row>
    <row r="68" spans="1:22" hidden="1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  <c r="U68" s="39"/>
      <c r="V68" s="39"/>
    </row>
    <row r="69" spans="1:22" x14ac:dyDescent="0.25">
      <c r="A69" s="6">
        <v>68</v>
      </c>
      <c r="B69" s="30" t="s">
        <v>423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4">
        <v>6608000</v>
      </c>
      <c r="N69" s="74">
        <v>0</v>
      </c>
      <c r="O69" s="74">
        <v>0</v>
      </c>
      <c r="P69" s="74">
        <v>0</v>
      </c>
      <c r="Q69" s="14">
        <f>SUM(M69:P69)</f>
        <v>6608000</v>
      </c>
      <c r="R69" s="21">
        <v>15127000</v>
      </c>
      <c r="S69" s="32" t="s">
        <v>421</v>
      </c>
      <c r="T69" s="30" t="s">
        <v>27</v>
      </c>
      <c r="U69" s="58" t="s">
        <v>307</v>
      </c>
      <c r="V69" s="39" t="s">
        <v>348</v>
      </c>
    </row>
    <row r="70" spans="1:22" hidden="1" x14ac:dyDescent="0.25">
      <c r="L70" s="49"/>
      <c r="Q70" s="48"/>
      <c r="S70" s="77" t="s">
        <v>424</v>
      </c>
    </row>
    <row r="71" spans="1:22" x14ac:dyDescent="0.25">
      <c r="L71" s="48">
        <f>SUBTOTAL(9,L2:L70)</f>
        <v>569</v>
      </c>
    </row>
  </sheetData>
  <autoFilter ref="A1:U70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A20" sqref="A20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2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318</v>
      </c>
      <c r="V1" s="45" t="s">
        <v>317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425</v>
      </c>
      <c r="T3" s="30" t="s">
        <v>27</v>
      </c>
      <c r="U3" s="39" t="s">
        <v>314</v>
      </c>
      <c r="V3" s="39" t="s">
        <v>422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453</v>
      </c>
      <c r="T4" s="30" t="s">
        <v>27</v>
      </c>
      <c r="U4" s="42" t="s">
        <v>308</v>
      </c>
      <c r="V4" s="39" t="s">
        <v>447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453</v>
      </c>
      <c r="T5" s="30" t="s">
        <v>27</v>
      </c>
      <c r="U5" s="42" t="s">
        <v>308</v>
      </c>
      <c r="V5" s="39" t="s">
        <v>447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453</v>
      </c>
      <c r="T6" s="30" t="s">
        <v>27</v>
      </c>
      <c r="U6" s="42" t="s">
        <v>308</v>
      </c>
      <c r="V6" s="39" t="s">
        <v>447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9" t="s">
        <v>414</v>
      </c>
      <c r="V7" s="39" t="s">
        <v>426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458</v>
      </c>
      <c r="T8" s="30" t="s">
        <v>126</v>
      </c>
      <c r="U8" s="79" t="s">
        <v>414</v>
      </c>
      <c r="V8" s="39" t="s">
        <v>426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425</v>
      </c>
      <c r="T9" s="30" t="s">
        <v>27</v>
      </c>
      <c r="U9" s="42" t="s">
        <v>308</v>
      </c>
      <c r="V9" s="39" t="s">
        <v>415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425</v>
      </c>
      <c r="T10" s="30" t="s">
        <v>27</v>
      </c>
      <c r="U10" s="42" t="s">
        <v>308</v>
      </c>
      <c r="V10" s="39" t="s">
        <v>415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453</v>
      </c>
      <c r="T11" s="30" t="s">
        <v>27</v>
      </c>
      <c r="U11" s="42" t="s">
        <v>314</v>
      </c>
      <c r="V11" s="39" t="s">
        <v>448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542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425</v>
      </c>
      <c r="T16" s="30" t="s">
        <v>27</v>
      </c>
      <c r="U16" s="42" t="s">
        <v>315</v>
      </c>
      <c r="V16" s="39" t="s">
        <v>312</v>
      </c>
    </row>
    <row r="17" spans="1:22" hidden="1" x14ac:dyDescent="0.25">
      <c r="A17" s="6">
        <v>16</v>
      </c>
      <c r="B17" s="22" t="s">
        <v>325</v>
      </c>
      <c r="C17" s="8" t="s">
        <v>21</v>
      </c>
      <c r="D17" s="22" t="s">
        <v>53</v>
      </c>
      <c r="E17" s="22" t="s">
        <v>49</v>
      </c>
      <c r="F17" s="22" t="s">
        <v>326</v>
      </c>
      <c r="G17" s="22" t="s">
        <v>50</v>
      </c>
      <c r="H17" s="22" t="s">
        <v>25</v>
      </c>
      <c r="I17" s="60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436</v>
      </c>
      <c r="T17" s="30" t="s">
        <v>27</v>
      </c>
      <c r="U17" s="56" t="s">
        <v>333</v>
      </c>
      <c r="V17" s="39" t="s">
        <v>415</v>
      </c>
    </row>
    <row r="18" spans="1:22" x14ac:dyDescent="0.25">
      <c r="A18" s="6">
        <v>17</v>
      </c>
      <c r="B18" s="22" t="s">
        <v>327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60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661</v>
      </c>
      <c r="T18" s="30" t="s">
        <v>126</v>
      </c>
      <c r="U18" s="56" t="s">
        <v>333</v>
      </c>
      <c r="V18" s="39" t="s">
        <v>449</v>
      </c>
    </row>
    <row r="19" spans="1:22" hidden="1" x14ac:dyDescent="0.25">
      <c r="A19" s="6">
        <v>18</v>
      </c>
      <c r="B19" s="22" t="s">
        <v>328</v>
      </c>
      <c r="C19" s="8" t="s">
        <v>21</v>
      </c>
      <c r="D19" s="22" t="s">
        <v>329</v>
      </c>
      <c r="E19" s="22" t="s">
        <v>49</v>
      </c>
      <c r="F19" s="22" t="s">
        <v>21</v>
      </c>
      <c r="G19" s="22" t="s">
        <v>184</v>
      </c>
      <c r="H19" s="22" t="s">
        <v>25</v>
      </c>
      <c r="I19" s="60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335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330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0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334</v>
      </c>
      <c r="V20" s="39" t="s">
        <v>409</v>
      </c>
    </row>
    <row r="21" spans="1:22" hidden="1" x14ac:dyDescent="0.25">
      <c r="A21" s="6">
        <v>20</v>
      </c>
      <c r="B21" s="22" t="s">
        <v>331</v>
      </c>
      <c r="C21" s="8" t="s">
        <v>21</v>
      </c>
      <c r="D21" s="22" t="s">
        <v>332</v>
      </c>
      <c r="E21" s="22" t="s">
        <v>49</v>
      </c>
      <c r="F21" s="22" t="s">
        <v>21</v>
      </c>
      <c r="G21" s="22" t="s">
        <v>24</v>
      </c>
      <c r="H21" s="22" t="s">
        <v>25</v>
      </c>
      <c r="I21" s="61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3" t="s">
        <v>336</v>
      </c>
      <c r="C22" s="64" t="s">
        <v>29</v>
      </c>
      <c r="D22" s="63" t="s">
        <v>337</v>
      </c>
      <c r="E22" s="63" t="s">
        <v>49</v>
      </c>
      <c r="F22" s="63" t="s">
        <v>29</v>
      </c>
      <c r="G22" s="63" t="s">
        <v>112</v>
      </c>
      <c r="H22" s="63" t="s">
        <v>113</v>
      </c>
      <c r="I22" s="65">
        <v>44266</v>
      </c>
      <c r="J22" s="63">
        <v>3</v>
      </c>
      <c r="K22" s="63">
        <v>63</v>
      </c>
      <c r="L22" s="6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338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339</v>
      </c>
      <c r="I23" s="60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457</v>
      </c>
      <c r="T23" s="30" t="s">
        <v>126</v>
      </c>
      <c r="U23" s="42" t="s">
        <v>350</v>
      </c>
      <c r="V23" s="39" t="s">
        <v>446</v>
      </c>
    </row>
    <row r="24" spans="1:22" hidden="1" x14ac:dyDescent="0.25">
      <c r="A24" s="6">
        <v>23</v>
      </c>
      <c r="B24" s="22" t="s">
        <v>340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60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457</v>
      </c>
      <c r="T24" s="30" t="s">
        <v>126</v>
      </c>
      <c r="U24" s="42" t="s">
        <v>350</v>
      </c>
      <c r="V24" s="39" t="s">
        <v>446</v>
      </c>
    </row>
    <row r="25" spans="1:22" hidden="1" x14ac:dyDescent="0.25">
      <c r="A25" s="6">
        <v>24</v>
      </c>
      <c r="B25" s="22" t="s">
        <v>341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342</v>
      </c>
      <c r="I25" s="60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457</v>
      </c>
      <c r="T25" s="30" t="s">
        <v>126</v>
      </c>
      <c r="U25" s="42" t="s">
        <v>350</v>
      </c>
      <c r="V25" s="39" t="s">
        <v>446</v>
      </c>
    </row>
    <row r="26" spans="1:22" hidden="1" x14ac:dyDescent="0.25">
      <c r="A26" s="6">
        <v>25</v>
      </c>
      <c r="B26" s="22" t="s">
        <v>343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344</v>
      </c>
      <c r="I26" s="60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457</v>
      </c>
      <c r="T26" s="30" t="s">
        <v>126</v>
      </c>
      <c r="U26" s="42" t="s">
        <v>350</v>
      </c>
      <c r="V26" s="39" t="s">
        <v>446</v>
      </c>
    </row>
    <row r="27" spans="1:22" hidden="1" x14ac:dyDescent="0.25">
      <c r="A27" s="6">
        <v>26</v>
      </c>
      <c r="B27" s="22" t="s">
        <v>345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346</v>
      </c>
      <c r="I27" s="60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457</v>
      </c>
      <c r="T27" s="30" t="s">
        <v>126</v>
      </c>
      <c r="U27" s="42" t="s">
        <v>350</v>
      </c>
      <c r="V27" s="39" t="s">
        <v>446</v>
      </c>
    </row>
    <row r="28" spans="1:22" hidden="1" x14ac:dyDescent="0.25">
      <c r="A28" s="6">
        <v>27</v>
      </c>
      <c r="B28" s="22" t="s">
        <v>347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0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457</v>
      </c>
      <c r="T28" s="30" t="s">
        <v>126</v>
      </c>
      <c r="U28" s="42" t="s">
        <v>350</v>
      </c>
      <c r="V28" s="39" t="s">
        <v>446</v>
      </c>
    </row>
    <row r="29" spans="1:22" x14ac:dyDescent="0.25">
      <c r="A29" s="6">
        <v>28</v>
      </c>
      <c r="B29" s="22" t="s">
        <v>351</v>
      </c>
      <c r="C29" s="8" t="s">
        <v>21</v>
      </c>
      <c r="D29" s="22" t="s">
        <v>352</v>
      </c>
      <c r="E29" s="22" t="s">
        <v>49</v>
      </c>
      <c r="F29" s="22" t="s">
        <v>21</v>
      </c>
      <c r="G29" s="22" t="s">
        <v>79</v>
      </c>
      <c r="H29" s="22" t="s">
        <v>200</v>
      </c>
      <c r="I29" s="60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368</v>
      </c>
      <c r="V29" s="39" t="s">
        <v>371</v>
      </c>
    </row>
    <row r="30" spans="1:22" hidden="1" x14ac:dyDescent="0.25">
      <c r="A30" s="6">
        <v>29</v>
      </c>
      <c r="B30" s="22" t="s">
        <v>353</v>
      </c>
      <c r="C30" s="8" t="s">
        <v>21</v>
      </c>
      <c r="D30" s="22" t="s">
        <v>354</v>
      </c>
      <c r="E30" s="22" t="s">
        <v>49</v>
      </c>
      <c r="F30" s="22" t="s">
        <v>21</v>
      </c>
      <c r="G30" s="22" t="s">
        <v>79</v>
      </c>
      <c r="H30" s="22" t="s">
        <v>200</v>
      </c>
      <c r="I30" s="60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456</v>
      </c>
      <c r="T30" s="30" t="s">
        <v>27</v>
      </c>
      <c r="U30" s="56" t="s">
        <v>368</v>
      </c>
      <c r="V30" s="39" t="s">
        <v>371</v>
      </c>
    </row>
    <row r="31" spans="1:22" hidden="1" x14ac:dyDescent="0.25">
      <c r="A31" s="6">
        <v>30</v>
      </c>
      <c r="B31" s="66" t="s">
        <v>355</v>
      </c>
      <c r="C31" s="8" t="s">
        <v>21</v>
      </c>
      <c r="D31" s="22" t="s">
        <v>357</v>
      </c>
      <c r="E31" s="22" t="s">
        <v>49</v>
      </c>
      <c r="F31" s="22" t="s">
        <v>21</v>
      </c>
      <c r="G31" s="22" t="s">
        <v>104</v>
      </c>
      <c r="H31" s="66" t="s">
        <v>356</v>
      </c>
      <c r="I31" s="60">
        <v>44269</v>
      </c>
      <c r="J31" s="66">
        <v>2</v>
      </c>
      <c r="K31" s="66">
        <v>19</v>
      </c>
      <c r="L31" s="6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437</v>
      </c>
      <c r="T31" s="30" t="s">
        <v>126</v>
      </c>
      <c r="U31" s="56" t="s">
        <v>369</v>
      </c>
      <c r="V31" s="39"/>
    </row>
    <row r="32" spans="1:22" hidden="1" x14ac:dyDescent="0.25">
      <c r="A32" s="6">
        <v>31</v>
      </c>
      <c r="B32" s="22" t="s">
        <v>358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359</v>
      </c>
      <c r="I32" s="60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457</v>
      </c>
      <c r="T32" s="30" t="s">
        <v>126</v>
      </c>
      <c r="U32" s="56" t="s">
        <v>368</v>
      </c>
      <c r="V32" s="39" t="s">
        <v>371</v>
      </c>
    </row>
    <row r="33" spans="1:22" hidden="1" x14ac:dyDescent="0.25">
      <c r="A33" s="6">
        <v>32</v>
      </c>
      <c r="B33" s="22" t="s">
        <v>360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346</v>
      </c>
      <c r="I33" s="60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457</v>
      </c>
      <c r="T33" s="30" t="s">
        <v>126</v>
      </c>
      <c r="U33" s="56" t="s">
        <v>368</v>
      </c>
      <c r="V33" s="39" t="s">
        <v>371</v>
      </c>
    </row>
    <row r="34" spans="1:22" hidden="1" x14ac:dyDescent="0.25">
      <c r="A34" s="6">
        <v>33</v>
      </c>
      <c r="B34" s="22" t="s">
        <v>361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344</v>
      </c>
      <c r="I34" s="60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457</v>
      </c>
      <c r="T34" s="30" t="s">
        <v>126</v>
      </c>
      <c r="U34" s="56" t="s">
        <v>368</v>
      </c>
      <c r="V34" s="39" t="s">
        <v>371</v>
      </c>
    </row>
    <row r="35" spans="1:22" hidden="1" x14ac:dyDescent="0.25">
      <c r="A35" s="6">
        <v>34</v>
      </c>
      <c r="B35" s="22" t="s">
        <v>362</v>
      </c>
      <c r="C35" s="8" t="s">
        <v>29</v>
      </c>
      <c r="D35" s="22" t="s">
        <v>363</v>
      </c>
      <c r="E35" s="22" t="s">
        <v>49</v>
      </c>
      <c r="F35" s="22" t="s">
        <v>29</v>
      </c>
      <c r="G35" s="22" t="s">
        <v>235</v>
      </c>
      <c r="H35" s="22" t="s">
        <v>236</v>
      </c>
      <c r="I35" s="60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416</v>
      </c>
      <c r="T35" s="30" t="s">
        <v>126</v>
      </c>
      <c r="U35" s="56" t="s">
        <v>369</v>
      </c>
      <c r="V35" s="39"/>
    </row>
    <row r="36" spans="1:22" hidden="1" x14ac:dyDescent="0.25">
      <c r="A36" s="6">
        <v>35</v>
      </c>
      <c r="B36" s="22" t="s">
        <v>364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60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457</v>
      </c>
      <c r="T36" s="30" t="s">
        <v>126</v>
      </c>
      <c r="U36" s="56" t="s">
        <v>369</v>
      </c>
      <c r="V36" s="39" t="s">
        <v>412</v>
      </c>
    </row>
    <row r="37" spans="1:22" hidden="1" x14ac:dyDescent="0.25">
      <c r="A37" s="6">
        <v>36</v>
      </c>
      <c r="B37" s="22" t="s">
        <v>365</v>
      </c>
      <c r="C37" s="8" t="s">
        <v>29</v>
      </c>
      <c r="D37" s="22" t="s">
        <v>53</v>
      </c>
      <c r="E37" s="22" t="s">
        <v>366</v>
      </c>
      <c r="F37" s="22" t="s">
        <v>29</v>
      </c>
      <c r="G37" s="22" t="s">
        <v>104</v>
      </c>
      <c r="H37" s="22" t="s">
        <v>367</v>
      </c>
      <c r="I37" s="60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436</v>
      </c>
      <c r="T37" s="30" t="s">
        <v>27</v>
      </c>
      <c r="U37" s="56" t="s">
        <v>370</v>
      </c>
      <c r="V37" s="39"/>
    </row>
    <row r="38" spans="1:22" hidden="1" x14ac:dyDescent="0.25">
      <c r="A38" s="6">
        <v>37</v>
      </c>
      <c r="B38" s="22" t="s">
        <v>372</v>
      </c>
      <c r="C38" s="8" t="s">
        <v>29</v>
      </c>
      <c r="D38" s="22" t="s">
        <v>97</v>
      </c>
      <c r="E38" s="22" t="s">
        <v>373</v>
      </c>
      <c r="F38" s="22" t="s">
        <v>29</v>
      </c>
      <c r="G38" s="22" t="s">
        <v>153</v>
      </c>
      <c r="H38" s="22" t="s">
        <v>154</v>
      </c>
      <c r="I38" s="60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456</v>
      </c>
      <c r="T38" s="30" t="s">
        <v>27</v>
      </c>
      <c r="U38" s="56" t="s">
        <v>385</v>
      </c>
      <c r="V38" s="39" t="s">
        <v>348</v>
      </c>
    </row>
    <row r="39" spans="1:22" hidden="1" x14ac:dyDescent="0.25">
      <c r="A39" s="6">
        <v>38</v>
      </c>
      <c r="B39" s="22" t="s">
        <v>374</v>
      </c>
      <c r="C39" s="8" t="s">
        <v>29</v>
      </c>
      <c r="D39" s="22" t="s">
        <v>97</v>
      </c>
      <c r="E39" s="22" t="s">
        <v>373</v>
      </c>
      <c r="F39" s="22" t="s">
        <v>29</v>
      </c>
      <c r="G39" s="22" t="s">
        <v>79</v>
      </c>
      <c r="H39" s="22" t="s">
        <v>222</v>
      </c>
      <c r="I39" s="60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456</v>
      </c>
      <c r="T39" s="30" t="s">
        <v>27</v>
      </c>
      <c r="U39" s="56" t="s">
        <v>385</v>
      </c>
      <c r="V39" s="39" t="s">
        <v>348</v>
      </c>
    </row>
    <row r="40" spans="1:22" hidden="1" x14ac:dyDescent="0.25">
      <c r="A40" s="6">
        <v>39</v>
      </c>
      <c r="B40" s="22" t="s">
        <v>375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376</v>
      </c>
      <c r="I40" s="60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457</v>
      </c>
      <c r="T40" s="30" t="s">
        <v>126</v>
      </c>
      <c r="U40" s="56" t="s">
        <v>385</v>
      </c>
      <c r="V40" s="39" t="s">
        <v>348</v>
      </c>
    </row>
    <row r="41" spans="1:22" hidden="1" x14ac:dyDescent="0.25">
      <c r="A41" s="6">
        <v>40</v>
      </c>
      <c r="B41" s="22" t="s">
        <v>377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60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457</v>
      </c>
      <c r="T41" s="30" t="s">
        <v>126</v>
      </c>
      <c r="U41" s="56" t="s">
        <v>385</v>
      </c>
      <c r="V41" s="39" t="s">
        <v>348</v>
      </c>
    </row>
    <row r="42" spans="1:22" hidden="1" x14ac:dyDescent="0.25">
      <c r="A42" s="6">
        <v>41</v>
      </c>
      <c r="B42" s="22" t="s">
        <v>378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0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457</v>
      </c>
      <c r="T42" s="30" t="s">
        <v>126</v>
      </c>
      <c r="U42" s="56" t="s">
        <v>385</v>
      </c>
      <c r="V42" s="39" t="s">
        <v>348</v>
      </c>
    </row>
    <row r="43" spans="1:22" hidden="1" x14ac:dyDescent="0.25">
      <c r="A43" s="6">
        <v>42</v>
      </c>
      <c r="B43" s="22" t="s">
        <v>379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359</v>
      </c>
      <c r="I43" s="60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457</v>
      </c>
      <c r="T43" s="30" t="s">
        <v>126</v>
      </c>
      <c r="U43" s="56" t="s">
        <v>385</v>
      </c>
      <c r="V43" s="39" t="s">
        <v>348</v>
      </c>
    </row>
    <row r="44" spans="1:22" hidden="1" x14ac:dyDescent="0.25">
      <c r="A44" s="6">
        <v>43</v>
      </c>
      <c r="B44" s="22" t="s">
        <v>380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0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457</v>
      </c>
      <c r="T44" s="30" t="s">
        <v>126</v>
      </c>
      <c r="U44" s="56" t="s">
        <v>386</v>
      </c>
      <c r="V44" s="39" t="s">
        <v>349</v>
      </c>
    </row>
    <row r="45" spans="1:22" hidden="1" x14ac:dyDescent="0.25">
      <c r="A45" s="6">
        <v>44</v>
      </c>
      <c r="B45" s="22" t="s">
        <v>381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60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457</v>
      </c>
      <c r="T45" s="30" t="s">
        <v>126</v>
      </c>
      <c r="U45" s="69" t="s">
        <v>387</v>
      </c>
      <c r="V45" s="39" t="s">
        <v>422</v>
      </c>
    </row>
    <row r="46" spans="1:22" hidden="1" x14ac:dyDescent="0.25">
      <c r="A46" s="6">
        <v>45</v>
      </c>
      <c r="B46" s="22" t="s">
        <v>382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383</v>
      </c>
      <c r="I46" s="60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457</v>
      </c>
      <c r="T46" s="30" t="s">
        <v>126</v>
      </c>
      <c r="U46" s="56" t="s">
        <v>386</v>
      </c>
      <c r="V46" s="39" t="s">
        <v>349</v>
      </c>
    </row>
    <row r="47" spans="1:22" hidden="1" x14ac:dyDescent="0.25">
      <c r="A47" s="6">
        <v>46</v>
      </c>
      <c r="B47" s="22" t="s">
        <v>384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60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457</v>
      </c>
      <c r="T47" s="30" t="s">
        <v>126</v>
      </c>
      <c r="U47" s="56" t="s">
        <v>386</v>
      </c>
      <c r="V47" s="39" t="s">
        <v>349</v>
      </c>
    </row>
    <row r="48" spans="1:22" hidden="1" x14ac:dyDescent="0.25">
      <c r="A48" s="70">
        <v>47</v>
      </c>
      <c r="B48" s="22" t="s">
        <v>388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457</v>
      </c>
      <c r="T48" s="30" t="s">
        <v>126</v>
      </c>
      <c r="U48" s="69" t="s">
        <v>387</v>
      </c>
      <c r="V48" s="39" t="s">
        <v>422</v>
      </c>
    </row>
    <row r="49" spans="1:22" hidden="1" x14ac:dyDescent="0.25">
      <c r="A49" s="70">
        <v>48</v>
      </c>
      <c r="B49" s="22" t="s">
        <v>389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390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457</v>
      </c>
      <c r="T49" s="30" t="s">
        <v>126</v>
      </c>
      <c r="U49" s="69" t="s">
        <v>387</v>
      </c>
      <c r="V49" s="39" t="s">
        <v>422</v>
      </c>
    </row>
    <row r="50" spans="1:22" hidden="1" x14ac:dyDescent="0.25">
      <c r="A50" s="70">
        <v>49</v>
      </c>
      <c r="B50" s="75" t="s">
        <v>391</v>
      </c>
      <c r="C50" s="26" t="s">
        <v>21</v>
      </c>
      <c r="D50" s="30" t="s">
        <v>30</v>
      </c>
      <c r="E50" s="30" t="s">
        <v>49</v>
      </c>
      <c r="F50" s="30" t="s">
        <v>21</v>
      </c>
      <c r="G50" s="71" t="s">
        <v>171</v>
      </c>
      <c r="H50" s="71" t="s">
        <v>189</v>
      </c>
      <c r="I50" s="72">
        <v>44274</v>
      </c>
      <c r="J50" s="71">
        <v>7</v>
      </c>
      <c r="K50" s="73">
        <v>16</v>
      </c>
      <c r="L50" s="73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457</v>
      </c>
      <c r="T50" s="30" t="s">
        <v>126</v>
      </c>
      <c r="U50" s="56" t="s">
        <v>413</v>
      </c>
      <c r="V50" s="39" t="s">
        <v>415</v>
      </c>
    </row>
    <row r="51" spans="1:22" hidden="1" x14ac:dyDescent="0.25">
      <c r="A51" s="70">
        <v>50</v>
      </c>
      <c r="B51" s="71" t="s">
        <v>392</v>
      </c>
      <c r="C51" s="26" t="s">
        <v>21</v>
      </c>
      <c r="D51" s="71" t="s">
        <v>53</v>
      </c>
      <c r="E51" s="30" t="s">
        <v>49</v>
      </c>
      <c r="F51" s="30" t="s">
        <v>21</v>
      </c>
      <c r="G51" s="71" t="s">
        <v>79</v>
      </c>
      <c r="H51" s="71" t="s">
        <v>200</v>
      </c>
      <c r="I51" s="72">
        <v>44274</v>
      </c>
      <c r="J51" s="71">
        <v>1</v>
      </c>
      <c r="K51" s="73">
        <v>1</v>
      </c>
      <c r="L51" s="73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436</v>
      </c>
      <c r="T51" s="30" t="s">
        <v>27</v>
      </c>
      <c r="U51" s="56" t="s">
        <v>413</v>
      </c>
      <c r="V51" s="39"/>
    </row>
    <row r="52" spans="1:22" hidden="1" x14ac:dyDescent="0.25">
      <c r="A52" s="70">
        <v>51</v>
      </c>
      <c r="B52" s="75" t="s">
        <v>393</v>
      </c>
      <c r="C52" s="26" t="s">
        <v>21</v>
      </c>
      <c r="D52" s="30" t="s">
        <v>30</v>
      </c>
      <c r="E52" s="30" t="s">
        <v>49</v>
      </c>
      <c r="F52" s="30" t="s">
        <v>21</v>
      </c>
      <c r="G52" s="71" t="s">
        <v>184</v>
      </c>
      <c r="H52" s="71" t="s">
        <v>394</v>
      </c>
      <c r="I52" s="72">
        <v>44274</v>
      </c>
      <c r="J52" s="71">
        <v>5</v>
      </c>
      <c r="K52" s="73">
        <v>99</v>
      </c>
      <c r="L52" s="73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457</v>
      </c>
      <c r="T52" s="30" t="s">
        <v>126</v>
      </c>
      <c r="U52" s="56" t="s">
        <v>413</v>
      </c>
      <c r="V52" s="39" t="s">
        <v>415</v>
      </c>
    </row>
    <row r="53" spans="1:22" hidden="1" x14ac:dyDescent="0.25">
      <c r="A53" s="70">
        <v>52</v>
      </c>
      <c r="B53" s="75" t="s">
        <v>395</v>
      </c>
      <c r="C53" s="26" t="s">
        <v>21</v>
      </c>
      <c r="D53" s="30" t="s">
        <v>30</v>
      </c>
      <c r="E53" s="30" t="s">
        <v>49</v>
      </c>
      <c r="F53" s="30" t="s">
        <v>21</v>
      </c>
      <c r="G53" s="71" t="s">
        <v>166</v>
      </c>
      <c r="H53" s="71" t="s">
        <v>396</v>
      </c>
      <c r="I53" s="72">
        <v>44274</v>
      </c>
      <c r="J53" s="71">
        <v>4</v>
      </c>
      <c r="K53" s="73">
        <v>90</v>
      </c>
      <c r="L53" s="73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457</v>
      </c>
      <c r="T53" s="30" t="s">
        <v>126</v>
      </c>
      <c r="U53" s="56" t="s">
        <v>413</v>
      </c>
      <c r="V53" s="39" t="s">
        <v>415</v>
      </c>
    </row>
    <row r="54" spans="1:22" hidden="1" x14ac:dyDescent="0.25">
      <c r="A54" s="70">
        <v>53</v>
      </c>
      <c r="B54" s="71" t="s">
        <v>397</v>
      </c>
      <c r="C54" s="26" t="s">
        <v>21</v>
      </c>
      <c r="D54" s="71" t="s">
        <v>398</v>
      </c>
      <c r="E54" s="30" t="s">
        <v>49</v>
      </c>
      <c r="F54" s="71" t="s">
        <v>21</v>
      </c>
      <c r="G54" s="71" t="s">
        <v>231</v>
      </c>
      <c r="H54" s="71" t="s">
        <v>399</v>
      </c>
      <c r="I54" s="72">
        <v>44275</v>
      </c>
      <c r="J54" s="71">
        <v>1</v>
      </c>
      <c r="K54" s="73">
        <v>10</v>
      </c>
      <c r="L54" s="73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4">
        <v>306968</v>
      </c>
      <c r="S54" s="32" t="s">
        <v>333</v>
      </c>
      <c r="T54" s="30" t="s">
        <v>27</v>
      </c>
      <c r="U54" s="56"/>
      <c r="V54" s="39"/>
    </row>
    <row r="55" spans="1:22" hidden="1" x14ac:dyDescent="0.25">
      <c r="A55" s="70">
        <v>54</v>
      </c>
      <c r="B55" s="71" t="s">
        <v>400</v>
      </c>
      <c r="C55" s="26" t="s">
        <v>21</v>
      </c>
      <c r="D55" s="71" t="s">
        <v>398</v>
      </c>
      <c r="E55" s="30" t="s">
        <v>49</v>
      </c>
      <c r="F55" s="71" t="s">
        <v>21</v>
      </c>
      <c r="G55" s="71" t="s">
        <v>171</v>
      </c>
      <c r="H55" s="71" t="s">
        <v>189</v>
      </c>
      <c r="I55" s="72">
        <v>44275</v>
      </c>
      <c r="J55" s="71">
        <v>3</v>
      </c>
      <c r="K55" s="73">
        <v>63</v>
      </c>
      <c r="L55" s="73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4">
        <v>675373</v>
      </c>
      <c r="S55" s="32" t="s">
        <v>333</v>
      </c>
      <c r="T55" s="30" t="s">
        <v>27</v>
      </c>
      <c r="U55" s="56"/>
      <c r="V55" s="39"/>
    </row>
    <row r="56" spans="1:22" hidden="1" x14ac:dyDescent="0.25">
      <c r="A56" s="70">
        <v>55</v>
      </c>
      <c r="B56" s="71" t="s">
        <v>401</v>
      </c>
      <c r="C56" s="26" t="s">
        <v>21</v>
      </c>
      <c r="D56" s="71" t="s">
        <v>402</v>
      </c>
      <c r="E56" s="30" t="s">
        <v>49</v>
      </c>
      <c r="F56" s="71" t="s">
        <v>21</v>
      </c>
      <c r="G56" s="71" t="s">
        <v>40</v>
      </c>
      <c r="H56" s="71" t="s">
        <v>403</v>
      </c>
      <c r="I56" s="72">
        <v>44275</v>
      </c>
      <c r="J56" s="71">
        <v>1</v>
      </c>
      <c r="K56" s="73">
        <v>44</v>
      </c>
      <c r="L56" s="73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4">
        <v>414209</v>
      </c>
      <c r="S56" s="32" t="s">
        <v>333</v>
      </c>
      <c r="T56" s="30" t="s">
        <v>27</v>
      </c>
      <c r="U56" s="56"/>
      <c r="V56" s="39"/>
    </row>
    <row r="57" spans="1:22" hidden="1" x14ac:dyDescent="0.25">
      <c r="A57" s="70">
        <v>56</v>
      </c>
      <c r="B57" s="71" t="s">
        <v>404</v>
      </c>
      <c r="C57" s="26" t="s">
        <v>21</v>
      </c>
      <c r="D57" s="71" t="s">
        <v>53</v>
      </c>
      <c r="E57" s="30" t="s">
        <v>49</v>
      </c>
      <c r="F57" s="71" t="s">
        <v>21</v>
      </c>
      <c r="G57" s="71" t="s">
        <v>79</v>
      </c>
      <c r="H57" s="71" t="s">
        <v>200</v>
      </c>
      <c r="I57" s="72">
        <v>44275</v>
      </c>
      <c r="J57" s="71">
        <v>3</v>
      </c>
      <c r="K57" s="73">
        <v>8</v>
      </c>
      <c r="L57" s="73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436</v>
      </c>
      <c r="T57" s="30" t="s">
        <v>27</v>
      </c>
      <c r="U57" s="56" t="s">
        <v>414</v>
      </c>
      <c r="V57" s="39"/>
    </row>
    <row r="58" spans="1:22" hidden="1" x14ac:dyDescent="0.25">
      <c r="A58" s="6">
        <v>57</v>
      </c>
      <c r="B58" s="75" t="s">
        <v>418</v>
      </c>
      <c r="C58" s="8" t="s">
        <v>21</v>
      </c>
      <c r="D58" s="75" t="s">
        <v>398</v>
      </c>
      <c r="E58" s="22" t="s">
        <v>49</v>
      </c>
      <c r="F58" s="75" t="s">
        <v>21</v>
      </c>
      <c r="G58" s="75" t="s">
        <v>171</v>
      </c>
      <c r="H58" s="75" t="s">
        <v>419</v>
      </c>
      <c r="I58" s="60">
        <v>44277</v>
      </c>
      <c r="J58" s="75">
        <v>3</v>
      </c>
      <c r="K58" s="76">
        <v>50</v>
      </c>
      <c r="L58" s="76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421</v>
      </c>
      <c r="T58" s="30" t="s">
        <v>27</v>
      </c>
      <c r="U58" s="39"/>
      <c r="V58" s="39"/>
    </row>
    <row r="59" spans="1:22" hidden="1" x14ac:dyDescent="0.25">
      <c r="A59" s="6">
        <v>58</v>
      </c>
      <c r="B59" s="75" t="s">
        <v>420</v>
      </c>
      <c r="C59" s="8" t="s">
        <v>21</v>
      </c>
      <c r="D59" s="75" t="s">
        <v>53</v>
      </c>
      <c r="E59" s="22" t="s">
        <v>49</v>
      </c>
      <c r="F59" s="75" t="s">
        <v>21</v>
      </c>
      <c r="G59" s="75" t="s">
        <v>79</v>
      </c>
      <c r="H59" s="71" t="s">
        <v>200</v>
      </c>
      <c r="I59" s="60">
        <v>44277</v>
      </c>
      <c r="J59" s="75">
        <v>4</v>
      </c>
      <c r="K59" s="76">
        <v>32</v>
      </c>
      <c r="L59" s="76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436</v>
      </c>
      <c r="T59" s="30" t="s">
        <v>27</v>
      </c>
      <c r="U59" s="39"/>
      <c r="V59" s="39"/>
    </row>
    <row r="60" spans="1:22" hidden="1" x14ac:dyDescent="0.25">
      <c r="A60" s="6">
        <v>59</v>
      </c>
      <c r="B60" s="75" t="s">
        <v>427</v>
      </c>
      <c r="C60" s="8" t="s">
        <v>21</v>
      </c>
      <c r="D60" s="75" t="s">
        <v>428</v>
      </c>
      <c r="E60" s="22" t="s">
        <v>49</v>
      </c>
      <c r="F60" s="75" t="s">
        <v>21</v>
      </c>
      <c r="G60" s="75" t="s">
        <v>24</v>
      </c>
      <c r="H60" s="75" t="s">
        <v>25</v>
      </c>
      <c r="I60" s="60">
        <v>44279</v>
      </c>
      <c r="J60" s="75">
        <v>1</v>
      </c>
      <c r="K60" s="76">
        <v>10</v>
      </c>
      <c r="L60" s="76">
        <v>10</v>
      </c>
      <c r="M60" s="23">
        <f>((L60*32550)+(L60*32550)*10%)+8250+((L60*150))</f>
        <v>367800</v>
      </c>
      <c r="N60" s="78">
        <f t="shared" si="14"/>
        <v>8690</v>
      </c>
      <c r="O60" s="78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429</v>
      </c>
      <c r="U60" s="39"/>
      <c r="V60" s="39"/>
    </row>
    <row r="61" spans="1:22" hidden="1" x14ac:dyDescent="0.25">
      <c r="A61" s="6">
        <v>60</v>
      </c>
      <c r="B61" s="75" t="s">
        <v>430</v>
      </c>
      <c r="C61" s="8" t="s">
        <v>21</v>
      </c>
      <c r="D61" s="75" t="s">
        <v>431</v>
      </c>
      <c r="E61" s="22" t="s">
        <v>49</v>
      </c>
      <c r="F61" s="75" t="s">
        <v>21</v>
      </c>
      <c r="G61" s="75" t="s">
        <v>40</v>
      </c>
      <c r="H61" s="75" t="s">
        <v>356</v>
      </c>
      <c r="I61" s="60">
        <v>44279</v>
      </c>
      <c r="J61" s="75">
        <v>1</v>
      </c>
      <c r="K61" s="76">
        <v>10</v>
      </c>
      <c r="L61" s="76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429</v>
      </c>
      <c r="U61" s="39"/>
      <c r="V61" s="39"/>
    </row>
    <row r="62" spans="1:22" hidden="1" x14ac:dyDescent="0.25">
      <c r="A62" s="6">
        <v>61</v>
      </c>
      <c r="B62" s="75" t="s">
        <v>432</v>
      </c>
      <c r="C62" s="8" t="s">
        <v>21</v>
      </c>
      <c r="D62" s="75" t="s">
        <v>53</v>
      </c>
      <c r="E62" s="22" t="s">
        <v>49</v>
      </c>
      <c r="F62" s="75" t="s">
        <v>21</v>
      </c>
      <c r="G62" s="75" t="s">
        <v>79</v>
      </c>
      <c r="H62" s="75" t="s">
        <v>200</v>
      </c>
      <c r="I62" s="60">
        <v>44279</v>
      </c>
      <c r="J62" s="75">
        <v>2</v>
      </c>
      <c r="K62" s="76">
        <v>16</v>
      </c>
      <c r="L62" s="76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453</v>
      </c>
      <c r="T62" s="30" t="s">
        <v>27</v>
      </c>
      <c r="U62" s="42" t="s">
        <v>450</v>
      </c>
      <c r="V62" s="39" t="s">
        <v>324</v>
      </c>
    </row>
    <row r="63" spans="1:22" x14ac:dyDescent="0.25">
      <c r="A63" s="6">
        <v>62</v>
      </c>
      <c r="B63" s="75" t="s">
        <v>433</v>
      </c>
      <c r="C63" s="8" t="s">
        <v>21</v>
      </c>
      <c r="D63" s="75" t="s">
        <v>434</v>
      </c>
      <c r="E63" s="22" t="s">
        <v>49</v>
      </c>
      <c r="F63" s="75" t="s">
        <v>21</v>
      </c>
      <c r="G63" s="75" t="s">
        <v>79</v>
      </c>
      <c r="H63" s="75" t="s">
        <v>200</v>
      </c>
      <c r="I63" s="60">
        <v>44279</v>
      </c>
      <c r="J63" s="75">
        <v>2</v>
      </c>
      <c r="K63" s="76">
        <v>33</v>
      </c>
      <c r="L63" s="76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450</v>
      </c>
      <c r="V63" s="39" t="s">
        <v>324</v>
      </c>
    </row>
    <row r="64" spans="1:22" x14ac:dyDescent="0.25">
      <c r="A64" s="6">
        <v>63</v>
      </c>
      <c r="B64" s="75" t="s">
        <v>435</v>
      </c>
      <c r="C64" s="8" t="s">
        <v>21</v>
      </c>
      <c r="D64" s="75" t="s">
        <v>332</v>
      </c>
      <c r="E64" s="22" t="s">
        <v>49</v>
      </c>
      <c r="F64" s="75" t="s">
        <v>21</v>
      </c>
      <c r="G64" s="75" t="s">
        <v>79</v>
      </c>
      <c r="H64" s="75" t="s">
        <v>200</v>
      </c>
      <c r="I64" s="60">
        <v>44279</v>
      </c>
      <c r="J64" s="75">
        <v>1</v>
      </c>
      <c r="K64" s="76">
        <v>31</v>
      </c>
      <c r="L64" s="76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450</v>
      </c>
      <c r="V64" s="39" t="s">
        <v>324</v>
      </c>
    </row>
    <row r="65" spans="1:22" hidden="1" x14ac:dyDescent="0.25">
      <c r="A65" s="26">
        <v>64</v>
      </c>
      <c r="B65" s="75" t="s">
        <v>438</v>
      </c>
      <c r="C65" s="8" t="s">
        <v>21</v>
      </c>
      <c r="D65" s="75" t="s">
        <v>53</v>
      </c>
      <c r="E65" s="22" t="s">
        <v>49</v>
      </c>
      <c r="F65" s="75" t="s">
        <v>21</v>
      </c>
      <c r="G65" s="75" t="s">
        <v>79</v>
      </c>
      <c r="H65" s="75" t="s">
        <v>200</v>
      </c>
      <c r="I65" s="60">
        <v>44280</v>
      </c>
      <c r="J65" s="75">
        <v>3</v>
      </c>
      <c r="K65" s="76">
        <v>47</v>
      </c>
      <c r="L65" s="76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453</v>
      </c>
      <c r="T65" s="30" t="s">
        <v>27</v>
      </c>
      <c r="U65" s="42" t="s">
        <v>451</v>
      </c>
      <c r="V65" s="39"/>
    </row>
    <row r="66" spans="1:22" hidden="1" x14ac:dyDescent="0.25">
      <c r="A66" s="26">
        <v>65</v>
      </c>
      <c r="B66" s="75" t="s">
        <v>439</v>
      </c>
      <c r="C66" s="8" t="s">
        <v>21</v>
      </c>
      <c r="D66" s="75" t="s">
        <v>431</v>
      </c>
      <c r="E66" s="22" t="s">
        <v>49</v>
      </c>
      <c r="F66" s="75" t="s">
        <v>21</v>
      </c>
      <c r="G66" s="75" t="s">
        <v>40</v>
      </c>
      <c r="H66" s="75" t="s">
        <v>356</v>
      </c>
      <c r="I66" s="60">
        <v>44280</v>
      </c>
      <c r="J66" s="75">
        <v>1</v>
      </c>
      <c r="K66" s="76">
        <v>1</v>
      </c>
      <c r="L66" s="76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437</v>
      </c>
      <c r="T66" s="30" t="s">
        <v>126</v>
      </c>
      <c r="U66" s="39"/>
      <c r="V66" s="39"/>
    </row>
    <row r="67" spans="1:22" hidden="1" x14ac:dyDescent="0.25">
      <c r="A67" s="26">
        <v>66</v>
      </c>
      <c r="B67" s="75" t="s">
        <v>440</v>
      </c>
      <c r="C67" s="8" t="s">
        <v>21</v>
      </c>
      <c r="D67" s="75" t="s">
        <v>441</v>
      </c>
      <c r="E67" s="22" t="s">
        <v>49</v>
      </c>
      <c r="F67" s="75" t="s">
        <v>21</v>
      </c>
      <c r="G67" s="75" t="s">
        <v>79</v>
      </c>
      <c r="H67" s="75" t="s">
        <v>200</v>
      </c>
      <c r="I67" s="60">
        <v>44280</v>
      </c>
      <c r="J67" s="75">
        <v>3</v>
      </c>
      <c r="K67" s="76">
        <v>130</v>
      </c>
      <c r="L67" s="76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437</v>
      </c>
      <c r="T67" s="30" t="s">
        <v>126</v>
      </c>
      <c r="U67" s="39"/>
      <c r="V67" s="39"/>
    </row>
    <row r="68" spans="1:22" hidden="1" x14ac:dyDescent="0.25">
      <c r="A68" s="26">
        <v>67</v>
      </c>
      <c r="B68" s="75" t="s">
        <v>442</v>
      </c>
      <c r="C68" s="8" t="s">
        <v>21</v>
      </c>
      <c r="D68" s="75" t="s">
        <v>53</v>
      </c>
      <c r="E68" s="22" t="s">
        <v>49</v>
      </c>
      <c r="F68" s="75" t="s">
        <v>21</v>
      </c>
      <c r="G68" s="75" t="s">
        <v>79</v>
      </c>
      <c r="H68" s="75" t="s">
        <v>200</v>
      </c>
      <c r="I68" s="60">
        <v>44281</v>
      </c>
      <c r="J68" s="75">
        <v>5</v>
      </c>
      <c r="K68" s="76">
        <v>61</v>
      </c>
      <c r="L68" s="76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453</v>
      </c>
      <c r="T68" s="30" t="s">
        <v>27</v>
      </c>
      <c r="U68" s="42" t="s">
        <v>452</v>
      </c>
      <c r="V68" s="39"/>
    </row>
    <row r="69" spans="1:22" x14ac:dyDescent="0.25">
      <c r="A69" s="26">
        <v>68</v>
      </c>
      <c r="B69" s="75" t="s">
        <v>443</v>
      </c>
      <c r="C69" s="8" t="s">
        <v>21</v>
      </c>
      <c r="D69" s="75" t="s">
        <v>444</v>
      </c>
      <c r="E69" s="22" t="s">
        <v>49</v>
      </c>
      <c r="F69" s="75" t="s">
        <v>21</v>
      </c>
      <c r="G69" s="75" t="s">
        <v>79</v>
      </c>
      <c r="H69" s="75" t="s">
        <v>200</v>
      </c>
      <c r="I69" s="60">
        <v>44281</v>
      </c>
      <c r="J69" s="75">
        <v>1</v>
      </c>
      <c r="K69" s="76">
        <v>21</v>
      </c>
      <c r="L69" s="76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452</v>
      </c>
      <c r="V69" s="39"/>
    </row>
    <row r="70" spans="1:22" hidden="1" x14ac:dyDescent="0.25">
      <c r="A70" s="6"/>
      <c r="B70" s="75"/>
      <c r="C70" s="8"/>
      <c r="D70" s="75"/>
      <c r="E70" s="22"/>
      <c r="F70" s="75"/>
      <c r="G70" s="75"/>
      <c r="H70" s="75"/>
      <c r="I70" s="60"/>
      <c r="J70" s="75"/>
      <c r="K70" s="76"/>
      <c r="L70" s="76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80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C1" activePane="topRight" state="frozen"/>
      <selection activeCell="U4" sqref="U4"/>
      <selection pane="topRight" activeCell="A5" sqref="A5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1" customWidth="1"/>
    <col min="4" max="4" width="20.7109375" style="81" bestFit="1" customWidth="1"/>
    <col min="5" max="5" width="16.570312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bestFit="1" customWidth="1"/>
    <col min="14" max="15" width="9.140625" style="8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19" width="13" style="81" bestFit="1" customWidth="1"/>
    <col min="20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6">
        <v>1</v>
      </c>
      <c r="B2" s="75" t="s">
        <v>454</v>
      </c>
      <c r="C2" s="8" t="s">
        <v>21</v>
      </c>
      <c r="D2" s="75" t="s">
        <v>455</v>
      </c>
      <c r="E2" s="22" t="s">
        <v>49</v>
      </c>
      <c r="F2" s="75" t="s">
        <v>21</v>
      </c>
      <c r="G2" s="75" t="s">
        <v>210</v>
      </c>
      <c r="H2" s="75" t="s">
        <v>390</v>
      </c>
      <c r="I2" s="36">
        <v>44294</v>
      </c>
      <c r="J2" s="75">
        <v>1</v>
      </c>
      <c r="K2" s="76">
        <v>30</v>
      </c>
      <c r="L2" s="76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5" t="s">
        <v>477</v>
      </c>
    </row>
    <row r="3" spans="1:22" x14ac:dyDescent="0.25">
      <c r="A3" s="6">
        <v>2</v>
      </c>
      <c r="B3" s="75" t="s">
        <v>459</v>
      </c>
      <c r="C3" s="8" t="s">
        <v>29</v>
      </c>
      <c r="D3" s="75" t="s">
        <v>460</v>
      </c>
      <c r="E3" s="22" t="s">
        <v>49</v>
      </c>
      <c r="F3" s="75" t="s">
        <v>29</v>
      </c>
      <c r="G3" s="75" t="s">
        <v>79</v>
      </c>
      <c r="H3" s="75" t="s">
        <v>208</v>
      </c>
      <c r="I3" s="36">
        <v>44309</v>
      </c>
      <c r="J3" s="75">
        <v>3</v>
      </c>
      <c r="K3" s="76">
        <v>54</v>
      </c>
      <c r="L3" s="76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461</v>
      </c>
      <c r="T3" s="30" t="s">
        <v>27</v>
      </c>
    </row>
    <row r="4" spans="1:22" x14ac:dyDescent="0.25">
      <c r="A4" s="26">
        <v>3</v>
      </c>
      <c r="B4" s="30" t="s">
        <v>462</v>
      </c>
      <c r="C4" s="26" t="s">
        <v>29</v>
      </c>
      <c r="D4" s="30" t="s">
        <v>463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479</v>
      </c>
      <c r="T4" s="30" t="s">
        <v>27</v>
      </c>
      <c r="U4" s="32" t="s">
        <v>476</v>
      </c>
    </row>
    <row r="5" spans="1:22" x14ac:dyDescent="0.25">
      <c r="A5" s="26">
        <v>4</v>
      </c>
      <c r="B5" s="30"/>
      <c r="C5" s="8" t="s">
        <v>465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561</v>
      </c>
      <c r="T5" s="30" t="s">
        <v>27</v>
      </c>
      <c r="U5" s="85" t="s">
        <v>475</v>
      </c>
    </row>
    <row r="6" spans="1:22" x14ac:dyDescent="0.25">
      <c r="Q6" s="83"/>
    </row>
    <row r="11" spans="1:22" x14ac:dyDescent="0.25">
      <c r="M11" s="83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A13" sqref="A13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4" customWidth="1"/>
    <col min="4" max="4" width="20.7109375" style="81" bestFit="1" customWidth="1"/>
    <col min="5" max="5" width="16.5703125" style="81" bestFit="1" customWidth="1"/>
    <col min="6" max="8" width="9.140625" style="81"/>
    <col min="9" max="9" width="10.28515625" style="82" bestFit="1" customWidth="1"/>
    <col min="10" max="12" width="9.140625" style="81"/>
    <col min="13" max="13" width="10.5703125" style="81" bestFit="1" customWidth="1"/>
    <col min="14" max="15" width="11.42578125" style="81" bestFit="1" customWidth="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30" t="s">
        <v>464</v>
      </c>
      <c r="C2" s="8" t="s">
        <v>29</v>
      </c>
      <c r="D2" s="30" t="s">
        <v>460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466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467</v>
      </c>
      <c r="C3" s="26" t="s">
        <v>29</v>
      </c>
      <c r="D3" s="30" t="s">
        <v>30</v>
      </c>
      <c r="E3" s="30" t="s">
        <v>49</v>
      </c>
      <c r="F3" s="30" t="s">
        <v>468</v>
      </c>
      <c r="G3" s="30" t="s">
        <v>60</v>
      </c>
      <c r="H3" s="30" t="s">
        <v>469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494</v>
      </c>
      <c r="T3" s="30" t="s">
        <v>27</v>
      </c>
      <c r="U3" s="32" t="s">
        <v>486</v>
      </c>
      <c r="V3" s="30"/>
    </row>
    <row r="4" spans="1:22" x14ac:dyDescent="0.25">
      <c r="A4" s="26">
        <v>3</v>
      </c>
      <c r="B4" s="30" t="s">
        <v>470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494</v>
      </c>
      <c r="T4" s="30" t="s">
        <v>27</v>
      </c>
      <c r="U4" s="32" t="s">
        <v>486</v>
      </c>
      <c r="V4" s="30"/>
    </row>
    <row r="5" spans="1:22" x14ac:dyDescent="0.25">
      <c r="A5" s="26">
        <v>4</v>
      </c>
      <c r="B5" s="30" t="s">
        <v>471</v>
      </c>
      <c r="C5" s="26" t="s">
        <v>29</v>
      </c>
      <c r="D5" s="30" t="s">
        <v>478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507</v>
      </c>
      <c r="T5" s="30" t="s">
        <v>27</v>
      </c>
      <c r="U5" s="32" t="s">
        <v>486</v>
      </c>
      <c r="V5" s="30"/>
    </row>
    <row r="6" spans="1:22" x14ac:dyDescent="0.25">
      <c r="A6" s="26">
        <v>5</v>
      </c>
      <c r="B6" s="30" t="s">
        <v>472</v>
      </c>
      <c r="C6" s="26" t="s">
        <v>29</v>
      </c>
      <c r="D6" s="30" t="s">
        <v>473</v>
      </c>
      <c r="E6" s="30" t="s">
        <v>49</v>
      </c>
      <c r="F6" s="30" t="s">
        <v>29</v>
      </c>
      <c r="G6" s="30" t="s">
        <v>76</v>
      </c>
      <c r="H6" s="30" t="s">
        <v>474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2" t="s">
        <v>487</v>
      </c>
      <c r="V6" s="30"/>
    </row>
    <row r="7" spans="1:22" x14ac:dyDescent="0.25">
      <c r="A7" s="26">
        <v>6</v>
      </c>
      <c r="B7" s="30" t="s">
        <v>480</v>
      </c>
      <c r="C7" s="26" t="s">
        <v>29</v>
      </c>
      <c r="D7" s="30" t="s">
        <v>478</v>
      </c>
      <c r="E7" s="30" t="s">
        <v>49</v>
      </c>
      <c r="F7" s="30" t="s">
        <v>468</v>
      </c>
      <c r="G7" s="30" t="s">
        <v>40</v>
      </c>
      <c r="H7" s="30" t="s">
        <v>481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507</v>
      </c>
      <c r="T7" s="30" t="s">
        <v>27</v>
      </c>
      <c r="U7" s="32" t="s">
        <v>387</v>
      </c>
      <c r="V7" s="30"/>
    </row>
    <row r="8" spans="1:22" x14ac:dyDescent="0.25">
      <c r="A8" s="26">
        <v>7</v>
      </c>
      <c r="B8" s="30" t="s">
        <v>482</v>
      </c>
      <c r="C8" s="26" t="s">
        <v>29</v>
      </c>
      <c r="D8" s="30" t="s">
        <v>478</v>
      </c>
      <c r="E8" s="30" t="s">
        <v>484</v>
      </c>
      <c r="F8" s="30" t="s">
        <v>468</v>
      </c>
      <c r="G8" s="30" t="s">
        <v>69</v>
      </c>
      <c r="H8" s="30" t="s">
        <v>485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49">
        <v>7778180</v>
      </c>
      <c r="S8" s="152" t="s">
        <v>524</v>
      </c>
      <c r="T8" s="155" t="s">
        <v>27</v>
      </c>
      <c r="U8" s="32" t="s">
        <v>414</v>
      </c>
      <c r="V8" s="30"/>
    </row>
    <row r="9" spans="1:22" x14ac:dyDescent="0.25">
      <c r="A9" s="26">
        <v>8</v>
      </c>
      <c r="B9" s="30" t="s">
        <v>483</v>
      </c>
      <c r="C9" s="26" t="s">
        <v>29</v>
      </c>
      <c r="D9" s="30" t="s">
        <v>478</v>
      </c>
      <c r="E9" s="30" t="s">
        <v>484</v>
      </c>
      <c r="F9" s="30" t="s">
        <v>468</v>
      </c>
      <c r="G9" s="30" t="s">
        <v>69</v>
      </c>
      <c r="H9" s="30" t="s">
        <v>485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51"/>
      <c r="S9" s="154"/>
      <c r="T9" s="157"/>
      <c r="U9" s="32" t="s">
        <v>414</v>
      </c>
      <c r="V9" s="30"/>
    </row>
    <row r="10" spans="1:22" x14ac:dyDescent="0.25">
      <c r="A10" s="70">
        <v>9</v>
      </c>
      <c r="B10" s="30" t="s">
        <v>488</v>
      </c>
      <c r="C10" s="26" t="s">
        <v>29</v>
      </c>
      <c r="D10" s="30" t="s">
        <v>30</v>
      </c>
      <c r="E10" s="30" t="s">
        <v>491</v>
      </c>
      <c r="F10" s="30" t="s">
        <v>29</v>
      </c>
      <c r="G10" s="30" t="s">
        <v>166</v>
      </c>
      <c r="H10" s="30" t="s">
        <v>492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49">
        <v>26376000</v>
      </c>
      <c r="S10" s="152" t="s">
        <v>541</v>
      </c>
      <c r="T10" s="155" t="s">
        <v>27</v>
      </c>
      <c r="U10" s="32" t="s">
        <v>414</v>
      </c>
      <c r="V10" s="30"/>
    </row>
    <row r="11" spans="1:22" x14ac:dyDescent="0.25">
      <c r="A11" s="70">
        <v>10</v>
      </c>
      <c r="B11" s="30" t="s">
        <v>489</v>
      </c>
      <c r="C11" s="26" t="s">
        <v>29</v>
      </c>
      <c r="D11" s="30" t="s">
        <v>30</v>
      </c>
      <c r="E11" s="30" t="s">
        <v>491</v>
      </c>
      <c r="F11" s="30" t="s">
        <v>29</v>
      </c>
      <c r="G11" s="30" t="s">
        <v>35</v>
      </c>
      <c r="H11" s="30" t="s">
        <v>493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50"/>
      <c r="S11" s="156"/>
      <c r="T11" s="156"/>
      <c r="U11" s="32" t="s">
        <v>414</v>
      </c>
      <c r="V11" s="30"/>
    </row>
    <row r="12" spans="1:22" x14ac:dyDescent="0.25">
      <c r="A12" s="70">
        <v>11</v>
      </c>
      <c r="B12" s="30" t="s">
        <v>490</v>
      </c>
      <c r="C12" s="26" t="s">
        <v>29</v>
      </c>
      <c r="D12" s="30" t="s">
        <v>30</v>
      </c>
      <c r="E12" s="30" t="s">
        <v>491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50"/>
      <c r="S12" s="156"/>
      <c r="T12" s="156"/>
      <c r="U12" s="32" t="s">
        <v>414</v>
      </c>
      <c r="V12" s="30"/>
    </row>
    <row r="13" spans="1:22" ht="15" customHeight="1" x14ac:dyDescent="0.25">
      <c r="A13" s="26">
        <v>12</v>
      </c>
      <c r="B13" s="30" t="s">
        <v>495</v>
      </c>
      <c r="C13" s="26" t="s">
        <v>29</v>
      </c>
      <c r="D13" s="30" t="s">
        <v>501</v>
      </c>
      <c r="E13" s="30" t="s">
        <v>49</v>
      </c>
      <c r="F13" s="30" t="s">
        <v>29</v>
      </c>
      <c r="G13" s="30" t="s">
        <v>64</v>
      </c>
      <c r="H13" s="30" t="s">
        <v>502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64"/>
      <c r="S13" s="165"/>
      <c r="T13" s="165"/>
      <c r="U13" s="30"/>
      <c r="V13" s="30"/>
    </row>
    <row r="14" spans="1:22" x14ac:dyDescent="0.25">
      <c r="A14" s="26">
        <v>13</v>
      </c>
      <c r="B14" s="30" t="s">
        <v>496</v>
      </c>
      <c r="C14" s="26" t="s">
        <v>29</v>
      </c>
      <c r="D14" s="30" t="s">
        <v>30</v>
      </c>
      <c r="E14" s="30" t="s">
        <v>491</v>
      </c>
      <c r="F14" s="30" t="s">
        <v>29</v>
      </c>
      <c r="G14" s="30" t="s">
        <v>166</v>
      </c>
      <c r="H14" s="30" t="s">
        <v>503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50"/>
      <c r="S14" s="156"/>
      <c r="T14" s="156"/>
      <c r="U14" s="30"/>
      <c r="V14" s="30"/>
    </row>
    <row r="15" spans="1:22" x14ac:dyDescent="0.25">
      <c r="A15" s="26">
        <v>14</v>
      </c>
      <c r="B15" s="30" t="s">
        <v>497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79</v>
      </c>
      <c r="H15" s="30" t="s">
        <v>504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50"/>
      <c r="S15" s="156"/>
      <c r="T15" s="156"/>
      <c r="U15" s="30"/>
      <c r="V15" s="30"/>
    </row>
    <row r="16" spans="1:22" x14ac:dyDescent="0.25">
      <c r="A16" s="26">
        <v>15</v>
      </c>
      <c r="B16" s="30" t="s">
        <v>498</v>
      </c>
      <c r="C16" s="26" t="s">
        <v>29</v>
      </c>
      <c r="D16" s="30" t="s">
        <v>30</v>
      </c>
      <c r="E16" s="30" t="s">
        <v>491</v>
      </c>
      <c r="F16" s="30" t="s">
        <v>29</v>
      </c>
      <c r="G16" s="30" t="s">
        <v>64</v>
      </c>
      <c r="H16" s="30" t="s">
        <v>505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50"/>
      <c r="S16" s="156"/>
      <c r="T16" s="156"/>
      <c r="U16" s="30"/>
      <c r="V16" s="30"/>
    </row>
    <row r="17" spans="1:22" x14ac:dyDescent="0.25">
      <c r="A17" s="26">
        <v>16</v>
      </c>
      <c r="B17" s="30" t="s">
        <v>499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64</v>
      </c>
      <c r="H17" s="30" t="s">
        <v>505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50"/>
      <c r="S17" s="156"/>
      <c r="T17" s="156"/>
      <c r="U17" s="30"/>
      <c r="V17" s="30"/>
    </row>
    <row r="18" spans="1:22" x14ac:dyDescent="0.25">
      <c r="A18" s="26">
        <v>17</v>
      </c>
      <c r="B18" s="30" t="s">
        <v>500</v>
      </c>
      <c r="C18" s="26" t="s">
        <v>29</v>
      </c>
      <c r="D18" s="30" t="s">
        <v>30</v>
      </c>
      <c r="E18" s="30" t="s">
        <v>491</v>
      </c>
      <c r="F18" s="30" t="s">
        <v>29</v>
      </c>
      <c r="G18" s="30" t="s">
        <v>69</v>
      </c>
      <c r="H18" s="30" t="s">
        <v>506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51"/>
      <c r="S18" s="157"/>
      <c r="T18" s="157"/>
      <c r="U18" s="30"/>
      <c r="V18" s="30"/>
    </row>
    <row r="19" spans="1:22" x14ac:dyDescent="0.25">
      <c r="A19" s="26">
        <v>18</v>
      </c>
      <c r="B19" s="30" t="s">
        <v>508</v>
      </c>
      <c r="C19" s="26" t="s">
        <v>29</v>
      </c>
      <c r="D19" s="30" t="s">
        <v>509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510</v>
      </c>
      <c r="T19" s="30" t="s">
        <v>27</v>
      </c>
      <c r="U19" s="30"/>
      <c r="V19" s="30"/>
    </row>
    <row r="20" spans="1:22" x14ac:dyDescent="0.25">
      <c r="A20" s="26">
        <v>19</v>
      </c>
      <c r="B20" s="30" t="s">
        <v>511</v>
      </c>
      <c r="C20" s="26" t="s">
        <v>29</v>
      </c>
      <c r="D20" s="30" t="s">
        <v>509</v>
      </c>
      <c r="E20" s="30" t="s">
        <v>49</v>
      </c>
      <c r="F20" s="30" t="s">
        <v>29</v>
      </c>
      <c r="G20" s="30" t="s">
        <v>512</v>
      </c>
      <c r="H20" s="30" t="s">
        <v>513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514</v>
      </c>
      <c r="T20" s="30" t="s">
        <v>27</v>
      </c>
    </row>
    <row r="21" spans="1:22" x14ac:dyDescent="0.25">
      <c r="L21" s="81">
        <f>SUBTOTAL(9,L2:L20)</f>
        <v>2699</v>
      </c>
      <c r="Q21" s="83"/>
      <c r="R21" s="83"/>
    </row>
    <row r="22" spans="1:22" x14ac:dyDescent="0.25">
      <c r="Q22" s="83"/>
      <c r="R22" s="95"/>
    </row>
    <row r="23" spans="1:22" x14ac:dyDescent="0.25">
      <c r="Q23" s="95"/>
    </row>
  </sheetData>
  <autoFilter ref="A1:V20"/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8"/>
  <sheetViews>
    <sheetView workbookViewId="0">
      <selection activeCell="R1" sqref="R1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6" width="9.140625" style="8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30" t="s">
        <v>515</v>
      </c>
      <c r="C2" s="26" t="s">
        <v>29</v>
      </c>
      <c r="D2" s="30" t="s">
        <v>501</v>
      </c>
      <c r="E2" s="30" t="s">
        <v>49</v>
      </c>
      <c r="F2" s="30" t="s">
        <v>29</v>
      </c>
      <c r="G2" s="30" t="s">
        <v>64</v>
      </c>
      <c r="H2" s="30" t="s">
        <v>505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537</v>
      </c>
      <c r="T2" s="30" t="s">
        <v>27</v>
      </c>
      <c r="U2" s="30"/>
      <c r="V2" s="30"/>
    </row>
    <row r="3" spans="1:22" hidden="1" x14ac:dyDescent="0.25">
      <c r="A3" s="26">
        <v>2</v>
      </c>
      <c r="B3" s="30" t="s">
        <v>516</v>
      </c>
      <c r="C3" s="26" t="s">
        <v>29</v>
      </c>
      <c r="D3" s="30" t="s">
        <v>509</v>
      </c>
      <c r="E3" s="30" t="s">
        <v>49</v>
      </c>
      <c r="F3" s="30" t="s">
        <v>29</v>
      </c>
      <c r="G3" s="30" t="s">
        <v>64</v>
      </c>
      <c r="H3" s="30" t="s">
        <v>517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521</v>
      </c>
      <c r="T3" s="30" t="s">
        <v>27</v>
      </c>
      <c r="U3" s="30"/>
      <c r="V3" s="30"/>
    </row>
    <row r="4" spans="1:22" hidden="1" x14ac:dyDescent="0.25">
      <c r="A4" s="26">
        <v>3</v>
      </c>
      <c r="B4" s="30" t="s">
        <v>518</v>
      </c>
      <c r="C4" s="26" t="s">
        <v>29</v>
      </c>
      <c r="D4" s="30" t="s">
        <v>509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67">
        <v>1102194</v>
      </c>
      <c r="S4" s="168" t="s">
        <v>522</v>
      </c>
      <c r="T4" s="169" t="s">
        <v>27</v>
      </c>
      <c r="U4" s="30"/>
      <c r="V4" s="30"/>
    </row>
    <row r="5" spans="1:22" hidden="1" x14ac:dyDescent="0.25">
      <c r="A5" s="26">
        <v>4</v>
      </c>
      <c r="B5" s="30" t="s">
        <v>519</v>
      </c>
      <c r="C5" s="26" t="s">
        <v>29</v>
      </c>
      <c r="D5" s="30" t="s">
        <v>509</v>
      </c>
      <c r="E5" s="30" t="s">
        <v>49</v>
      </c>
      <c r="F5" s="30" t="s">
        <v>29</v>
      </c>
      <c r="G5" s="30" t="s">
        <v>24</v>
      </c>
      <c r="H5" s="30" t="s">
        <v>520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67"/>
      <c r="S5" s="169"/>
      <c r="T5" s="169"/>
      <c r="U5" s="30"/>
      <c r="V5" s="30"/>
    </row>
    <row r="6" spans="1:22" hidden="1" x14ac:dyDescent="0.25">
      <c r="A6" s="26">
        <v>5</v>
      </c>
      <c r="B6" s="30" t="s">
        <v>525</v>
      </c>
      <c r="C6" s="26" t="s">
        <v>29</v>
      </c>
      <c r="D6" s="30" t="s">
        <v>509</v>
      </c>
      <c r="E6" s="30" t="s">
        <v>49</v>
      </c>
      <c r="F6" s="30" t="s">
        <v>29</v>
      </c>
      <c r="G6" s="30" t="s">
        <v>241</v>
      </c>
      <c r="H6" s="30" t="s">
        <v>526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527</v>
      </c>
      <c r="T6" s="30" t="s">
        <v>27</v>
      </c>
      <c r="U6" s="30"/>
      <c r="V6" s="30"/>
    </row>
    <row r="7" spans="1:22" hidden="1" x14ac:dyDescent="0.25">
      <c r="A7" s="26">
        <v>6</v>
      </c>
      <c r="B7" s="90" t="s">
        <v>528</v>
      </c>
      <c r="C7" s="26" t="s">
        <v>29</v>
      </c>
      <c r="D7" s="30" t="s">
        <v>30</v>
      </c>
      <c r="E7" s="30" t="s">
        <v>491</v>
      </c>
      <c r="F7" s="87" t="s">
        <v>29</v>
      </c>
      <c r="G7" s="87" t="s">
        <v>263</v>
      </c>
      <c r="H7" s="87" t="s">
        <v>264</v>
      </c>
      <c r="I7" s="88">
        <v>44351</v>
      </c>
      <c r="J7" s="87">
        <v>5</v>
      </c>
      <c r="K7" s="87">
        <v>116</v>
      </c>
      <c r="L7" s="87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66">
        <v>11505000</v>
      </c>
      <c r="S7" s="170" t="s">
        <v>575</v>
      </c>
      <c r="T7" s="171" t="s">
        <v>27</v>
      </c>
      <c r="U7" s="30"/>
      <c r="V7" s="30"/>
    </row>
    <row r="8" spans="1:22" hidden="1" x14ac:dyDescent="0.25">
      <c r="A8" s="26">
        <v>7</v>
      </c>
      <c r="B8" s="90" t="s">
        <v>529</v>
      </c>
      <c r="C8" s="26" t="s">
        <v>29</v>
      </c>
      <c r="D8" s="30" t="s">
        <v>30</v>
      </c>
      <c r="E8" s="30" t="s">
        <v>491</v>
      </c>
      <c r="F8" s="87" t="s">
        <v>29</v>
      </c>
      <c r="G8" s="87" t="s">
        <v>79</v>
      </c>
      <c r="H8" s="87" t="s">
        <v>222</v>
      </c>
      <c r="I8" s="88">
        <v>44351</v>
      </c>
      <c r="J8" s="87">
        <v>3</v>
      </c>
      <c r="K8" s="87">
        <v>66</v>
      </c>
      <c r="L8" s="87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66"/>
      <c r="S8" s="170"/>
      <c r="T8" s="171"/>
      <c r="U8" s="30"/>
      <c r="V8" s="30"/>
    </row>
    <row r="9" spans="1:22" hidden="1" x14ac:dyDescent="0.25">
      <c r="A9" s="26">
        <v>8</v>
      </c>
      <c r="B9" s="90" t="s">
        <v>530</v>
      </c>
      <c r="C9" s="26" t="s">
        <v>29</v>
      </c>
      <c r="D9" s="89" t="s">
        <v>30</v>
      </c>
      <c r="E9" s="89" t="s">
        <v>491</v>
      </c>
      <c r="F9" s="87" t="s">
        <v>29</v>
      </c>
      <c r="G9" s="87" t="s">
        <v>69</v>
      </c>
      <c r="H9" s="87" t="s">
        <v>506</v>
      </c>
      <c r="I9" s="88">
        <v>44351</v>
      </c>
      <c r="J9" s="87">
        <v>9</v>
      </c>
      <c r="K9" s="87">
        <v>179</v>
      </c>
      <c r="L9" s="87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66"/>
      <c r="S9" s="170"/>
      <c r="T9" s="171"/>
      <c r="U9" s="30"/>
      <c r="V9" s="30"/>
    </row>
    <row r="10" spans="1:22" hidden="1" x14ac:dyDescent="0.25">
      <c r="A10" s="26">
        <v>9</v>
      </c>
      <c r="B10" s="90" t="s">
        <v>531</v>
      </c>
      <c r="C10" s="26" t="s">
        <v>29</v>
      </c>
      <c r="D10" s="30" t="s">
        <v>30</v>
      </c>
      <c r="E10" s="30" t="s">
        <v>491</v>
      </c>
      <c r="F10" s="87" t="s">
        <v>29</v>
      </c>
      <c r="G10" s="87" t="s">
        <v>210</v>
      </c>
      <c r="H10" s="87" t="s">
        <v>534</v>
      </c>
      <c r="I10" s="88">
        <v>44351</v>
      </c>
      <c r="J10" s="87">
        <v>9</v>
      </c>
      <c r="K10" s="87">
        <v>182</v>
      </c>
      <c r="L10" s="87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66"/>
      <c r="S10" s="170"/>
      <c r="T10" s="171"/>
      <c r="U10" s="30"/>
      <c r="V10" s="30"/>
    </row>
    <row r="11" spans="1:22" hidden="1" x14ac:dyDescent="0.25">
      <c r="A11" s="26">
        <v>10</v>
      </c>
      <c r="B11" s="91" t="s">
        <v>532</v>
      </c>
      <c r="C11" s="26" t="s">
        <v>29</v>
      </c>
      <c r="D11" s="89" t="s">
        <v>30</v>
      </c>
      <c r="E11" s="89" t="s">
        <v>491</v>
      </c>
      <c r="F11" s="87" t="s">
        <v>29</v>
      </c>
      <c r="G11" s="87" t="s">
        <v>535</v>
      </c>
      <c r="H11" s="87" t="s">
        <v>536</v>
      </c>
      <c r="I11" s="88">
        <v>44351</v>
      </c>
      <c r="J11" s="87">
        <v>1</v>
      </c>
      <c r="K11" s="87">
        <v>16</v>
      </c>
      <c r="L11" s="87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66"/>
      <c r="S11" s="170"/>
      <c r="T11" s="171"/>
      <c r="U11" s="30"/>
      <c r="V11" s="30"/>
    </row>
    <row r="12" spans="1:22" hidden="1" x14ac:dyDescent="0.25">
      <c r="A12" s="96">
        <v>11</v>
      </c>
      <c r="B12" s="92" t="s">
        <v>533</v>
      </c>
      <c r="C12" s="96" t="s">
        <v>29</v>
      </c>
      <c r="D12" s="89" t="s">
        <v>30</v>
      </c>
      <c r="E12" s="89" t="s">
        <v>491</v>
      </c>
      <c r="F12" s="91" t="s">
        <v>29</v>
      </c>
      <c r="G12" s="93" t="s">
        <v>64</v>
      </c>
      <c r="H12" s="93" t="s">
        <v>517</v>
      </c>
      <c r="I12" s="94">
        <v>44352</v>
      </c>
      <c r="J12" s="93">
        <v>5</v>
      </c>
      <c r="K12" s="93">
        <v>115</v>
      </c>
      <c r="L12" s="93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66"/>
      <c r="S12" s="170"/>
      <c r="T12" s="171"/>
      <c r="U12" s="30"/>
      <c r="V12" s="30"/>
    </row>
    <row r="13" spans="1:22" hidden="1" x14ac:dyDescent="0.25">
      <c r="A13" s="26">
        <v>12</v>
      </c>
      <c r="B13" s="30" t="s">
        <v>538</v>
      </c>
      <c r="C13" s="26" t="s">
        <v>29</v>
      </c>
      <c r="D13" s="30" t="s">
        <v>509</v>
      </c>
      <c r="E13" s="30" t="s">
        <v>49</v>
      </c>
      <c r="F13" s="30" t="s">
        <v>29</v>
      </c>
      <c r="G13" s="30" t="s">
        <v>64</v>
      </c>
      <c r="H13" s="30" t="s">
        <v>517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66">
        <v>1925425</v>
      </c>
      <c r="S13" s="170" t="s">
        <v>540</v>
      </c>
      <c r="T13" s="171" t="s">
        <v>27</v>
      </c>
      <c r="U13" s="30"/>
      <c r="V13" s="30"/>
    </row>
    <row r="14" spans="1:22" hidden="1" x14ac:dyDescent="0.25">
      <c r="A14" s="26">
        <v>13</v>
      </c>
      <c r="B14" s="30" t="s">
        <v>539</v>
      </c>
      <c r="C14" s="26" t="s">
        <v>29</v>
      </c>
      <c r="D14" s="30" t="s">
        <v>509</v>
      </c>
      <c r="E14" s="30" t="s">
        <v>49</v>
      </c>
      <c r="F14" s="30" t="s">
        <v>29</v>
      </c>
      <c r="G14" s="30" t="s">
        <v>512</v>
      </c>
      <c r="H14" s="30" t="s">
        <v>513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66"/>
      <c r="S14" s="171"/>
      <c r="T14" s="171"/>
      <c r="U14" s="30"/>
      <c r="V14" s="30"/>
    </row>
    <row r="15" spans="1:22" hidden="1" x14ac:dyDescent="0.25">
      <c r="A15" s="26">
        <v>14</v>
      </c>
      <c r="B15" s="30" t="s">
        <v>543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64</v>
      </c>
      <c r="H15" s="30" t="s">
        <v>517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615</v>
      </c>
      <c r="T15" s="30" t="s">
        <v>27</v>
      </c>
      <c r="U15" s="30"/>
      <c r="V15" s="30"/>
    </row>
    <row r="16" spans="1:22" hidden="1" x14ac:dyDescent="0.25">
      <c r="A16" s="26">
        <v>15</v>
      </c>
      <c r="B16" s="30" t="s">
        <v>544</v>
      </c>
      <c r="C16" s="26" t="s">
        <v>29</v>
      </c>
      <c r="D16" s="30" t="s">
        <v>509</v>
      </c>
      <c r="E16" s="30" t="s">
        <v>49</v>
      </c>
      <c r="F16" s="30" t="s">
        <v>29</v>
      </c>
      <c r="G16" s="30" t="s">
        <v>64</v>
      </c>
      <c r="H16" s="30" t="s">
        <v>517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554</v>
      </c>
      <c r="T16" s="30" t="s">
        <v>27</v>
      </c>
      <c r="U16" s="30"/>
      <c r="V16" s="30"/>
    </row>
    <row r="17" spans="1:22" hidden="1" x14ac:dyDescent="0.25">
      <c r="A17" s="26">
        <v>16</v>
      </c>
      <c r="B17" s="30" t="s">
        <v>545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615</v>
      </c>
      <c r="T17" s="30" t="s">
        <v>27</v>
      </c>
      <c r="U17" s="30"/>
      <c r="V17" s="30"/>
    </row>
    <row r="18" spans="1:22" hidden="1" x14ac:dyDescent="0.25">
      <c r="A18" s="26">
        <v>17</v>
      </c>
      <c r="B18" s="30" t="s">
        <v>546</v>
      </c>
      <c r="C18" s="26" t="s">
        <v>29</v>
      </c>
      <c r="D18" s="30" t="s">
        <v>85</v>
      </c>
      <c r="E18" s="30" t="s">
        <v>523</v>
      </c>
      <c r="F18" s="30" t="s">
        <v>29</v>
      </c>
      <c r="G18" s="30" t="s">
        <v>72</v>
      </c>
      <c r="H18" s="30" t="s">
        <v>547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729</v>
      </c>
      <c r="T18" s="30" t="s">
        <v>27</v>
      </c>
      <c r="U18" s="30"/>
      <c r="V18" s="30"/>
    </row>
    <row r="19" spans="1:22" hidden="1" x14ac:dyDescent="0.25">
      <c r="A19" s="26">
        <v>18</v>
      </c>
      <c r="B19" s="30" t="s">
        <v>548</v>
      </c>
      <c r="C19" s="26" t="s">
        <v>29</v>
      </c>
      <c r="D19" s="30" t="s">
        <v>85</v>
      </c>
      <c r="E19" s="30" t="s">
        <v>523</v>
      </c>
      <c r="F19" s="30" t="s">
        <v>29</v>
      </c>
      <c r="G19" s="30" t="s">
        <v>72</v>
      </c>
      <c r="H19" s="30" t="s">
        <v>547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729</v>
      </c>
      <c r="T19" s="30" t="s">
        <v>27</v>
      </c>
      <c r="U19" s="30"/>
      <c r="V19" s="30"/>
    </row>
    <row r="20" spans="1:22" hidden="1" x14ac:dyDescent="0.25">
      <c r="A20" s="26">
        <v>19</v>
      </c>
      <c r="B20" s="30" t="s">
        <v>549</v>
      </c>
      <c r="C20" s="26" t="s">
        <v>29</v>
      </c>
      <c r="D20" s="30" t="s">
        <v>53</v>
      </c>
      <c r="E20" s="30" t="s">
        <v>550</v>
      </c>
      <c r="F20" s="30" t="s">
        <v>29</v>
      </c>
      <c r="G20" s="30" t="s">
        <v>54</v>
      </c>
      <c r="H20" s="30" t="s">
        <v>551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624</v>
      </c>
      <c r="T20" s="30" t="s">
        <v>27</v>
      </c>
      <c r="U20" s="30"/>
      <c r="V20" s="30"/>
    </row>
    <row r="21" spans="1:22" hidden="1" x14ac:dyDescent="0.25">
      <c r="A21" s="26">
        <v>20</v>
      </c>
      <c r="B21" s="30" t="s">
        <v>552</v>
      </c>
      <c r="C21" s="26" t="s">
        <v>29</v>
      </c>
      <c r="D21" s="30" t="s">
        <v>53</v>
      </c>
      <c r="E21" s="30" t="s">
        <v>550</v>
      </c>
      <c r="F21" s="30" t="s">
        <v>29</v>
      </c>
      <c r="G21" s="30" t="s">
        <v>553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624</v>
      </c>
      <c r="T21" s="30" t="s">
        <v>27</v>
      </c>
      <c r="U21" s="30"/>
      <c r="V21" s="30"/>
    </row>
    <row r="22" spans="1:22" hidden="1" x14ac:dyDescent="0.25">
      <c r="A22" s="26">
        <v>21</v>
      </c>
      <c r="B22" s="30" t="s">
        <v>555</v>
      </c>
      <c r="C22" s="26" t="s">
        <v>29</v>
      </c>
      <c r="D22" s="30" t="s">
        <v>509</v>
      </c>
      <c r="E22" s="30" t="s">
        <v>49</v>
      </c>
      <c r="F22" s="30" t="s">
        <v>29</v>
      </c>
      <c r="G22" s="30" t="s">
        <v>512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556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557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hidden="1" x14ac:dyDescent="0.25">
      <c r="A24" s="26">
        <v>23</v>
      </c>
      <c r="B24" s="30" t="s">
        <v>558</v>
      </c>
      <c r="C24" s="26" t="s">
        <v>29</v>
      </c>
      <c r="D24" s="30" t="s">
        <v>30</v>
      </c>
      <c r="E24" s="30" t="s">
        <v>491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4">
        <v>29701000</v>
      </c>
      <c r="S24" s="125" t="s">
        <v>690</v>
      </c>
      <c r="T24" s="125" t="s">
        <v>27</v>
      </c>
      <c r="U24" s="30"/>
      <c r="V24" s="30"/>
    </row>
    <row r="25" spans="1:22" hidden="1" x14ac:dyDescent="0.25">
      <c r="A25" s="26">
        <v>24</v>
      </c>
      <c r="B25" s="30" t="s">
        <v>559</v>
      </c>
      <c r="C25" s="26" t="s">
        <v>29</v>
      </c>
      <c r="D25" s="30" t="s">
        <v>30</v>
      </c>
      <c r="E25" s="30" t="s">
        <v>491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4">
        <v>29701000</v>
      </c>
      <c r="S25" s="125" t="s">
        <v>690</v>
      </c>
      <c r="T25" s="125" t="s">
        <v>27</v>
      </c>
      <c r="U25" s="30"/>
      <c r="V25" s="30"/>
    </row>
    <row r="26" spans="1:22" hidden="1" x14ac:dyDescent="0.25">
      <c r="A26" s="26">
        <v>25</v>
      </c>
      <c r="B26" s="30" t="s">
        <v>560</v>
      </c>
      <c r="C26" s="26" t="s">
        <v>29</v>
      </c>
      <c r="D26" s="30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4">
        <v>29701000</v>
      </c>
      <c r="S26" s="125" t="s">
        <v>690</v>
      </c>
      <c r="T26" s="125" t="s">
        <v>27</v>
      </c>
      <c r="U26" s="30"/>
      <c r="V26" s="30"/>
    </row>
    <row r="27" spans="1:22" ht="15" hidden="1" customHeight="1" x14ac:dyDescent="0.25">
      <c r="A27" s="26">
        <v>26</v>
      </c>
      <c r="B27" s="30" t="s">
        <v>562</v>
      </c>
      <c r="C27" s="26" t="s">
        <v>29</v>
      </c>
      <c r="D27" s="30" t="s">
        <v>509</v>
      </c>
      <c r="E27" s="30" t="s">
        <v>49</v>
      </c>
      <c r="F27" s="30" t="s">
        <v>29</v>
      </c>
      <c r="G27" s="30" t="s">
        <v>512</v>
      </c>
      <c r="H27" s="30" t="s">
        <v>513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709</v>
      </c>
      <c r="T27" s="26" t="s">
        <v>27</v>
      </c>
      <c r="U27" s="30"/>
      <c r="V27" s="30"/>
    </row>
    <row r="28" spans="1:22" ht="15" hidden="1" customHeight="1" x14ac:dyDescent="0.25">
      <c r="A28" s="26">
        <v>27</v>
      </c>
      <c r="B28" s="30" t="s">
        <v>563</v>
      </c>
      <c r="C28" s="26" t="s">
        <v>29</v>
      </c>
      <c r="D28" s="30" t="s">
        <v>53</v>
      </c>
      <c r="E28" s="30" t="s">
        <v>564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624</v>
      </c>
      <c r="T28" s="30" t="s">
        <v>27</v>
      </c>
      <c r="U28" s="30"/>
      <c r="V28" s="30"/>
    </row>
    <row r="29" spans="1:22" hidden="1" x14ac:dyDescent="0.25">
      <c r="A29" s="26">
        <v>28</v>
      </c>
      <c r="B29" s="30" t="s">
        <v>565</v>
      </c>
      <c r="C29" s="26" t="s">
        <v>29</v>
      </c>
      <c r="D29" s="30" t="s">
        <v>30</v>
      </c>
      <c r="E29" s="30" t="s">
        <v>491</v>
      </c>
      <c r="F29" s="30" t="s">
        <v>29</v>
      </c>
      <c r="G29" s="30" t="s">
        <v>31</v>
      </c>
      <c r="H29" s="30" t="s">
        <v>359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4">
        <v>29701000</v>
      </c>
      <c r="S29" s="125" t="s">
        <v>690</v>
      </c>
      <c r="T29" s="125" t="s">
        <v>27</v>
      </c>
      <c r="U29" s="30"/>
      <c r="V29" s="30"/>
    </row>
    <row r="30" spans="1:22" hidden="1" x14ac:dyDescent="0.25">
      <c r="A30" s="26">
        <v>29</v>
      </c>
      <c r="B30" s="30" t="s">
        <v>566</v>
      </c>
      <c r="C30" s="26" t="s">
        <v>29</v>
      </c>
      <c r="D30" s="30" t="s">
        <v>567</v>
      </c>
      <c r="E30" s="30" t="s">
        <v>491</v>
      </c>
      <c r="F30" s="30" t="s">
        <v>468</v>
      </c>
      <c r="G30" s="30" t="s">
        <v>166</v>
      </c>
      <c r="H30" s="30" t="s">
        <v>503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4">
        <v>29701000</v>
      </c>
      <c r="S30" s="125" t="s">
        <v>690</v>
      </c>
      <c r="T30" s="125" t="s">
        <v>27</v>
      </c>
      <c r="U30" s="30"/>
      <c r="V30" s="30"/>
    </row>
    <row r="31" spans="1:22" hidden="1" x14ac:dyDescent="0.25">
      <c r="A31" s="26">
        <v>30</v>
      </c>
      <c r="B31" s="30" t="s">
        <v>568</v>
      </c>
      <c r="C31" s="26" t="s">
        <v>29</v>
      </c>
      <c r="D31" s="30" t="s">
        <v>30</v>
      </c>
      <c r="E31" s="30" t="s">
        <v>491</v>
      </c>
      <c r="F31" s="30" t="s">
        <v>29</v>
      </c>
      <c r="G31" s="30" t="s">
        <v>35</v>
      </c>
      <c r="H31" s="30" t="s">
        <v>493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4">
        <v>29701000</v>
      </c>
      <c r="S31" s="125" t="s">
        <v>690</v>
      </c>
      <c r="T31" s="125" t="s">
        <v>27</v>
      </c>
      <c r="U31" s="30"/>
      <c r="V31" s="30"/>
    </row>
    <row r="32" spans="1:22" hidden="1" x14ac:dyDescent="0.25">
      <c r="A32" s="26">
        <v>31</v>
      </c>
      <c r="B32" s="30" t="s">
        <v>569</v>
      </c>
      <c r="C32" s="26" t="s">
        <v>29</v>
      </c>
      <c r="D32" s="30" t="s">
        <v>30</v>
      </c>
      <c r="E32" s="30" t="s">
        <v>491</v>
      </c>
      <c r="F32" s="30" t="s">
        <v>29</v>
      </c>
      <c r="G32" s="30" t="s">
        <v>45</v>
      </c>
      <c r="H32" s="30" t="s">
        <v>570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4">
        <v>29701000</v>
      </c>
      <c r="S32" s="125" t="s">
        <v>690</v>
      </c>
      <c r="T32" s="125" t="s">
        <v>27</v>
      </c>
      <c r="U32" s="30"/>
      <c r="V32" s="30"/>
    </row>
    <row r="33" spans="1:22" hidden="1" x14ac:dyDescent="0.25">
      <c r="A33" s="26">
        <v>32</v>
      </c>
      <c r="B33" s="30" t="s">
        <v>571</v>
      </c>
      <c r="C33" s="26" t="s">
        <v>29</v>
      </c>
      <c r="D33" s="30" t="s">
        <v>30</v>
      </c>
      <c r="E33" s="30" t="s">
        <v>491</v>
      </c>
      <c r="F33" s="30" t="s">
        <v>468</v>
      </c>
      <c r="G33" s="30" t="s">
        <v>40</v>
      </c>
      <c r="H33" s="30" t="s">
        <v>570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4">
        <v>29701000</v>
      </c>
      <c r="S33" s="125" t="s">
        <v>690</v>
      </c>
      <c r="T33" s="125" t="s">
        <v>27</v>
      </c>
      <c r="U33" s="30"/>
      <c r="V33" s="30"/>
    </row>
    <row r="34" spans="1:22" hidden="1" x14ac:dyDescent="0.25">
      <c r="A34" s="26">
        <v>33</v>
      </c>
      <c r="B34" s="30" t="s">
        <v>572</v>
      </c>
      <c r="C34" s="26" t="s">
        <v>29</v>
      </c>
      <c r="D34" s="30" t="s">
        <v>30</v>
      </c>
      <c r="E34" s="30" t="s">
        <v>491</v>
      </c>
      <c r="F34" s="30" t="s">
        <v>29</v>
      </c>
      <c r="G34" s="30" t="s">
        <v>60</v>
      </c>
      <c r="H34" s="30" t="s">
        <v>469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4">
        <v>29701000</v>
      </c>
      <c r="S34" s="125" t="s">
        <v>690</v>
      </c>
      <c r="T34" s="125" t="s">
        <v>27</v>
      </c>
      <c r="U34" s="30"/>
      <c r="V34" s="30"/>
    </row>
    <row r="35" spans="1:22" hidden="1" x14ac:dyDescent="0.25">
      <c r="A35" s="26">
        <v>34</v>
      </c>
      <c r="B35" s="30" t="s">
        <v>573</v>
      </c>
      <c r="C35" s="26" t="s">
        <v>29</v>
      </c>
      <c r="D35" s="30" t="s">
        <v>30</v>
      </c>
      <c r="E35" s="30" t="s">
        <v>491</v>
      </c>
      <c r="F35" s="30" t="s">
        <v>29</v>
      </c>
      <c r="G35" s="30" t="s">
        <v>263</v>
      </c>
      <c r="H35" s="30" t="s">
        <v>574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4">
        <v>29701000</v>
      </c>
      <c r="S35" s="125" t="s">
        <v>690</v>
      </c>
      <c r="T35" s="125" t="s">
        <v>27</v>
      </c>
      <c r="U35" s="30"/>
      <c r="V35" s="30"/>
    </row>
    <row r="36" spans="1:22" ht="15" hidden="1" customHeight="1" x14ac:dyDescent="0.25">
      <c r="A36" s="26">
        <v>35</v>
      </c>
      <c r="B36" s="71" t="s">
        <v>576</v>
      </c>
      <c r="C36" s="26" t="s">
        <v>21</v>
      </c>
      <c r="D36" s="71" t="s">
        <v>577</v>
      </c>
      <c r="E36" s="30" t="s">
        <v>49</v>
      </c>
      <c r="F36" s="30" t="s">
        <v>21</v>
      </c>
      <c r="G36" s="30" t="s">
        <v>203</v>
      </c>
      <c r="H36" s="71" t="s">
        <v>578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295350</v>
      </c>
      <c r="S36" s="57" t="s">
        <v>689</v>
      </c>
      <c r="T36" s="125" t="s">
        <v>27</v>
      </c>
      <c r="U36" s="30"/>
      <c r="V36" s="30"/>
    </row>
    <row r="37" spans="1:22" ht="15" hidden="1" customHeight="1" x14ac:dyDescent="0.25">
      <c r="A37" s="97">
        <v>36</v>
      </c>
      <c r="B37" s="100" t="s">
        <v>579</v>
      </c>
      <c r="C37" s="97" t="s">
        <v>21</v>
      </c>
      <c r="D37" s="101" t="s">
        <v>583</v>
      </c>
      <c r="E37" s="102" t="s">
        <v>49</v>
      </c>
      <c r="F37" s="103" t="s">
        <v>21</v>
      </c>
      <c r="G37" s="104" t="s">
        <v>171</v>
      </c>
      <c r="H37" s="104" t="s">
        <v>419</v>
      </c>
      <c r="I37" s="105">
        <v>44365</v>
      </c>
      <c r="J37" s="104">
        <v>1</v>
      </c>
      <c r="K37" s="104">
        <v>25</v>
      </c>
      <c r="L37" s="104">
        <v>71</v>
      </c>
      <c r="M37" s="106">
        <f>((L37*6500)+(L37*6500)*10%)+8250+((0*150))</f>
        <v>515900</v>
      </c>
      <c r="N37" s="107">
        <v>0</v>
      </c>
      <c r="O37" s="107">
        <v>0</v>
      </c>
      <c r="P37" s="21">
        <f>L37*1100</f>
        <v>78100</v>
      </c>
      <c r="Q37" s="14">
        <f t="shared" si="31"/>
        <v>594000</v>
      </c>
      <c r="R37" s="27">
        <v>594000</v>
      </c>
      <c r="S37" s="57" t="s">
        <v>689</v>
      </c>
      <c r="T37" s="125" t="s">
        <v>27</v>
      </c>
      <c r="U37" s="30"/>
      <c r="V37" s="30"/>
    </row>
    <row r="38" spans="1:22" ht="15" hidden="1" customHeight="1" x14ac:dyDescent="0.25">
      <c r="A38" s="26">
        <v>37</v>
      </c>
      <c r="B38" s="98" t="s">
        <v>580</v>
      </c>
      <c r="C38" s="26" t="s">
        <v>21</v>
      </c>
      <c r="D38" s="99" t="s">
        <v>584</v>
      </c>
      <c r="E38" s="30" t="s">
        <v>49</v>
      </c>
      <c r="F38" s="90" t="s">
        <v>21</v>
      </c>
      <c r="G38" s="87" t="s">
        <v>40</v>
      </c>
      <c r="H38" s="87" t="s">
        <v>582</v>
      </c>
      <c r="I38" s="88">
        <v>44365</v>
      </c>
      <c r="J38" s="87">
        <v>1</v>
      </c>
      <c r="K38" s="87">
        <v>36</v>
      </c>
      <c r="L38" s="87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27">
        <v>245850</v>
      </c>
      <c r="S38" s="57" t="s">
        <v>689</v>
      </c>
      <c r="T38" s="125" t="s">
        <v>27</v>
      </c>
      <c r="U38" s="30"/>
      <c r="V38" s="30"/>
    </row>
    <row r="39" spans="1:22" ht="15" hidden="1" customHeight="1" x14ac:dyDescent="0.25">
      <c r="A39" s="96">
        <v>38</v>
      </c>
      <c r="B39" s="108" t="s">
        <v>581</v>
      </c>
      <c r="C39" s="96" t="s">
        <v>21</v>
      </c>
      <c r="D39" s="109" t="s">
        <v>585</v>
      </c>
      <c r="E39" s="89" t="s">
        <v>49</v>
      </c>
      <c r="F39" s="91" t="s">
        <v>21</v>
      </c>
      <c r="G39" s="93" t="s">
        <v>171</v>
      </c>
      <c r="H39" s="93" t="s">
        <v>419</v>
      </c>
      <c r="I39" s="94">
        <v>44365</v>
      </c>
      <c r="J39" s="93">
        <v>1</v>
      </c>
      <c r="K39" s="93">
        <v>10</v>
      </c>
      <c r="L39" s="93">
        <v>10</v>
      </c>
      <c r="M39" s="110">
        <f>((L39*6500)+(L39*6500)*10%)+8250+((0*150))</f>
        <v>79750</v>
      </c>
      <c r="N39" s="111">
        <v>0</v>
      </c>
      <c r="O39" s="111">
        <v>0</v>
      </c>
      <c r="P39" s="111">
        <f>L39*1100</f>
        <v>11000</v>
      </c>
      <c r="Q39" s="112">
        <f t="shared" si="31"/>
        <v>90750</v>
      </c>
      <c r="R39" s="27">
        <v>90750</v>
      </c>
      <c r="S39" s="57" t="s">
        <v>689</v>
      </c>
      <c r="T39" s="125" t="s">
        <v>27</v>
      </c>
      <c r="U39" s="89"/>
      <c r="V39" s="89"/>
    </row>
    <row r="40" spans="1:22" ht="15" hidden="1" customHeight="1" x14ac:dyDescent="0.25">
      <c r="A40" s="26">
        <v>39</v>
      </c>
      <c r="B40" s="71" t="s">
        <v>586</v>
      </c>
      <c r="C40" s="26" t="s">
        <v>29</v>
      </c>
      <c r="D40" s="71" t="s">
        <v>592</v>
      </c>
      <c r="E40" s="30" t="s">
        <v>137</v>
      </c>
      <c r="F40" s="71" t="s">
        <v>29</v>
      </c>
      <c r="G40" s="71" t="s">
        <v>593</v>
      </c>
      <c r="H40" s="71" t="s">
        <v>594</v>
      </c>
      <c r="I40" s="94">
        <v>44365</v>
      </c>
      <c r="J40" s="71">
        <v>1</v>
      </c>
      <c r="K40" s="71">
        <v>134</v>
      </c>
      <c r="L40" s="71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66">
        <v>6195544</v>
      </c>
      <c r="S40" s="152" t="s">
        <v>715</v>
      </c>
      <c r="T40" s="125" t="s">
        <v>27</v>
      </c>
      <c r="U40" s="30"/>
      <c r="V40" s="30"/>
    </row>
    <row r="41" spans="1:22" ht="15" hidden="1" customHeight="1" x14ac:dyDescent="0.25">
      <c r="A41" s="26">
        <v>40</v>
      </c>
      <c r="B41" s="71" t="s">
        <v>587</v>
      </c>
      <c r="C41" s="26" t="s">
        <v>29</v>
      </c>
      <c r="D41" s="71" t="s">
        <v>592</v>
      </c>
      <c r="E41" s="30" t="s">
        <v>49</v>
      </c>
      <c r="F41" s="71" t="s">
        <v>29</v>
      </c>
      <c r="G41" s="71" t="s">
        <v>593</v>
      </c>
      <c r="H41" s="71" t="s">
        <v>594</v>
      </c>
      <c r="I41" s="94">
        <v>44365</v>
      </c>
      <c r="J41" s="71">
        <v>1</v>
      </c>
      <c r="K41" s="71">
        <v>5</v>
      </c>
      <c r="L41" s="71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66"/>
      <c r="S41" s="154"/>
      <c r="T41" s="125" t="s">
        <v>27</v>
      </c>
      <c r="U41" s="30"/>
      <c r="V41" s="30"/>
    </row>
    <row r="42" spans="1:22" hidden="1" x14ac:dyDescent="0.25">
      <c r="A42" s="26">
        <v>41</v>
      </c>
      <c r="B42" s="71" t="s">
        <v>588</v>
      </c>
      <c r="C42" s="26" t="s">
        <v>29</v>
      </c>
      <c r="D42" s="71" t="s">
        <v>30</v>
      </c>
      <c r="E42" s="30" t="s">
        <v>491</v>
      </c>
      <c r="F42" s="71" t="s">
        <v>29</v>
      </c>
      <c r="G42" s="71" t="s">
        <v>79</v>
      </c>
      <c r="H42" s="71" t="s">
        <v>89</v>
      </c>
      <c r="I42" s="94">
        <v>44365</v>
      </c>
      <c r="J42" s="71">
        <v>3</v>
      </c>
      <c r="K42" s="71">
        <v>59</v>
      </c>
      <c r="L42" s="71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4">
        <v>29701000</v>
      </c>
      <c r="S42" s="125" t="s">
        <v>690</v>
      </c>
      <c r="T42" s="125" t="s">
        <v>27</v>
      </c>
      <c r="U42" s="30"/>
      <c r="V42" s="30"/>
    </row>
    <row r="43" spans="1:22" ht="15" hidden="1" customHeight="1" x14ac:dyDescent="0.25">
      <c r="A43" s="26">
        <v>42</v>
      </c>
      <c r="B43" s="71" t="s">
        <v>589</v>
      </c>
      <c r="C43" s="26" t="s">
        <v>29</v>
      </c>
      <c r="D43" s="71" t="s">
        <v>53</v>
      </c>
      <c r="E43" s="30" t="s">
        <v>550</v>
      </c>
      <c r="F43" s="71" t="s">
        <v>29</v>
      </c>
      <c r="G43" s="71" t="s">
        <v>104</v>
      </c>
      <c r="H43" s="71" t="s">
        <v>105</v>
      </c>
      <c r="I43" s="94">
        <v>44365</v>
      </c>
      <c r="J43" s="71">
        <v>1</v>
      </c>
      <c r="K43" s="71">
        <v>34</v>
      </c>
      <c r="L43" s="71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624</v>
      </c>
      <c r="T43" s="30" t="s">
        <v>27</v>
      </c>
      <c r="U43" s="30"/>
      <c r="V43" s="30"/>
    </row>
    <row r="44" spans="1:22" ht="15" hidden="1" customHeight="1" x14ac:dyDescent="0.25">
      <c r="A44" s="26">
        <v>43</v>
      </c>
      <c r="B44" s="71" t="s">
        <v>590</v>
      </c>
      <c r="C44" s="26" t="s">
        <v>29</v>
      </c>
      <c r="D44" s="71" t="s">
        <v>53</v>
      </c>
      <c r="E44" s="30" t="s">
        <v>550</v>
      </c>
      <c r="F44" s="71" t="s">
        <v>29</v>
      </c>
      <c r="G44" s="71" t="s">
        <v>104</v>
      </c>
      <c r="H44" s="71" t="s">
        <v>105</v>
      </c>
      <c r="I44" s="94">
        <v>44365</v>
      </c>
      <c r="J44" s="71">
        <v>1</v>
      </c>
      <c r="K44" s="71">
        <v>26</v>
      </c>
      <c r="L44" s="71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624</v>
      </c>
      <c r="T44" s="30" t="s">
        <v>27</v>
      </c>
      <c r="U44" s="30"/>
      <c r="V44" s="30"/>
    </row>
    <row r="45" spans="1:22" hidden="1" x14ac:dyDescent="0.25">
      <c r="A45" s="26">
        <v>44</v>
      </c>
      <c r="B45" s="71" t="s">
        <v>591</v>
      </c>
      <c r="C45" s="26" t="s">
        <v>29</v>
      </c>
      <c r="D45" s="71" t="s">
        <v>30</v>
      </c>
      <c r="E45" s="30" t="s">
        <v>491</v>
      </c>
      <c r="F45" s="71" t="s">
        <v>29</v>
      </c>
      <c r="G45" s="71" t="s">
        <v>35</v>
      </c>
      <c r="H45" s="71" t="s">
        <v>493</v>
      </c>
      <c r="I45" s="113">
        <v>44365</v>
      </c>
      <c r="J45" s="71">
        <v>4</v>
      </c>
      <c r="K45" s="71">
        <v>79</v>
      </c>
      <c r="L45" s="71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4">
        <v>29701000</v>
      </c>
      <c r="S45" s="125" t="s">
        <v>690</v>
      </c>
      <c r="T45" s="125" t="s">
        <v>27</v>
      </c>
      <c r="U45" s="30"/>
      <c r="V45" s="30"/>
    </row>
    <row r="46" spans="1:22" ht="15" hidden="1" customHeight="1" x14ac:dyDescent="0.25">
      <c r="A46" s="26">
        <v>45</v>
      </c>
      <c r="B46" s="71" t="s">
        <v>595</v>
      </c>
      <c r="C46" s="26" t="s">
        <v>29</v>
      </c>
      <c r="D46" s="71" t="s">
        <v>85</v>
      </c>
      <c r="E46" s="30" t="s">
        <v>599</v>
      </c>
      <c r="F46" s="71" t="s">
        <v>29</v>
      </c>
      <c r="G46" s="71" t="s">
        <v>72</v>
      </c>
      <c r="H46" s="71" t="s">
        <v>600</v>
      </c>
      <c r="I46" s="113">
        <v>44367</v>
      </c>
      <c r="J46" s="71">
        <v>5</v>
      </c>
      <c r="K46" s="71">
        <v>100</v>
      </c>
      <c r="L46" s="71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729</v>
      </c>
      <c r="T46" s="30" t="s">
        <v>27</v>
      </c>
      <c r="U46" s="30"/>
      <c r="V46" s="30"/>
    </row>
    <row r="47" spans="1:22" hidden="1" x14ac:dyDescent="0.25">
      <c r="A47" s="26">
        <v>46</v>
      </c>
      <c r="B47" s="71" t="s">
        <v>596</v>
      </c>
      <c r="C47" s="26" t="s">
        <v>29</v>
      </c>
      <c r="D47" s="71" t="s">
        <v>30</v>
      </c>
      <c r="E47" s="30" t="s">
        <v>491</v>
      </c>
      <c r="F47" s="71" t="s">
        <v>29</v>
      </c>
      <c r="G47" s="71" t="s">
        <v>40</v>
      </c>
      <c r="H47" s="71" t="s">
        <v>570</v>
      </c>
      <c r="I47" s="113">
        <v>44367</v>
      </c>
      <c r="J47" s="71">
        <v>1</v>
      </c>
      <c r="K47" s="71">
        <v>14</v>
      </c>
      <c r="L47" s="71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4">
        <v>29701000</v>
      </c>
      <c r="S47" s="125" t="s">
        <v>690</v>
      </c>
      <c r="T47" s="125" t="s">
        <v>27</v>
      </c>
      <c r="U47" s="30"/>
      <c r="V47" s="30"/>
    </row>
    <row r="48" spans="1:22" hidden="1" x14ac:dyDescent="0.25">
      <c r="A48" s="26">
        <v>47</v>
      </c>
      <c r="B48" s="71" t="s">
        <v>597</v>
      </c>
      <c r="C48" s="26" t="s">
        <v>29</v>
      </c>
      <c r="D48" s="71" t="s">
        <v>30</v>
      </c>
      <c r="E48" s="30" t="s">
        <v>491</v>
      </c>
      <c r="F48" s="71" t="s">
        <v>29</v>
      </c>
      <c r="G48" s="71" t="s">
        <v>231</v>
      </c>
      <c r="H48" s="71" t="s">
        <v>601</v>
      </c>
      <c r="I48" s="113">
        <v>44367</v>
      </c>
      <c r="J48" s="71">
        <v>5</v>
      </c>
      <c r="K48" s="71">
        <v>115</v>
      </c>
      <c r="L48" s="71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4">
        <v>29701000</v>
      </c>
      <c r="S48" s="125" t="s">
        <v>690</v>
      </c>
      <c r="T48" s="125" t="s">
        <v>27</v>
      </c>
      <c r="U48" s="30"/>
      <c r="V48" s="30"/>
    </row>
    <row r="49" spans="1:22" hidden="1" x14ac:dyDescent="0.25">
      <c r="A49" s="26">
        <v>48</v>
      </c>
      <c r="B49" s="71" t="s">
        <v>598</v>
      </c>
      <c r="C49" s="26" t="s">
        <v>29</v>
      </c>
      <c r="D49" s="71" t="s">
        <v>30</v>
      </c>
      <c r="E49" s="30" t="s">
        <v>491</v>
      </c>
      <c r="F49" s="71" t="s">
        <v>29</v>
      </c>
      <c r="G49" s="71" t="s">
        <v>79</v>
      </c>
      <c r="H49" s="71" t="s">
        <v>222</v>
      </c>
      <c r="I49" s="113">
        <v>44367</v>
      </c>
      <c r="J49" s="71">
        <v>7</v>
      </c>
      <c r="K49" s="71">
        <v>161</v>
      </c>
      <c r="L49" s="71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4">
        <v>29701000</v>
      </c>
      <c r="S49" s="125" t="s">
        <v>690</v>
      </c>
      <c r="T49" s="125" t="s">
        <v>27</v>
      </c>
      <c r="U49" s="30"/>
      <c r="V49" s="30"/>
    </row>
    <row r="50" spans="1:22" ht="15" hidden="1" customHeight="1" x14ac:dyDescent="0.25">
      <c r="A50" s="26">
        <v>49</v>
      </c>
      <c r="B50" s="30" t="s">
        <v>602</v>
      </c>
      <c r="C50" s="26" t="s">
        <v>21</v>
      </c>
      <c r="D50" s="30" t="s">
        <v>398</v>
      </c>
      <c r="E50" s="30" t="s">
        <v>49</v>
      </c>
      <c r="F50" s="30" t="s">
        <v>21</v>
      </c>
      <c r="G50" s="30" t="s">
        <v>171</v>
      </c>
      <c r="H50" s="71" t="s">
        <v>419</v>
      </c>
      <c r="I50" s="36">
        <v>44368</v>
      </c>
      <c r="J50" s="30">
        <v>2</v>
      </c>
      <c r="K50" s="30">
        <v>42</v>
      </c>
      <c r="L50" s="30">
        <v>42</v>
      </c>
      <c r="M50" s="106">
        <f>((L50*6500)+(L50*6500)*10%)+8250+((0*150))</f>
        <v>308550</v>
      </c>
      <c r="N50" s="107">
        <v>0</v>
      </c>
      <c r="O50" s="107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710</v>
      </c>
      <c r="T50" s="125" t="s">
        <v>27</v>
      </c>
      <c r="U50" s="30"/>
      <c r="V50" s="30"/>
    </row>
    <row r="51" spans="1:22" ht="15" hidden="1" customHeight="1" x14ac:dyDescent="0.25">
      <c r="A51" s="26">
        <v>50</v>
      </c>
      <c r="B51" s="30" t="s">
        <v>603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7" t="s">
        <v>734</v>
      </c>
      <c r="T51" s="127" t="s">
        <v>27</v>
      </c>
      <c r="U51" s="30"/>
      <c r="V51" s="30"/>
    </row>
    <row r="52" spans="1:22" ht="15" hidden="1" customHeight="1" x14ac:dyDescent="0.25">
      <c r="A52" s="26">
        <v>51</v>
      </c>
      <c r="B52" s="71" t="s">
        <v>604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661</v>
      </c>
      <c r="T52" s="30" t="s">
        <v>126</v>
      </c>
      <c r="U52" s="30"/>
      <c r="V52" s="30"/>
    </row>
    <row r="53" spans="1:22" ht="15" hidden="1" customHeight="1" x14ac:dyDescent="0.25">
      <c r="A53" s="26">
        <v>52</v>
      </c>
      <c r="B53" s="71" t="s">
        <v>605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7" t="s">
        <v>734</v>
      </c>
      <c r="T53" s="127" t="s">
        <v>27</v>
      </c>
      <c r="U53" s="30"/>
      <c r="V53" s="30"/>
    </row>
    <row r="54" spans="1:22" ht="15" hidden="1" customHeight="1" x14ac:dyDescent="0.25">
      <c r="A54" s="26">
        <v>53</v>
      </c>
      <c r="B54" s="71" t="s">
        <v>607</v>
      </c>
      <c r="C54" s="26" t="s">
        <v>29</v>
      </c>
      <c r="D54" s="30" t="s">
        <v>592</v>
      </c>
      <c r="E54" s="30" t="s">
        <v>49</v>
      </c>
      <c r="F54" s="71" t="s">
        <v>29</v>
      </c>
      <c r="G54" s="71" t="s">
        <v>45</v>
      </c>
      <c r="H54" s="71" t="s">
        <v>43</v>
      </c>
      <c r="I54" s="36">
        <v>44370</v>
      </c>
      <c r="J54" s="71">
        <v>6</v>
      </c>
      <c r="K54" s="71">
        <v>100</v>
      </c>
      <c r="L54" s="71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/>
      <c r="S54" s="26"/>
      <c r="T54" s="26"/>
      <c r="U54" s="30"/>
      <c r="V54" s="30"/>
    </row>
    <row r="55" spans="1:22" hidden="1" x14ac:dyDescent="0.25">
      <c r="A55" s="26">
        <v>54</v>
      </c>
      <c r="B55" s="71" t="s">
        <v>608</v>
      </c>
      <c r="C55" s="26" t="s">
        <v>29</v>
      </c>
      <c r="D55" s="30" t="s">
        <v>30</v>
      </c>
      <c r="E55" s="30" t="s">
        <v>491</v>
      </c>
      <c r="F55" s="71" t="s">
        <v>29</v>
      </c>
      <c r="G55" s="71" t="s">
        <v>184</v>
      </c>
      <c r="H55" s="71" t="s">
        <v>342</v>
      </c>
      <c r="I55" s="36">
        <v>44370</v>
      </c>
      <c r="J55" s="71">
        <v>5</v>
      </c>
      <c r="K55" s="71">
        <v>82</v>
      </c>
      <c r="L55" s="71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4">
        <v>29701000</v>
      </c>
      <c r="S55" s="125" t="s">
        <v>690</v>
      </c>
      <c r="T55" s="125" t="s">
        <v>27</v>
      </c>
      <c r="U55" s="30"/>
      <c r="V55" s="30"/>
    </row>
    <row r="56" spans="1:22" hidden="1" x14ac:dyDescent="0.25">
      <c r="A56" s="26">
        <v>55</v>
      </c>
      <c r="B56" s="71" t="s">
        <v>609</v>
      </c>
      <c r="C56" s="26" t="s">
        <v>29</v>
      </c>
      <c r="D56" s="30" t="s">
        <v>30</v>
      </c>
      <c r="E56" s="30" t="s">
        <v>491</v>
      </c>
      <c r="F56" s="71" t="s">
        <v>29</v>
      </c>
      <c r="G56" s="71" t="s">
        <v>171</v>
      </c>
      <c r="H56" s="71" t="s">
        <v>610</v>
      </c>
      <c r="I56" s="36">
        <v>44370</v>
      </c>
      <c r="J56" s="71">
        <v>1</v>
      </c>
      <c r="K56" s="71">
        <v>2</v>
      </c>
      <c r="L56" s="71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4">
        <v>29701000</v>
      </c>
      <c r="S56" s="125" t="s">
        <v>690</v>
      </c>
      <c r="T56" s="125" t="s">
        <v>27</v>
      </c>
      <c r="U56" s="30"/>
      <c r="V56" s="30"/>
    </row>
    <row r="57" spans="1:22" hidden="1" x14ac:dyDescent="0.25">
      <c r="A57" s="26">
        <v>56</v>
      </c>
      <c r="B57" s="71" t="s">
        <v>611</v>
      </c>
      <c r="C57" s="26" t="s">
        <v>29</v>
      </c>
      <c r="D57" s="71" t="s">
        <v>30</v>
      </c>
      <c r="E57" s="30" t="s">
        <v>491</v>
      </c>
      <c r="F57" s="71" t="s">
        <v>29</v>
      </c>
      <c r="G57" s="71" t="s">
        <v>79</v>
      </c>
      <c r="H57" s="71" t="s">
        <v>222</v>
      </c>
      <c r="I57" s="36">
        <v>44370</v>
      </c>
      <c r="J57" s="71">
        <v>1</v>
      </c>
      <c r="K57" s="71">
        <v>2</v>
      </c>
      <c r="L57" s="71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4">
        <v>29701000</v>
      </c>
      <c r="S57" s="125" t="s">
        <v>690</v>
      </c>
      <c r="T57" s="125" t="s">
        <v>27</v>
      </c>
      <c r="U57" s="30"/>
      <c r="V57" s="30"/>
    </row>
    <row r="58" spans="1:22" hidden="1" x14ac:dyDescent="0.25">
      <c r="A58" s="26">
        <v>57</v>
      </c>
      <c r="B58" s="71" t="s">
        <v>612</v>
      </c>
      <c r="C58" s="26" t="s">
        <v>29</v>
      </c>
      <c r="D58" s="71" t="s">
        <v>30</v>
      </c>
      <c r="E58" s="30" t="s">
        <v>491</v>
      </c>
      <c r="F58" s="71" t="s">
        <v>29</v>
      </c>
      <c r="G58" s="71" t="s">
        <v>35</v>
      </c>
      <c r="H58" s="71" t="s">
        <v>157</v>
      </c>
      <c r="I58" s="36">
        <v>44370</v>
      </c>
      <c r="J58" s="71">
        <v>2</v>
      </c>
      <c r="K58" s="71">
        <v>29</v>
      </c>
      <c r="L58" s="71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4">
        <v>29701000</v>
      </c>
      <c r="S58" s="125" t="s">
        <v>690</v>
      </c>
      <c r="T58" s="125" t="s">
        <v>27</v>
      </c>
      <c r="U58" s="30"/>
      <c r="V58" s="30"/>
    </row>
    <row r="59" spans="1:22" ht="15" hidden="1" customHeight="1" x14ac:dyDescent="0.25">
      <c r="A59" s="26">
        <v>58</v>
      </c>
      <c r="B59" s="71" t="s">
        <v>606</v>
      </c>
      <c r="C59" s="26" t="s">
        <v>29</v>
      </c>
      <c r="D59" s="71" t="s">
        <v>509</v>
      </c>
      <c r="E59" s="30" t="s">
        <v>613</v>
      </c>
      <c r="F59" s="71" t="s">
        <v>29</v>
      </c>
      <c r="G59" s="71" t="s">
        <v>241</v>
      </c>
      <c r="H59" s="71" t="s">
        <v>614</v>
      </c>
      <c r="I59" s="36">
        <v>44370</v>
      </c>
      <c r="J59" s="71">
        <v>1</v>
      </c>
      <c r="K59" s="71">
        <v>30</v>
      </c>
      <c r="L59" s="71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711</v>
      </c>
      <c r="T59" s="125" t="s">
        <v>27</v>
      </c>
      <c r="U59" s="30"/>
      <c r="V59" s="30"/>
    </row>
    <row r="60" spans="1:22" ht="15" hidden="1" customHeight="1" x14ac:dyDescent="0.25">
      <c r="A60" s="26">
        <v>58</v>
      </c>
      <c r="B60" s="30" t="s">
        <v>616</v>
      </c>
      <c r="C60" s="26" t="s">
        <v>21</v>
      </c>
      <c r="D60" s="30" t="s">
        <v>398</v>
      </c>
      <c r="E60" s="30" t="s">
        <v>49</v>
      </c>
      <c r="F60" s="30" t="s">
        <v>21</v>
      </c>
      <c r="G60" s="30" t="s">
        <v>171</v>
      </c>
      <c r="H60" s="30" t="s">
        <v>617</v>
      </c>
      <c r="I60" s="36">
        <v>44370</v>
      </c>
      <c r="J60" s="30">
        <v>2</v>
      </c>
      <c r="K60" s="30">
        <v>35</v>
      </c>
      <c r="L60" s="30">
        <v>35</v>
      </c>
      <c r="M60" s="106">
        <f>((L60*6500)+(L60*6500)*10%)+8250+((0*150))</f>
        <v>258500</v>
      </c>
      <c r="N60" s="107">
        <v>0</v>
      </c>
      <c r="O60" s="107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712</v>
      </c>
      <c r="T60" s="125" t="s">
        <v>27</v>
      </c>
      <c r="U60" s="30"/>
      <c r="V60" s="30"/>
    </row>
    <row r="61" spans="1:22" ht="15" hidden="1" customHeight="1" x14ac:dyDescent="0.25">
      <c r="A61" s="26">
        <v>59</v>
      </c>
      <c r="B61" s="30" t="s">
        <v>619</v>
      </c>
      <c r="C61" s="26" t="s">
        <v>29</v>
      </c>
      <c r="D61" s="30" t="s">
        <v>509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711</v>
      </c>
      <c r="T61" s="125" t="s">
        <v>27</v>
      </c>
      <c r="U61" s="30"/>
      <c r="V61" s="30"/>
    </row>
    <row r="62" spans="1:22" hidden="1" x14ac:dyDescent="0.25">
      <c r="A62" s="26">
        <v>60</v>
      </c>
      <c r="B62" s="30" t="s">
        <v>620</v>
      </c>
      <c r="C62" s="26" t="s">
        <v>29</v>
      </c>
      <c r="D62" s="30" t="s">
        <v>30</v>
      </c>
      <c r="E62" s="30" t="s">
        <v>491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4">
        <v>29701000</v>
      </c>
      <c r="S62" s="125" t="s">
        <v>690</v>
      </c>
      <c r="T62" s="125" t="s">
        <v>27</v>
      </c>
      <c r="U62" s="30"/>
      <c r="V62" s="30"/>
    </row>
    <row r="63" spans="1:22" hidden="1" x14ac:dyDescent="0.25">
      <c r="A63" s="26">
        <v>61</v>
      </c>
      <c r="B63" s="30" t="s">
        <v>621</v>
      </c>
      <c r="C63" s="26" t="s">
        <v>21</v>
      </c>
      <c r="D63" s="30" t="s">
        <v>622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6">
        <f>((L63*6500)+(L63*6500)*10%)+8250+((0*150))</f>
        <v>308550</v>
      </c>
      <c r="N63" s="107">
        <v>0</v>
      </c>
      <c r="O63" s="107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618</v>
      </c>
      <c r="U63" s="30"/>
      <c r="V63" s="30"/>
    </row>
    <row r="64" spans="1:22" hidden="1" x14ac:dyDescent="0.25">
      <c r="A64" s="26">
        <v>62</v>
      </c>
      <c r="B64" s="30" t="s">
        <v>623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502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7" t="s">
        <v>734</v>
      </c>
      <c r="T64" s="127" t="s">
        <v>27</v>
      </c>
      <c r="U64" s="30"/>
      <c r="V64" s="30"/>
    </row>
    <row r="65" spans="1:22" hidden="1" x14ac:dyDescent="0.25">
      <c r="A65" s="26">
        <v>63</v>
      </c>
      <c r="B65" s="30" t="s">
        <v>625</v>
      </c>
      <c r="C65" s="26" t="s">
        <v>21</v>
      </c>
      <c r="D65" s="30" t="s">
        <v>626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6">
        <f>((L65*6500)+(L65*6500)*10%)+8250+((0*150))</f>
        <v>79750</v>
      </c>
      <c r="N65" s="107">
        <v>0</v>
      </c>
      <c r="O65" s="107">
        <v>0</v>
      </c>
      <c r="P65" s="21">
        <f>L65*1100</f>
        <v>11000</v>
      </c>
      <c r="Q65" s="14">
        <f t="shared" ref="Q65" si="61">SUM(M65:P65)</f>
        <v>90750</v>
      </c>
      <c r="R65" s="166">
        <v>603240</v>
      </c>
      <c r="S65" s="171" t="s">
        <v>27</v>
      </c>
      <c r="T65" s="171" t="s">
        <v>624</v>
      </c>
      <c r="U65" s="30"/>
      <c r="V65" s="30"/>
    </row>
    <row r="66" spans="1:22" hidden="1" x14ac:dyDescent="0.25">
      <c r="A66" s="26">
        <v>64</v>
      </c>
      <c r="B66" s="30" t="s">
        <v>627</v>
      </c>
      <c r="C66" s="26" t="s">
        <v>21</v>
      </c>
      <c r="D66" s="30" t="s">
        <v>628</v>
      </c>
      <c r="E66" s="30" t="s">
        <v>49</v>
      </c>
      <c r="F66" s="30" t="s">
        <v>21</v>
      </c>
      <c r="G66" s="30" t="s">
        <v>241</v>
      </c>
      <c r="H66" s="30" t="s">
        <v>578</v>
      </c>
      <c r="I66" s="36">
        <v>44375</v>
      </c>
      <c r="J66" s="30">
        <v>1</v>
      </c>
      <c r="K66" s="30">
        <v>16</v>
      </c>
      <c r="L66" s="30">
        <v>16</v>
      </c>
      <c r="M66" s="106">
        <f>((L66*27500)+(L66*27500)*10%)+8250+((L66*165))</f>
        <v>494890</v>
      </c>
      <c r="N66" s="107">
        <v>0</v>
      </c>
      <c r="O66" s="107">
        <v>0</v>
      </c>
      <c r="P66" s="21">
        <f>L66*1100</f>
        <v>17600</v>
      </c>
      <c r="Q66" s="14">
        <f>SUM(M66:P66)</f>
        <v>512490</v>
      </c>
      <c r="R66" s="166"/>
      <c r="S66" s="171"/>
      <c r="T66" s="171"/>
      <c r="U66" s="30"/>
      <c r="V66" s="30"/>
    </row>
    <row r="67" spans="1:22" hidden="1" x14ac:dyDescent="0.25">
      <c r="A67" s="26">
        <v>65</v>
      </c>
      <c r="B67" s="30" t="s">
        <v>629</v>
      </c>
      <c r="C67" s="26" t="s">
        <v>29</v>
      </c>
      <c r="D67" s="30" t="s">
        <v>465</v>
      </c>
      <c r="E67" s="30" t="s">
        <v>49</v>
      </c>
      <c r="F67" s="30" t="s">
        <v>29</v>
      </c>
      <c r="G67" s="30" t="s">
        <v>241</v>
      </c>
      <c r="H67" s="30" t="s">
        <v>630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4">
        <f>M67</f>
        <v>7628500</v>
      </c>
      <c r="R67" s="21">
        <v>7628500</v>
      </c>
      <c r="S67" s="30" t="s">
        <v>641</v>
      </c>
      <c r="T67" s="30" t="s">
        <v>27</v>
      </c>
      <c r="U67" s="30"/>
      <c r="V67" s="30"/>
    </row>
    <row r="68" spans="1:22" hidden="1" x14ac:dyDescent="0.25">
      <c r="A68" s="26">
        <v>66</v>
      </c>
      <c r="B68" s="30" t="s">
        <v>631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632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661</v>
      </c>
      <c r="T68" s="30" t="s">
        <v>126</v>
      </c>
      <c r="U68" s="30"/>
      <c r="V68" s="30"/>
    </row>
    <row r="69" spans="1:22" hidden="1" x14ac:dyDescent="0.25">
      <c r="A69" s="26">
        <v>67</v>
      </c>
      <c r="B69" s="30" t="s">
        <v>633</v>
      </c>
      <c r="C69" s="26" t="s">
        <v>29</v>
      </c>
      <c r="D69" s="30" t="s">
        <v>509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641</v>
      </c>
      <c r="T69" s="30" t="s">
        <v>27</v>
      </c>
      <c r="V69" s="30"/>
    </row>
    <row r="70" spans="1:22" hidden="1" x14ac:dyDescent="0.25">
      <c r="A70" s="26">
        <v>68</v>
      </c>
      <c r="B70" s="30" t="s">
        <v>634</v>
      </c>
      <c r="C70" s="26" t="s">
        <v>29</v>
      </c>
      <c r="D70" s="30" t="s">
        <v>635</v>
      </c>
      <c r="E70" s="30" t="s">
        <v>49</v>
      </c>
      <c r="F70" s="30" t="s">
        <v>29</v>
      </c>
      <c r="G70" s="30" t="s">
        <v>636</v>
      </c>
      <c r="H70" s="30" t="s">
        <v>637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66">
        <v>422266</v>
      </c>
      <c r="S70" s="170" t="s">
        <v>642</v>
      </c>
      <c r="T70" s="171" t="s">
        <v>27</v>
      </c>
      <c r="V70" s="30"/>
    </row>
    <row r="71" spans="1:22" hidden="1" x14ac:dyDescent="0.25">
      <c r="A71" s="26">
        <v>69</v>
      </c>
      <c r="B71" s="71" t="s">
        <v>638</v>
      </c>
      <c r="C71" s="26" t="s">
        <v>21</v>
      </c>
      <c r="D71" s="30" t="s">
        <v>635</v>
      </c>
      <c r="E71" s="30" t="s">
        <v>49</v>
      </c>
      <c r="F71" s="30" t="s">
        <v>21</v>
      </c>
      <c r="G71" s="30" t="s">
        <v>639</v>
      </c>
      <c r="H71" s="71" t="s">
        <v>640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66"/>
      <c r="S71" s="170"/>
      <c r="T71" s="171"/>
      <c r="V71" s="30"/>
    </row>
    <row r="72" spans="1:22" x14ac:dyDescent="0.25">
      <c r="Q72" s="118"/>
      <c r="U72" s="102"/>
    </row>
    <row r="78" spans="1:22" x14ac:dyDescent="0.25">
      <c r="Q78" s="132"/>
    </row>
  </sheetData>
  <autoFilter ref="A1:V71">
    <filterColumn colId="3">
      <filters>
        <filter val="Fastrx"/>
      </filters>
    </filterColumn>
    <filterColumn colId="17">
      <filters>
        <filter val="Outstanding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6"/>
  <sheetViews>
    <sheetView workbookViewId="0">
      <pane xSplit="4" topLeftCell="E1" activePane="topRight" state="frozen"/>
      <selection pane="topRight" activeCell="M54" sqref="M54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71" t="s">
        <v>643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184</v>
      </c>
      <c r="H2" s="87" t="s">
        <v>219</v>
      </c>
      <c r="I2" s="88">
        <v>44378</v>
      </c>
      <c r="J2" s="87">
        <v>4</v>
      </c>
      <c r="K2" s="87">
        <v>85</v>
      </c>
      <c r="L2" s="87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3">
        <v>14832400</v>
      </c>
      <c r="S2" s="124"/>
      <c r="T2" s="123" t="s">
        <v>27</v>
      </c>
      <c r="U2" s="30"/>
      <c r="V2" s="30"/>
    </row>
    <row r="3" spans="1:22" hidden="1" x14ac:dyDescent="0.25">
      <c r="A3" s="26">
        <v>2</v>
      </c>
      <c r="B3" s="71" t="s">
        <v>644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35</v>
      </c>
      <c r="H3" s="87" t="s">
        <v>157</v>
      </c>
      <c r="I3" s="88">
        <v>44378</v>
      </c>
      <c r="J3" s="87">
        <v>4</v>
      </c>
      <c r="K3" s="87">
        <v>66</v>
      </c>
      <c r="L3" s="87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3">
        <v>14832400</v>
      </c>
      <c r="S3" s="124"/>
      <c r="T3" s="123" t="s">
        <v>27</v>
      </c>
      <c r="U3" s="30"/>
      <c r="V3" s="30"/>
    </row>
    <row r="4" spans="1:22" hidden="1" x14ac:dyDescent="0.25">
      <c r="A4" s="26">
        <v>3</v>
      </c>
      <c r="B4" s="71" t="s">
        <v>645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166</v>
      </c>
      <c r="H4" s="87" t="s">
        <v>503</v>
      </c>
      <c r="I4" s="88">
        <v>44378</v>
      </c>
      <c r="J4" s="87">
        <v>2</v>
      </c>
      <c r="K4" s="87">
        <v>59</v>
      </c>
      <c r="L4" s="87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3">
        <v>14832400</v>
      </c>
      <c r="S4" s="124"/>
      <c r="T4" s="123" t="s">
        <v>27</v>
      </c>
      <c r="U4" s="30"/>
      <c r="V4" s="30"/>
    </row>
    <row r="5" spans="1:22" hidden="1" x14ac:dyDescent="0.25">
      <c r="A5" s="26">
        <v>4</v>
      </c>
      <c r="B5" s="116" t="s">
        <v>646</v>
      </c>
      <c r="C5" s="115" t="s">
        <v>29</v>
      </c>
      <c r="D5" s="116" t="s">
        <v>30</v>
      </c>
      <c r="E5" s="89" t="s">
        <v>491</v>
      </c>
      <c r="F5" s="116" t="s">
        <v>29</v>
      </c>
      <c r="G5" s="91" t="s">
        <v>31</v>
      </c>
      <c r="H5" s="93" t="s">
        <v>359</v>
      </c>
      <c r="I5" s="94">
        <v>44378</v>
      </c>
      <c r="J5" s="93">
        <v>2</v>
      </c>
      <c r="K5" s="93">
        <v>57</v>
      </c>
      <c r="L5" s="93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3">
        <v>14832400</v>
      </c>
      <c r="S5" s="124"/>
      <c r="T5" s="123" t="s">
        <v>27</v>
      </c>
      <c r="U5" s="30"/>
      <c r="V5" s="30"/>
    </row>
    <row r="6" spans="1:22" ht="15" hidden="1" customHeight="1" x14ac:dyDescent="0.25">
      <c r="A6" s="26">
        <v>5</v>
      </c>
      <c r="B6" s="71" t="s">
        <v>651</v>
      </c>
      <c r="C6" s="26" t="s">
        <v>21</v>
      </c>
      <c r="D6" s="71" t="s">
        <v>653</v>
      </c>
      <c r="E6" s="30" t="s">
        <v>23</v>
      </c>
      <c r="F6" s="71" t="s">
        <v>21</v>
      </c>
      <c r="G6" s="71" t="s">
        <v>79</v>
      </c>
      <c r="H6" s="71" t="s">
        <v>399</v>
      </c>
      <c r="I6" s="113">
        <v>44378</v>
      </c>
      <c r="J6" s="71">
        <v>1</v>
      </c>
      <c r="K6" s="71">
        <v>14</v>
      </c>
      <c r="L6" s="71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2">
        <v>264458</v>
      </c>
      <c r="S6" s="126" t="s">
        <v>708</v>
      </c>
      <c r="T6" s="123" t="s">
        <v>27</v>
      </c>
      <c r="U6" s="30"/>
      <c r="V6" s="30"/>
    </row>
    <row r="7" spans="1:22" ht="15" hidden="1" customHeight="1" x14ac:dyDescent="0.25">
      <c r="A7" s="26">
        <v>6</v>
      </c>
      <c r="B7" s="71" t="s">
        <v>647</v>
      </c>
      <c r="C7" s="26" t="s">
        <v>29</v>
      </c>
      <c r="D7" s="30" t="s">
        <v>649</v>
      </c>
      <c r="E7" s="30" t="s">
        <v>550</v>
      </c>
      <c r="F7" s="71" t="s">
        <v>29</v>
      </c>
      <c r="G7" s="71" t="s">
        <v>104</v>
      </c>
      <c r="H7" s="71" t="s">
        <v>105</v>
      </c>
      <c r="I7" s="113">
        <v>44379</v>
      </c>
      <c r="J7" s="71">
        <v>4</v>
      </c>
      <c r="K7" s="71">
        <v>49</v>
      </c>
      <c r="L7" s="71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7" t="s">
        <v>733</v>
      </c>
      <c r="T7" s="21" t="s">
        <v>27</v>
      </c>
      <c r="U7" s="30"/>
      <c r="V7" s="30"/>
    </row>
    <row r="8" spans="1:22" ht="15" hidden="1" customHeight="1" x14ac:dyDescent="0.25">
      <c r="A8" s="26">
        <v>7</v>
      </c>
      <c r="B8" s="71" t="s">
        <v>648</v>
      </c>
      <c r="C8" s="26" t="s">
        <v>29</v>
      </c>
      <c r="D8" s="30" t="s">
        <v>649</v>
      </c>
      <c r="E8" s="30" t="s">
        <v>550</v>
      </c>
      <c r="F8" s="71" t="s">
        <v>29</v>
      </c>
      <c r="G8" s="71" t="s">
        <v>104</v>
      </c>
      <c r="H8" s="71" t="s">
        <v>105</v>
      </c>
      <c r="I8" s="113">
        <v>44379</v>
      </c>
      <c r="J8" s="71">
        <v>2</v>
      </c>
      <c r="K8" s="71">
        <v>25</v>
      </c>
      <c r="L8" s="71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7" t="s">
        <v>733</v>
      </c>
      <c r="T8" s="21" t="s">
        <v>27</v>
      </c>
      <c r="U8" s="30"/>
      <c r="V8" s="30"/>
    </row>
    <row r="9" spans="1:22" ht="15" hidden="1" customHeight="1" x14ac:dyDescent="0.25">
      <c r="A9" s="26">
        <v>8</v>
      </c>
      <c r="B9" s="71" t="s">
        <v>650</v>
      </c>
      <c r="C9" s="26" t="s">
        <v>21</v>
      </c>
      <c r="D9" s="71" t="s">
        <v>652</v>
      </c>
      <c r="E9" s="30" t="s">
        <v>23</v>
      </c>
      <c r="F9" s="71" t="s">
        <v>21</v>
      </c>
      <c r="G9" s="71" t="s">
        <v>50</v>
      </c>
      <c r="H9" s="71" t="s">
        <v>25</v>
      </c>
      <c r="I9" s="113">
        <v>44379</v>
      </c>
      <c r="J9" s="71">
        <v>4</v>
      </c>
      <c r="K9" s="71">
        <v>47</v>
      </c>
      <c r="L9" s="71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2">
        <v>1641970</v>
      </c>
      <c r="S9" s="126" t="s">
        <v>708</v>
      </c>
      <c r="T9" s="123" t="s">
        <v>27</v>
      </c>
      <c r="U9" s="30"/>
      <c r="V9" s="30"/>
    </row>
    <row r="10" spans="1:22" hidden="1" x14ac:dyDescent="0.25">
      <c r="A10" s="26">
        <v>9</v>
      </c>
      <c r="B10" s="71" t="s">
        <v>654</v>
      </c>
      <c r="C10" s="26" t="s">
        <v>29</v>
      </c>
      <c r="D10" s="30" t="s">
        <v>30</v>
      </c>
      <c r="E10" s="30" t="s">
        <v>491</v>
      </c>
      <c r="F10" s="71" t="s">
        <v>29</v>
      </c>
      <c r="G10" s="71" t="s">
        <v>231</v>
      </c>
      <c r="H10" s="71" t="s">
        <v>656</v>
      </c>
      <c r="I10" s="113">
        <v>44380</v>
      </c>
      <c r="J10" s="71">
        <v>5</v>
      </c>
      <c r="K10" s="71">
        <v>72</v>
      </c>
      <c r="L10" s="71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3">
        <v>14832400</v>
      </c>
      <c r="S10" s="124"/>
      <c r="T10" s="123" t="s">
        <v>27</v>
      </c>
      <c r="U10" s="30"/>
      <c r="V10" s="30"/>
    </row>
    <row r="11" spans="1:22" hidden="1" x14ac:dyDescent="0.25">
      <c r="A11" s="26">
        <v>10</v>
      </c>
      <c r="B11" s="71" t="s">
        <v>657</v>
      </c>
      <c r="C11" s="26" t="s">
        <v>29</v>
      </c>
      <c r="D11" s="30" t="s">
        <v>30</v>
      </c>
      <c r="E11" s="30" t="s">
        <v>491</v>
      </c>
      <c r="F11" s="71" t="s">
        <v>29</v>
      </c>
      <c r="G11" s="71" t="s">
        <v>35</v>
      </c>
      <c r="H11" s="71" t="s">
        <v>493</v>
      </c>
      <c r="I11" s="113">
        <v>44380</v>
      </c>
      <c r="J11" s="71">
        <v>15</v>
      </c>
      <c r="K11" s="71">
        <v>344</v>
      </c>
      <c r="L11" s="71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3">
        <v>14832400</v>
      </c>
      <c r="S11" s="124"/>
      <c r="T11" s="123" t="s">
        <v>27</v>
      </c>
      <c r="U11" s="30"/>
      <c r="V11" s="30"/>
    </row>
    <row r="12" spans="1:22" hidden="1" x14ac:dyDescent="0.25">
      <c r="A12" s="26">
        <v>11</v>
      </c>
      <c r="B12" s="71" t="s">
        <v>658</v>
      </c>
      <c r="C12" s="26" t="s">
        <v>29</v>
      </c>
      <c r="D12" s="30" t="s">
        <v>30</v>
      </c>
      <c r="E12" s="30" t="s">
        <v>491</v>
      </c>
      <c r="F12" s="71" t="s">
        <v>29</v>
      </c>
      <c r="G12" s="71" t="s">
        <v>35</v>
      </c>
      <c r="H12" s="71" t="s">
        <v>493</v>
      </c>
      <c r="I12" s="113">
        <v>44380</v>
      </c>
      <c r="J12" s="71">
        <v>1</v>
      </c>
      <c r="K12" s="71">
        <v>27</v>
      </c>
      <c r="L12" s="71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3">
        <v>14832400</v>
      </c>
      <c r="S12" s="124"/>
      <c r="T12" s="123" t="s">
        <v>27</v>
      </c>
      <c r="U12" s="30"/>
      <c r="V12" s="30"/>
    </row>
    <row r="13" spans="1:22" hidden="1" x14ac:dyDescent="0.25">
      <c r="A13" s="26">
        <v>12</v>
      </c>
      <c r="B13" s="71" t="s">
        <v>655</v>
      </c>
      <c r="C13" s="26" t="s">
        <v>29</v>
      </c>
      <c r="D13" s="30" t="s">
        <v>30</v>
      </c>
      <c r="E13" s="30" t="s">
        <v>491</v>
      </c>
      <c r="F13" s="71" t="s">
        <v>29</v>
      </c>
      <c r="G13" s="71" t="s">
        <v>45</v>
      </c>
      <c r="H13" s="71" t="s">
        <v>43</v>
      </c>
      <c r="I13" s="113">
        <v>44381</v>
      </c>
      <c r="J13" s="71">
        <v>2</v>
      </c>
      <c r="K13" s="71">
        <v>56</v>
      </c>
      <c r="L13" s="71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3">
        <v>14832400</v>
      </c>
      <c r="S13" s="124"/>
      <c r="T13" s="123" t="s">
        <v>27</v>
      </c>
      <c r="U13" s="30"/>
      <c r="V13" s="30"/>
    </row>
    <row r="14" spans="1:22" hidden="1" x14ac:dyDescent="0.25">
      <c r="A14" s="26">
        <v>13</v>
      </c>
      <c r="B14" s="30" t="s">
        <v>659</v>
      </c>
      <c r="C14" s="26" t="s">
        <v>21</v>
      </c>
      <c r="D14" s="30" t="s">
        <v>660</v>
      </c>
      <c r="E14" s="30" t="s">
        <v>23</v>
      </c>
      <c r="F14" s="30" t="s">
        <v>21</v>
      </c>
      <c r="G14" s="30" t="s">
        <v>241</v>
      </c>
      <c r="H14" s="30" t="s">
        <v>578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7" t="s">
        <v>662</v>
      </c>
      <c r="T14" s="21" t="s">
        <v>27</v>
      </c>
      <c r="U14" s="30"/>
      <c r="V14" s="30"/>
    </row>
    <row r="15" spans="1:22" hidden="1" x14ac:dyDescent="0.25">
      <c r="A15" s="26">
        <v>14</v>
      </c>
      <c r="B15" s="30" t="s">
        <v>663</v>
      </c>
      <c r="C15" s="26" t="s">
        <v>29</v>
      </c>
      <c r="D15" s="37" t="s">
        <v>666</v>
      </c>
      <c r="E15" s="30" t="s">
        <v>23</v>
      </c>
      <c r="F15" s="30" t="s">
        <v>29</v>
      </c>
      <c r="G15" s="30" t="s">
        <v>45</v>
      </c>
      <c r="H15" s="30" t="s">
        <v>43</v>
      </c>
      <c r="I15" s="113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795</v>
      </c>
      <c r="T15" s="21" t="s">
        <v>27</v>
      </c>
      <c r="U15" s="30"/>
      <c r="V15" s="30"/>
    </row>
    <row r="16" spans="1:22" hidden="1" x14ac:dyDescent="0.25">
      <c r="A16" s="26">
        <v>15</v>
      </c>
      <c r="B16" s="71" t="s">
        <v>664</v>
      </c>
      <c r="C16" s="26" t="s">
        <v>29</v>
      </c>
      <c r="D16" s="37" t="s">
        <v>667</v>
      </c>
      <c r="E16" s="30" t="s">
        <v>23</v>
      </c>
      <c r="F16" s="30" t="s">
        <v>29</v>
      </c>
      <c r="G16" s="30" t="s">
        <v>54</v>
      </c>
      <c r="H16" s="30" t="s">
        <v>110</v>
      </c>
      <c r="I16" s="113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9">
        <v>16438578</v>
      </c>
      <c r="S16" s="21" t="s">
        <v>668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665</v>
      </c>
      <c r="C17" s="26" t="s">
        <v>29</v>
      </c>
      <c r="D17" s="37" t="s">
        <v>509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3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7" t="s">
        <v>677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669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3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7" t="s">
        <v>670</v>
      </c>
      <c r="T18" s="21" t="s">
        <v>27</v>
      </c>
      <c r="U18" s="30"/>
      <c r="V18" s="30"/>
    </row>
    <row r="19" spans="1:22" hidden="1" x14ac:dyDescent="0.25">
      <c r="A19" s="26">
        <v>18</v>
      </c>
      <c r="B19" s="30" t="s">
        <v>671</v>
      </c>
      <c r="C19" s="26" t="s">
        <v>29</v>
      </c>
      <c r="D19" s="30" t="s">
        <v>653</v>
      </c>
      <c r="E19" s="30" t="s">
        <v>23</v>
      </c>
      <c r="F19" s="30" t="s">
        <v>29</v>
      </c>
      <c r="G19" s="30" t="s">
        <v>79</v>
      </c>
      <c r="H19" s="30" t="s">
        <v>672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795</v>
      </c>
      <c r="T19" s="21" t="s">
        <v>27</v>
      </c>
      <c r="U19" s="30"/>
      <c r="V19" s="30"/>
    </row>
    <row r="20" spans="1:22" hidden="1" x14ac:dyDescent="0.25">
      <c r="A20" s="26">
        <v>19</v>
      </c>
      <c r="B20" s="30" t="s">
        <v>673</v>
      </c>
      <c r="C20" s="26" t="s">
        <v>29</v>
      </c>
      <c r="D20" s="30" t="s">
        <v>509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7" t="s">
        <v>675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674</v>
      </c>
      <c r="C21" s="26" t="s">
        <v>29</v>
      </c>
      <c r="D21" s="30" t="s">
        <v>509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7" t="s">
        <v>676</v>
      </c>
      <c r="T21" s="21" t="s">
        <v>27</v>
      </c>
      <c r="U21" s="30"/>
      <c r="V21" s="30"/>
    </row>
    <row r="22" spans="1:22" hidden="1" x14ac:dyDescent="0.25">
      <c r="A22" s="26">
        <v>21</v>
      </c>
      <c r="B22" s="30" t="s">
        <v>678</v>
      </c>
      <c r="C22" s="26" t="s">
        <v>29</v>
      </c>
      <c r="D22" s="37" t="s">
        <v>30</v>
      </c>
      <c r="E22" s="30" t="s">
        <v>491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758</v>
      </c>
      <c r="T22" s="21" t="s">
        <v>27</v>
      </c>
      <c r="U22" s="30"/>
      <c r="V22" s="30"/>
    </row>
    <row r="23" spans="1:22" hidden="1" x14ac:dyDescent="0.25">
      <c r="A23" s="26">
        <v>22</v>
      </c>
      <c r="B23" s="30" t="s">
        <v>679</v>
      </c>
      <c r="C23" s="26" t="s">
        <v>29</v>
      </c>
      <c r="D23" s="37" t="s">
        <v>509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7" t="s">
        <v>680</v>
      </c>
      <c r="T23" s="21" t="s">
        <v>27</v>
      </c>
      <c r="U23" s="30"/>
      <c r="V23" s="30"/>
    </row>
    <row r="24" spans="1:22" hidden="1" x14ac:dyDescent="0.25">
      <c r="A24" s="26">
        <v>23</v>
      </c>
      <c r="B24" s="30" t="s">
        <v>681</v>
      </c>
      <c r="C24" s="26" t="s">
        <v>29</v>
      </c>
      <c r="D24" s="37" t="s">
        <v>30</v>
      </c>
      <c r="E24" s="30" t="s">
        <v>491</v>
      </c>
      <c r="F24" s="30" t="s">
        <v>29</v>
      </c>
      <c r="G24" s="30" t="s">
        <v>35</v>
      </c>
      <c r="H24" s="30" t="s">
        <v>682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758</v>
      </c>
      <c r="T24" s="21" t="s">
        <v>27</v>
      </c>
      <c r="U24" s="30"/>
      <c r="V24" s="30"/>
    </row>
    <row r="25" spans="1:22" hidden="1" x14ac:dyDescent="0.25">
      <c r="A25" s="26">
        <v>24</v>
      </c>
      <c r="B25" s="30" t="s">
        <v>683</v>
      </c>
      <c r="C25" s="26" t="s">
        <v>29</v>
      </c>
      <c r="D25" s="37" t="s">
        <v>509</v>
      </c>
      <c r="E25" s="30" t="s">
        <v>491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7" t="s">
        <v>689</v>
      </c>
      <c r="T25" s="21" t="s">
        <v>27</v>
      </c>
      <c r="U25" s="30"/>
      <c r="V25" s="30"/>
    </row>
    <row r="26" spans="1:22" hidden="1" x14ac:dyDescent="0.25">
      <c r="A26" s="26">
        <v>25</v>
      </c>
      <c r="B26" s="30" t="s">
        <v>684</v>
      </c>
      <c r="C26" s="26" t="s">
        <v>29</v>
      </c>
      <c r="D26" s="37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758</v>
      </c>
      <c r="T26" s="21" t="s">
        <v>27</v>
      </c>
      <c r="U26" s="30"/>
      <c r="V26" s="30"/>
    </row>
    <row r="27" spans="1:22" hidden="1" x14ac:dyDescent="0.25">
      <c r="A27" s="26">
        <v>26</v>
      </c>
      <c r="B27" s="30" t="s">
        <v>685</v>
      </c>
      <c r="C27" s="120" t="s">
        <v>29</v>
      </c>
      <c r="D27" s="128" t="s">
        <v>30</v>
      </c>
      <c r="E27" s="89" t="s">
        <v>491</v>
      </c>
      <c r="F27" s="89" t="s">
        <v>29</v>
      </c>
      <c r="G27" s="89" t="s">
        <v>60</v>
      </c>
      <c r="H27" s="89" t="s">
        <v>61</v>
      </c>
      <c r="I27" s="121">
        <v>44394</v>
      </c>
      <c r="J27" s="89">
        <v>13</v>
      </c>
      <c r="K27" s="89">
        <v>338</v>
      </c>
      <c r="L27" s="89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758</v>
      </c>
      <c r="T27" s="21" t="s">
        <v>27</v>
      </c>
      <c r="U27" s="30"/>
      <c r="V27" s="30"/>
    </row>
    <row r="28" spans="1:22" hidden="1" x14ac:dyDescent="0.25">
      <c r="A28" s="26">
        <v>27</v>
      </c>
      <c r="B28" s="30" t="s">
        <v>686</v>
      </c>
      <c r="C28" s="26" t="s">
        <v>29</v>
      </c>
      <c r="D28" s="37" t="s">
        <v>30</v>
      </c>
      <c r="E28" s="30" t="s">
        <v>491</v>
      </c>
      <c r="F28" s="30" t="s">
        <v>29</v>
      </c>
      <c r="G28" s="30" t="s">
        <v>166</v>
      </c>
      <c r="H28" s="30" t="s">
        <v>503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758</v>
      </c>
      <c r="T28" s="21" t="s">
        <v>27</v>
      </c>
      <c r="U28" s="30"/>
      <c r="V28" s="30"/>
    </row>
    <row r="29" spans="1:22" hidden="1" x14ac:dyDescent="0.25">
      <c r="A29" s="26">
        <v>28</v>
      </c>
      <c r="B29" s="30" t="s">
        <v>687</v>
      </c>
      <c r="C29" s="26" t="s">
        <v>29</v>
      </c>
      <c r="D29" s="37" t="s">
        <v>30</v>
      </c>
      <c r="E29" s="30" t="s">
        <v>491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758</v>
      </c>
      <c r="T29" s="21" t="s">
        <v>27</v>
      </c>
      <c r="U29" s="30"/>
      <c r="V29" s="30"/>
    </row>
    <row r="30" spans="1:22" hidden="1" x14ac:dyDescent="0.25">
      <c r="A30" s="26">
        <v>29</v>
      </c>
      <c r="B30" s="30" t="s">
        <v>688</v>
      </c>
      <c r="C30" s="26" t="s">
        <v>29</v>
      </c>
      <c r="D30" s="37" t="s">
        <v>30</v>
      </c>
      <c r="E30" s="30" t="s">
        <v>491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758</v>
      </c>
      <c r="T30" s="21" t="s">
        <v>27</v>
      </c>
      <c r="U30" s="30"/>
      <c r="V30" s="30"/>
    </row>
    <row r="31" spans="1:22" hidden="1" x14ac:dyDescent="0.25">
      <c r="A31" s="26">
        <v>30</v>
      </c>
      <c r="B31" s="30" t="s">
        <v>691</v>
      </c>
      <c r="C31" s="26" t="s">
        <v>29</v>
      </c>
      <c r="D31" s="30" t="s">
        <v>509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7" t="s">
        <v>706</v>
      </c>
      <c r="T31" s="21" t="s">
        <v>27</v>
      </c>
      <c r="U31" s="30"/>
      <c r="V31" s="30"/>
    </row>
    <row r="32" spans="1:22" hidden="1" x14ac:dyDescent="0.25">
      <c r="A32" s="26">
        <v>31</v>
      </c>
      <c r="B32" s="71" t="s">
        <v>692</v>
      </c>
      <c r="C32" s="26" t="s">
        <v>29</v>
      </c>
      <c r="D32" s="37" t="s">
        <v>509</v>
      </c>
      <c r="E32" s="30" t="s">
        <v>23</v>
      </c>
      <c r="F32" s="71" t="s">
        <v>29</v>
      </c>
      <c r="G32" s="71" t="s">
        <v>112</v>
      </c>
      <c r="H32" s="71" t="s">
        <v>113</v>
      </c>
      <c r="I32" s="113">
        <v>44399</v>
      </c>
      <c r="J32" s="71">
        <v>1</v>
      </c>
      <c r="K32" s="71">
        <v>13</v>
      </c>
      <c r="L32" s="71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49">
        <v>2255290</v>
      </c>
      <c r="S32" s="172" t="s">
        <v>707</v>
      </c>
      <c r="T32" s="149" t="s">
        <v>27</v>
      </c>
      <c r="U32" s="30"/>
      <c r="V32" s="30"/>
    </row>
    <row r="33" spans="1:22" hidden="1" x14ac:dyDescent="0.25">
      <c r="A33" s="26">
        <v>32</v>
      </c>
      <c r="B33" s="71" t="s">
        <v>693</v>
      </c>
      <c r="C33" s="26" t="s">
        <v>29</v>
      </c>
      <c r="D33" s="37" t="s">
        <v>509</v>
      </c>
      <c r="E33" s="30" t="s">
        <v>23</v>
      </c>
      <c r="F33" s="71" t="s">
        <v>29</v>
      </c>
      <c r="G33" s="71" t="s">
        <v>235</v>
      </c>
      <c r="H33" s="71" t="s">
        <v>110</v>
      </c>
      <c r="I33" s="113">
        <v>44399</v>
      </c>
      <c r="J33" s="71">
        <v>2</v>
      </c>
      <c r="K33" s="71">
        <v>32</v>
      </c>
      <c r="L33" s="71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51"/>
      <c r="S33" s="173"/>
      <c r="T33" s="151"/>
      <c r="U33" s="30"/>
      <c r="V33" s="30"/>
    </row>
    <row r="34" spans="1:22" x14ac:dyDescent="0.25">
      <c r="A34" s="26">
        <v>33</v>
      </c>
      <c r="B34" s="71" t="s">
        <v>694</v>
      </c>
      <c r="C34" s="26" t="s">
        <v>29</v>
      </c>
      <c r="D34" s="37" t="s">
        <v>30</v>
      </c>
      <c r="E34" s="30" t="s">
        <v>491</v>
      </c>
      <c r="F34" s="71" t="s">
        <v>29</v>
      </c>
      <c r="G34" s="71" t="s">
        <v>40</v>
      </c>
      <c r="H34" s="71" t="s">
        <v>703</v>
      </c>
      <c r="I34" s="113">
        <v>44399</v>
      </c>
      <c r="J34" s="71">
        <v>3</v>
      </c>
      <c r="K34" s="71">
        <v>55</v>
      </c>
      <c r="L34" s="71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 t="s">
        <v>94</v>
      </c>
      <c r="S34" s="21" t="s">
        <v>94</v>
      </c>
      <c r="T34" s="21" t="s">
        <v>94</v>
      </c>
      <c r="U34" s="30"/>
      <c r="V34" s="30"/>
    </row>
    <row r="35" spans="1:22" x14ac:dyDescent="0.25">
      <c r="A35" s="26">
        <v>34</v>
      </c>
      <c r="B35" s="71" t="s">
        <v>695</v>
      </c>
      <c r="C35" s="26" t="s">
        <v>29</v>
      </c>
      <c r="D35" s="30" t="s">
        <v>85</v>
      </c>
      <c r="E35" s="30" t="s">
        <v>23</v>
      </c>
      <c r="F35" s="71" t="s">
        <v>29</v>
      </c>
      <c r="G35" s="71" t="s">
        <v>104</v>
      </c>
      <c r="H35" s="71" t="s">
        <v>105</v>
      </c>
      <c r="I35" s="113">
        <v>44401</v>
      </c>
      <c r="J35" s="71">
        <v>1</v>
      </c>
      <c r="K35" s="71">
        <v>10</v>
      </c>
      <c r="L35" s="71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 t="s">
        <v>94</v>
      </c>
      <c r="S35" s="21" t="s">
        <v>94</v>
      </c>
      <c r="T35" s="21" t="s">
        <v>94</v>
      </c>
      <c r="U35" s="30"/>
      <c r="V35" s="30"/>
    </row>
    <row r="36" spans="1:22" x14ac:dyDescent="0.25">
      <c r="A36" s="26">
        <v>35</v>
      </c>
      <c r="B36" s="71" t="s">
        <v>696</v>
      </c>
      <c r="C36" s="26" t="s">
        <v>29</v>
      </c>
      <c r="D36" s="30" t="s">
        <v>85</v>
      </c>
      <c r="E36" s="30" t="s">
        <v>523</v>
      </c>
      <c r="F36" s="71" t="s">
        <v>29</v>
      </c>
      <c r="G36" s="71" t="s">
        <v>112</v>
      </c>
      <c r="H36" s="71" t="s">
        <v>113</v>
      </c>
      <c r="I36" s="113">
        <v>44401</v>
      </c>
      <c r="J36" s="71">
        <v>3</v>
      </c>
      <c r="K36" s="71">
        <v>33</v>
      </c>
      <c r="L36" s="71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 t="s">
        <v>94</v>
      </c>
      <c r="S36" s="21" t="s">
        <v>94</v>
      </c>
      <c r="T36" s="21" t="s">
        <v>94</v>
      </c>
      <c r="U36" s="30"/>
      <c r="V36" s="30"/>
    </row>
    <row r="37" spans="1:22" x14ac:dyDescent="0.25">
      <c r="A37" s="26">
        <v>36</v>
      </c>
      <c r="B37" s="71" t="s">
        <v>697</v>
      </c>
      <c r="C37" s="26" t="s">
        <v>29</v>
      </c>
      <c r="D37" s="30" t="s">
        <v>704</v>
      </c>
      <c r="E37" s="30" t="s">
        <v>613</v>
      </c>
      <c r="F37" s="71" t="s">
        <v>29</v>
      </c>
      <c r="G37" s="71" t="s">
        <v>79</v>
      </c>
      <c r="H37" s="71" t="s">
        <v>222</v>
      </c>
      <c r="I37" s="113">
        <v>44401</v>
      </c>
      <c r="J37" s="71">
        <v>2</v>
      </c>
      <c r="K37" s="71">
        <v>52</v>
      </c>
      <c r="L37" s="71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 t="shared" ref="P37" si="25">L37*1100</f>
        <v>57200</v>
      </c>
      <c r="Q37" s="14">
        <f t="shared" ref="Q37" si="26">SUM(M37:P37)</f>
        <v>1095294</v>
      </c>
      <c r="R37" s="21" t="s">
        <v>94</v>
      </c>
      <c r="S37" s="21" t="s">
        <v>94</v>
      </c>
      <c r="T37" s="21" t="s">
        <v>94</v>
      </c>
      <c r="U37" s="30"/>
      <c r="V37" s="30"/>
    </row>
    <row r="38" spans="1:22" hidden="1" x14ac:dyDescent="0.25">
      <c r="A38" s="26">
        <v>37</v>
      </c>
      <c r="B38" s="71" t="s">
        <v>698</v>
      </c>
      <c r="C38" s="26" t="s">
        <v>29</v>
      </c>
      <c r="D38" s="30" t="s">
        <v>705</v>
      </c>
      <c r="E38" s="30" t="s">
        <v>613</v>
      </c>
      <c r="F38" s="71" t="s">
        <v>29</v>
      </c>
      <c r="G38" s="71" t="s">
        <v>512</v>
      </c>
      <c r="H38" s="71" t="s">
        <v>110</v>
      </c>
      <c r="I38" s="113">
        <v>44401</v>
      </c>
      <c r="J38" s="71">
        <v>2</v>
      </c>
      <c r="K38" s="71">
        <v>66</v>
      </c>
      <c r="L38" s="71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7">(L38*2037.2)+3000</f>
        <v>137455.20000000001</v>
      </c>
      <c r="P38" s="21">
        <f>L38*1100</f>
        <v>72600</v>
      </c>
      <c r="Q38" s="14">
        <f t="shared" ref="Q38" si="28">SUM(M38:P38)</f>
        <v>4182265.2</v>
      </c>
      <c r="R38" s="21">
        <v>4182265</v>
      </c>
      <c r="S38" s="117" t="s">
        <v>728</v>
      </c>
      <c r="T38" s="21" t="s">
        <v>27</v>
      </c>
      <c r="U38" s="30"/>
      <c r="V38" s="30"/>
    </row>
    <row r="39" spans="1:22" x14ac:dyDescent="0.25">
      <c r="A39" s="26">
        <v>38</v>
      </c>
      <c r="B39" s="71" t="s">
        <v>699</v>
      </c>
      <c r="C39" s="26" t="s">
        <v>29</v>
      </c>
      <c r="D39" s="37" t="s">
        <v>30</v>
      </c>
      <c r="E39" s="30" t="s">
        <v>491</v>
      </c>
      <c r="F39" s="71" t="s">
        <v>29</v>
      </c>
      <c r="G39" s="71" t="s">
        <v>79</v>
      </c>
      <c r="H39" s="71" t="s">
        <v>208</v>
      </c>
      <c r="I39" s="113">
        <v>44402</v>
      </c>
      <c r="J39" s="71">
        <v>3</v>
      </c>
      <c r="K39" s="71">
        <v>72</v>
      </c>
      <c r="L39" s="71">
        <v>72</v>
      </c>
      <c r="M39" s="23">
        <f>((L39*15000)+(L39*15000)*10%)+8250+((0*150))</f>
        <v>1196250</v>
      </c>
      <c r="N39" s="21">
        <f t="shared" ref="N39" si="29">L39*1210</f>
        <v>87120</v>
      </c>
      <c r="O39" s="21">
        <f t="shared" ref="O39" si="30">(L39*2037)+3000</f>
        <v>149664</v>
      </c>
      <c r="P39" s="21">
        <f>L39*2100</f>
        <v>151200</v>
      </c>
      <c r="Q39" s="14">
        <f t="shared" ref="Q39" si="31">SUM(M39:P39)</f>
        <v>1584234</v>
      </c>
      <c r="R39" s="21" t="s">
        <v>94</v>
      </c>
      <c r="S39" s="21" t="s">
        <v>94</v>
      </c>
      <c r="T39" s="21" t="s">
        <v>94</v>
      </c>
      <c r="U39" s="30"/>
      <c r="V39" s="30"/>
    </row>
    <row r="40" spans="1:22" x14ac:dyDescent="0.25">
      <c r="A40" s="26">
        <v>39</v>
      </c>
      <c r="B40" s="71" t="s">
        <v>700</v>
      </c>
      <c r="C40" s="26" t="s">
        <v>29</v>
      </c>
      <c r="D40" s="37" t="s">
        <v>30</v>
      </c>
      <c r="E40" s="30" t="s">
        <v>491</v>
      </c>
      <c r="F40" s="71" t="s">
        <v>29</v>
      </c>
      <c r="G40" s="71" t="s">
        <v>263</v>
      </c>
      <c r="H40" s="71" t="s">
        <v>264</v>
      </c>
      <c r="I40" s="113">
        <v>44402</v>
      </c>
      <c r="J40" s="71">
        <v>1</v>
      </c>
      <c r="K40" s="71">
        <v>18</v>
      </c>
      <c r="L40" s="71">
        <v>24</v>
      </c>
      <c r="M40" s="23">
        <f>((L40*10500)+(L40*10500)*10%)+8250+((0*150))</f>
        <v>285450</v>
      </c>
      <c r="N40" s="21">
        <f t="shared" ref="N40:N42" si="32">L40*1210</f>
        <v>29040</v>
      </c>
      <c r="O40" s="21">
        <f t="shared" ref="O40:O42" si="33">(L40*2037)+3000</f>
        <v>51888</v>
      </c>
      <c r="P40" s="21">
        <f t="shared" ref="P40:P42" si="34">L40*2100</f>
        <v>50400</v>
      </c>
      <c r="Q40" s="14">
        <f t="shared" ref="Q40:Q42" si="35">SUM(M40:P40)</f>
        <v>416778</v>
      </c>
      <c r="R40" s="21" t="s">
        <v>94</v>
      </c>
      <c r="S40" s="21" t="s">
        <v>94</v>
      </c>
      <c r="T40" s="21" t="s">
        <v>94</v>
      </c>
      <c r="U40" s="30"/>
      <c r="V40" s="30"/>
    </row>
    <row r="41" spans="1:22" x14ac:dyDescent="0.25">
      <c r="A41" s="26">
        <v>40</v>
      </c>
      <c r="B41" s="71" t="s">
        <v>701</v>
      </c>
      <c r="C41" s="26" t="s">
        <v>29</v>
      </c>
      <c r="D41" s="37" t="s">
        <v>30</v>
      </c>
      <c r="E41" s="30" t="s">
        <v>491</v>
      </c>
      <c r="F41" s="71" t="s">
        <v>29</v>
      </c>
      <c r="G41" s="71" t="s">
        <v>166</v>
      </c>
      <c r="H41" s="71" t="s">
        <v>503</v>
      </c>
      <c r="I41" s="113">
        <v>44402</v>
      </c>
      <c r="J41" s="71">
        <v>1</v>
      </c>
      <c r="K41" s="71">
        <v>28</v>
      </c>
      <c r="L41" s="71">
        <v>35</v>
      </c>
      <c r="M41" s="23">
        <f>((L41*9000)+(L41*9000)*10%)+8250+((0*150))</f>
        <v>354750</v>
      </c>
      <c r="N41" s="21">
        <f t="shared" si="32"/>
        <v>42350</v>
      </c>
      <c r="O41" s="21">
        <f t="shared" si="33"/>
        <v>74295</v>
      </c>
      <c r="P41" s="21">
        <f t="shared" si="34"/>
        <v>73500</v>
      </c>
      <c r="Q41" s="14">
        <f t="shared" si="35"/>
        <v>544895</v>
      </c>
      <c r="R41" s="21" t="s">
        <v>94</v>
      </c>
      <c r="S41" s="21" t="s">
        <v>94</v>
      </c>
      <c r="T41" s="21" t="s">
        <v>94</v>
      </c>
      <c r="U41" s="30"/>
      <c r="V41" s="30"/>
    </row>
    <row r="42" spans="1:22" x14ac:dyDescent="0.25">
      <c r="A42" s="26">
        <v>41</v>
      </c>
      <c r="B42" s="71" t="s">
        <v>702</v>
      </c>
      <c r="C42" s="26" t="s">
        <v>29</v>
      </c>
      <c r="D42" s="37" t="s">
        <v>30</v>
      </c>
      <c r="E42" s="30" t="s">
        <v>491</v>
      </c>
      <c r="F42" s="71" t="s">
        <v>29</v>
      </c>
      <c r="G42" s="71" t="s">
        <v>35</v>
      </c>
      <c r="H42" s="71" t="s">
        <v>682</v>
      </c>
      <c r="I42" s="113">
        <v>44402</v>
      </c>
      <c r="J42" s="71">
        <v>9</v>
      </c>
      <c r="K42" s="71">
        <v>251</v>
      </c>
      <c r="L42" s="71">
        <v>251</v>
      </c>
      <c r="M42" s="23">
        <f>((L42*10000)+(L42*10000)*10%)+8250+((0*150))</f>
        <v>2769250</v>
      </c>
      <c r="N42" s="21">
        <f t="shared" si="32"/>
        <v>303710</v>
      </c>
      <c r="O42" s="21">
        <f t="shared" si="33"/>
        <v>514287</v>
      </c>
      <c r="P42" s="21">
        <f t="shared" si="34"/>
        <v>527100</v>
      </c>
      <c r="Q42" s="14">
        <f t="shared" si="35"/>
        <v>4114347</v>
      </c>
      <c r="R42" s="21" t="s">
        <v>94</v>
      </c>
      <c r="S42" s="21" t="s">
        <v>94</v>
      </c>
      <c r="T42" s="21" t="s">
        <v>94</v>
      </c>
      <c r="U42" s="30"/>
      <c r="V42" s="30"/>
    </row>
    <row r="43" spans="1:22" x14ac:dyDescent="0.25">
      <c r="A43" s="26">
        <v>42</v>
      </c>
      <c r="B43" s="30" t="s">
        <v>713</v>
      </c>
      <c r="C43" s="26" t="s">
        <v>29</v>
      </c>
      <c r="D43" s="30" t="s">
        <v>30</v>
      </c>
      <c r="E43" s="30" t="s">
        <v>491</v>
      </c>
      <c r="F43" s="30" t="s">
        <v>29</v>
      </c>
      <c r="G43" s="30" t="s">
        <v>184</v>
      </c>
      <c r="H43" s="30" t="s">
        <v>219</v>
      </c>
      <c r="I43" s="113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6">L43*1210</f>
        <v>159720</v>
      </c>
      <c r="O43" s="21">
        <f t="shared" ref="O43:O44" si="37">(L43*2037)+3000</f>
        <v>271884</v>
      </c>
      <c r="P43" s="21">
        <f t="shared" ref="P43:P44" si="38">L43*2100</f>
        <v>277200</v>
      </c>
      <c r="Q43" s="14">
        <f t="shared" ref="Q43:Q44" si="39">SUM(M43:P43)</f>
        <v>2749854</v>
      </c>
      <c r="R43" s="21" t="s">
        <v>94</v>
      </c>
      <c r="S43" s="21" t="s">
        <v>94</v>
      </c>
      <c r="T43" s="21" t="s">
        <v>94</v>
      </c>
      <c r="U43" s="30"/>
      <c r="V43" s="30"/>
    </row>
    <row r="44" spans="1:22" x14ac:dyDescent="0.25">
      <c r="A44" s="26">
        <v>43</v>
      </c>
      <c r="B44" s="30" t="s">
        <v>714</v>
      </c>
      <c r="C44" s="26" t="s">
        <v>29</v>
      </c>
      <c r="D44" s="30" t="s">
        <v>30</v>
      </c>
      <c r="E44" s="30" t="s">
        <v>491</v>
      </c>
      <c r="F44" s="30" t="s">
        <v>29</v>
      </c>
      <c r="G44" s="37" t="s">
        <v>171</v>
      </c>
      <c r="H44" s="30" t="s">
        <v>246</v>
      </c>
      <c r="I44" s="113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6"/>
        <v>157300</v>
      </c>
      <c r="O44" s="21">
        <f t="shared" si="37"/>
        <v>267810</v>
      </c>
      <c r="P44" s="21">
        <f t="shared" si="38"/>
        <v>273000</v>
      </c>
      <c r="Q44" s="14">
        <f t="shared" si="39"/>
        <v>2422360</v>
      </c>
      <c r="R44" s="21" t="s">
        <v>94</v>
      </c>
      <c r="S44" s="21" t="s">
        <v>94</v>
      </c>
      <c r="T44" s="21" t="s">
        <v>94</v>
      </c>
      <c r="U44" s="30"/>
      <c r="V44" s="30"/>
    </row>
    <row r="45" spans="1:22" x14ac:dyDescent="0.25">
      <c r="A45" s="26">
        <v>44</v>
      </c>
      <c r="B45" s="30" t="s">
        <v>716</v>
      </c>
      <c r="C45" s="26" t="s">
        <v>29</v>
      </c>
      <c r="D45" s="30" t="s">
        <v>30</v>
      </c>
      <c r="E45" s="30" t="s">
        <v>491</v>
      </c>
      <c r="F45" s="30" t="s">
        <v>29</v>
      </c>
      <c r="G45" s="37" t="s">
        <v>535</v>
      </c>
      <c r="H45" s="30" t="s">
        <v>717</v>
      </c>
      <c r="I45" s="113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40">L45*1210</f>
        <v>31460</v>
      </c>
      <c r="O45" s="21">
        <f t="shared" ref="O45" si="41">(L45*2037)+3000</f>
        <v>55962</v>
      </c>
      <c r="P45" s="21">
        <f t="shared" ref="P45" si="42">L45*2100</f>
        <v>54600</v>
      </c>
      <c r="Q45" s="14">
        <f t="shared" ref="Q45" si="43">SUM(M45:P45)</f>
        <v>321872</v>
      </c>
      <c r="R45" s="21" t="s">
        <v>94</v>
      </c>
      <c r="S45" s="21" t="s">
        <v>94</v>
      </c>
      <c r="T45" s="21" t="s">
        <v>94</v>
      </c>
      <c r="U45" s="30"/>
      <c r="V45" s="30"/>
    </row>
    <row r="46" spans="1:22" x14ac:dyDescent="0.25">
      <c r="A46" s="26">
        <v>45</v>
      </c>
      <c r="B46" s="30" t="s">
        <v>718</v>
      </c>
      <c r="C46" s="26" t="s">
        <v>29</v>
      </c>
      <c r="D46" s="30" t="s">
        <v>30</v>
      </c>
      <c r="E46" s="30" t="s">
        <v>491</v>
      </c>
      <c r="F46" s="71" t="s">
        <v>29</v>
      </c>
      <c r="G46" s="129" t="s">
        <v>231</v>
      </c>
      <c r="H46" s="71" t="s">
        <v>656</v>
      </c>
      <c r="I46" s="113">
        <v>44406</v>
      </c>
      <c r="J46" s="71">
        <v>1</v>
      </c>
      <c r="K46" s="71">
        <v>29</v>
      </c>
      <c r="L46" s="71">
        <v>29</v>
      </c>
      <c r="M46" s="23">
        <f>((L46*24000)+(L46*24000)*10%)+8250+((0*150))</f>
        <v>773850</v>
      </c>
      <c r="N46" s="21">
        <f t="shared" ref="N46" si="44">L46*1210</f>
        <v>35090</v>
      </c>
      <c r="O46" s="21">
        <f t="shared" ref="O46" si="45">(L46*2037)+3000</f>
        <v>62073</v>
      </c>
      <c r="P46" s="21">
        <f t="shared" ref="P46" si="46">L46*2100</f>
        <v>60900</v>
      </c>
      <c r="Q46" s="14">
        <f t="shared" ref="Q46" si="47">SUM(M46:P46)</f>
        <v>931913</v>
      </c>
      <c r="R46" s="21" t="s">
        <v>94</v>
      </c>
      <c r="S46" s="21" t="s">
        <v>94</v>
      </c>
      <c r="T46" s="21" t="s">
        <v>94</v>
      </c>
      <c r="U46" s="30"/>
      <c r="V46" s="30"/>
    </row>
    <row r="47" spans="1:22" x14ac:dyDescent="0.25">
      <c r="A47" s="26">
        <v>46</v>
      </c>
      <c r="B47" s="71" t="s">
        <v>719</v>
      </c>
      <c r="C47" s="26" t="s">
        <v>29</v>
      </c>
      <c r="D47" s="30" t="s">
        <v>30</v>
      </c>
      <c r="E47" s="30" t="s">
        <v>491</v>
      </c>
      <c r="F47" s="30" t="s">
        <v>29</v>
      </c>
      <c r="G47" s="37" t="s">
        <v>31</v>
      </c>
      <c r="H47" s="30" t="s">
        <v>359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8">L47*1210</f>
        <v>12100</v>
      </c>
      <c r="O47" s="21">
        <f t="shared" ref="O47:O48" si="49">(L47*2037)+3000</f>
        <v>23370</v>
      </c>
      <c r="P47" s="21">
        <f t="shared" ref="P47:P48" si="50">L47*2100</f>
        <v>21000</v>
      </c>
      <c r="Q47" s="14">
        <f t="shared" ref="Q47:Q48" si="51">SUM(M47:P47)</f>
        <v>132220</v>
      </c>
      <c r="R47" s="21" t="s">
        <v>94</v>
      </c>
      <c r="S47" s="21" t="s">
        <v>94</v>
      </c>
      <c r="T47" s="21" t="s">
        <v>94</v>
      </c>
      <c r="U47" s="30"/>
      <c r="V47" s="30"/>
    </row>
    <row r="48" spans="1:22" x14ac:dyDescent="0.25">
      <c r="A48" s="26">
        <v>47</v>
      </c>
      <c r="B48" s="71" t="s">
        <v>720</v>
      </c>
      <c r="C48" s="26" t="s">
        <v>29</v>
      </c>
      <c r="D48" s="30" t="s">
        <v>30</v>
      </c>
      <c r="E48" s="30" t="s">
        <v>491</v>
      </c>
      <c r="F48" s="30" t="s">
        <v>29</v>
      </c>
      <c r="G48" s="37" t="s">
        <v>79</v>
      </c>
      <c r="H48" s="30" t="s">
        <v>723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8"/>
        <v>388410</v>
      </c>
      <c r="O48" s="21">
        <f t="shared" si="49"/>
        <v>656877</v>
      </c>
      <c r="P48" s="21">
        <f t="shared" si="50"/>
        <v>674100</v>
      </c>
      <c r="Q48" s="14">
        <f t="shared" si="51"/>
        <v>7024137</v>
      </c>
      <c r="R48" s="21" t="s">
        <v>94</v>
      </c>
      <c r="S48" s="21" t="s">
        <v>94</v>
      </c>
      <c r="T48" s="21" t="s">
        <v>94</v>
      </c>
      <c r="U48" s="30"/>
      <c r="V48" s="30"/>
    </row>
    <row r="49" spans="1:22" x14ac:dyDescent="0.25">
      <c r="A49" s="26">
        <v>48</v>
      </c>
      <c r="B49" s="71" t="s">
        <v>721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2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3">SUM(M49:P49)</f>
        <v>445220</v>
      </c>
      <c r="R49" s="21" t="s">
        <v>94</v>
      </c>
      <c r="S49" s="21" t="s">
        <v>94</v>
      </c>
      <c r="T49" s="21" t="s">
        <v>94</v>
      </c>
      <c r="U49" s="30"/>
      <c r="V49" s="30"/>
    </row>
    <row r="50" spans="1:22" hidden="1" x14ac:dyDescent="0.25">
      <c r="A50" s="26">
        <v>49</v>
      </c>
      <c r="B50" s="71" t="s">
        <v>722</v>
      </c>
      <c r="C50" s="26" t="s">
        <v>29</v>
      </c>
      <c r="D50" s="30" t="s">
        <v>509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2"/>
        <v>27830</v>
      </c>
      <c r="O50" s="21">
        <f t="shared" ref="O50" si="54">(L50*2037)+3000</f>
        <v>49851</v>
      </c>
      <c r="P50" s="21">
        <f>L50*1100</f>
        <v>25300</v>
      </c>
      <c r="Q50" s="14">
        <f t="shared" si="53"/>
        <v>1000181</v>
      </c>
      <c r="R50" s="21">
        <v>1000181</v>
      </c>
      <c r="S50" s="117" t="s">
        <v>724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725</v>
      </c>
      <c r="C51" s="26" t="s">
        <v>29</v>
      </c>
      <c r="D51" s="30" t="s">
        <v>592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5">L51*1210</f>
        <v>245630</v>
      </c>
      <c r="O51" s="21">
        <f t="shared" ref="O51:O52" si="56">(L51*2037)+3000</f>
        <v>416511</v>
      </c>
      <c r="P51" s="21">
        <f>L51*2500</f>
        <v>507500</v>
      </c>
      <c r="Q51" s="14">
        <f t="shared" ref="Q51:Q52" si="57">SUM(M51:P51)</f>
        <v>14687541</v>
      </c>
      <c r="R51" s="21" t="s">
        <v>94</v>
      </c>
      <c r="S51" s="21" t="s">
        <v>94</v>
      </c>
      <c r="T51" s="21" t="s">
        <v>94</v>
      </c>
      <c r="U51" s="30"/>
      <c r="V51" s="30"/>
    </row>
    <row r="52" spans="1:22" hidden="1" x14ac:dyDescent="0.25">
      <c r="A52" s="26">
        <v>51</v>
      </c>
      <c r="B52" s="30" t="s">
        <v>726</v>
      </c>
      <c r="C52" s="26" t="s">
        <v>29</v>
      </c>
      <c r="D52" s="30" t="s">
        <v>509</v>
      </c>
      <c r="E52" s="30" t="s">
        <v>23</v>
      </c>
      <c r="F52" s="30" t="s">
        <v>29</v>
      </c>
      <c r="G52" s="30" t="s">
        <v>727</v>
      </c>
      <c r="H52" s="30" t="s">
        <v>551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5"/>
        <v>61710</v>
      </c>
      <c r="O52" s="21">
        <f t="shared" si="56"/>
        <v>106887</v>
      </c>
      <c r="P52" s="21">
        <f>L52*1100</f>
        <v>56100</v>
      </c>
      <c r="Q52" s="14">
        <f t="shared" si="57"/>
        <v>2028147</v>
      </c>
      <c r="R52" s="21">
        <v>2434867</v>
      </c>
      <c r="S52" s="21" t="s">
        <v>735</v>
      </c>
      <c r="T52" s="21" t="s">
        <v>27</v>
      </c>
      <c r="U52" s="30"/>
      <c r="V52" s="30"/>
    </row>
    <row r="53" spans="1:22" hidden="1" x14ac:dyDescent="0.25">
      <c r="A53" s="26">
        <v>52</v>
      </c>
      <c r="B53" s="30" t="s">
        <v>726</v>
      </c>
      <c r="C53" s="26" t="s">
        <v>29</v>
      </c>
      <c r="D53" s="30" t="s">
        <v>509</v>
      </c>
      <c r="E53" s="30" t="s">
        <v>23</v>
      </c>
      <c r="F53" s="30" t="s">
        <v>29</v>
      </c>
      <c r="G53" s="30" t="s">
        <v>727</v>
      </c>
      <c r="H53" s="30" t="s">
        <v>551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8">L53*1210</f>
        <v>12100</v>
      </c>
      <c r="O53" s="21">
        <f t="shared" ref="O53" si="59">(L53*2037)+3000</f>
        <v>23370</v>
      </c>
      <c r="P53" s="21">
        <f>L53*1100</f>
        <v>11000</v>
      </c>
      <c r="Q53" s="14">
        <f t="shared" ref="Q53" si="60">SUM(M53:P53)</f>
        <v>406720</v>
      </c>
      <c r="R53" s="21">
        <v>2434867</v>
      </c>
      <c r="S53" s="21" t="s">
        <v>735</v>
      </c>
      <c r="T53" s="21" t="s">
        <v>27</v>
      </c>
      <c r="U53" s="30"/>
      <c r="V53" s="30"/>
    </row>
    <row r="54" spans="1:22" x14ac:dyDescent="0.25">
      <c r="A54" s="26">
        <v>53</v>
      </c>
      <c r="B54" s="30" t="s">
        <v>730</v>
      </c>
      <c r="C54" s="26" t="s">
        <v>29</v>
      </c>
      <c r="D54" s="30" t="s">
        <v>85</v>
      </c>
      <c r="E54" s="30" t="s">
        <v>755</v>
      </c>
      <c r="F54" s="30" t="s">
        <v>29</v>
      </c>
      <c r="G54" s="30" t="s">
        <v>731</v>
      </c>
      <c r="H54" s="30" t="s">
        <v>732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1">L54*1210</f>
        <v>12100</v>
      </c>
      <c r="O54" s="21">
        <f>(L54*2037)+3000</f>
        <v>23370</v>
      </c>
      <c r="P54" s="21">
        <f>L54*1100</f>
        <v>11000</v>
      </c>
      <c r="Q54" s="14">
        <f t="shared" ref="Q54" si="62">SUM(M54:P54)</f>
        <v>362720</v>
      </c>
      <c r="R54" s="21" t="s">
        <v>94</v>
      </c>
      <c r="S54" s="21" t="s">
        <v>94</v>
      </c>
      <c r="T54" s="21" t="s">
        <v>94</v>
      </c>
      <c r="U54" s="30"/>
      <c r="V54" s="30"/>
    </row>
    <row r="55" spans="1:22" hidden="1" x14ac:dyDescent="0.25">
      <c r="P55" s="95"/>
      <c r="Q55" s="83"/>
    </row>
    <row r="56" spans="1:22" hidden="1" x14ac:dyDescent="0.25"/>
  </sheetData>
  <autoFilter ref="A1:V56">
    <filterColumn colId="17">
      <filters>
        <filter val="Outstanding"/>
      </filters>
    </filterColumn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A46" workbookViewId="0">
      <pane xSplit="4" topLeftCell="E1" activePane="topRight" state="frozen"/>
      <selection pane="topRight" activeCell="E54" sqref="E54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24.5703125" style="81" bestFit="1" customWidth="1"/>
    <col min="5" max="5" width="12.710937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71" t="s">
        <v>736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35</v>
      </c>
      <c r="H2" s="87" t="s">
        <v>682</v>
      </c>
      <c r="I2" s="88">
        <v>44412</v>
      </c>
      <c r="J2" s="87">
        <v>7</v>
      </c>
      <c r="K2" s="87">
        <v>174</v>
      </c>
      <c r="L2" s="87">
        <v>174</v>
      </c>
      <c r="M2" s="23">
        <f>((L2*10000)+(L2*10000)*10%)+8250+((0*150))</f>
        <v>1922250</v>
      </c>
      <c r="N2" s="21">
        <f t="shared" ref="N2:N15" si="0">L2*1210</f>
        <v>210540</v>
      </c>
      <c r="O2" s="21">
        <f t="shared" ref="O2:O15" si="1">(L2*2037)+3000</f>
        <v>357438</v>
      </c>
      <c r="P2" s="21">
        <f>L2*2100</f>
        <v>365400</v>
      </c>
      <c r="Q2" s="14">
        <f t="shared" ref="Q2:Q6" si="2">SUM(M2:P2)</f>
        <v>2855628</v>
      </c>
      <c r="R2" s="123" t="s">
        <v>94</v>
      </c>
      <c r="S2" s="123" t="s">
        <v>94</v>
      </c>
      <c r="T2" s="123" t="s">
        <v>94</v>
      </c>
      <c r="U2" s="30"/>
      <c r="V2" s="30"/>
    </row>
    <row r="3" spans="1:22" x14ac:dyDescent="0.25">
      <c r="A3" s="26">
        <v>2</v>
      </c>
      <c r="B3" s="71" t="s">
        <v>737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171</v>
      </c>
      <c r="H3" s="87" t="s">
        <v>246</v>
      </c>
      <c r="I3" s="88">
        <v>44412</v>
      </c>
      <c r="J3" s="87">
        <v>1</v>
      </c>
      <c r="K3" s="87">
        <v>11</v>
      </c>
      <c r="L3" s="87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3" t="s">
        <v>94</v>
      </c>
      <c r="S3" s="123" t="s">
        <v>94</v>
      </c>
      <c r="T3" s="123" t="s">
        <v>94</v>
      </c>
      <c r="U3" s="30"/>
      <c r="V3" s="30"/>
    </row>
    <row r="4" spans="1:22" x14ac:dyDescent="0.25">
      <c r="A4" s="26">
        <v>3</v>
      </c>
      <c r="B4" s="71" t="s">
        <v>738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184</v>
      </c>
      <c r="H4" s="87" t="s">
        <v>742</v>
      </c>
      <c r="I4" s="88">
        <v>44412</v>
      </c>
      <c r="J4" s="87">
        <v>9</v>
      </c>
      <c r="K4" s="87">
        <v>154</v>
      </c>
      <c r="L4" s="87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3" t="s">
        <v>94</v>
      </c>
      <c r="S4" s="123" t="s">
        <v>94</v>
      </c>
      <c r="T4" s="123" t="s">
        <v>94</v>
      </c>
      <c r="U4" s="30"/>
      <c r="V4" s="30"/>
    </row>
    <row r="5" spans="1:22" x14ac:dyDescent="0.25">
      <c r="A5" s="26">
        <v>4</v>
      </c>
      <c r="B5" s="116" t="s">
        <v>739</v>
      </c>
      <c r="C5" s="130" t="s">
        <v>29</v>
      </c>
      <c r="D5" s="116" t="s">
        <v>30</v>
      </c>
      <c r="E5" s="89" t="s">
        <v>491</v>
      </c>
      <c r="F5" s="116" t="s">
        <v>29</v>
      </c>
      <c r="G5" s="91" t="s">
        <v>79</v>
      </c>
      <c r="H5" s="93" t="s">
        <v>656</v>
      </c>
      <c r="I5" s="88">
        <v>44412</v>
      </c>
      <c r="J5" s="93">
        <v>3</v>
      </c>
      <c r="K5" s="93">
        <v>67</v>
      </c>
      <c r="L5" s="93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3" t="s">
        <v>94</v>
      </c>
      <c r="S5" s="123" t="s">
        <v>94</v>
      </c>
      <c r="T5" s="123" t="s">
        <v>94</v>
      </c>
      <c r="U5" s="30"/>
      <c r="V5" s="30"/>
    </row>
    <row r="6" spans="1:22" ht="15" customHeight="1" x14ac:dyDescent="0.25">
      <c r="A6" s="26">
        <v>5</v>
      </c>
      <c r="B6" s="71" t="s">
        <v>740</v>
      </c>
      <c r="C6" s="26" t="s">
        <v>29</v>
      </c>
      <c r="D6" s="89" t="s">
        <v>705</v>
      </c>
      <c r="E6" s="89" t="s">
        <v>23</v>
      </c>
      <c r="F6" s="116" t="s">
        <v>29</v>
      </c>
      <c r="G6" s="116" t="s">
        <v>231</v>
      </c>
      <c r="H6" s="116" t="s">
        <v>656</v>
      </c>
      <c r="I6" s="94">
        <v>44412</v>
      </c>
      <c r="J6" s="116">
        <v>1</v>
      </c>
      <c r="K6" s="116">
        <v>19</v>
      </c>
      <c r="L6" s="116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>L6*1100</f>
        <v>20900</v>
      </c>
      <c r="Q6" s="14">
        <f t="shared" si="2"/>
        <v>595443</v>
      </c>
      <c r="R6" s="123">
        <v>595443</v>
      </c>
      <c r="S6" s="131" t="s">
        <v>754</v>
      </c>
      <c r="T6" s="123" t="s">
        <v>27</v>
      </c>
      <c r="U6" s="30"/>
      <c r="V6" s="30"/>
    </row>
    <row r="7" spans="1:22" x14ac:dyDescent="0.25">
      <c r="A7" s="26">
        <v>6</v>
      </c>
      <c r="B7" s="30" t="s">
        <v>741</v>
      </c>
      <c r="C7" s="26" t="s">
        <v>29</v>
      </c>
      <c r="D7" s="30" t="s">
        <v>509</v>
      </c>
      <c r="E7" s="30" t="s">
        <v>23</v>
      </c>
      <c r="F7" s="30" t="s">
        <v>29</v>
      </c>
      <c r="G7" s="30" t="s">
        <v>79</v>
      </c>
      <c r="H7" s="30" t="s">
        <v>743</v>
      </c>
      <c r="I7" s="113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>L7*1100</f>
        <v>152900</v>
      </c>
      <c r="Q7" s="14">
        <f t="shared" ref="Q7" si="3">SUM(M7:P7)</f>
        <v>2908983</v>
      </c>
      <c r="R7" s="124">
        <v>5189142</v>
      </c>
      <c r="S7" s="133" t="s">
        <v>758</v>
      </c>
      <c r="T7" s="124" t="s">
        <v>27</v>
      </c>
      <c r="U7" s="30"/>
      <c r="V7" s="30"/>
    </row>
    <row r="8" spans="1:22" x14ac:dyDescent="0.25">
      <c r="A8" s="26">
        <v>7</v>
      </c>
      <c r="B8" s="30" t="s">
        <v>744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3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ref="P8:P15" si="4">L8*1100</f>
        <v>57200</v>
      </c>
      <c r="Q8" s="14">
        <f t="shared" ref="Q8:Q15" si="5">SUM(M8:P8)</f>
        <v>2247094</v>
      </c>
      <c r="R8" s="124" t="s">
        <v>94</v>
      </c>
      <c r="S8" s="124" t="s">
        <v>94</v>
      </c>
      <c r="T8" s="124" t="s">
        <v>94</v>
      </c>
      <c r="U8" s="30"/>
      <c r="V8" s="30"/>
    </row>
    <row r="9" spans="1:22" x14ac:dyDescent="0.25">
      <c r="A9" s="26">
        <v>8</v>
      </c>
      <c r="B9" s="30" t="s">
        <v>745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3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4"/>
        <v>45100</v>
      </c>
      <c r="Q9" s="14">
        <f t="shared" si="5"/>
        <v>933627</v>
      </c>
      <c r="R9" s="124" t="s">
        <v>94</v>
      </c>
      <c r="S9" s="124" t="s">
        <v>94</v>
      </c>
      <c r="T9" s="124" t="s">
        <v>94</v>
      </c>
      <c r="U9" s="30"/>
      <c r="V9" s="30"/>
    </row>
    <row r="10" spans="1:22" x14ac:dyDescent="0.25">
      <c r="A10" s="26">
        <v>9</v>
      </c>
      <c r="B10" s="71" t="s">
        <v>746</v>
      </c>
      <c r="C10" s="26" t="s">
        <v>29</v>
      </c>
      <c r="D10" s="30" t="s">
        <v>705</v>
      </c>
      <c r="E10" s="30" t="s">
        <v>23</v>
      </c>
      <c r="F10" s="71" t="s">
        <v>29</v>
      </c>
      <c r="G10" s="71" t="s">
        <v>231</v>
      </c>
      <c r="H10" s="71" t="s">
        <v>656</v>
      </c>
      <c r="I10" s="113">
        <v>44415</v>
      </c>
      <c r="J10" s="30">
        <v>1</v>
      </c>
      <c r="K10" s="30">
        <v>20</v>
      </c>
      <c r="L10" s="30">
        <v>20</v>
      </c>
      <c r="M10" s="23">
        <f>((L10*24000)+(L10*24000)*10%)+8250+((0*150))</f>
        <v>536250</v>
      </c>
      <c r="N10" s="21">
        <f t="shared" si="0"/>
        <v>24200</v>
      </c>
      <c r="O10" s="21">
        <f t="shared" si="1"/>
        <v>43740</v>
      </c>
      <c r="P10" s="21">
        <f t="shared" si="4"/>
        <v>22000</v>
      </c>
      <c r="Q10" s="14">
        <f t="shared" si="5"/>
        <v>626190</v>
      </c>
      <c r="R10" s="124" t="s">
        <v>94</v>
      </c>
      <c r="S10" s="124" t="s">
        <v>94</v>
      </c>
      <c r="T10" s="124" t="s">
        <v>94</v>
      </c>
      <c r="U10" s="30"/>
      <c r="V10" s="30"/>
    </row>
    <row r="11" spans="1:22" x14ac:dyDescent="0.25">
      <c r="A11" s="26">
        <v>10</v>
      </c>
      <c r="B11" s="30" t="s">
        <v>747</v>
      </c>
      <c r="C11" s="26" t="s">
        <v>29</v>
      </c>
      <c r="D11" s="30" t="s">
        <v>509</v>
      </c>
      <c r="E11" s="30" t="s">
        <v>23</v>
      </c>
      <c r="F11" s="30" t="s">
        <v>29</v>
      </c>
      <c r="G11" s="30" t="s">
        <v>24</v>
      </c>
      <c r="H11" s="30" t="s">
        <v>128</v>
      </c>
      <c r="I11" s="113">
        <v>44415</v>
      </c>
      <c r="J11" s="30">
        <v>2</v>
      </c>
      <c r="K11" s="30">
        <v>30</v>
      </c>
      <c r="L11" s="30">
        <v>30</v>
      </c>
      <c r="M11" s="23">
        <f>((L11*22000)+(L11*22000)*10%)+8250+((L11*150))</f>
        <v>738750</v>
      </c>
      <c r="N11" s="21">
        <f t="shared" si="0"/>
        <v>36300</v>
      </c>
      <c r="O11" s="21">
        <f t="shared" si="1"/>
        <v>64110</v>
      </c>
      <c r="P11" s="21">
        <f t="shared" si="4"/>
        <v>33000</v>
      </c>
      <c r="Q11" s="14">
        <f t="shared" si="5"/>
        <v>872160</v>
      </c>
      <c r="R11" s="124">
        <v>5189142</v>
      </c>
      <c r="S11" s="133" t="s">
        <v>758</v>
      </c>
      <c r="T11" s="124" t="s">
        <v>27</v>
      </c>
      <c r="U11" s="30"/>
      <c r="V11" s="30"/>
    </row>
    <row r="12" spans="1:22" x14ac:dyDescent="0.25">
      <c r="A12" s="26">
        <v>11</v>
      </c>
      <c r="B12" s="30" t="s">
        <v>748</v>
      </c>
      <c r="C12" s="26" t="s">
        <v>29</v>
      </c>
      <c r="D12" s="30" t="s">
        <v>705</v>
      </c>
      <c r="E12" s="30" t="s">
        <v>23</v>
      </c>
      <c r="F12" s="30" t="s">
        <v>29</v>
      </c>
      <c r="G12" s="30" t="s">
        <v>24</v>
      </c>
      <c r="H12" s="30" t="s">
        <v>128</v>
      </c>
      <c r="I12" s="113">
        <v>44415</v>
      </c>
      <c r="J12" s="30">
        <v>1</v>
      </c>
      <c r="K12" s="30">
        <v>20</v>
      </c>
      <c r="L12" s="30">
        <v>20</v>
      </c>
      <c r="M12" s="23">
        <f>((L12*22000)+(L12*22000)*10%)+8250+((L12*150))</f>
        <v>495250</v>
      </c>
      <c r="N12" s="21">
        <f t="shared" si="0"/>
        <v>24200</v>
      </c>
      <c r="O12" s="21">
        <f t="shared" si="1"/>
        <v>43740</v>
      </c>
      <c r="P12" s="21">
        <f t="shared" si="4"/>
        <v>22000</v>
      </c>
      <c r="Q12" s="14">
        <f t="shared" si="5"/>
        <v>585190</v>
      </c>
      <c r="R12" s="124" t="s">
        <v>94</v>
      </c>
      <c r="S12" s="124" t="s">
        <v>94</v>
      </c>
      <c r="T12" s="124" t="s">
        <v>94</v>
      </c>
      <c r="U12" s="30"/>
      <c r="V12" s="30"/>
    </row>
    <row r="13" spans="1:22" x14ac:dyDescent="0.25">
      <c r="A13" s="26">
        <v>12</v>
      </c>
      <c r="B13" s="30" t="s">
        <v>749</v>
      </c>
      <c r="C13" s="26" t="s">
        <v>29</v>
      </c>
      <c r="D13" s="30" t="s">
        <v>509</v>
      </c>
      <c r="E13" s="30" t="s">
        <v>23</v>
      </c>
      <c r="F13" s="30" t="s">
        <v>29</v>
      </c>
      <c r="G13" s="30" t="s">
        <v>79</v>
      </c>
      <c r="H13" s="30" t="s">
        <v>743</v>
      </c>
      <c r="I13" s="113">
        <v>44415</v>
      </c>
      <c r="J13" s="30">
        <v>2</v>
      </c>
      <c r="K13" s="30">
        <v>67</v>
      </c>
      <c r="L13" s="30">
        <v>67</v>
      </c>
      <c r="M13" s="23">
        <f t="shared" ref="M13" si="6">((L13*15000)+(L13*15000)*10%)+8250+((0*150))</f>
        <v>1113750</v>
      </c>
      <c r="N13" s="21">
        <f t="shared" si="0"/>
        <v>81070</v>
      </c>
      <c r="O13" s="21">
        <f t="shared" si="1"/>
        <v>139479</v>
      </c>
      <c r="P13" s="21">
        <f t="shared" si="4"/>
        <v>73700</v>
      </c>
      <c r="Q13" s="14">
        <f t="shared" si="5"/>
        <v>1407999</v>
      </c>
      <c r="R13" s="124">
        <v>5189142</v>
      </c>
      <c r="S13" s="133" t="s">
        <v>758</v>
      </c>
      <c r="T13" s="124" t="s">
        <v>27</v>
      </c>
      <c r="U13" s="30"/>
      <c r="V13" s="30"/>
    </row>
    <row r="14" spans="1:22" x14ac:dyDescent="0.25">
      <c r="A14" s="26">
        <v>13</v>
      </c>
      <c r="B14" s="30" t="s">
        <v>750</v>
      </c>
      <c r="C14" s="26" t="s">
        <v>29</v>
      </c>
      <c r="D14" s="30" t="s">
        <v>752</v>
      </c>
      <c r="E14" s="30" t="s">
        <v>23</v>
      </c>
      <c r="F14" s="30" t="s">
        <v>29</v>
      </c>
      <c r="G14" s="30" t="s">
        <v>60</v>
      </c>
      <c r="H14" s="30" t="s">
        <v>61</v>
      </c>
      <c r="I14" s="113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4"/>
        <v>144100</v>
      </c>
      <c r="Q14" s="14">
        <f t="shared" si="5"/>
        <v>2626927</v>
      </c>
      <c r="R14" s="124" t="s">
        <v>94</v>
      </c>
      <c r="S14" s="124" t="s">
        <v>94</v>
      </c>
      <c r="T14" s="124" t="s">
        <v>94</v>
      </c>
      <c r="U14" s="30"/>
      <c r="V14" s="30"/>
    </row>
    <row r="15" spans="1:22" x14ac:dyDescent="0.25">
      <c r="A15" s="26">
        <v>14</v>
      </c>
      <c r="B15" s="30" t="s">
        <v>751</v>
      </c>
      <c r="C15" s="26" t="s">
        <v>29</v>
      </c>
      <c r="D15" s="30" t="s">
        <v>705</v>
      </c>
      <c r="E15" s="30" t="s">
        <v>23</v>
      </c>
      <c r="F15" s="30" t="s">
        <v>29</v>
      </c>
      <c r="G15" s="30" t="s">
        <v>171</v>
      </c>
      <c r="H15" s="30" t="s">
        <v>753</v>
      </c>
      <c r="I15" s="113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4"/>
        <v>86900</v>
      </c>
      <c r="Q15" s="14">
        <f t="shared" si="5"/>
        <v>1397463</v>
      </c>
      <c r="R15" s="124" t="s">
        <v>94</v>
      </c>
      <c r="S15" s="124" t="s">
        <v>94</v>
      </c>
      <c r="T15" s="124" t="s">
        <v>94</v>
      </c>
      <c r="U15" s="30"/>
      <c r="V15" s="30"/>
    </row>
    <row r="16" spans="1:22" x14ac:dyDescent="0.25">
      <c r="A16" s="26">
        <v>15</v>
      </c>
      <c r="B16" s="30" t="s">
        <v>756</v>
      </c>
      <c r="C16" s="26" t="s">
        <v>29</v>
      </c>
      <c r="D16" s="30" t="s">
        <v>53</v>
      </c>
      <c r="E16" s="30" t="s">
        <v>613</v>
      </c>
      <c r="F16" s="30" t="s">
        <v>29</v>
      </c>
      <c r="G16" s="30" t="s">
        <v>79</v>
      </c>
      <c r="H16" s="30" t="s">
        <v>89</v>
      </c>
      <c r="I16" s="113">
        <v>44418</v>
      </c>
      <c r="J16" s="30">
        <v>3</v>
      </c>
      <c r="K16" s="30">
        <v>27</v>
      </c>
      <c r="L16" s="30">
        <v>27</v>
      </c>
      <c r="M16" s="23">
        <f t="shared" ref="M16" si="7">((L16*15000)+(L16*15000)*10%)+8250+((0*150))</f>
        <v>453750</v>
      </c>
      <c r="N16" s="21">
        <f t="shared" ref="N16" si="8">L16*1210</f>
        <v>32670</v>
      </c>
      <c r="O16" s="21">
        <f t="shared" ref="O16" si="9">(L16*2037)+3000</f>
        <v>57999</v>
      </c>
      <c r="P16" s="21">
        <f>L16*500</f>
        <v>13500</v>
      </c>
      <c r="Q16" s="14">
        <f t="shared" ref="Q16" si="10">SUM(M16:P16)</f>
        <v>557919</v>
      </c>
      <c r="R16" s="124" t="s">
        <v>94</v>
      </c>
      <c r="S16" s="124" t="s">
        <v>94</v>
      </c>
      <c r="T16" s="124" t="s">
        <v>94</v>
      </c>
      <c r="U16" s="30"/>
      <c r="V16" s="30"/>
    </row>
    <row r="17" spans="1:22" x14ac:dyDescent="0.25">
      <c r="A17" s="26">
        <v>16</v>
      </c>
      <c r="B17" s="30" t="s">
        <v>757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79</v>
      </c>
      <c r="H17" s="30" t="s">
        <v>89</v>
      </c>
      <c r="I17" s="113">
        <v>44418</v>
      </c>
      <c r="J17" s="30">
        <v>6</v>
      </c>
      <c r="K17" s="30">
        <v>132</v>
      </c>
      <c r="L17" s="30">
        <v>132</v>
      </c>
      <c r="M17" s="23">
        <f t="shared" ref="M17" si="11">((L17*15000)+(L17*15000)*10%)+8250+((0*150))</f>
        <v>2186250</v>
      </c>
      <c r="N17" s="21">
        <f t="shared" ref="N17:N20" si="12">L17*1210</f>
        <v>159720</v>
      </c>
      <c r="O17" s="21">
        <f t="shared" ref="O17:O20" si="13">(L17*2037)+3000</f>
        <v>271884</v>
      </c>
      <c r="P17" s="21">
        <f>L17*2100</f>
        <v>277200</v>
      </c>
      <c r="Q17" s="14">
        <f t="shared" ref="Q17" si="14">SUM(M17:P17)</f>
        <v>2895054</v>
      </c>
      <c r="R17" s="124" t="s">
        <v>94</v>
      </c>
      <c r="S17" s="124" t="s">
        <v>94</v>
      </c>
      <c r="T17" s="124" t="s">
        <v>94</v>
      </c>
      <c r="U17" s="30"/>
      <c r="V17" s="30"/>
    </row>
    <row r="18" spans="1:22" x14ac:dyDescent="0.25">
      <c r="A18" s="26">
        <v>17</v>
      </c>
      <c r="B18" s="30" t="s">
        <v>759</v>
      </c>
      <c r="C18" s="26" t="s">
        <v>29</v>
      </c>
      <c r="D18" s="30" t="s">
        <v>592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3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12"/>
        <v>41140</v>
      </c>
      <c r="O18" s="21">
        <f t="shared" si="13"/>
        <v>72258</v>
      </c>
      <c r="P18" s="21">
        <f>L18*2500</f>
        <v>85000</v>
      </c>
      <c r="Q18" s="14">
        <f t="shared" ref="Q18:Q20" si="15">SUM(M18:P18)</f>
        <v>1240758</v>
      </c>
      <c r="R18" s="124" t="s">
        <v>94</v>
      </c>
      <c r="S18" s="124" t="s">
        <v>94</v>
      </c>
      <c r="T18" s="124" t="s">
        <v>94</v>
      </c>
      <c r="U18" s="30"/>
      <c r="V18" s="30"/>
    </row>
    <row r="19" spans="1:22" x14ac:dyDescent="0.25">
      <c r="A19" s="26">
        <v>18</v>
      </c>
      <c r="B19" s="30" t="s">
        <v>760</v>
      </c>
      <c r="C19" s="26" t="s">
        <v>29</v>
      </c>
      <c r="D19" s="30" t="s">
        <v>762</v>
      </c>
      <c r="E19" s="30" t="s">
        <v>23</v>
      </c>
      <c r="F19" s="30" t="s">
        <v>29</v>
      </c>
      <c r="G19" s="30" t="s">
        <v>45</v>
      </c>
      <c r="H19" s="30" t="s">
        <v>238</v>
      </c>
      <c r="I19" s="113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12"/>
        <v>16940</v>
      </c>
      <c r="O19" s="21">
        <f t="shared" si="13"/>
        <v>31518</v>
      </c>
      <c r="P19" s="21">
        <f>L19*1200</f>
        <v>16800</v>
      </c>
      <c r="Q19" s="14">
        <f t="shared" si="15"/>
        <v>622518</v>
      </c>
      <c r="R19" s="124" t="s">
        <v>94</v>
      </c>
      <c r="S19" s="124" t="s">
        <v>94</v>
      </c>
      <c r="T19" s="124" t="s">
        <v>94</v>
      </c>
      <c r="U19" s="30"/>
      <c r="V19" s="30"/>
    </row>
    <row r="20" spans="1:22" x14ac:dyDescent="0.25">
      <c r="A20" s="26">
        <v>19</v>
      </c>
      <c r="B20" s="30" t="s">
        <v>761</v>
      </c>
      <c r="C20" s="26" t="s">
        <v>29</v>
      </c>
      <c r="D20" s="30" t="s">
        <v>752</v>
      </c>
      <c r="E20" s="30" t="s">
        <v>23</v>
      </c>
      <c r="F20" s="30" t="s">
        <v>29</v>
      </c>
      <c r="G20" s="30" t="s">
        <v>69</v>
      </c>
      <c r="H20" s="30" t="s">
        <v>506</v>
      </c>
      <c r="I20" s="113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12"/>
        <v>12100</v>
      </c>
      <c r="O20" s="21">
        <f t="shared" si="13"/>
        <v>23370</v>
      </c>
      <c r="P20" s="21">
        <f t="shared" ref="P20" si="16">L20*1100</f>
        <v>11000</v>
      </c>
      <c r="Q20" s="14">
        <f t="shared" si="15"/>
        <v>175720</v>
      </c>
      <c r="R20" s="124" t="s">
        <v>94</v>
      </c>
      <c r="S20" s="124" t="s">
        <v>94</v>
      </c>
      <c r="T20" s="124" t="s">
        <v>94</v>
      </c>
      <c r="U20" s="30"/>
      <c r="V20" s="30"/>
    </row>
    <row r="21" spans="1:22" x14ac:dyDescent="0.25">
      <c r="A21" s="26">
        <v>20</v>
      </c>
      <c r="B21" s="30" t="s">
        <v>763</v>
      </c>
      <c r="C21" s="26" t="s">
        <v>29</v>
      </c>
      <c r="D21" s="30" t="s">
        <v>765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3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ref="N21" si="17">L21*1210</f>
        <v>108900</v>
      </c>
      <c r="O21" s="21">
        <f t="shared" ref="O21" si="18">(L21*2037)+3000</f>
        <v>186330</v>
      </c>
      <c r="P21" s="21">
        <f>L21*1100</f>
        <v>99000</v>
      </c>
      <c r="Q21" s="14">
        <f t="shared" ref="Q21" si="19">SUM(M21:P21)</f>
        <v>3139830</v>
      </c>
      <c r="R21" s="124">
        <v>3138480</v>
      </c>
      <c r="S21" s="133" t="s">
        <v>767</v>
      </c>
      <c r="T21" s="124" t="s">
        <v>27</v>
      </c>
      <c r="U21" s="30"/>
      <c r="V21" s="30"/>
    </row>
    <row r="22" spans="1:22" x14ac:dyDescent="0.25">
      <c r="A22" s="26">
        <v>21</v>
      </c>
      <c r="B22" s="30" t="s">
        <v>764</v>
      </c>
      <c r="C22" s="26" t="s">
        <v>29</v>
      </c>
      <c r="D22" s="30" t="s">
        <v>766</v>
      </c>
      <c r="E22" s="30" t="s">
        <v>23</v>
      </c>
      <c r="F22" s="30" t="s">
        <v>29</v>
      </c>
      <c r="G22" s="30" t="s">
        <v>24</v>
      </c>
      <c r="H22" s="30" t="s">
        <v>128</v>
      </c>
      <c r="I22" s="113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ref="N22" si="20">L22*1210</f>
        <v>353320</v>
      </c>
      <c r="O22" s="21">
        <f t="shared" ref="O22" si="21">(L22*2037)+3000</f>
        <v>597804</v>
      </c>
      <c r="P22" s="21">
        <f>L22*1100</f>
        <v>321200</v>
      </c>
      <c r="Q22" s="14">
        <f t="shared" ref="Q22:Q26" si="22">SUM(M22:P22)</f>
        <v>8395154</v>
      </c>
      <c r="R22" s="124">
        <v>9412832</v>
      </c>
      <c r="S22" s="133" t="s">
        <v>768</v>
      </c>
      <c r="T22" s="124" t="s">
        <v>27</v>
      </c>
      <c r="U22" s="30"/>
      <c r="V22" s="30"/>
    </row>
    <row r="23" spans="1:22" x14ac:dyDescent="0.25">
      <c r="A23" s="26">
        <v>22</v>
      </c>
      <c r="B23" s="30" t="s">
        <v>769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3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ref="N23:N26" si="23">L23*1210</f>
        <v>50820</v>
      </c>
      <c r="O23" s="21">
        <f t="shared" ref="O23:O26" si="24">(L23*2037)+3000</f>
        <v>88554</v>
      </c>
      <c r="P23" s="21">
        <f t="shared" ref="P23:P25" si="25">L23*1100</f>
        <v>46200</v>
      </c>
      <c r="Q23" s="14">
        <f t="shared" si="22"/>
        <v>956124</v>
      </c>
      <c r="R23" s="124" t="s">
        <v>94</v>
      </c>
      <c r="S23" s="124" t="s">
        <v>94</v>
      </c>
      <c r="T23" s="124" t="s">
        <v>94</v>
      </c>
      <c r="U23" s="30"/>
      <c r="V23" s="30"/>
    </row>
    <row r="24" spans="1:22" x14ac:dyDescent="0.25">
      <c r="A24" s="26">
        <v>23</v>
      </c>
      <c r="B24" s="30" t="s">
        <v>770</v>
      </c>
      <c r="C24" s="26" t="s">
        <v>29</v>
      </c>
      <c r="D24" s="30" t="s">
        <v>752</v>
      </c>
      <c r="E24" s="30" t="s">
        <v>23</v>
      </c>
      <c r="F24" s="30" t="s">
        <v>29</v>
      </c>
      <c r="G24" s="30" t="s">
        <v>171</v>
      </c>
      <c r="H24" s="30" t="s">
        <v>246</v>
      </c>
      <c r="I24" s="113">
        <v>44421</v>
      </c>
      <c r="J24" s="30">
        <v>2</v>
      </c>
      <c r="K24" s="30">
        <v>26</v>
      </c>
      <c r="L24" s="30">
        <v>41</v>
      </c>
      <c r="M24" s="23">
        <f>((L24*12000)+(L24*12000)*10%)+8250+((0*165))</f>
        <v>549450</v>
      </c>
      <c r="N24" s="21">
        <f t="shared" si="23"/>
        <v>49610</v>
      </c>
      <c r="O24" s="21">
        <f t="shared" si="24"/>
        <v>86517</v>
      </c>
      <c r="P24" s="21">
        <f t="shared" si="25"/>
        <v>45100</v>
      </c>
      <c r="Q24" s="14">
        <f t="shared" si="22"/>
        <v>730677</v>
      </c>
      <c r="R24" s="124" t="s">
        <v>94</v>
      </c>
      <c r="S24" s="124" t="s">
        <v>94</v>
      </c>
      <c r="T24" s="124" t="s">
        <v>94</v>
      </c>
      <c r="U24" s="30"/>
      <c r="V24" s="30"/>
    </row>
    <row r="25" spans="1:22" x14ac:dyDescent="0.25">
      <c r="A25" s="26">
        <v>24</v>
      </c>
      <c r="B25" s="30" t="s">
        <v>771</v>
      </c>
      <c r="C25" s="26" t="s">
        <v>29</v>
      </c>
      <c r="D25" s="30" t="s">
        <v>85</v>
      </c>
      <c r="E25" s="30" t="s">
        <v>23</v>
      </c>
      <c r="F25" s="30" t="s">
        <v>29</v>
      </c>
      <c r="G25" s="30" t="s">
        <v>731</v>
      </c>
      <c r="H25" s="30" t="s">
        <v>732</v>
      </c>
      <c r="I25" s="113">
        <v>44421</v>
      </c>
      <c r="J25" s="30">
        <v>8</v>
      </c>
      <c r="K25" s="30">
        <v>92</v>
      </c>
      <c r="L25" s="30">
        <v>99</v>
      </c>
      <c r="M25" s="23">
        <f>((L25*14000)+(L25*14000)*10%)+8250+((0*165))</f>
        <v>1532850</v>
      </c>
      <c r="N25" s="21">
        <f t="shared" si="23"/>
        <v>119790</v>
      </c>
      <c r="O25" s="21">
        <f t="shared" si="24"/>
        <v>204663</v>
      </c>
      <c r="P25" s="21">
        <f t="shared" si="25"/>
        <v>108900</v>
      </c>
      <c r="Q25" s="14">
        <f t="shared" si="22"/>
        <v>1966203</v>
      </c>
      <c r="R25" s="124" t="s">
        <v>94</v>
      </c>
      <c r="S25" s="124" t="s">
        <v>94</v>
      </c>
      <c r="T25" s="124" t="s">
        <v>94</v>
      </c>
      <c r="U25" s="30"/>
      <c r="V25" s="30"/>
    </row>
    <row r="26" spans="1:22" x14ac:dyDescent="0.25">
      <c r="A26" s="26">
        <v>25</v>
      </c>
      <c r="B26" s="71" t="s">
        <v>772</v>
      </c>
      <c r="C26" s="26" t="s">
        <v>29</v>
      </c>
      <c r="D26" s="71" t="s">
        <v>30</v>
      </c>
      <c r="E26" s="30" t="s">
        <v>491</v>
      </c>
      <c r="F26" s="71" t="s">
        <v>29</v>
      </c>
      <c r="G26" s="71" t="s">
        <v>69</v>
      </c>
      <c r="H26" s="71" t="s">
        <v>506</v>
      </c>
      <c r="I26" s="134">
        <v>44422</v>
      </c>
      <c r="J26" s="71">
        <v>7</v>
      </c>
      <c r="K26" s="73">
        <v>203</v>
      </c>
      <c r="L26" s="73">
        <v>203</v>
      </c>
      <c r="M26" s="23">
        <f>((L26*11000)+(L26*11000)*10%)+8250+((0*150))</f>
        <v>2464550</v>
      </c>
      <c r="N26" s="21">
        <f t="shared" si="23"/>
        <v>245630</v>
      </c>
      <c r="O26" s="21">
        <f t="shared" si="24"/>
        <v>416511</v>
      </c>
      <c r="P26" s="21">
        <f>L26*2100</f>
        <v>426300</v>
      </c>
      <c r="Q26" s="14">
        <f t="shared" si="22"/>
        <v>3552991</v>
      </c>
      <c r="R26" s="123" t="s">
        <v>94</v>
      </c>
      <c r="S26" s="123" t="s">
        <v>94</v>
      </c>
      <c r="T26" s="123" t="s">
        <v>94</v>
      </c>
      <c r="U26" s="30"/>
      <c r="V26" s="30"/>
    </row>
    <row r="27" spans="1:22" x14ac:dyDescent="0.25">
      <c r="A27" s="26">
        <v>26</v>
      </c>
      <c r="B27" s="71" t="s">
        <v>773</v>
      </c>
      <c r="C27" s="26" t="s">
        <v>29</v>
      </c>
      <c r="D27" s="71" t="s">
        <v>30</v>
      </c>
      <c r="E27" s="30" t="s">
        <v>491</v>
      </c>
      <c r="F27" s="71" t="s">
        <v>29</v>
      </c>
      <c r="G27" s="71" t="s">
        <v>210</v>
      </c>
      <c r="H27" s="71" t="s">
        <v>534</v>
      </c>
      <c r="I27" s="134">
        <v>44422</v>
      </c>
      <c r="J27" s="71">
        <v>9</v>
      </c>
      <c r="K27" s="73">
        <v>284</v>
      </c>
      <c r="L27" s="73">
        <v>284</v>
      </c>
      <c r="M27" s="23">
        <f>((L27*8500)+(L27*8500)*10%)+8250+((0*150))</f>
        <v>2663650</v>
      </c>
      <c r="N27" s="21">
        <f t="shared" ref="N27" si="26">L27*1210</f>
        <v>343640</v>
      </c>
      <c r="O27" s="21">
        <f t="shared" ref="O27" si="27">(L27*2037)+3000</f>
        <v>581508</v>
      </c>
      <c r="P27" s="21">
        <f>L27*2100</f>
        <v>596400</v>
      </c>
      <c r="Q27" s="14">
        <f t="shared" ref="Q27" si="28">SUM(M27:P27)</f>
        <v>4185198</v>
      </c>
      <c r="R27" s="123" t="s">
        <v>94</v>
      </c>
      <c r="S27" s="123" t="s">
        <v>94</v>
      </c>
      <c r="T27" s="123" t="s">
        <v>94</v>
      </c>
      <c r="U27" s="30"/>
      <c r="V27" s="30"/>
    </row>
    <row r="28" spans="1:22" x14ac:dyDescent="0.25">
      <c r="A28" s="26">
        <v>27</v>
      </c>
      <c r="B28" s="71" t="s">
        <v>774</v>
      </c>
      <c r="C28" s="26" t="s">
        <v>29</v>
      </c>
      <c r="D28" s="71" t="s">
        <v>30</v>
      </c>
      <c r="E28" s="30" t="s">
        <v>491</v>
      </c>
      <c r="F28" s="71" t="s">
        <v>29</v>
      </c>
      <c r="G28" s="71" t="s">
        <v>263</v>
      </c>
      <c r="H28" s="71" t="s">
        <v>264</v>
      </c>
      <c r="I28" s="134">
        <v>44422</v>
      </c>
      <c r="J28" s="71">
        <v>7</v>
      </c>
      <c r="K28" s="73">
        <v>203</v>
      </c>
      <c r="L28" s="73">
        <v>203</v>
      </c>
      <c r="M28" s="23">
        <f>((L28*10500)+(L28*10500)*10%)+8250+((0*150))</f>
        <v>2352900</v>
      </c>
      <c r="N28" s="21">
        <f t="shared" ref="N28" si="29">L28*1210</f>
        <v>245630</v>
      </c>
      <c r="O28" s="21">
        <f t="shared" ref="O28" si="30">(L28*2037)+3000</f>
        <v>416511</v>
      </c>
      <c r="P28" s="21">
        <f>L28*2100</f>
        <v>426300</v>
      </c>
      <c r="Q28" s="14">
        <f t="shared" ref="Q28" si="31">SUM(M28:P28)</f>
        <v>3441341</v>
      </c>
      <c r="R28" s="123" t="s">
        <v>94</v>
      </c>
      <c r="S28" s="123" t="s">
        <v>94</v>
      </c>
      <c r="T28" s="123" t="s">
        <v>94</v>
      </c>
      <c r="U28" s="30"/>
      <c r="V28" s="30"/>
    </row>
    <row r="29" spans="1:22" x14ac:dyDescent="0.25">
      <c r="A29" s="26">
        <v>28</v>
      </c>
      <c r="B29" s="71" t="s">
        <v>775</v>
      </c>
      <c r="C29" s="26" t="s">
        <v>29</v>
      </c>
      <c r="D29" s="71" t="s">
        <v>30</v>
      </c>
      <c r="E29" s="30" t="s">
        <v>491</v>
      </c>
      <c r="F29" s="71" t="s">
        <v>29</v>
      </c>
      <c r="G29" s="71" t="s">
        <v>79</v>
      </c>
      <c r="H29" s="71" t="s">
        <v>672</v>
      </c>
      <c r="I29" s="134">
        <v>44423</v>
      </c>
      <c r="J29" s="71">
        <v>10</v>
      </c>
      <c r="K29" s="73">
        <v>145</v>
      </c>
      <c r="L29" s="73">
        <v>143</v>
      </c>
      <c r="M29" s="23">
        <f>((L29*15000)+(L29*15000)*10%)+8250+((0*150))</f>
        <v>2367750</v>
      </c>
      <c r="N29" s="21">
        <f t="shared" ref="N29" si="32">L29*1210</f>
        <v>173030</v>
      </c>
      <c r="O29" s="21">
        <f t="shared" ref="O29" si="33">(L29*2037)+3000</f>
        <v>294291</v>
      </c>
      <c r="P29" s="21">
        <f>L29*2100</f>
        <v>300300</v>
      </c>
      <c r="Q29" s="14">
        <f t="shared" ref="Q29" si="34">SUM(M29:P29)</f>
        <v>3135371</v>
      </c>
      <c r="R29" s="123" t="s">
        <v>94</v>
      </c>
      <c r="S29" s="123" t="s">
        <v>94</v>
      </c>
      <c r="T29" s="123" t="s">
        <v>94</v>
      </c>
      <c r="U29" s="30"/>
      <c r="V29" s="30"/>
    </row>
    <row r="30" spans="1:22" x14ac:dyDescent="0.25">
      <c r="A30" s="26">
        <v>29</v>
      </c>
      <c r="B30" s="71" t="s">
        <v>776</v>
      </c>
      <c r="C30" s="26" t="s">
        <v>29</v>
      </c>
      <c r="D30" s="71" t="s">
        <v>752</v>
      </c>
      <c r="E30" s="30" t="s">
        <v>23</v>
      </c>
      <c r="F30" s="71" t="s">
        <v>29</v>
      </c>
      <c r="G30" s="71" t="s">
        <v>35</v>
      </c>
      <c r="H30" s="71" t="s">
        <v>778</v>
      </c>
      <c r="I30" s="134">
        <v>44423</v>
      </c>
      <c r="J30" s="71">
        <v>1</v>
      </c>
      <c r="K30" s="73">
        <v>8</v>
      </c>
      <c r="L30" s="73">
        <v>10</v>
      </c>
      <c r="M30" s="23">
        <f>((L30*10000)+(L30*10000)*10%)+8250+((0*165))</f>
        <v>118250</v>
      </c>
      <c r="N30" s="21">
        <f t="shared" ref="N30:N32" si="35">L30*1210</f>
        <v>12100</v>
      </c>
      <c r="O30" s="21">
        <f t="shared" ref="O30:O32" si="36">(L30*2037)+3000</f>
        <v>23370</v>
      </c>
      <c r="P30" s="21">
        <f t="shared" ref="P30" si="37">L30*1100</f>
        <v>11000</v>
      </c>
      <c r="Q30" s="14">
        <f t="shared" ref="Q30:Q32" si="38">SUM(M30:P30)</f>
        <v>164720</v>
      </c>
      <c r="R30" s="124" t="s">
        <v>94</v>
      </c>
      <c r="S30" s="124" t="s">
        <v>94</v>
      </c>
      <c r="T30" s="124" t="s">
        <v>94</v>
      </c>
      <c r="U30" s="30"/>
      <c r="V30" s="30"/>
    </row>
    <row r="31" spans="1:22" x14ac:dyDescent="0.25">
      <c r="A31" s="26">
        <v>30</v>
      </c>
      <c r="B31" s="99" t="s">
        <v>796</v>
      </c>
      <c r="C31" s="26" t="s">
        <v>29</v>
      </c>
      <c r="D31" s="30" t="s">
        <v>752</v>
      </c>
      <c r="E31" s="30" t="s">
        <v>23</v>
      </c>
      <c r="F31" s="90" t="s">
        <v>29</v>
      </c>
      <c r="G31" s="87" t="s">
        <v>50</v>
      </c>
      <c r="H31" s="87" t="s">
        <v>58</v>
      </c>
      <c r="I31" s="88">
        <v>44423</v>
      </c>
      <c r="J31" s="87">
        <v>1</v>
      </c>
      <c r="K31" s="87">
        <v>11</v>
      </c>
      <c r="L31" s="87">
        <v>11</v>
      </c>
      <c r="M31" s="23">
        <f>((L31*31000)+(L31*31000)*10%)+8250+((0*165))</f>
        <v>383350</v>
      </c>
      <c r="N31" s="21">
        <f t="shared" ref="N31" si="39">L31*1210</f>
        <v>13310</v>
      </c>
      <c r="O31" s="21">
        <f t="shared" ref="O31" si="40">(L31*2037)+3000</f>
        <v>25407</v>
      </c>
      <c r="P31" s="21">
        <f t="shared" ref="P31" si="41">L31*1100</f>
        <v>12100</v>
      </c>
      <c r="Q31" s="14">
        <f t="shared" ref="Q31" si="42">SUM(M31:P31)</f>
        <v>434167</v>
      </c>
      <c r="R31" s="124" t="s">
        <v>94</v>
      </c>
      <c r="S31" s="124" t="s">
        <v>94</v>
      </c>
      <c r="T31" s="124" t="s">
        <v>94</v>
      </c>
      <c r="U31" s="30"/>
      <c r="V31" s="30"/>
    </row>
    <row r="32" spans="1:22" x14ac:dyDescent="0.25">
      <c r="A32" s="26">
        <v>31</v>
      </c>
      <c r="B32" s="71" t="s">
        <v>777</v>
      </c>
      <c r="C32" s="26" t="s">
        <v>29</v>
      </c>
      <c r="D32" s="71" t="s">
        <v>30</v>
      </c>
      <c r="E32" s="30" t="s">
        <v>491</v>
      </c>
      <c r="F32" s="71" t="s">
        <v>29</v>
      </c>
      <c r="G32" s="71" t="s">
        <v>79</v>
      </c>
      <c r="H32" s="71" t="s">
        <v>672</v>
      </c>
      <c r="I32" s="134">
        <v>44423</v>
      </c>
      <c r="J32" s="71">
        <v>10</v>
      </c>
      <c r="K32" s="73">
        <v>320</v>
      </c>
      <c r="L32" s="73">
        <v>320</v>
      </c>
      <c r="M32" s="23">
        <f>((L32*15000)+(L32*15000)*10%)+8250+((0*150))</f>
        <v>5288250</v>
      </c>
      <c r="N32" s="21">
        <f t="shared" si="35"/>
        <v>387200</v>
      </c>
      <c r="O32" s="21">
        <f t="shared" si="36"/>
        <v>654840</v>
      </c>
      <c r="P32" s="21">
        <f>L32*2100</f>
        <v>672000</v>
      </c>
      <c r="Q32" s="14">
        <f t="shared" si="38"/>
        <v>7002290</v>
      </c>
      <c r="R32" s="123" t="s">
        <v>94</v>
      </c>
      <c r="S32" s="123" t="s">
        <v>94</v>
      </c>
      <c r="T32" s="123" t="s">
        <v>94</v>
      </c>
      <c r="U32" s="30"/>
      <c r="V32" s="30"/>
    </row>
    <row r="33" spans="1:22" x14ac:dyDescent="0.25">
      <c r="A33" s="26">
        <v>32</v>
      </c>
      <c r="B33" s="99" t="s">
        <v>797</v>
      </c>
      <c r="C33" s="26" t="s">
        <v>29</v>
      </c>
      <c r="D33" s="30" t="s">
        <v>509</v>
      </c>
      <c r="E33" s="30" t="s">
        <v>23</v>
      </c>
      <c r="F33" s="90" t="s">
        <v>29</v>
      </c>
      <c r="G33" s="87" t="s">
        <v>24</v>
      </c>
      <c r="H33" s="87" t="s">
        <v>128</v>
      </c>
      <c r="I33" s="88">
        <v>44425</v>
      </c>
      <c r="J33" s="87">
        <v>1</v>
      </c>
      <c r="K33" s="87">
        <v>9</v>
      </c>
      <c r="L33" s="87">
        <v>10</v>
      </c>
      <c r="M33" s="23">
        <f>((L33*22000)+(L33*22000)*10%)+8250+((L33*165))</f>
        <v>251900</v>
      </c>
      <c r="N33" s="21">
        <f t="shared" ref="N33:N35" si="43">L33*1210</f>
        <v>12100</v>
      </c>
      <c r="O33" s="21">
        <f t="shared" ref="O33:O35" si="44">(L33*2037)+3000</f>
        <v>23370</v>
      </c>
      <c r="P33" s="21">
        <f>L33*1100</f>
        <v>11000</v>
      </c>
      <c r="Q33" s="14">
        <f t="shared" ref="Q33:Q35" si="45">SUM(M33:P33)</f>
        <v>298370</v>
      </c>
      <c r="R33" s="123" t="s">
        <v>94</v>
      </c>
      <c r="S33" s="123" t="s">
        <v>94</v>
      </c>
      <c r="T33" s="123" t="s">
        <v>94</v>
      </c>
      <c r="U33" s="30"/>
      <c r="V33" s="30"/>
    </row>
    <row r="34" spans="1:22" x14ac:dyDescent="0.25">
      <c r="A34" s="26">
        <v>33</v>
      </c>
      <c r="B34" s="99" t="s">
        <v>798</v>
      </c>
      <c r="C34" s="26" t="s">
        <v>29</v>
      </c>
      <c r="D34" s="30" t="s">
        <v>509</v>
      </c>
      <c r="E34" s="30" t="s">
        <v>23</v>
      </c>
      <c r="F34" s="90" t="s">
        <v>29</v>
      </c>
      <c r="G34" s="87" t="s">
        <v>79</v>
      </c>
      <c r="H34" s="87" t="s">
        <v>800</v>
      </c>
      <c r="I34" s="88">
        <v>44425</v>
      </c>
      <c r="J34" s="87">
        <v>5</v>
      </c>
      <c r="K34" s="87">
        <v>91</v>
      </c>
      <c r="L34" s="87">
        <v>91</v>
      </c>
      <c r="M34" s="23">
        <f>((L34*15000)+(L34*15000)*10%)+8250+((0*150))</f>
        <v>1509750</v>
      </c>
      <c r="N34" s="21">
        <f t="shared" si="43"/>
        <v>110110</v>
      </c>
      <c r="O34" s="21">
        <f t="shared" si="44"/>
        <v>188367</v>
      </c>
      <c r="P34" s="21">
        <f>L34*1100</f>
        <v>100100</v>
      </c>
      <c r="Q34" s="14">
        <f t="shared" si="45"/>
        <v>1908327</v>
      </c>
      <c r="R34" s="123" t="s">
        <v>94</v>
      </c>
      <c r="S34" s="123" t="s">
        <v>94</v>
      </c>
      <c r="T34" s="123" t="s">
        <v>94</v>
      </c>
      <c r="U34" s="30"/>
      <c r="V34" s="30"/>
    </row>
    <row r="35" spans="1:22" x14ac:dyDescent="0.25">
      <c r="A35" s="139">
        <v>34</v>
      </c>
      <c r="B35" s="109" t="s">
        <v>799</v>
      </c>
      <c r="C35" s="139" t="s">
        <v>29</v>
      </c>
      <c r="D35" s="116" t="s">
        <v>509</v>
      </c>
      <c r="E35" s="89" t="s">
        <v>23</v>
      </c>
      <c r="F35" s="91" t="s">
        <v>29</v>
      </c>
      <c r="G35" s="93" t="s">
        <v>727</v>
      </c>
      <c r="H35" s="93" t="s">
        <v>551</v>
      </c>
      <c r="I35" s="94">
        <v>44426</v>
      </c>
      <c r="J35" s="93">
        <v>12</v>
      </c>
      <c r="K35" s="93">
        <v>338</v>
      </c>
      <c r="L35" s="93">
        <v>338</v>
      </c>
      <c r="M35" s="23">
        <f>((L35*32000)+(L35*32000)*10%)+8250+((0*150))</f>
        <v>11905850</v>
      </c>
      <c r="N35" s="21">
        <f t="shared" si="43"/>
        <v>408980</v>
      </c>
      <c r="O35" s="21">
        <f t="shared" si="44"/>
        <v>691506</v>
      </c>
      <c r="P35" s="21">
        <f>L35*1100</f>
        <v>371800</v>
      </c>
      <c r="Q35" s="14">
        <f t="shared" si="45"/>
        <v>13378136</v>
      </c>
      <c r="R35" s="124" t="s">
        <v>94</v>
      </c>
      <c r="S35" s="124" t="s">
        <v>94</v>
      </c>
      <c r="T35" s="124" t="s">
        <v>94</v>
      </c>
      <c r="U35" s="30"/>
      <c r="V35" s="30"/>
    </row>
    <row r="36" spans="1:22" x14ac:dyDescent="0.25">
      <c r="A36" s="26">
        <v>35</v>
      </c>
      <c r="B36" s="30" t="s">
        <v>801</v>
      </c>
      <c r="C36" s="26" t="s">
        <v>29</v>
      </c>
      <c r="D36" s="30" t="s">
        <v>592</v>
      </c>
      <c r="E36" s="30" t="s">
        <v>23</v>
      </c>
      <c r="F36" s="30" t="s">
        <v>29</v>
      </c>
      <c r="G36" s="30" t="s">
        <v>184</v>
      </c>
      <c r="H36" s="30" t="s">
        <v>219</v>
      </c>
      <c r="I36" s="113">
        <v>44426</v>
      </c>
      <c r="J36" s="30">
        <v>1</v>
      </c>
      <c r="K36" s="30">
        <v>19</v>
      </c>
      <c r="L36" s="30">
        <v>28</v>
      </c>
      <c r="M36" s="23">
        <f>((L36*14000)+(L36*14000)*10%)+8250+((0*150))</f>
        <v>439450</v>
      </c>
      <c r="N36" s="21">
        <f t="shared" ref="N36" si="46">L36*1210</f>
        <v>33880</v>
      </c>
      <c r="O36" s="21">
        <f t="shared" ref="O36" si="47">(L36*2037)+3000</f>
        <v>60036</v>
      </c>
      <c r="P36" s="21">
        <f>L36*2500</f>
        <v>70000</v>
      </c>
      <c r="Q36" s="14">
        <f t="shared" ref="Q36" si="48">SUM(M36:P36)</f>
        <v>603366</v>
      </c>
      <c r="R36" s="124" t="s">
        <v>94</v>
      </c>
      <c r="S36" s="124" t="s">
        <v>94</v>
      </c>
      <c r="T36" s="124" t="s">
        <v>94</v>
      </c>
      <c r="U36" s="30"/>
      <c r="V36" s="30"/>
    </row>
    <row r="37" spans="1:22" x14ac:dyDescent="0.25">
      <c r="A37" s="139">
        <v>36</v>
      </c>
      <c r="B37" s="30" t="s">
        <v>802</v>
      </c>
      <c r="C37" s="26" t="s">
        <v>29</v>
      </c>
      <c r="D37" s="30" t="s">
        <v>592</v>
      </c>
      <c r="E37" s="30" t="s">
        <v>23</v>
      </c>
      <c r="F37" s="30" t="s">
        <v>29</v>
      </c>
      <c r="G37" s="30" t="s">
        <v>45</v>
      </c>
      <c r="H37" s="30" t="s">
        <v>238</v>
      </c>
      <c r="I37" s="113">
        <v>44426</v>
      </c>
      <c r="J37" s="30">
        <v>1</v>
      </c>
      <c r="K37" s="30">
        <v>11</v>
      </c>
      <c r="L37" s="30">
        <v>16</v>
      </c>
      <c r="M37" s="23">
        <f>((L37*35500)+(L37*35500)*10%)+8250+((L37*150))</f>
        <v>635450</v>
      </c>
      <c r="N37" s="21">
        <f t="shared" ref="N37:N38" si="49">L37*1210</f>
        <v>19360</v>
      </c>
      <c r="O37" s="21">
        <f t="shared" ref="O37:O38" si="50">(L37*2037)+3000</f>
        <v>35592</v>
      </c>
      <c r="P37" s="21">
        <f t="shared" ref="P37:P38" si="51">L37*2500</f>
        <v>40000</v>
      </c>
      <c r="Q37" s="14">
        <f t="shared" ref="Q37:Q39" si="52">SUM(M37:P37)</f>
        <v>730402</v>
      </c>
      <c r="R37" s="124" t="s">
        <v>94</v>
      </c>
      <c r="S37" s="124" t="s">
        <v>94</v>
      </c>
      <c r="T37" s="124" t="s">
        <v>94</v>
      </c>
      <c r="U37" s="30"/>
      <c r="V37" s="30"/>
    </row>
    <row r="38" spans="1:22" x14ac:dyDescent="0.25">
      <c r="A38" s="26">
        <v>37</v>
      </c>
      <c r="B38" s="30" t="s">
        <v>803</v>
      </c>
      <c r="C38" s="26" t="s">
        <v>29</v>
      </c>
      <c r="D38" s="30" t="s">
        <v>592</v>
      </c>
      <c r="E38" s="30" t="s">
        <v>23</v>
      </c>
      <c r="F38" s="30" t="s">
        <v>29</v>
      </c>
      <c r="G38" s="30" t="s">
        <v>166</v>
      </c>
      <c r="H38" s="30" t="s">
        <v>503</v>
      </c>
      <c r="I38" s="113">
        <v>44426</v>
      </c>
      <c r="J38" s="30">
        <v>1</v>
      </c>
      <c r="K38" s="30">
        <v>19</v>
      </c>
      <c r="L38" s="30">
        <v>28</v>
      </c>
      <c r="M38" s="23">
        <f>((L38*9000)+(L38*9000)*10%)+8250+((0*150))</f>
        <v>285450</v>
      </c>
      <c r="N38" s="21">
        <f t="shared" si="49"/>
        <v>33880</v>
      </c>
      <c r="O38" s="21">
        <f t="shared" si="50"/>
        <v>60036</v>
      </c>
      <c r="P38" s="21">
        <f t="shared" si="51"/>
        <v>70000</v>
      </c>
      <c r="Q38" s="14">
        <f t="shared" si="52"/>
        <v>449366</v>
      </c>
      <c r="R38" s="124" t="s">
        <v>94</v>
      </c>
      <c r="S38" s="124" t="s">
        <v>94</v>
      </c>
      <c r="T38" s="124" t="s">
        <v>94</v>
      </c>
      <c r="U38" s="30"/>
      <c r="V38" s="30"/>
    </row>
    <row r="39" spans="1:22" x14ac:dyDescent="0.25">
      <c r="A39" s="26">
        <v>38</v>
      </c>
      <c r="B39" s="30"/>
      <c r="C39" s="26" t="s">
        <v>804</v>
      </c>
      <c r="D39" s="30" t="s">
        <v>766</v>
      </c>
      <c r="E39" s="30" t="s">
        <v>23</v>
      </c>
      <c r="F39" s="30" t="s">
        <v>21</v>
      </c>
      <c r="G39" s="30" t="s">
        <v>24</v>
      </c>
      <c r="H39" s="30"/>
      <c r="I39" s="113">
        <v>44426</v>
      </c>
      <c r="J39" s="30">
        <v>10</v>
      </c>
      <c r="K39" s="30">
        <v>253</v>
      </c>
      <c r="L39" s="30">
        <v>253</v>
      </c>
      <c r="M39" s="21">
        <f>L39*27500</f>
        <v>6957500</v>
      </c>
      <c r="N39" s="21">
        <f>L39*3500</f>
        <v>885500</v>
      </c>
      <c r="O39" s="21">
        <v>20000</v>
      </c>
      <c r="P39" s="30"/>
      <c r="Q39" s="14">
        <f t="shared" si="52"/>
        <v>7863000</v>
      </c>
      <c r="R39" s="124">
        <v>7863000</v>
      </c>
      <c r="S39" s="133" t="s">
        <v>808</v>
      </c>
      <c r="T39" s="124" t="s">
        <v>27</v>
      </c>
      <c r="U39" s="30"/>
      <c r="V39" s="30"/>
    </row>
    <row r="40" spans="1:22" x14ac:dyDescent="0.25">
      <c r="A40" s="26">
        <v>39</v>
      </c>
      <c r="B40" s="30" t="s">
        <v>805</v>
      </c>
      <c r="C40" s="26" t="s">
        <v>21</v>
      </c>
      <c r="D40" s="30" t="s">
        <v>806</v>
      </c>
      <c r="E40" s="30" t="s">
        <v>23</v>
      </c>
      <c r="F40" s="30" t="s">
        <v>21</v>
      </c>
      <c r="G40" s="30" t="s">
        <v>79</v>
      </c>
      <c r="H40" s="30" t="s">
        <v>200</v>
      </c>
      <c r="I40" s="113">
        <v>44426</v>
      </c>
      <c r="J40" s="30">
        <v>10</v>
      </c>
      <c r="K40" s="30">
        <v>228</v>
      </c>
      <c r="L40" s="30">
        <v>228</v>
      </c>
      <c r="M40" s="23">
        <f>((L40*12500)+(L40*12500)*10%)+8250+((0*150))</f>
        <v>3143250</v>
      </c>
      <c r="N40" s="21">
        <f>L40*869</f>
        <v>198132</v>
      </c>
      <c r="O40" s="21">
        <f>(L40*1153)+20000</f>
        <v>282884</v>
      </c>
      <c r="P40" s="21">
        <f>L40*1100</f>
        <v>250800</v>
      </c>
      <c r="Q40" s="14">
        <f t="shared" ref="Q40:Q65" si="53">SUM(M40:P40)</f>
        <v>3875066</v>
      </c>
      <c r="R40" s="124">
        <v>3875066</v>
      </c>
      <c r="S40" s="133" t="s">
        <v>807</v>
      </c>
      <c r="T40" s="124" t="s">
        <v>27</v>
      </c>
      <c r="U40" s="30"/>
      <c r="V40" s="30"/>
    </row>
    <row r="41" spans="1:22" x14ac:dyDescent="0.25">
      <c r="A41" s="26">
        <v>40</v>
      </c>
      <c r="B41" s="71" t="s">
        <v>799</v>
      </c>
      <c r="C41" s="26" t="s">
        <v>29</v>
      </c>
      <c r="D41" s="71" t="s">
        <v>509</v>
      </c>
      <c r="E41" s="30" t="s">
        <v>23</v>
      </c>
      <c r="F41" s="71" t="s">
        <v>29</v>
      </c>
      <c r="G41" s="71" t="s">
        <v>727</v>
      </c>
      <c r="H41" s="71" t="s">
        <v>551</v>
      </c>
      <c r="I41" s="113">
        <v>44427</v>
      </c>
      <c r="J41" s="71">
        <v>12</v>
      </c>
      <c r="K41" s="71">
        <v>338</v>
      </c>
      <c r="L41" s="71">
        <v>338</v>
      </c>
      <c r="M41" s="23">
        <f>((L41*32000)+(L41*32000)*10%)+8250+((0*150))</f>
        <v>11905850</v>
      </c>
      <c r="N41" s="21">
        <f t="shared" ref="N41:N65" si="54">L41*1210</f>
        <v>408980</v>
      </c>
      <c r="O41" s="21">
        <f t="shared" ref="O41:O65" si="55">(L41*2037)+3000</f>
        <v>691506</v>
      </c>
      <c r="P41" s="21">
        <f>L41*1100</f>
        <v>371800</v>
      </c>
      <c r="Q41" s="14">
        <f t="shared" si="53"/>
        <v>13378136</v>
      </c>
      <c r="R41" s="124" t="s">
        <v>94</v>
      </c>
      <c r="S41" s="124" t="s">
        <v>94</v>
      </c>
      <c r="T41" s="124" t="s">
        <v>94</v>
      </c>
      <c r="U41" s="30"/>
      <c r="V41" s="30"/>
    </row>
    <row r="42" spans="1:22" x14ac:dyDescent="0.25">
      <c r="A42" s="26">
        <v>41</v>
      </c>
      <c r="B42" s="30" t="s">
        <v>809</v>
      </c>
      <c r="C42" s="26" t="s">
        <v>29</v>
      </c>
      <c r="D42" s="30" t="s">
        <v>833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((L42*22000)+(L42*22000)*10%)+8250+((L42*150))</f>
        <v>2491950</v>
      </c>
      <c r="N42" s="21">
        <f t="shared" si="54"/>
        <v>123420</v>
      </c>
      <c r="O42" s="21">
        <f t="shared" si="55"/>
        <v>210774</v>
      </c>
      <c r="P42" s="21">
        <f t="shared" ref="P42:P65" si="56">L42*1100</f>
        <v>112200</v>
      </c>
      <c r="Q42" s="14">
        <f t="shared" si="53"/>
        <v>2938344</v>
      </c>
      <c r="R42" s="124" t="s">
        <v>94</v>
      </c>
      <c r="S42" s="124" t="s">
        <v>94</v>
      </c>
      <c r="T42" s="124" t="s">
        <v>94</v>
      </c>
      <c r="U42" s="30"/>
      <c r="V42" s="30"/>
    </row>
    <row r="43" spans="1:22" x14ac:dyDescent="0.25">
      <c r="A43" s="26">
        <v>42</v>
      </c>
      <c r="B43" s="30" t="s">
        <v>810</v>
      </c>
      <c r="C43" s="26" t="s">
        <v>29</v>
      </c>
      <c r="D43" s="30" t="s">
        <v>30</v>
      </c>
      <c r="E43" s="30" t="s">
        <v>491</v>
      </c>
      <c r="F43" s="30" t="s">
        <v>29</v>
      </c>
      <c r="G43" s="30" t="s">
        <v>60</v>
      </c>
      <c r="H43" s="30" t="s">
        <v>834</v>
      </c>
      <c r="I43" s="36">
        <v>44427</v>
      </c>
      <c r="J43" s="30">
        <v>3</v>
      </c>
      <c r="K43" s="30">
        <v>58</v>
      </c>
      <c r="L43" s="30">
        <v>58</v>
      </c>
      <c r="M43" s="23">
        <f>((L43*14500)+(L43*14500)*10%)+8250+((0*150))</f>
        <v>933350</v>
      </c>
      <c r="N43" s="21">
        <f t="shared" si="54"/>
        <v>70180</v>
      </c>
      <c r="O43" s="21">
        <f t="shared" si="55"/>
        <v>121146</v>
      </c>
      <c r="P43" s="21">
        <f>L43*2100</f>
        <v>121800</v>
      </c>
      <c r="Q43" s="14">
        <f t="shared" si="53"/>
        <v>1246476</v>
      </c>
      <c r="R43" s="124" t="s">
        <v>94</v>
      </c>
      <c r="S43" s="124" t="s">
        <v>94</v>
      </c>
      <c r="T43" s="124" t="s">
        <v>94</v>
      </c>
      <c r="U43" s="30"/>
      <c r="V43" s="30"/>
    </row>
    <row r="44" spans="1:22" x14ac:dyDescent="0.25">
      <c r="A44" s="26">
        <v>43</v>
      </c>
      <c r="B44" s="30" t="s">
        <v>811</v>
      </c>
      <c r="C44" s="26" t="s">
        <v>29</v>
      </c>
      <c r="D44" s="30" t="s">
        <v>833</v>
      </c>
      <c r="E44" s="30" t="s">
        <v>23</v>
      </c>
      <c r="F44" s="30" t="s">
        <v>29</v>
      </c>
      <c r="G44" s="30" t="s">
        <v>60</v>
      </c>
      <c r="H44" s="30" t="s">
        <v>834</v>
      </c>
      <c r="I44" s="36">
        <v>44427</v>
      </c>
      <c r="J44" s="30">
        <v>6</v>
      </c>
      <c r="K44" s="30">
        <v>16</v>
      </c>
      <c r="L44" s="30">
        <v>18</v>
      </c>
      <c r="M44" s="23">
        <f>((L44*14500)+(L44*14500)*10%)+8250+((0*150))</f>
        <v>295350</v>
      </c>
      <c r="N44" s="21">
        <f t="shared" si="54"/>
        <v>21780</v>
      </c>
      <c r="O44" s="21">
        <f t="shared" si="55"/>
        <v>39666</v>
      </c>
      <c r="P44" s="21">
        <f t="shared" si="56"/>
        <v>19800</v>
      </c>
      <c r="Q44" s="14">
        <f t="shared" si="53"/>
        <v>376596</v>
      </c>
      <c r="R44" s="124" t="s">
        <v>94</v>
      </c>
      <c r="S44" s="124" t="s">
        <v>94</v>
      </c>
      <c r="T44" s="124" t="s">
        <v>94</v>
      </c>
      <c r="U44" s="30"/>
      <c r="V44" s="30"/>
    </row>
    <row r="45" spans="1:22" x14ac:dyDescent="0.25">
      <c r="A45" s="26">
        <v>44</v>
      </c>
      <c r="B45" s="30" t="s">
        <v>812</v>
      </c>
      <c r="C45" s="26" t="s">
        <v>29</v>
      </c>
      <c r="D45" s="30" t="s">
        <v>833</v>
      </c>
      <c r="E45" s="30" t="s">
        <v>23</v>
      </c>
      <c r="F45" s="30" t="s">
        <v>29</v>
      </c>
      <c r="G45" s="30" t="s">
        <v>231</v>
      </c>
      <c r="H45" s="30" t="s">
        <v>656</v>
      </c>
      <c r="I45" s="36">
        <v>44427</v>
      </c>
      <c r="J45" s="30">
        <v>5</v>
      </c>
      <c r="K45" s="30">
        <v>40</v>
      </c>
      <c r="L45" s="30">
        <v>40</v>
      </c>
      <c r="M45" s="23">
        <f>((L45*24000)+(L45*24000)*10%)+8250+((0*150))</f>
        <v>1064250</v>
      </c>
      <c r="N45" s="21">
        <f t="shared" si="54"/>
        <v>48400</v>
      </c>
      <c r="O45" s="21">
        <f t="shared" si="55"/>
        <v>84480</v>
      </c>
      <c r="P45" s="21">
        <f t="shared" si="56"/>
        <v>44000</v>
      </c>
      <c r="Q45" s="14">
        <f t="shared" si="53"/>
        <v>1241130</v>
      </c>
      <c r="R45" s="124" t="s">
        <v>94</v>
      </c>
      <c r="S45" s="124" t="s">
        <v>94</v>
      </c>
      <c r="T45" s="124" t="s">
        <v>94</v>
      </c>
      <c r="U45" s="30"/>
      <c r="V45" s="30"/>
    </row>
    <row r="46" spans="1:22" x14ac:dyDescent="0.25">
      <c r="A46" s="26">
        <v>45</v>
      </c>
      <c r="B46" s="30" t="s">
        <v>813</v>
      </c>
      <c r="C46" s="26" t="s">
        <v>29</v>
      </c>
      <c r="D46" s="30" t="s">
        <v>833</v>
      </c>
      <c r="E46" s="30" t="s">
        <v>23</v>
      </c>
      <c r="F46" s="30" t="s">
        <v>29</v>
      </c>
      <c r="G46" s="30" t="s">
        <v>210</v>
      </c>
      <c r="H46" s="30" t="s">
        <v>534</v>
      </c>
      <c r="I46" s="36">
        <v>44427</v>
      </c>
      <c r="J46" s="30">
        <v>3</v>
      </c>
      <c r="K46" s="30">
        <v>12</v>
      </c>
      <c r="L46" s="30">
        <v>19</v>
      </c>
      <c r="M46" s="23">
        <f>((L46*8500)+(L46*8500)*10%)+8250+((0*150))</f>
        <v>185900</v>
      </c>
      <c r="N46" s="21">
        <f t="shared" si="54"/>
        <v>22990</v>
      </c>
      <c r="O46" s="21">
        <f t="shared" si="55"/>
        <v>41703</v>
      </c>
      <c r="P46" s="21">
        <f t="shared" si="56"/>
        <v>20900</v>
      </c>
      <c r="Q46" s="14">
        <f t="shared" si="53"/>
        <v>271493</v>
      </c>
      <c r="R46" s="124" t="s">
        <v>94</v>
      </c>
      <c r="S46" s="124" t="s">
        <v>94</v>
      </c>
      <c r="T46" s="124" t="s">
        <v>94</v>
      </c>
      <c r="U46" s="30"/>
      <c r="V46" s="30"/>
    </row>
    <row r="47" spans="1:22" x14ac:dyDescent="0.25">
      <c r="A47" s="26">
        <v>46</v>
      </c>
      <c r="B47" s="30" t="s">
        <v>814</v>
      </c>
      <c r="C47" s="26" t="s">
        <v>29</v>
      </c>
      <c r="D47" s="30" t="s">
        <v>509</v>
      </c>
      <c r="E47" s="30" t="s">
        <v>23</v>
      </c>
      <c r="F47" s="30" t="s">
        <v>29</v>
      </c>
      <c r="G47" s="30" t="s">
        <v>79</v>
      </c>
      <c r="H47" s="30" t="s">
        <v>743</v>
      </c>
      <c r="I47" s="36">
        <v>44427</v>
      </c>
      <c r="J47" s="30">
        <v>6</v>
      </c>
      <c r="K47" s="30">
        <v>153</v>
      </c>
      <c r="L47" s="30">
        <v>153</v>
      </c>
      <c r="M47" s="23">
        <f>((L47*15000)+(L47*15000)*10%)+8250+((0*150))</f>
        <v>2532750</v>
      </c>
      <c r="N47" s="21">
        <f t="shared" si="54"/>
        <v>185130</v>
      </c>
      <c r="O47" s="21">
        <f t="shared" si="55"/>
        <v>314661</v>
      </c>
      <c r="P47" s="21">
        <f t="shared" si="56"/>
        <v>168300</v>
      </c>
      <c r="Q47" s="14">
        <f t="shared" si="53"/>
        <v>3200841</v>
      </c>
      <c r="R47" s="124" t="s">
        <v>94</v>
      </c>
      <c r="S47" s="124" t="s">
        <v>94</v>
      </c>
      <c r="T47" s="124" t="s">
        <v>94</v>
      </c>
      <c r="U47" s="30"/>
      <c r="V47" s="30"/>
    </row>
    <row r="48" spans="1:22" x14ac:dyDescent="0.25">
      <c r="A48" s="26">
        <v>47</v>
      </c>
      <c r="B48" s="30" t="s">
        <v>815</v>
      </c>
      <c r="C48" s="26" t="s">
        <v>29</v>
      </c>
      <c r="D48" s="30" t="s">
        <v>833</v>
      </c>
      <c r="E48" s="30" t="s">
        <v>23</v>
      </c>
      <c r="F48" s="30" t="s">
        <v>29</v>
      </c>
      <c r="G48" s="30" t="s">
        <v>171</v>
      </c>
      <c r="H48" s="30" t="s">
        <v>246</v>
      </c>
      <c r="I48" s="36">
        <v>44427</v>
      </c>
      <c r="J48" s="30">
        <v>4</v>
      </c>
      <c r="K48" s="30">
        <v>75</v>
      </c>
      <c r="L48" s="30">
        <v>75</v>
      </c>
      <c r="M48" s="23">
        <f>((L48*12000)+(L48*12000)*10%)+8250+((0*150))</f>
        <v>998250</v>
      </c>
      <c r="N48" s="21">
        <f t="shared" si="54"/>
        <v>90750</v>
      </c>
      <c r="O48" s="21">
        <f t="shared" si="55"/>
        <v>155775</v>
      </c>
      <c r="P48" s="21">
        <f t="shared" si="56"/>
        <v>82500</v>
      </c>
      <c r="Q48" s="14">
        <f t="shared" si="53"/>
        <v>1327275</v>
      </c>
      <c r="R48" s="124" t="s">
        <v>94</v>
      </c>
      <c r="S48" s="124" t="s">
        <v>94</v>
      </c>
      <c r="T48" s="124" t="s">
        <v>94</v>
      </c>
      <c r="U48" s="30"/>
      <c r="V48" s="30"/>
    </row>
    <row r="49" spans="1:22" x14ac:dyDescent="0.25">
      <c r="A49" s="26">
        <v>48</v>
      </c>
      <c r="B49" s="30" t="s">
        <v>816</v>
      </c>
      <c r="C49" s="26" t="s">
        <v>29</v>
      </c>
      <c r="D49" s="30" t="s">
        <v>833</v>
      </c>
      <c r="E49" s="30" t="s">
        <v>23</v>
      </c>
      <c r="F49" s="30" t="s">
        <v>29</v>
      </c>
      <c r="G49" s="30" t="s">
        <v>184</v>
      </c>
      <c r="H49" s="30" t="s">
        <v>835</v>
      </c>
      <c r="I49" s="36">
        <v>44427</v>
      </c>
      <c r="J49" s="30">
        <v>9</v>
      </c>
      <c r="K49" s="30">
        <v>101</v>
      </c>
      <c r="L49" s="30">
        <v>101</v>
      </c>
      <c r="M49" s="23">
        <f>((L49*14000)+(L49*14000)*10%)+8250+((0*150))</f>
        <v>1563650</v>
      </c>
      <c r="N49" s="21">
        <f t="shared" si="54"/>
        <v>122210</v>
      </c>
      <c r="O49" s="21">
        <f t="shared" si="55"/>
        <v>208737</v>
      </c>
      <c r="P49" s="21">
        <f t="shared" si="56"/>
        <v>111100</v>
      </c>
      <c r="Q49" s="14">
        <f t="shared" si="53"/>
        <v>2005697</v>
      </c>
      <c r="R49" s="124" t="s">
        <v>94</v>
      </c>
      <c r="S49" s="124" t="s">
        <v>94</v>
      </c>
      <c r="T49" s="124" t="s">
        <v>94</v>
      </c>
      <c r="U49" s="30"/>
      <c r="V49" s="30"/>
    </row>
    <row r="50" spans="1:22" x14ac:dyDescent="0.25">
      <c r="A50" s="26">
        <v>49</v>
      </c>
      <c r="B50" s="30" t="s">
        <v>817</v>
      </c>
      <c r="C50" s="26" t="s">
        <v>29</v>
      </c>
      <c r="D50" s="30" t="s">
        <v>833</v>
      </c>
      <c r="E50" s="30" t="s">
        <v>23</v>
      </c>
      <c r="F50" s="30" t="s">
        <v>29</v>
      </c>
      <c r="G50" s="30" t="s">
        <v>241</v>
      </c>
      <c r="H50" s="30" t="s">
        <v>102</v>
      </c>
      <c r="I50" s="36">
        <v>44427</v>
      </c>
      <c r="J50" s="30">
        <v>3</v>
      </c>
      <c r="K50" s="30">
        <v>41</v>
      </c>
      <c r="L50" s="30">
        <v>41</v>
      </c>
      <c r="M50" s="23">
        <f>((L50*27500)+(L50*27500)*10%)+8250+((L50*150))</f>
        <v>1254650</v>
      </c>
      <c r="N50" s="21">
        <f t="shared" si="54"/>
        <v>49610</v>
      </c>
      <c r="O50" s="21">
        <f t="shared" si="55"/>
        <v>86517</v>
      </c>
      <c r="P50" s="21">
        <f t="shared" si="56"/>
        <v>45100</v>
      </c>
      <c r="Q50" s="14">
        <f t="shared" si="53"/>
        <v>1435877</v>
      </c>
      <c r="R50" s="124" t="s">
        <v>94</v>
      </c>
      <c r="S50" s="124" t="s">
        <v>94</v>
      </c>
      <c r="T50" s="124" t="s">
        <v>94</v>
      </c>
      <c r="U50" s="30"/>
      <c r="V50" s="30"/>
    </row>
    <row r="51" spans="1:22" x14ac:dyDescent="0.25">
      <c r="A51" s="26">
        <v>50</v>
      </c>
      <c r="B51" s="30" t="s">
        <v>818</v>
      </c>
      <c r="C51" s="26" t="s">
        <v>29</v>
      </c>
      <c r="D51" s="30" t="s">
        <v>836</v>
      </c>
      <c r="E51" s="30" t="s">
        <v>23</v>
      </c>
      <c r="F51" s="30" t="s">
        <v>29</v>
      </c>
      <c r="G51" s="30" t="s">
        <v>50</v>
      </c>
      <c r="H51" s="30" t="s">
        <v>58</v>
      </c>
      <c r="I51" s="36">
        <v>44427</v>
      </c>
      <c r="J51" s="30">
        <v>2</v>
      </c>
      <c r="K51" s="30">
        <v>73</v>
      </c>
      <c r="L51" s="30">
        <v>73</v>
      </c>
      <c r="M51" s="23">
        <f>((L51*31000)+(L51*31000)*10%)+8250+((0*150))</f>
        <v>2497550</v>
      </c>
      <c r="N51" s="21">
        <f t="shared" si="54"/>
        <v>88330</v>
      </c>
      <c r="O51" s="21">
        <f t="shared" si="55"/>
        <v>151701</v>
      </c>
      <c r="P51" s="21">
        <f t="shared" si="56"/>
        <v>80300</v>
      </c>
      <c r="Q51" s="14">
        <f t="shared" si="53"/>
        <v>2817881</v>
      </c>
      <c r="R51" s="124" t="s">
        <v>94</v>
      </c>
      <c r="S51" s="124" t="s">
        <v>94</v>
      </c>
      <c r="T51" s="124" t="s">
        <v>94</v>
      </c>
      <c r="U51" s="30"/>
      <c r="V51" s="30"/>
    </row>
    <row r="52" spans="1:22" x14ac:dyDescent="0.25">
      <c r="A52" s="26">
        <v>51</v>
      </c>
      <c r="B52" s="30" t="s">
        <v>819</v>
      </c>
      <c r="C52" s="26" t="s">
        <v>29</v>
      </c>
      <c r="D52" s="30" t="s">
        <v>837</v>
      </c>
      <c r="E52" s="30" t="s">
        <v>23</v>
      </c>
      <c r="F52" s="30" t="s">
        <v>29</v>
      </c>
      <c r="G52" s="30" t="s">
        <v>263</v>
      </c>
      <c r="H52" s="30" t="s">
        <v>264</v>
      </c>
      <c r="I52" s="36">
        <v>44427</v>
      </c>
      <c r="J52" s="30">
        <v>2</v>
      </c>
      <c r="K52" s="30">
        <v>13</v>
      </c>
      <c r="L52" s="30">
        <v>17</v>
      </c>
      <c r="M52" s="23">
        <f>((L52*10500)+(L52*10500)*10%)+8250+((0*150))</f>
        <v>204600</v>
      </c>
      <c r="N52" s="21">
        <f t="shared" si="54"/>
        <v>20570</v>
      </c>
      <c r="O52" s="21">
        <f t="shared" si="55"/>
        <v>37629</v>
      </c>
      <c r="P52" s="21">
        <f t="shared" si="56"/>
        <v>18700</v>
      </c>
      <c r="Q52" s="14">
        <f t="shared" si="53"/>
        <v>281499</v>
      </c>
      <c r="R52" s="124" t="s">
        <v>94</v>
      </c>
      <c r="S52" s="124" t="s">
        <v>94</v>
      </c>
      <c r="T52" s="124" t="s">
        <v>94</v>
      </c>
      <c r="U52" s="30"/>
      <c r="V52" s="30"/>
    </row>
    <row r="53" spans="1:22" x14ac:dyDescent="0.25">
      <c r="A53" s="26">
        <v>52</v>
      </c>
      <c r="B53" s="30" t="s">
        <v>820</v>
      </c>
      <c r="C53" s="26" t="s">
        <v>29</v>
      </c>
      <c r="D53" s="30" t="s">
        <v>838</v>
      </c>
      <c r="E53" s="30" t="s">
        <v>23</v>
      </c>
      <c r="F53" s="30" t="s">
        <v>29</v>
      </c>
      <c r="G53" s="30" t="s">
        <v>727</v>
      </c>
      <c r="H53" s="30" t="s">
        <v>551</v>
      </c>
      <c r="I53" s="36">
        <v>44427</v>
      </c>
      <c r="J53" s="30">
        <v>1</v>
      </c>
      <c r="K53" s="30">
        <v>14</v>
      </c>
      <c r="L53" s="30">
        <v>24</v>
      </c>
      <c r="M53" s="23">
        <f>((L53*32000)+(L53*32000)*10%)+8250+((0*150))</f>
        <v>853050</v>
      </c>
      <c r="N53" s="21">
        <f t="shared" si="54"/>
        <v>29040</v>
      </c>
      <c r="O53" s="21">
        <f t="shared" si="55"/>
        <v>51888</v>
      </c>
      <c r="P53" s="21">
        <f t="shared" si="56"/>
        <v>26400</v>
      </c>
      <c r="Q53" s="14">
        <f t="shared" si="53"/>
        <v>960378</v>
      </c>
      <c r="R53" s="124" t="s">
        <v>94</v>
      </c>
      <c r="S53" s="124" t="s">
        <v>94</v>
      </c>
      <c r="T53" s="124" t="s">
        <v>94</v>
      </c>
      <c r="U53" s="30"/>
      <c r="V53" s="30"/>
    </row>
    <row r="54" spans="1:22" x14ac:dyDescent="0.25">
      <c r="A54" s="26">
        <v>53</v>
      </c>
      <c r="B54" s="30" t="s">
        <v>821</v>
      </c>
      <c r="C54" s="26" t="s">
        <v>29</v>
      </c>
      <c r="D54" s="30" t="s">
        <v>30</v>
      </c>
      <c r="E54" s="30" t="s">
        <v>491</v>
      </c>
      <c r="F54" s="30" t="s">
        <v>29</v>
      </c>
      <c r="G54" s="30" t="s">
        <v>184</v>
      </c>
      <c r="H54" s="30" t="s">
        <v>219</v>
      </c>
      <c r="I54" s="36">
        <v>44427</v>
      </c>
      <c r="J54" s="30">
        <v>4</v>
      </c>
      <c r="K54" s="30">
        <v>60</v>
      </c>
      <c r="L54" s="30">
        <v>60</v>
      </c>
      <c r="M54" s="23">
        <f>((L54*14000)+(L54*14000)*10%)+8250+((0*150))</f>
        <v>932250</v>
      </c>
      <c r="N54" s="21">
        <f t="shared" si="54"/>
        <v>72600</v>
      </c>
      <c r="O54" s="21">
        <f t="shared" si="55"/>
        <v>125220</v>
      </c>
      <c r="P54" s="21">
        <f>L54*2100</f>
        <v>126000</v>
      </c>
      <c r="Q54" s="14">
        <f t="shared" si="53"/>
        <v>1256070</v>
      </c>
      <c r="R54" s="124" t="s">
        <v>94</v>
      </c>
      <c r="S54" s="124" t="s">
        <v>94</v>
      </c>
      <c r="T54" s="124" t="s">
        <v>94</v>
      </c>
      <c r="U54" s="30"/>
      <c r="V54" s="30"/>
    </row>
    <row r="55" spans="1:22" x14ac:dyDescent="0.25">
      <c r="A55" s="26">
        <v>54</v>
      </c>
      <c r="B55" s="30" t="s">
        <v>822</v>
      </c>
      <c r="C55" s="26" t="s">
        <v>29</v>
      </c>
      <c r="D55" s="30" t="s">
        <v>833</v>
      </c>
      <c r="E55" s="30" t="s">
        <v>23</v>
      </c>
      <c r="F55" s="30" t="s">
        <v>29</v>
      </c>
      <c r="G55" s="30" t="s">
        <v>79</v>
      </c>
      <c r="H55" s="30" t="s">
        <v>672</v>
      </c>
      <c r="I55" s="36">
        <v>44427</v>
      </c>
      <c r="J55" s="30">
        <v>13</v>
      </c>
      <c r="K55" s="30">
        <v>196</v>
      </c>
      <c r="L55" s="30">
        <v>196</v>
      </c>
      <c r="M55" s="23">
        <f>((L55*15000)+(L55*15000)*10%)+8250+((0*150))</f>
        <v>3242250</v>
      </c>
      <c r="N55" s="21">
        <f t="shared" si="54"/>
        <v>237160</v>
      </c>
      <c r="O55" s="21">
        <f t="shared" si="55"/>
        <v>402252</v>
      </c>
      <c r="P55" s="21">
        <f t="shared" si="56"/>
        <v>215600</v>
      </c>
      <c r="Q55" s="14">
        <f t="shared" si="53"/>
        <v>4097262</v>
      </c>
      <c r="R55" s="124" t="s">
        <v>94</v>
      </c>
      <c r="S55" s="124" t="s">
        <v>94</v>
      </c>
      <c r="T55" s="124" t="s">
        <v>94</v>
      </c>
      <c r="U55" s="30"/>
      <c r="V55" s="30"/>
    </row>
    <row r="56" spans="1:22" x14ac:dyDescent="0.25">
      <c r="A56" s="26">
        <v>55</v>
      </c>
      <c r="B56" s="30" t="s">
        <v>823</v>
      </c>
      <c r="C56" s="26" t="s">
        <v>29</v>
      </c>
      <c r="D56" s="30" t="s">
        <v>833</v>
      </c>
      <c r="E56" s="30" t="s">
        <v>23</v>
      </c>
      <c r="F56" s="30" t="s">
        <v>29</v>
      </c>
      <c r="G56" s="30" t="s">
        <v>72</v>
      </c>
      <c r="H56" s="30" t="s">
        <v>73</v>
      </c>
      <c r="I56" s="36">
        <v>44427</v>
      </c>
      <c r="J56" s="30">
        <v>7</v>
      </c>
      <c r="K56" s="30">
        <v>73</v>
      </c>
      <c r="L56" s="30">
        <v>106</v>
      </c>
      <c r="M56" s="23">
        <f>((L56*16500)+(L56*16500)*10%)+8250+((0*150))</f>
        <v>1932150</v>
      </c>
      <c r="N56" s="21">
        <f t="shared" si="54"/>
        <v>128260</v>
      </c>
      <c r="O56" s="21">
        <f t="shared" si="55"/>
        <v>218922</v>
      </c>
      <c r="P56" s="21">
        <f t="shared" si="56"/>
        <v>116600</v>
      </c>
      <c r="Q56" s="14">
        <f t="shared" si="53"/>
        <v>2395932</v>
      </c>
      <c r="R56" s="124" t="s">
        <v>94</v>
      </c>
      <c r="S56" s="124" t="s">
        <v>94</v>
      </c>
      <c r="T56" s="124" t="s">
        <v>94</v>
      </c>
      <c r="U56" s="30"/>
      <c r="V56" s="30"/>
    </row>
    <row r="57" spans="1:22" x14ac:dyDescent="0.25">
      <c r="A57" s="26">
        <v>56</v>
      </c>
      <c r="B57" s="30" t="s">
        <v>824</v>
      </c>
      <c r="C57" s="26" t="s">
        <v>29</v>
      </c>
      <c r="D57" s="30" t="s">
        <v>833</v>
      </c>
      <c r="E57" s="30" t="s">
        <v>23</v>
      </c>
      <c r="F57" s="30" t="s">
        <v>29</v>
      </c>
      <c r="G57" s="30" t="s">
        <v>731</v>
      </c>
      <c r="H57" s="30" t="s">
        <v>732</v>
      </c>
      <c r="I57" s="36">
        <v>44427</v>
      </c>
      <c r="J57" s="30">
        <v>2</v>
      </c>
      <c r="K57" s="30">
        <v>5</v>
      </c>
      <c r="L57" s="30">
        <v>6</v>
      </c>
      <c r="M57" s="23">
        <f>((L57*14000)+(L57*14000)*10%)+8250+((0*150))</f>
        <v>100650</v>
      </c>
      <c r="N57" s="21">
        <f t="shared" si="54"/>
        <v>7260</v>
      </c>
      <c r="O57" s="21">
        <f t="shared" si="55"/>
        <v>15222</v>
      </c>
      <c r="P57" s="21">
        <f t="shared" si="56"/>
        <v>6600</v>
      </c>
      <c r="Q57" s="14">
        <f t="shared" si="53"/>
        <v>129732</v>
      </c>
      <c r="R57" s="124" t="s">
        <v>94</v>
      </c>
      <c r="S57" s="124" t="s">
        <v>94</v>
      </c>
      <c r="T57" s="124" t="s">
        <v>94</v>
      </c>
      <c r="U57" s="30"/>
      <c r="V57" s="30"/>
    </row>
    <row r="58" spans="1:22" x14ac:dyDescent="0.25">
      <c r="A58" s="26">
        <v>57</v>
      </c>
      <c r="B58" s="30" t="s">
        <v>825</v>
      </c>
      <c r="C58" s="26" t="s">
        <v>29</v>
      </c>
      <c r="D58" s="30" t="s">
        <v>833</v>
      </c>
      <c r="E58" s="30" t="s">
        <v>23</v>
      </c>
      <c r="F58" s="30" t="s">
        <v>29</v>
      </c>
      <c r="G58" s="30" t="s">
        <v>64</v>
      </c>
      <c r="H58" s="30" t="s">
        <v>839</v>
      </c>
      <c r="I58" s="36">
        <v>44427</v>
      </c>
      <c r="J58" s="30">
        <v>3</v>
      </c>
      <c r="K58" s="30">
        <v>43</v>
      </c>
      <c r="L58" s="30">
        <v>43</v>
      </c>
      <c r="M58" s="23">
        <f>((L58*14400)+(L58*14400)*10%)+8250+((0*150))</f>
        <v>689370</v>
      </c>
      <c r="N58" s="21">
        <f t="shared" si="54"/>
        <v>52030</v>
      </c>
      <c r="O58" s="21">
        <f t="shared" si="55"/>
        <v>90591</v>
      </c>
      <c r="P58" s="21">
        <f t="shared" si="56"/>
        <v>47300</v>
      </c>
      <c r="Q58" s="14">
        <f t="shared" si="53"/>
        <v>879291</v>
      </c>
      <c r="R58" s="124" t="s">
        <v>94</v>
      </c>
      <c r="S58" s="124" t="s">
        <v>94</v>
      </c>
      <c r="T58" s="124" t="s">
        <v>94</v>
      </c>
      <c r="U58" s="30"/>
      <c r="V58" s="30"/>
    </row>
    <row r="59" spans="1:22" x14ac:dyDescent="0.25">
      <c r="A59" s="26">
        <v>58</v>
      </c>
      <c r="B59" s="30" t="s">
        <v>826</v>
      </c>
      <c r="C59" s="26" t="s">
        <v>29</v>
      </c>
      <c r="D59" s="30" t="s">
        <v>833</v>
      </c>
      <c r="E59" s="30" t="s">
        <v>23</v>
      </c>
      <c r="F59" s="30" t="s">
        <v>29</v>
      </c>
      <c r="G59" s="30" t="s">
        <v>79</v>
      </c>
      <c r="H59" s="30" t="s">
        <v>656</v>
      </c>
      <c r="I59" s="36">
        <v>44427</v>
      </c>
      <c r="J59" s="30">
        <v>4</v>
      </c>
      <c r="K59" s="30">
        <v>85</v>
      </c>
      <c r="L59" s="30">
        <v>85</v>
      </c>
      <c r="M59" s="23">
        <f>((L59*15000)+(L59*15000)*10%)+8250+((0*150))</f>
        <v>1410750</v>
      </c>
      <c r="N59" s="21">
        <f t="shared" si="54"/>
        <v>102850</v>
      </c>
      <c r="O59" s="21">
        <f t="shared" si="55"/>
        <v>176145</v>
      </c>
      <c r="P59" s="21">
        <f t="shared" si="56"/>
        <v>93500</v>
      </c>
      <c r="Q59" s="14">
        <f t="shared" si="53"/>
        <v>1783245</v>
      </c>
      <c r="R59" s="124" t="s">
        <v>94</v>
      </c>
      <c r="S59" s="124" t="s">
        <v>94</v>
      </c>
      <c r="T59" s="124" t="s">
        <v>94</v>
      </c>
      <c r="U59" s="30"/>
      <c r="V59" s="30"/>
    </row>
    <row r="60" spans="1:22" x14ac:dyDescent="0.25">
      <c r="A60" s="26">
        <v>59</v>
      </c>
      <c r="B60" s="30" t="s">
        <v>827</v>
      </c>
      <c r="C60" s="26" t="s">
        <v>29</v>
      </c>
      <c r="D60" s="30" t="s">
        <v>833</v>
      </c>
      <c r="E60" s="30" t="s">
        <v>23</v>
      </c>
      <c r="F60" s="30" t="s">
        <v>29</v>
      </c>
      <c r="G60" s="30" t="s">
        <v>35</v>
      </c>
      <c r="H60" s="30" t="s">
        <v>778</v>
      </c>
      <c r="I60" s="36">
        <v>44427</v>
      </c>
      <c r="J60" s="30">
        <v>1</v>
      </c>
      <c r="K60" s="30">
        <v>7</v>
      </c>
      <c r="L60" s="30">
        <v>8</v>
      </c>
      <c r="M60" s="23">
        <f>((L60*10000)+(L60*10000)*10%)+8250+((0*150))</f>
        <v>96250</v>
      </c>
      <c r="N60" s="21">
        <f t="shared" si="54"/>
        <v>9680</v>
      </c>
      <c r="O60" s="21">
        <f t="shared" si="55"/>
        <v>19296</v>
      </c>
      <c r="P60" s="21">
        <f t="shared" si="56"/>
        <v>8800</v>
      </c>
      <c r="Q60" s="14">
        <f t="shared" si="53"/>
        <v>134026</v>
      </c>
      <c r="R60" s="124" t="s">
        <v>94</v>
      </c>
      <c r="S60" s="124" t="s">
        <v>94</v>
      </c>
      <c r="T60" s="124" t="s">
        <v>94</v>
      </c>
      <c r="U60" s="30"/>
      <c r="V60" s="30"/>
    </row>
    <row r="61" spans="1:22" x14ac:dyDescent="0.25">
      <c r="A61" s="26">
        <v>60</v>
      </c>
      <c r="B61" s="30" t="s">
        <v>828</v>
      </c>
      <c r="C61" s="26" t="s">
        <v>29</v>
      </c>
      <c r="D61" s="30" t="s">
        <v>833</v>
      </c>
      <c r="E61" s="30" t="s">
        <v>23</v>
      </c>
      <c r="F61" s="30" t="s">
        <v>29</v>
      </c>
      <c r="G61" s="30" t="s">
        <v>76</v>
      </c>
      <c r="H61" s="30" t="s">
        <v>840</v>
      </c>
      <c r="I61" s="36">
        <v>44427</v>
      </c>
      <c r="J61" s="30">
        <v>9</v>
      </c>
      <c r="K61" s="30">
        <v>57</v>
      </c>
      <c r="L61" s="30">
        <v>65</v>
      </c>
      <c r="M61" s="23">
        <f>((L61*19000)+(L61*19000)*10%)+8250+((L61*150))</f>
        <v>1376500</v>
      </c>
      <c r="N61" s="21">
        <f t="shared" si="54"/>
        <v>78650</v>
      </c>
      <c r="O61" s="21">
        <f t="shared" si="55"/>
        <v>135405</v>
      </c>
      <c r="P61" s="21">
        <f t="shared" si="56"/>
        <v>71500</v>
      </c>
      <c r="Q61" s="14">
        <f t="shared" si="53"/>
        <v>1662055</v>
      </c>
      <c r="R61" s="124" t="s">
        <v>94</v>
      </c>
      <c r="S61" s="124" t="s">
        <v>94</v>
      </c>
      <c r="T61" s="124" t="s">
        <v>94</v>
      </c>
      <c r="U61" s="30"/>
      <c r="V61" s="30"/>
    </row>
    <row r="62" spans="1:22" x14ac:dyDescent="0.25">
      <c r="A62" s="26">
        <v>61</v>
      </c>
      <c r="B62" s="30" t="s">
        <v>829</v>
      </c>
      <c r="C62" s="26" t="s">
        <v>29</v>
      </c>
      <c r="D62" s="30" t="s">
        <v>833</v>
      </c>
      <c r="E62" s="30" t="s">
        <v>23</v>
      </c>
      <c r="F62" s="30" t="s">
        <v>29</v>
      </c>
      <c r="G62" s="30" t="s">
        <v>69</v>
      </c>
      <c r="H62" s="30" t="s">
        <v>70</v>
      </c>
      <c r="I62" s="36">
        <v>44427</v>
      </c>
      <c r="J62" s="30">
        <v>2</v>
      </c>
      <c r="K62" s="30">
        <v>1</v>
      </c>
      <c r="L62" s="30">
        <v>6</v>
      </c>
      <c r="M62" s="23">
        <f>((L62*11000)+(L62*11000)*10%)+8250+((0*150))</f>
        <v>80850</v>
      </c>
      <c r="N62" s="21">
        <f t="shared" si="54"/>
        <v>7260</v>
      </c>
      <c r="O62" s="21">
        <f t="shared" si="55"/>
        <v>15222</v>
      </c>
      <c r="P62" s="21">
        <f t="shared" si="56"/>
        <v>6600</v>
      </c>
      <c r="Q62" s="14">
        <f t="shared" si="53"/>
        <v>109932</v>
      </c>
      <c r="R62" s="124" t="s">
        <v>94</v>
      </c>
      <c r="S62" s="124" t="s">
        <v>94</v>
      </c>
      <c r="T62" s="124" t="s">
        <v>94</v>
      </c>
      <c r="U62" s="30"/>
      <c r="V62" s="30"/>
    </row>
    <row r="63" spans="1:22" x14ac:dyDescent="0.25">
      <c r="A63" s="26">
        <v>62</v>
      </c>
      <c r="B63" s="30" t="s">
        <v>830</v>
      </c>
      <c r="C63" s="26" t="s">
        <v>29</v>
      </c>
      <c r="D63" s="30" t="s">
        <v>833</v>
      </c>
      <c r="E63" s="30" t="s">
        <v>23</v>
      </c>
      <c r="F63" s="30" t="s">
        <v>29</v>
      </c>
      <c r="G63" s="30" t="s">
        <v>241</v>
      </c>
      <c r="H63" s="30" t="s">
        <v>102</v>
      </c>
      <c r="I63" s="36">
        <v>44428</v>
      </c>
      <c r="J63" s="30">
        <v>14</v>
      </c>
      <c r="K63" s="30">
        <v>52</v>
      </c>
      <c r="L63" s="30">
        <v>52</v>
      </c>
      <c r="M63" s="23">
        <f>((L63*27500)+(L63*27500)*10%)+8250+((L63*150))</f>
        <v>1589050</v>
      </c>
      <c r="N63" s="21">
        <f t="shared" si="54"/>
        <v>62920</v>
      </c>
      <c r="O63" s="21">
        <f t="shared" si="55"/>
        <v>108924</v>
      </c>
      <c r="P63" s="21">
        <f t="shared" si="56"/>
        <v>57200</v>
      </c>
      <c r="Q63" s="14">
        <f t="shared" si="53"/>
        <v>1818094</v>
      </c>
      <c r="R63" s="124" t="s">
        <v>94</v>
      </c>
      <c r="S63" s="124" t="s">
        <v>94</v>
      </c>
      <c r="T63" s="124" t="s">
        <v>94</v>
      </c>
      <c r="U63" s="30"/>
      <c r="V63" s="30"/>
    </row>
    <row r="64" spans="1:22" x14ac:dyDescent="0.25">
      <c r="A64" s="26">
        <v>63</v>
      </c>
      <c r="B64" s="30" t="s">
        <v>831</v>
      </c>
      <c r="C64" s="26" t="s">
        <v>29</v>
      </c>
      <c r="D64" s="30" t="s">
        <v>30</v>
      </c>
      <c r="E64" s="30" t="s">
        <v>491</v>
      </c>
      <c r="F64" s="30" t="s">
        <v>29</v>
      </c>
      <c r="G64" s="30" t="s">
        <v>210</v>
      </c>
      <c r="H64" s="30" t="s">
        <v>534</v>
      </c>
      <c r="I64" s="36">
        <v>44428</v>
      </c>
      <c r="J64" s="30">
        <v>7</v>
      </c>
      <c r="K64" s="30">
        <v>135</v>
      </c>
      <c r="L64" s="30">
        <v>135</v>
      </c>
      <c r="M64" s="23">
        <f>((L64*8500)+(L64*8500)*10%)+8250+((0*150))</f>
        <v>1270500</v>
      </c>
      <c r="N64" s="21">
        <f t="shared" si="54"/>
        <v>163350</v>
      </c>
      <c r="O64" s="21">
        <f t="shared" si="55"/>
        <v>277995</v>
      </c>
      <c r="P64" s="21">
        <f>L64*2100</f>
        <v>283500</v>
      </c>
      <c r="Q64" s="14">
        <f t="shared" si="53"/>
        <v>1995345</v>
      </c>
      <c r="R64" s="124" t="s">
        <v>94</v>
      </c>
      <c r="S64" s="124" t="s">
        <v>94</v>
      </c>
      <c r="T64" s="124" t="s">
        <v>94</v>
      </c>
      <c r="U64" s="30"/>
      <c r="V64" s="30"/>
    </row>
    <row r="65" spans="1:22" x14ac:dyDescent="0.25">
      <c r="A65" s="26">
        <v>64</v>
      </c>
      <c r="B65" s="30" t="s">
        <v>832</v>
      </c>
      <c r="C65" s="26" t="s">
        <v>29</v>
      </c>
      <c r="D65" s="30" t="s">
        <v>30</v>
      </c>
      <c r="E65" s="30" t="s">
        <v>491</v>
      </c>
      <c r="F65" s="30" t="s">
        <v>29</v>
      </c>
      <c r="G65" s="30" t="s">
        <v>210</v>
      </c>
      <c r="H65" s="30" t="s">
        <v>534</v>
      </c>
      <c r="I65" s="36">
        <v>44428</v>
      </c>
      <c r="J65" s="30">
        <v>10</v>
      </c>
      <c r="K65" s="30">
        <v>225</v>
      </c>
      <c r="L65" s="30">
        <v>225</v>
      </c>
      <c r="M65" s="23">
        <f>((L65*8500)+(L65*8500)*10%)+8250+((0*150))</f>
        <v>2112000</v>
      </c>
      <c r="N65" s="21">
        <f t="shared" si="54"/>
        <v>272250</v>
      </c>
      <c r="O65" s="21">
        <f t="shared" si="55"/>
        <v>461325</v>
      </c>
      <c r="P65" s="21">
        <f>L65*2100</f>
        <v>472500</v>
      </c>
      <c r="Q65" s="14">
        <f t="shared" si="53"/>
        <v>3318075</v>
      </c>
      <c r="R65" s="124" t="s">
        <v>94</v>
      </c>
      <c r="S65" s="124" t="s">
        <v>94</v>
      </c>
      <c r="T65" s="124" t="s">
        <v>94</v>
      </c>
      <c r="U65" s="30"/>
      <c r="V65" s="30"/>
    </row>
    <row r="66" spans="1:22" x14ac:dyDescent="0.25">
      <c r="A66" s="26">
        <v>65</v>
      </c>
      <c r="B66" s="30" t="s">
        <v>841</v>
      </c>
      <c r="C66" s="26" t="s">
        <v>29</v>
      </c>
      <c r="D66" s="30" t="s">
        <v>833</v>
      </c>
      <c r="E66" s="30" t="s">
        <v>23</v>
      </c>
      <c r="F66" s="30" t="s">
        <v>29</v>
      </c>
      <c r="G66" s="30" t="s">
        <v>210</v>
      </c>
      <c r="H66" s="30" t="s">
        <v>534</v>
      </c>
      <c r="I66" s="36">
        <v>44429</v>
      </c>
      <c r="J66" s="30">
        <v>5</v>
      </c>
      <c r="K66" s="30">
        <v>17</v>
      </c>
      <c r="L66" s="30">
        <v>17</v>
      </c>
      <c r="M66" s="23">
        <f>((L66*8500)+(L66*8500)*10%)+8250+((0*150))</f>
        <v>167200</v>
      </c>
      <c r="N66" s="21">
        <f t="shared" ref="N66" si="57">L66*1210</f>
        <v>20570</v>
      </c>
      <c r="O66" s="21">
        <f t="shared" ref="O66" si="58">(L66*2037)+3000</f>
        <v>37629</v>
      </c>
      <c r="P66" s="21">
        <f>L66*1100</f>
        <v>18700</v>
      </c>
      <c r="Q66" s="14">
        <f t="shared" ref="Q66" si="59">SUM(M66:P66)</f>
        <v>244099</v>
      </c>
      <c r="R66" s="124" t="s">
        <v>94</v>
      </c>
      <c r="S66" s="124" t="s">
        <v>94</v>
      </c>
      <c r="T66" s="124" t="s">
        <v>94</v>
      </c>
      <c r="U66" s="30"/>
      <c r="V66" s="30"/>
    </row>
    <row r="67" spans="1:22" x14ac:dyDescent="0.25">
      <c r="A67" s="26">
        <v>66</v>
      </c>
      <c r="B67" s="30" t="s">
        <v>842</v>
      </c>
      <c r="C67" s="26" t="s">
        <v>29</v>
      </c>
      <c r="D67" s="30" t="s">
        <v>509</v>
      </c>
      <c r="E67" s="30" t="s">
        <v>23</v>
      </c>
      <c r="F67" s="30" t="s">
        <v>29</v>
      </c>
      <c r="G67" s="30" t="s">
        <v>235</v>
      </c>
      <c r="H67" s="30" t="s">
        <v>110</v>
      </c>
      <c r="I67" s="36">
        <v>44429</v>
      </c>
      <c r="J67" s="30">
        <v>2</v>
      </c>
      <c r="K67" s="30">
        <v>40</v>
      </c>
      <c r="L67" s="30">
        <v>40</v>
      </c>
      <c r="M67" s="23">
        <f>((L67*35500)+(L67*35500)*10%)+8250+((L67*165))</f>
        <v>1576850</v>
      </c>
      <c r="N67" s="21">
        <f t="shared" ref="N67" si="60">L67*1210</f>
        <v>48400</v>
      </c>
      <c r="O67" s="21">
        <f t="shared" ref="O67" si="61">(L67*2037)+3000</f>
        <v>84480</v>
      </c>
      <c r="P67" s="21">
        <f>L67*1100</f>
        <v>44000</v>
      </c>
      <c r="Q67" s="14">
        <f t="shared" ref="Q67" si="62">SUM(M67:P67)</f>
        <v>1753730</v>
      </c>
      <c r="R67" s="124" t="s">
        <v>94</v>
      </c>
      <c r="S67" s="124" t="s">
        <v>94</v>
      </c>
      <c r="T67" s="124" t="s">
        <v>94</v>
      </c>
      <c r="U67" s="30"/>
      <c r="V67" s="30"/>
    </row>
  </sheetData>
  <autoFilter ref="A1:V38">
    <sortState ref="A2:V45">
      <sortCondition ref="I1:I14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I4" sqref="I4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</cols>
  <sheetData>
    <row r="1" spans="1:12" x14ac:dyDescent="0.25">
      <c r="A1" s="174" t="s">
        <v>779</v>
      </c>
      <c r="B1" s="174"/>
      <c r="C1" s="174"/>
      <c r="D1" s="174"/>
      <c r="E1" s="174"/>
      <c r="H1" s="174" t="s">
        <v>780</v>
      </c>
      <c r="I1" s="174"/>
      <c r="J1" s="174"/>
      <c r="K1" s="174"/>
      <c r="L1" s="174"/>
    </row>
    <row r="2" spans="1:12" x14ac:dyDescent="0.25">
      <c r="A2" s="175" t="s">
        <v>781</v>
      </c>
      <c r="B2" s="175"/>
      <c r="C2" s="175"/>
      <c r="D2" s="175"/>
      <c r="E2" s="175"/>
      <c r="H2" s="175" t="s">
        <v>781</v>
      </c>
      <c r="I2" s="175"/>
      <c r="J2" s="175"/>
      <c r="K2" s="175"/>
      <c r="L2" s="175"/>
    </row>
    <row r="3" spans="1:12" x14ac:dyDescent="0.25">
      <c r="A3" s="39" t="s">
        <v>782</v>
      </c>
      <c r="B3" s="39" t="s">
        <v>783</v>
      </c>
      <c r="C3" s="39" t="s">
        <v>784</v>
      </c>
      <c r="D3" s="39" t="s">
        <v>785</v>
      </c>
      <c r="E3" s="39" t="s">
        <v>786</v>
      </c>
      <c r="H3" s="39" t="s">
        <v>782</v>
      </c>
      <c r="I3" s="39" t="s">
        <v>783</v>
      </c>
      <c r="J3" s="39" t="s">
        <v>784</v>
      </c>
      <c r="K3" s="39" t="s">
        <v>785</v>
      </c>
      <c r="L3" s="39" t="s">
        <v>786</v>
      </c>
    </row>
    <row r="4" spans="1:12" x14ac:dyDescent="0.25">
      <c r="A4" s="39">
        <v>1</v>
      </c>
      <c r="B4" s="39" t="s">
        <v>787</v>
      </c>
      <c r="C4" s="135">
        <v>46</v>
      </c>
      <c r="D4" s="135">
        <v>16667</v>
      </c>
      <c r="E4" s="135">
        <f>D4*C4</f>
        <v>766682</v>
      </c>
      <c r="H4" s="39">
        <v>1</v>
      </c>
      <c r="I4" s="39" t="s">
        <v>787</v>
      </c>
      <c r="J4" s="135">
        <v>29</v>
      </c>
      <c r="K4" s="135">
        <v>17262</v>
      </c>
      <c r="L4" s="135">
        <f>K4*J4</f>
        <v>500598</v>
      </c>
    </row>
    <row r="5" spans="1:12" x14ac:dyDescent="0.25">
      <c r="A5" s="39">
        <v>2</v>
      </c>
      <c r="B5" s="39" t="s">
        <v>788</v>
      </c>
      <c r="C5" s="135">
        <v>1</v>
      </c>
      <c r="D5" s="135">
        <v>20000</v>
      </c>
      <c r="E5" s="135">
        <f>D5*C5</f>
        <v>20000</v>
      </c>
      <c r="H5" s="39">
        <v>2</v>
      </c>
      <c r="I5" s="39" t="s">
        <v>788</v>
      </c>
      <c r="J5" s="135">
        <v>1</v>
      </c>
      <c r="K5" s="135">
        <v>20000</v>
      </c>
      <c r="L5" s="135">
        <f>K5*J5</f>
        <v>20000</v>
      </c>
    </row>
    <row r="6" spans="1:12" x14ac:dyDescent="0.25">
      <c r="A6" s="39">
        <v>3</v>
      </c>
      <c r="B6" s="39" t="s">
        <v>789</v>
      </c>
      <c r="C6" s="135">
        <v>1</v>
      </c>
      <c r="D6" s="135">
        <v>5000</v>
      </c>
      <c r="E6" s="135">
        <f>D6*C6</f>
        <v>5000</v>
      </c>
      <c r="H6" s="39">
        <v>3</v>
      </c>
      <c r="I6" s="39" t="s">
        <v>789</v>
      </c>
      <c r="J6" s="135">
        <v>1</v>
      </c>
      <c r="K6" s="135">
        <v>5000</v>
      </c>
      <c r="L6" s="135">
        <f>K6*J6</f>
        <v>5000</v>
      </c>
    </row>
    <row r="7" spans="1:12" x14ac:dyDescent="0.25">
      <c r="A7" s="39"/>
      <c r="B7" s="174" t="s">
        <v>790</v>
      </c>
      <c r="C7" s="174"/>
      <c r="D7" s="174"/>
      <c r="E7" s="136">
        <f>SUM(E4:E6)</f>
        <v>791682</v>
      </c>
      <c r="H7" s="39"/>
      <c r="I7" s="174" t="s">
        <v>790</v>
      </c>
      <c r="J7" s="174"/>
      <c r="K7" s="174"/>
      <c r="L7" s="136">
        <f>SUM(L4:L6)</f>
        <v>525598</v>
      </c>
    </row>
    <row r="10" spans="1:12" x14ac:dyDescent="0.25">
      <c r="A10" t="s">
        <v>791</v>
      </c>
      <c r="E10" s="80">
        <f>E7+L7</f>
        <v>1317280</v>
      </c>
    </row>
    <row r="11" spans="1:12" x14ac:dyDescent="0.25">
      <c r="A11" t="s">
        <v>792</v>
      </c>
      <c r="E11" s="138" t="s">
        <v>793</v>
      </c>
    </row>
    <row r="12" spans="1:12" x14ac:dyDescent="0.25">
      <c r="A12" t="s">
        <v>794</v>
      </c>
      <c r="E12" s="137">
        <v>1318000</v>
      </c>
    </row>
  </sheetData>
  <mergeCells count="6"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APLOG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2021-08-20T07:17:32Z</dcterms:modified>
</cp:coreProperties>
</file>